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floridahousing-my.sharepoint.com/personal/kevin_tatreau_floridahousing_org/Documents/2024/RFA Development/"/>
    </mc:Choice>
  </mc:AlternateContent>
  <xr:revisionPtr revIDLastSave="1261" documentId="8_{9702B7E0-E8F7-4B1F-AC45-E3A2C3B966FB}" xr6:coauthVersionLast="47" xr6:coauthVersionMax="47" xr10:uidLastSave="{ECC18829-AC9F-49BB-A7BE-A96E0C231727}"/>
  <bookViews>
    <workbookView xWindow="28680" yWindow="885" windowWidth="29040" windowHeight="15720" xr2:uid="{B58C968B-10A5-48C5-9962-DB2848B92A90}"/>
  </bookViews>
  <sheets>
    <sheet name="Summary" sheetId="6" r:id="rId1"/>
    <sheet name="201" sheetId="1" r:id="rId2"/>
    <sheet name="202" sheetId="2" r:id="rId3"/>
    <sheet name="203" sheetId="3" r:id="rId4"/>
    <sheet name="205" sheetId="4" r:id="rId5"/>
    <sheet name="304" sheetId="5" r:id="rId6"/>
  </sheets>
  <definedNames>
    <definedName name="_xlnm._FilterDatabase" localSheetId="1" hidden="1">'201'!$A$1:$VK$72</definedName>
    <definedName name="_xlnm._FilterDatabase" localSheetId="2" hidden="1">'202'!$A$1:$VK$31</definedName>
    <definedName name="_xlnm._FilterDatabase" localSheetId="3" hidden="1">'203'!$A$1:$VK$50</definedName>
    <definedName name="_xlnm._FilterDatabase" localSheetId="4" hidden="1">'205'!$A$1:$VK$64</definedName>
    <definedName name="_xlnm._FilterDatabase" localSheetId="5" hidden="1">'304'!$A$1:$VK$37</definedName>
    <definedName name="Boost_A">Summary!$F$8</definedName>
    <definedName name="Boost_Q">Summary!$X$8</definedName>
    <definedName name="Broward_A">Summary!$F$9</definedName>
    <definedName name="Broward_Q">Summary!$X$9</definedName>
    <definedName name="Elderly_A">Summary!$F$7</definedName>
    <definedName name="Elderly_Q">Summary!$X$7</definedName>
    <definedName name="ESSC_A">Summary!$F$15</definedName>
    <definedName name="ESSC_Q">Summary!$X$15</definedName>
    <definedName name="NC_GA_A">Summary!$F$11</definedName>
    <definedName name="NC_GA_Q">Summary!$X$11</definedName>
    <definedName name="NC_HR_A">Summary!$F$13</definedName>
    <definedName name="NC_HR_Q">Summary!$X$13</definedName>
    <definedName name="NC_MR_A">Summary!$F$12</definedName>
    <definedName name="NC_MR_Q">Summary!$X$12</definedName>
    <definedName name="NC_OT_A">Summary!$F$14</definedName>
    <definedName name="NC_OT_Q">Summary!$X$14</definedName>
    <definedName name="NC_SF_A">Summary!#REF!</definedName>
    <definedName name="NC_SF_Q">Summary!#REF!</definedName>
    <definedName name="PHA_A">Summary!$F$10</definedName>
    <definedName name="PHA_Q">Summary!$X$10</definedName>
    <definedName name="Same">Summary!$A$12</definedName>
    <definedName name="Switch">Summary!$A$5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" i="6" l="1"/>
  <c r="G13" i="6"/>
  <c r="Y11" i="6" l="1"/>
  <c r="Y13" i="6"/>
  <c r="Y12" i="6"/>
  <c r="G12" i="6"/>
  <c r="P17" i="6" l="1"/>
  <c r="P16" i="6"/>
  <c r="G8" i="6"/>
  <c r="X6" i="6"/>
  <c r="F6" i="6"/>
  <c r="X5" i="6"/>
  <c r="AL45" i="6"/>
  <c r="AL44" i="6"/>
  <c r="AL43" i="6"/>
  <c r="AL42" i="6"/>
  <c r="AL41" i="6"/>
  <c r="AL40" i="6"/>
  <c r="AL39" i="6"/>
  <c r="AL38" i="6"/>
  <c r="AL34" i="6"/>
  <c r="AL32" i="6"/>
  <c r="AL31" i="6"/>
  <c r="AL30" i="6"/>
  <c r="AL29" i="6"/>
  <c r="AL27" i="6"/>
  <c r="AL33" i="6" l="1"/>
  <c r="WC126" i="5"/>
  <c r="WB126" i="5"/>
  <c r="WA126" i="5"/>
  <c r="VZ126" i="5"/>
  <c r="VY126" i="5"/>
  <c r="VW126" i="5"/>
  <c r="VV126" i="5"/>
  <c r="VT126" i="5" s="1"/>
  <c r="VU126" i="5"/>
  <c r="VU125" i="5"/>
  <c r="WC124" i="5"/>
  <c r="WB124" i="5"/>
  <c r="WA124" i="5"/>
  <c r="VZ124" i="5"/>
  <c r="VY124" i="5"/>
  <c r="VW124" i="5"/>
  <c r="VV124" i="5"/>
  <c r="VT124" i="5" s="1"/>
  <c r="VU124" i="5"/>
  <c r="VU123" i="5"/>
  <c r="VU122" i="5"/>
  <c r="VU121" i="5"/>
  <c r="VU120" i="5"/>
  <c r="VU119" i="5"/>
  <c r="VU118" i="5"/>
  <c r="WC117" i="5"/>
  <c r="WB117" i="5"/>
  <c r="WA117" i="5"/>
  <c r="VZ117" i="5"/>
  <c r="VY117" i="5"/>
  <c r="VW117" i="5"/>
  <c r="VV117" i="5"/>
  <c r="VT117" i="5" s="1"/>
  <c r="VU117" i="5"/>
  <c r="VU116" i="5"/>
  <c r="WC126" i="4"/>
  <c r="WB126" i="4"/>
  <c r="WA126" i="4"/>
  <c r="VZ126" i="4"/>
  <c r="VY126" i="4"/>
  <c r="VW126" i="4"/>
  <c r="VV126" i="4"/>
  <c r="VT126" i="4" s="1"/>
  <c r="VU126" i="4"/>
  <c r="VU125" i="4"/>
  <c r="VU124" i="4"/>
  <c r="VU123" i="4"/>
  <c r="VU122" i="4"/>
  <c r="VU121" i="4"/>
  <c r="VU120" i="4"/>
  <c r="VU119" i="4"/>
  <c r="VU118" i="4"/>
  <c r="VU117" i="4"/>
  <c r="VU116" i="4"/>
  <c r="WC126" i="3"/>
  <c r="WB126" i="3"/>
  <c r="WA126" i="3"/>
  <c r="VZ126" i="3"/>
  <c r="VY126" i="3"/>
  <c r="VW126" i="3"/>
  <c r="VV126" i="3"/>
  <c r="VT126" i="3" s="1"/>
  <c r="VU126" i="3"/>
  <c r="VU125" i="3"/>
  <c r="VU124" i="3"/>
  <c r="WC123" i="3"/>
  <c r="WB123" i="3"/>
  <c r="WA123" i="3"/>
  <c r="VZ123" i="3"/>
  <c r="VY123" i="3"/>
  <c r="VW123" i="3"/>
  <c r="VV123" i="3"/>
  <c r="VT123" i="3" s="1"/>
  <c r="VU123" i="3"/>
  <c r="VU122" i="3"/>
  <c r="WC121" i="3"/>
  <c r="WB121" i="3"/>
  <c r="WA121" i="3"/>
  <c r="VZ121" i="3"/>
  <c r="VY121" i="3"/>
  <c r="VW121" i="3"/>
  <c r="VV121" i="3"/>
  <c r="VU121" i="3"/>
  <c r="VU120" i="3"/>
  <c r="WC119" i="3"/>
  <c r="WB119" i="3"/>
  <c r="WA119" i="3"/>
  <c r="VZ119" i="3"/>
  <c r="VY119" i="3"/>
  <c r="VW119" i="3"/>
  <c r="VV119" i="3"/>
  <c r="VU119" i="3"/>
  <c r="WC118" i="3"/>
  <c r="WB118" i="3"/>
  <c r="WA118" i="3"/>
  <c r="VZ118" i="3"/>
  <c r="VY118" i="3"/>
  <c r="VW118" i="3"/>
  <c r="VV118" i="3"/>
  <c r="VT118" i="3" s="1"/>
  <c r="VU118" i="3"/>
  <c r="WC117" i="3"/>
  <c r="WB117" i="3"/>
  <c r="WA117" i="3"/>
  <c r="VZ117" i="3"/>
  <c r="VY117" i="3"/>
  <c r="VW117" i="3"/>
  <c r="VV117" i="3"/>
  <c r="VT117" i="3" s="1"/>
  <c r="VU117" i="3"/>
  <c r="VU116" i="3"/>
  <c r="WC126" i="2"/>
  <c r="WB126" i="2"/>
  <c r="WA126" i="2"/>
  <c r="VZ126" i="2"/>
  <c r="VY126" i="2"/>
  <c r="VW126" i="2"/>
  <c r="VV126" i="2"/>
  <c r="VT126" i="2" s="1"/>
  <c r="VU126" i="2"/>
  <c r="VU125" i="2"/>
  <c r="VU124" i="2"/>
  <c r="VU123" i="2"/>
  <c r="VU122" i="2"/>
  <c r="VU121" i="2"/>
  <c r="VU120" i="2"/>
  <c r="WC119" i="2"/>
  <c r="WB119" i="2"/>
  <c r="WA119" i="2"/>
  <c r="VZ119" i="2"/>
  <c r="VY119" i="2"/>
  <c r="VW119" i="2"/>
  <c r="VV119" i="2"/>
  <c r="VT119" i="2" s="1"/>
  <c r="VU119" i="2"/>
  <c r="VU118" i="2"/>
  <c r="WC117" i="2"/>
  <c r="WB117" i="2"/>
  <c r="WA117" i="2"/>
  <c r="VZ117" i="2"/>
  <c r="VY117" i="2"/>
  <c r="VW117" i="2"/>
  <c r="VV117" i="2"/>
  <c r="VT117" i="2" s="1"/>
  <c r="VU117" i="2"/>
  <c r="VU116" i="2"/>
  <c r="WC125" i="1"/>
  <c r="WB125" i="1"/>
  <c r="WA125" i="1"/>
  <c r="VZ125" i="1"/>
  <c r="VY125" i="1"/>
  <c r="WC124" i="1"/>
  <c r="WB124" i="1"/>
  <c r="WA124" i="1"/>
  <c r="VZ124" i="1"/>
  <c r="VY124" i="1"/>
  <c r="WC120" i="1"/>
  <c r="WB120" i="1"/>
  <c r="WA120" i="1"/>
  <c r="VZ120" i="1"/>
  <c r="VY120" i="1"/>
  <c r="VU126" i="1"/>
  <c r="VW125" i="1"/>
  <c r="VV125" i="1"/>
  <c r="VT125" i="1" s="1"/>
  <c r="VU125" i="1"/>
  <c r="VW124" i="1"/>
  <c r="VV124" i="1"/>
  <c r="VT124" i="1" s="1"/>
  <c r="VU124" i="1"/>
  <c r="VU123" i="1"/>
  <c r="VU122" i="1"/>
  <c r="VU121" i="1"/>
  <c r="VW120" i="1"/>
  <c r="VV120" i="1"/>
  <c r="VT120" i="1" s="1"/>
  <c r="VU120" i="1"/>
  <c r="VU119" i="1"/>
  <c r="VU118" i="1"/>
  <c r="VU117" i="1"/>
  <c r="VU116" i="1"/>
  <c r="VO30" i="2"/>
  <c r="VO29" i="2"/>
  <c r="VO28" i="2"/>
  <c r="VO27" i="2"/>
  <c r="VO26" i="2"/>
  <c r="VO25" i="2"/>
  <c r="VO24" i="2"/>
  <c r="VO23" i="2"/>
  <c r="VO22" i="2"/>
  <c r="VO21" i="2"/>
  <c r="VO20" i="2"/>
  <c r="VO19" i="2"/>
  <c r="VO18" i="2"/>
  <c r="VO17" i="2"/>
  <c r="VO16" i="2"/>
  <c r="VO15" i="2"/>
  <c r="VO14" i="2"/>
  <c r="VO13" i="2"/>
  <c r="VO12" i="2"/>
  <c r="VO11" i="2"/>
  <c r="VO10" i="2"/>
  <c r="VO9" i="2"/>
  <c r="VO8" i="2"/>
  <c r="VO7" i="2"/>
  <c r="VO6" i="2"/>
  <c r="VO5" i="2"/>
  <c r="VO4" i="2"/>
  <c r="VO3" i="2"/>
  <c r="VO48" i="3"/>
  <c r="VO47" i="3"/>
  <c r="VO46" i="3"/>
  <c r="VO45" i="3"/>
  <c r="VO44" i="3"/>
  <c r="VO43" i="3"/>
  <c r="VO42" i="3"/>
  <c r="VO41" i="3"/>
  <c r="VO40" i="3"/>
  <c r="VO39" i="3"/>
  <c r="VO38" i="3"/>
  <c r="VO37" i="3"/>
  <c r="VO36" i="3"/>
  <c r="VO35" i="3"/>
  <c r="VO34" i="3"/>
  <c r="VO33" i="3"/>
  <c r="VO32" i="3"/>
  <c r="VO31" i="3"/>
  <c r="VO30" i="3"/>
  <c r="VO29" i="3"/>
  <c r="VO28" i="3"/>
  <c r="VO27" i="3"/>
  <c r="VO26" i="3"/>
  <c r="VO25" i="3"/>
  <c r="VO24" i="3"/>
  <c r="VO23" i="3"/>
  <c r="VO22" i="3"/>
  <c r="VO21" i="3"/>
  <c r="VO20" i="3"/>
  <c r="VO19" i="3"/>
  <c r="VO18" i="3"/>
  <c r="VO17" i="3"/>
  <c r="VO16" i="3"/>
  <c r="VO15" i="3"/>
  <c r="VO14" i="3"/>
  <c r="VO13" i="3"/>
  <c r="VO12" i="3"/>
  <c r="VO11" i="3"/>
  <c r="VO10" i="3"/>
  <c r="VO9" i="3"/>
  <c r="VO8" i="3"/>
  <c r="VO7" i="3"/>
  <c r="VO6" i="3"/>
  <c r="VO5" i="3"/>
  <c r="VO4" i="3"/>
  <c r="VO3" i="3"/>
  <c r="VO62" i="4"/>
  <c r="VO61" i="4"/>
  <c r="VO60" i="4"/>
  <c r="VO59" i="4"/>
  <c r="VO58" i="4"/>
  <c r="VO57" i="4"/>
  <c r="VO56" i="4"/>
  <c r="VO55" i="4"/>
  <c r="VO54" i="4"/>
  <c r="VO53" i="4"/>
  <c r="VO52" i="4"/>
  <c r="VO51" i="4"/>
  <c r="VO50" i="4"/>
  <c r="VO49" i="4"/>
  <c r="VO48" i="4"/>
  <c r="VO47" i="4"/>
  <c r="VO46" i="4"/>
  <c r="VO45" i="4"/>
  <c r="VO44" i="4"/>
  <c r="VO43" i="4"/>
  <c r="VO42" i="4"/>
  <c r="VO41" i="4"/>
  <c r="VO40" i="4"/>
  <c r="VO39" i="4"/>
  <c r="VO38" i="4"/>
  <c r="VO37" i="4"/>
  <c r="VO36" i="4"/>
  <c r="VO35" i="4"/>
  <c r="VO34" i="4"/>
  <c r="VO33" i="4"/>
  <c r="VO32" i="4"/>
  <c r="VO31" i="4"/>
  <c r="VO30" i="4"/>
  <c r="VO29" i="4"/>
  <c r="VO28" i="4"/>
  <c r="VO27" i="4"/>
  <c r="VO26" i="4"/>
  <c r="VO25" i="4"/>
  <c r="VO24" i="4"/>
  <c r="VO23" i="4"/>
  <c r="VO22" i="4"/>
  <c r="VO21" i="4"/>
  <c r="VO20" i="4"/>
  <c r="VO19" i="4"/>
  <c r="VO18" i="4"/>
  <c r="VO17" i="4"/>
  <c r="VO16" i="4"/>
  <c r="VO15" i="4"/>
  <c r="VO14" i="4"/>
  <c r="VO13" i="4"/>
  <c r="VO12" i="4"/>
  <c r="VO11" i="4"/>
  <c r="VO10" i="4"/>
  <c r="VO9" i="4"/>
  <c r="VO8" i="4"/>
  <c r="VO7" i="4"/>
  <c r="VO6" i="4"/>
  <c r="VO5" i="4"/>
  <c r="VO4" i="4"/>
  <c r="VO3" i="4"/>
  <c r="VO34" i="5"/>
  <c r="VO33" i="5"/>
  <c r="VO32" i="5"/>
  <c r="VO31" i="5"/>
  <c r="VO30" i="5"/>
  <c r="VO29" i="5"/>
  <c r="VO28" i="5"/>
  <c r="VO27" i="5"/>
  <c r="VO26" i="5"/>
  <c r="VO25" i="5"/>
  <c r="VO24" i="5"/>
  <c r="VO23" i="5"/>
  <c r="VO22" i="5"/>
  <c r="VO21" i="5"/>
  <c r="VO20" i="5"/>
  <c r="VO19" i="5"/>
  <c r="VO18" i="5"/>
  <c r="VO17" i="5"/>
  <c r="VO16" i="5"/>
  <c r="VO15" i="5"/>
  <c r="VO14" i="5"/>
  <c r="VO13" i="5"/>
  <c r="VO12" i="5"/>
  <c r="VO11" i="5"/>
  <c r="VO10" i="5"/>
  <c r="VO9" i="5"/>
  <c r="VO8" i="5"/>
  <c r="VO7" i="5"/>
  <c r="VO6" i="5"/>
  <c r="VO5" i="5"/>
  <c r="VO4" i="5"/>
  <c r="VO3" i="5"/>
  <c r="VO72" i="1"/>
  <c r="VO71" i="1"/>
  <c r="VO70" i="1"/>
  <c r="VO69" i="1"/>
  <c r="VO68" i="1"/>
  <c r="VO67" i="1"/>
  <c r="VO66" i="1"/>
  <c r="VO65" i="1"/>
  <c r="VO64" i="1"/>
  <c r="VO63" i="1"/>
  <c r="VO62" i="1"/>
  <c r="VO61" i="1"/>
  <c r="VO60" i="1"/>
  <c r="VO59" i="1"/>
  <c r="VO58" i="1"/>
  <c r="VO57" i="1"/>
  <c r="VO56" i="1"/>
  <c r="VO55" i="1"/>
  <c r="VO54" i="1"/>
  <c r="VO53" i="1"/>
  <c r="VO52" i="1"/>
  <c r="VO51" i="1"/>
  <c r="VO50" i="1"/>
  <c r="VO49" i="1"/>
  <c r="VO48" i="1"/>
  <c r="VO47" i="1"/>
  <c r="VO46" i="1"/>
  <c r="VO45" i="1"/>
  <c r="VO44" i="1"/>
  <c r="VO43" i="1"/>
  <c r="VO42" i="1"/>
  <c r="VO41" i="1"/>
  <c r="VO40" i="1"/>
  <c r="VO39" i="1"/>
  <c r="VO38" i="1"/>
  <c r="VO37" i="1"/>
  <c r="VO36" i="1"/>
  <c r="VO35" i="1"/>
  <c r="VO34" i="1"/>
  <c r="VO33" i="1"/>
  <c r="VO32" i="1"/>
  <c r="VO31" i="1"/>
  <c r="VO30" i="1"/>
  <c r="VO29" i="1"/>
  <c r="VO28" i="1"/>
  <c r="VO27" i="1"/>
  <c r="VO26" i="1"/>
  <c r="VO25" i="1"/>
  <c r="VO24" i="1"/>
  <c r="VO23" i="1"/>
  <c r="VO22" i="1"/>
  <c r="VO21" i="1"/>
  <c r="VO20" i="1"/>
  <c r="VO19" i="1"/>
  <c r="VO18" i="1"/>
  <c r="VO17" i="1"/>
  <c r="VO16" i="1"/>
  <c r="VO15" i="1"/>
  <c r="VO14" i="1"/>
  <c r="VO13" i="1"/>
  <c r="VO12" i="1"/>
  <c r="VO11" i="1"/>
  <c r="VO10" i="1"/>
  <c r="VO9" i="1"/>
  <c r="VO8" i="1"/>
  <c r="VO7" i="1"/>
  <c r="VO6" i="1"/>
  <c r="VO5" i="1"/>
  <c r="VO4" i="1"/>
  <c r="VO3" i="1"/>
  <c r="VO2" i="2"/>
  <c r="VO2" i="3"/>
  <c r="VO2" i="4"/>
  <c r="VO2" i="5"/>
  <c r="VO2" i="1"/>
  <c r="F15" i="6"/>
  <c r="P14" i="6"/>
  <c r="P13" i="6"/>
  <c r="P12" i="6"/>
  <c r="AB22" i="6"/>
  <c r="F5" i="6"/>
  <c r="X9" i="6"/>
  <c r="VR186" i="4" s="1"/>
  <c r="WC186" i="4" s="1"/>
  <c r="X8" i="6"/>
  <c r="X15" i="6"/>
  <c r="Z12" i="6"/>
  <c r="X11" i="6"/>
  <c r="Z10" i="6"/>
  <c r="Z7" i="6"/>
  <c r="F11" i="6"/>
  <c r="F10" i="6"/>
  <c r="OY77" i="3" s="1"/>
  <c r="F9" i="6"/>
  <c r="OY76" i="2" s="1"/>
  <c r="H7" i="6"/>
  <c r="X14" i="6"/>
  <c r="OY75" i="2"/>
  <c r="F14" i="6"/>
  <c r="OY81" i="2"/>
  <c r="VR187" i="3"/>
  <c r="VS186" i="3"/>
  <c r="WD186" i="3" s="1"/>
  <c r="VR186" i="3"/>
  <c r="WC186" i="3" s="1"/>
  <c r="VS48" i="3"/>
  <c r="WD48" i="3" s="1"/>
  <c r="VR48" i="3"/>
  <c r="WC48" i="3" s="1"/>
  <c r="VS47" i="3"/>
  <c r="WD47" i="3" s="1"/>
  <c r="VR47" i="3"/>
  <c r="WC47" i="3" s="1"/>
  <c r="VS46" i="3"/>
  <c r="WD46" i="3" s="1"/>
  <c r="VR46" i="3"/>
  <c r="WC46" i="3" s="1"/>
  <c r="VS45" i="3"/>
  <c r="WD45" i="3" s="1"/>
  <c r="VR45" i="3"/>
  <c r="VS44" i="3"/>
  <c r="WD44" i="3" s="1"/>
  <c r="VR44" i="3"/>
  <c r="WC44" i="3" s="1"/>
  <c r="VS43" i="3"/>
  <c r="WD43" i="3" s="1"/>
  <c r="VR43" i="3"/>
  <c r="WC43" i="3" s="1"/>
  <c r="VS42" i="3"/>
  <c r="WD42" i="3" s="1"/>
  <c r="VR42" i="3"/>
  <c r="WC42" i="3" s="1"/>
  <c r="VS41" i="3"/>
  <c r="WD41" i="3" s="1"/>
  <c r="VR41" i="3"/>
  <c r="WC41" i="3" s="1"/>
  <c r="VR40" i="3"/>
  <c r="WC40" i="3" s="1"/>
  <c r="VR39" i="3"/>
  <c r="WC39" i="3" s="1"/>
  <c r="VS38" i="3"/>
  <c r="VR38" i="3"/>
  <c r="WC38" i="3" s="1"/>
  <c r="VS37" i="3"/>
  <c r="WD37" i="3" s="1"/>
  <c r="VR37" i="3"/>
  <c r="WC37" i="3" s="1"/>
  <c r="VS36" i="3"/>
  <c r="WD36" i="3" s="1"/>
  <c r="VR36" i="3"/>
  <c r="WC36" i="3" s="1"/>
  <c r="VS35" i="3"/>
  <c r="WD35" i="3" s="1"/>
  <c r="VR35" i="3"/>
  <c r="WC35" i="3" s="1"/>
  <c r="VS34" i="3"/>
  <c r="WD34" i="3" s="1"/>
  <c r="VR34" i="3"/>
  <c r="WC34" i="3" s="1"/>
  <c r="VS33" i="3"/>
  <c r="WD33" i="3" s="1"/>
  <c r="VR33" i="3"/>
  <c r="VS32" i="3"/>
  <c r="WD32" i="3" s="1"/>
  <c r="VR32" i="3"/>
  <c r="WC32" i="3" s="1"/>
  <c r="VS31" i="3"/>
  <c r="WD31" i="3" s="1"/>
  <c r="VR31" i="3"/>
  <c r="VS30" i="3"/>
  <c r="WD30" i="3" s="1"/>
  <c r="VR30" i="3"/>
  <c r="WC30" i="3" s="1"/>
  <c r="VS29" i="3"/>
  <c r="WD29" i="3" s="1"/>
  <c r="VR29" i="3"/>
  <c r="WC29" i="3" s="1"/>
  <c r="VS28" i="3"/>
  <c r="WD28" i="3" s="1"/>
  <c r="VR28" i="3"/>
  <c r="WC28" i="3" s="1"/>
  <c r="VS27" i="3"/>
  <c r="WD27" i="3" s="1"/>
  <c r="VR27" i="3"/>
  <c r="WC27" i="3" s="1"/>
  <c r="VS26" i="3"/>
  <c r="VR26" i="3"/>
  <c r="WC26" i="3" s="1"/>
  <c r="VS25" i="3"/>
  <c r="WD25" i="3" s="1"/>
  <c r="VR25" i="3"/>
  <c r="WC25" i="3" s="1"/>
  <c r="VS24" i="3"/>
  <c r="WD24" i="3" s="1"/>
  <c r="VR24" i="3"/>
  <c r="WC24" i="3" s="1"/>
  <c r="VS23" i="3"/>
  <c r="WD23" i="3" s="1"/>
  <c r="VR23" i="3"/>
  <c r="WC23" i="3" s="1"/>
  <c r="VS22" i="3"/>
  <c r="WD22" i="3" s="1"/>
  <c r="VR22" i="3"/>
  <c r="WC22" i="3" s="1"/>
  <c r="VS21" i="3"/>
  <c r="WD21" i="3" s="1"/>
  <c r="VR21" i="3"/>
  <c r="VS20" i="3"/>
  <c r="WD20" i="3" s="1"/>
  <c r="VR20" i="3"/>
  <c r="WC20" i="3" s="1"/>
  <c r="VS19" i="3"/>
  <c r="WD19" i="3" s="1"/>
  <c r="VR19" i="3"/>
  <c r="WC19" i="3" s="1"/>
  <c r="VS18" i="3"/>
  <c r="WD18" i="3" s="1"/>
  <c r="VR18" i="3"/>
  <c r="WC18" i="3" s="1"/>
  <c r="VS17" i="3"/>
  <c r="WD17" i="3" s="1"/>
  <c r="VR17" i="3"/>
  <c r="WC17" i="3" s="1"/>
  <c r="VS16" i="3"/>
  <c r="WD16" i="3" s="1"/>
  <c r="VR16" i="3"/>
  <c r="WC16" i="3" s="1"/>
  <c r="VS15" i="3"/>
  <c r="VR15" i="3"/>
  <c r="WC15" i="3" s="1"/>
  <c r="VS14" i="3"/>
  <c r="WD14" i="3" s="1"/>
  <c r="VR14" i="3"/>
  <c r="WC14" i="3" s="1"/>
  <c r="VS13" i="3"/>
  <c r="WD13" i="3" s="1"/>
  <c r="VR13" i="3"/>
  <c r="WC13" i="3" s="1"/>
  <c r="VS12" i="3"/>
  <c r="WD12" i="3" s="1"/>
  <c r="VR12" i="3"/>
  <c r="WC12" i="3" s="1"/>
  <c r="VS11" i="3"/>
  <c r="WD11" i="3" s="1"/>
  <c r="VR11" i="3"/>
  <c r="WC11" i="3" s="1"/>
  <c r="VS10" i="3"/>
  <c r="WD10" i="3" s="1"/>
  <c r="VR10" i="3"/>
  <c r="WC10" i="3" s="1"/>
  <c r="VS9" i="3"/>
  <c r="WD9" i="3" s="1"/>
  <c r="VR9" i="3"/>
  <c r="VS8" i="3"/>
  <c r="WD8" i="3" s="1"/>
  <c r="VR8" i="3"/>
  <c r="WC8" i="3" s="1"/>
  <c r="VS7" i="3"/>
  <c r="WD7" i="3" s="1"/>
  <c r="VR7" i="3"/>
  <c r="WC7" i="3" s="1"/>
  <c r="VS6" i="3"/>
  <c r="WD6" i="3" s="1"/>
  <c r="VR6" i="3"/>
  <c r="WC6" i="3" s="1"/>
  <c r="VS5" i="3"/>
  <c r="WD5" i="3" s="1"/>
  <c r="VR5" i="3"/>
  <c r="WC5" i="3" s="1"/>
  <c r="VS4" i="3"/>
  <c r="WD4" i="3" s="1"/>
  <c r="VR4" i="3"/>
  <c r="WC4" i="3" s="1"/>
  <c r="VS3" i="3"/>
  <c r="WD3" i="3" s="1"/>
  <c r="VR3" i="3"/>
  <c r="WC3" i="3" s="1"/>
  <c r="VS2" i="3"/>
  <c r="VR2" i="3"/>
  <c r="WC2" i="3" s="1"/>
  <c r="VS186" i="2"/>
  <c r="WD186" i="2" s="1"/>
  <c r="VR186" i="2"/>
  <c r="VS30" i="2"/>
  <c r="WD30" i="2" s="1"/>
  <c r="VR30" i="2"/>
  <c r="WC30" i="2" s="1"/>
  <c r="VS29" i="2"/>
  <c r="VR29" i="2"/>
  <c r="WC29" i="2" s="1"/>
  <c r="VS28" i="2"/>
  <c r="WD28" i="2" s="1"/>
  <c r="VR28" i="2"/>
  <c r="WC28" i="2" s="1"/>
  <c r="VS27" i="2"/>
  <c r="WD27" i="2" s="1"/>
  <c r="VR27" i="2"/>
  <c r="WC27" i="2" s="1"/>
  <c r="VS26" i="2"/>
  <c r="VR26" i="2"/>
  <c r="WC26" i="2" s="1"/>
  <c r="VS25" i="2"/>
  <c r="WD25" i="2" s="1"/>
  <c r="VR25" i="2"/>
  <c r="WC25" i="2" s="1"/>
  <c r="VS24" i="2"/>
  <c r="WD24" i="2" s="1"/>
  <c r="VS23" i="2"/>
  <c r="WD23" i="2" s="1"/>
  <c r="VR21" i="2"/>
  <c r="WC21" i="2" s="1"/>
  <c r="VS20" i="2"/>
  <c r="WD20" i="2" s="1"/>
  <c r="VR20" i="2"/>
  <c r="WC20" i="2" s="1"/>
  <c r="VS19" i="2"/>
  <c r="WD19" i="2" s="1"/>
  <c r="VR19" i="2"/>
  <c r="WC19" i="2" s="1"/>
  <c r="VS18" i="2"/>
  <c r="WD18" i="2" s="1"/>
  <c r="VR18" i="2"/>
  <c r="WC18" i="2" s="1"/>
  <c r="VS17" i="2"/>
  <c r="WD17" i="2" s="1"/>
  <c r="VR17" i="2"/>
  <c r="WC17" i="2" s="1"/>
  <c r="VS15" i="2"/>
  <c r="WD15" i="2" s="1"/>
  <c r="VR15" i="2"/>
  <c r="WC15" i="2" s="1"/>
  <c r="VS14" i="2"/>
  <c r="WD14" i="2" s="1"/>
  <c r="VS13" i="2"/>
  <c r="WD13" i="2" s="1"/>
  <c r="VR12" i="2"/>
  <c r="WC12" i="2" s="1"/>
  <c r="VS11" i="2"/>
  <c r="WD11" i="2" s="1"/>
  <c r="VR11" i="2"/>
  <c r="WC11" i="2" s="1"/>
  <c r="VR10" i="2"/>
  <c r="WC10" i="2" s="1"/>
  <c r="VS9" i="2"/>
  <c r="WD9" i="2" s="1"/>
  <c r="VR9" i="2"/>
  <c r="VR8" i="2"/>
  <c r="WC8" i="2" s="1"/>
  <c r="VS7" i="2"/>
  <c r="VR7" i="2"/>
  <c r="WC7" i="2" s="1"/>
  <c r="VS6" i="2"/>
  <c r="WD6" i="2" s="1"/>
  <c r="VR6" i="2"/>
  <c r="WC6" i="2" s="1"/>
  <c r="VS5" i="2"/>
  <c r="WD5" i="2" s="1"/>
  <c r="VR4" i="2"/>
  <c r="WC4" i="2" s="1"/>
  <c r="VS3" i="2"/>
  <c r="WD3" i="2" s="1"/>
  <c r="VS2" i="2"/>
  <c r="WD2" i="2" s="1"/>
  <c r="VR2" i="2"/>
  <c r="WC2" i="2" s="1"/>
  <c r="VS72" i="1"/>
  <c r="VR72" i="1"/>
  <c r="WC72" i="1" s="1"/>
  <c r="VS71" i="1"/>
  <c r="WD71" i="1" s="1"/>
  <c r="VR71" i="1"/>
  <c r="WC71" i="1" s="1"/>
  <c r="VS70" i="1"/>
  <c r="WD70" i="1" s="1"/>
  <c r="VR70" i="1"/>
  <c r="WC70" i="1" s="1"/>
  <c r="VS69" i="1"/>
  <c r="WD69" i="1" s="1"/>
  <c r="VR69" i="1"/>
  <c r="WC69" i="1" s="1"/>
  <c r="VS68" i="1"/>
  <c r="WD68" i="1" s="1"/>
  <c r="VR68" i="1"/>
  <c r="WC68" i="1" s="1"/>
  <c r="VS67" i="1"/>
  <c r="WD67" i="1" s="1"/>
  <c r="VR67" i="1"/>
  <c r="WC67" i="1" s="1"/>
  <c r="VS66" i="1"/>
  <c r="WD66" i="1" s="1"/>
  <c r="VR66" i="1"/>
  <c r="WC66" i="1" s="1"/>
  <c r="VS65" i="1"/>
  <c r="WD65" i="1" s="1"/>
  <c r="VR65" i="1"/>
  <c r="WC65" i="1" s="1"/>
  <c r="VS64" i="1"/>
  <c r="WD64" i="1" s="1"/>
  <c r="VR64" i="1"/>
  <c r="WC64" i="1" s="1"/>
  <c r="VS63" i="1"/>
  <c r="WD63" i="1" s="1"/>
  <c r="VR63" i="1"/>
  <c r="VS62" i="1"/>
  <c r="WD62" i="1" s="1"/>
  <c r="VR62" i="1"/>
  <c r="WC62" i="1" s="1"/>
  <c r="VS61" i="1"/>
  <c r="WD61" i="1" s="1"/>
  <c r="VR61" i="1"/>
  <c r="WC61" i="1" s="1"/>
  <c r="VS60" i="1"/>
  <c r="WD60" i="1" s="1"/>
  <c r="VR60" i="1"/>
  <c r="WC60" i="1" s="1"/>
  <c r="VS59" i="1"/>
  <c r="WD59" i="1" s="1"/>
  <c r="VR59" i="1"/>
  <c r="WC59" i="1" s="1"/>
  <c r="VS58" i="1"/>
  <c r="VR58" i="1"/>
  <c r="WC58" i="1" s="1"/>
  <c r="VS57" i="1"/>
  <c r="WD57" i="1" s="1"/>
  <c r="VR57" i="1"/>
  <c r="WC57" i="1" s="1"/>
  <c r="VS56" i="1"/>
  <c r="WD56" i="1" s="1"/>
  <c r="VR56" i="1"/>
  <c r="WC56" i="1" s="1"/>
  <c r="VS55" i="1"/>
  <c r="WD55" i="1" s="1"/>
  <c r="VR55" i="1"/>
  <c r="WC55" i="1" s="1"/>
  <c r="VS54" i="1"/>
  <c r="WD54" i="1" s="1"/>
  <c r="VR54" i="1"/>
  <c r="WC54" i="1" s="1"/>
  <c r="VS53" i="1"/>
  <c r="WD53" i="1" s="1"/>
  <c r="VR53" i="1"/>
  <c r="WC53" i="1" s="1"/>
  <c r="VS52" i="1"/>
  <c r="WD52" i="1" s="1"/>
  <c r="VR52" i="1"/>
  <c r="WC52" i="1" s="1"/>
  <c r="VR51" i="1"/>
  <c r="VS50" i="1"/>
  <c r="WD50" i="1" s="1"/>
  <c r="VR50" i="1"/>
  <c r="WC50" i="1" s="1"/>
  <c r="VS49" i="1"/>
  <c r="WD49" i="1" s="1"/>
  <c r="VR49" i="1"/>
  <c r="WC49" i="1" s="1"/>
  <c r="VS48" i="1"/>
  <c r="WD48" i="1" s="1"/>
  <c r="VR48" i="1"/>
  <c r="WC48" i="1" s="1"/>
  <c r="VS47" i="1"/>
  <c r="WD47" i="1" s="1"/>
  <c r="VR47" i="1"/>
  <c r="WC47" i="1" s="1"/>
  <c r="VS46" i="1"/>
  <c r="WD46" i="1" s="1"/>
  <c r="VR46" i="1"/>
  <c r="WC46" i="1" s="1"/>
  <c r="VS45" i="1"/>
  <c r="WD45" i="1" s="1"/>
  <c r="VR45" i="1"/>
  <c r="WC45" i="1" s="1"/>
  <c r="VS44" i="1"/>
  <c r="VR44" i="1"/>
  <c r="WC44" i="1" s="1"/>
  <c r="VS43" i="1"/>
  <c r="WD43" i="1" s="1"/>
  <c r="VR43" i="1"/>
  <c r="WC43" i="1" s="1"/>
  <c r="VS42" i="1"/>
  <c r="WD42" i="1" s="1"/>
  <c r="VR42" i="1"/>
  <c r="WC42" i="1" s="1"/>
  <c r="VR41" i="1"/>
  <c r="WC41" i="1" s="1"/>
  <c r="VS40" i="1"/>
  <c r="WD40" i="1" s="1"/>
  <c r="VR40" i="1"/>
  <c r="WC40" i="1" s="1"/>
  <c r="VS39" i="1"/>
  <c r="WD39" i="1" s="1"/>
  <c r="VR39" i="1"/>
  <c r="VS38" i="1"/>
  <c r="WD38" i="1" s="1"/>
  <c r="VR38" i="1"/>
  <c r="WC38" i="1" s="1"/>
  <c r="VR37" i="1"/>
  <c r="WC37" i="1" s="1"/>
  <c r="VR36" i="1"/>
  <c r="WC36" i="1" s="1"/>
  <c r="VS35" i="1"/>
  <c r="VR35" i="1"/>
  <c r="WC35" i="1" s="1"/>
  <c r="VS34" i="1"/>
  <c r="VR34" i="1"/>
  <c r="WC34" i="1" s="1"/>
  <c r="VS33" i="1"/>
  <c r="WD33" i="1" s="1"/>
  <c r="VR33" i="1"/>
  <c r="WC33" i="1" s="1"/>
  <c r="VS32" i="1"/>
  <c r="WD32" i="1" s="1"/>
  <c r="VR32" i="1"/>
  <c r="WC32" i="1" s="1"/>
  <c r="VS31" i="1"/>
  <c r="WD31" i="1" s="1"/>
  <c r="VR31" i="1"/>
  <c r="WC31" i="1" s="1"/>
  <c r="VS30" i="1"/>
  <c r="WD30" i="1" s="1"/>
  <c r="VR30" i="1"/>
  <c r="WC30" i="1" s="1"/>
  <c r="VR29" i="1"/>
  <c r="WC29" i="1" s="1"/>
  <c r="VR28" i="1"/>
  <c r="WC28" i="1" s="1"/>
  <c r="VS27" i="1"/>
  <c r="WD27" i="1" s="1"/>
  <c r="VR27" i="1"/>
  <c r="VS26" i="1"/>
  <c r="WD26" i="1" s="1"/>
  <c r="VR26" i="1"/>
  <c r="WC26" i="1" s="1"/>
  <c r="VS25" i="1"/>
  <c r="WD25" i="1" s="1"/>
  <c r="VR25" i="1"/>
  <c r="WC25" i="1" s="1"/>
  <c r="VS24" i="1"/>
  <c r="WD24" i="1" s="1"/>
  <c r="VR24" i="1"/>
  <c r="WC24" i="1" s="1"/>
  <c r="VS23" i="1"/>
  <c r="VR23" i="1"/>
  <c r="WC23" i="1" s="1"/>
  <c r="VS22" i="1"/>
  <c r="WD22" i="1" s="1"/>
  <c r="VR22" i="1"/>
  <c r="WC22" i="1" s="1"/>
  <c r="VS21" i="1"/>
  <c r="WD21" i="1" s="1"/>
  <c r="VR21" i="1"/>
  <c r="WC21" i="1" s="1"/>
  <c r="VS20" i="1"/>
  <c r="WD20" i="1" s="1"/>
  <c r="VR20" i="1"/>
  <c r="WC20" i="1" s="1"/>
  <c r="VS19" i="1"/>
  <c r="WD19" i="1" s="1"/>
  <c r="VR19" i="1"/>
  <c r="WC19" i="1" s="1"/>
  <c r="VS18" i="1"/>
  <c r="VR18" i="1"/>
  <c r="WC18" i="1" s="1"/>
  <c r="VS17" i="1"/>
  <c r="WD17" i="1" s="1"/>
  <c r="VR17" i="1"/>
  <c r="WC17" i="1" s="1"/>
  <c r="VS16" i="1"/>
  <c r="WD16" i="1" s="1"/>
  <c r="VR16" i="1"/>
  <c r="WC16" i="1" s="1"/>
  <c r="VS15" i="1"/>
  <c r="WD15" i="1" s="1"/>
  <c r="VR15" i="1"/>
  <c r="VS14" i="1"/>
  <c r="WD14" i="1" s="1"/>
  <c r="VR14" i="1"/>
  <c r="WC14" i="1" s="1"/>
  <c r="VS13" i="1"/>
  <c r="WD13" i="1" s="1"/>
  <c r="VR13" i="1"/>
  <c r="WC13" i="1" s="1"/>
  <c r="VR12" i="1"/>
  <c r="WC12" i="1" s="1"/>
  <c r="VS11" i="1"/>
  <c r="WD11" i="1" s="1"/>
  <c r="VR11" i="1"/>
  <c r="WC11" i="1" s="1"/>
  <c r="VS10" i="1"/>
  <c r="VR10" i="1"/>
  <c r="WC10" i="1" s="1"/>
  <c r="VS9" i="1"/>
  <c r="WD9" i="1" s="1"/>
  <c r="VR9" i="1"/>
  <c r="WC9" i="1" s="1"/>
  <c r="VR8" i="1"/>
  <c r="WC8" i="1" s="1"/>
  <c r="VS7" i="1"/>
  <c r="WD7" i="1" s="1"/>
  <c r="VR7" i="1"/>
  <c r="WC7" i="1" s="1"/>
  <c r="VR6" i="1"/>
  <c r="WC6" i="1" s="1"/>
  <c r="VR5" i="1"/>
  <c r="WC5" i="1" s="1"/>
  <c r="VS4" i="1"/>
  <c r="WD4" i="1" s="1"/>
  <c r="VR4" i="1"/>
  <c r="WC4" i="1" s="1"/>
  <c r="VS3" i="1"/>
  <c r="WD3" i="1" s="1"/>
  <c r="VR3" i="1"/>
  <c r="VS2" i="1"/>
  <c r="WD2" i="1" s="1"/>
  <c r="VR2" i="1"/>
  <c r="WC2" i="1" s="1"/>
  <c r="H14" i="6"/>
  <c r="Z14" i="6"/>
  <c r="X65" i="6"/>
  <c r="V65" i="6"/>
  <c r="X64" i="6"/>
  <c r="V64" i="6"/>
  <c r="X63" i="6"/>
  <c r="V63" i="6"/>
  <c r="X62" i="6"/>
  <c r="V62" i="6"/>
  <c r="X61" i="6"/>
  <c r="V61" i="6"/>
  <c r="X60" i="6"/>
  <c r="V60" i="6"/>
  <c r="X59" i="6"/>
  <c r="V59" i="6"/>
  <c r="G65" i="6"/>
  <c r="E65" i="6"/>
  <c r="C65" i="6"/>
  <c r="G64" i="6"/>
  <c r="E64" i="6"/>
  <c r="C64" i="6"/>
  <c r="G63" i="6"/>
  <c r="E63" i="6"/>
  <c r="C63" i="6"/>
  <c r="G62" i="6"/>
  <c r="E62" i="6"/>
  <c r="C62" i="6"/>
  <c r="G61" i="6"/>
  <c r="E61" i="6"/>
  <c r="C61" i="6"/>
  <c r="G60" i="6"/>
  <c r="E60" i="6"/>
  <c r="C60" i="6"/>
  <c r="G59" i="6"/>
  <c r="E59" i="6"/>
  <c r="C59" i="6"/>
  <c r="VN34" i="5"/>
  <c r="VN33" i="5"/>
  <c r="VN32" i="5"/>
  <c r="VN31" i="5"/>
  <c r="VN30" i="5"/>
  <c r="VN29" i="5"/>
  <c r="VN28" i="5"/>
  <c r="VN27" i="5"/>
  <c r="VN26" i="5"/>
  <c r="VN25" i="5"/>
  <c r="VN24" i="5"/>
  <c r="VN23" i="5"/>
  <c r="VN22" i="5"/>
  <c r="VN21" i="5"/>
  <c r="VN20" i="5"/>
  <c r="VN19" i="5"/>
  <c r="VN18" i="5"/>
  <c r="VN17" i="5"/>
  <c r="VN16" i="5"/>
  <c r="VN15" i="5"/>
  <c r="VN14" i="5"/>
  <c r="VN13" i="5"/>
  <c r="VN12" i="5"/>
  <c r="VN11" i="5"/>
  <c r="VN10" i="5"/>
  <c r="VN9" i="5"/>
  <c r="VN8" i="5"/>
  <c r="VN7" i="5"/>
  <c r="VN6" i="5"/>
  <c r="VN5" i="5"/>
  <c r="VN4" i="5"/>
  <c r="VN3" i="5"/>
  <c r="VN2" i="5"/>
  <c r="VN62" i="4"/>
  <c r="VN61" i="4"/>
  <c r="VN60" i="4"/>
  <c r="VN59" i="4"/>
  <c r="VN58" i="4"/>
  <c r="VN57" i="4"/>
  <c r="VN56" i="4"/>
  <c r="VN55" i="4"/>
  <c r="VN54" i="4"/>
  <c r="VN53" i="4"/>
  <c r="VN52" i="4"/>
  <c r="VN51" i="4"/>
  <c r="VN50" i="4"/>
  <c r="VN49" i="4"/>
  <c r="VN48" i="4"/>
  <c r="VN47" i="4"/>
  <c r="VN46" i="4"/>
  <c r="VN45" i="4"/>
  <c r="VN44" i="4"/>
  <c r="VN43" i="4"/>
  <c r="VN42" i="4"/>
  <c r="VN41" i="4"/>
  <c r="VN40" i="4"/>
  <c r="VN39" i="4"/>
  <c r="VN38" i="4"/>
  <c r="VN37" i="4"/>
  <c r="VN36" i="4"/>
  <c r="VN35" i="4"/>
  <c r="VN34" i="4"/>
  <c r="VN33" i="4"/>
  <c r="VN32" i="4"/>
  <c r="VN31" i="4"/>
  <c r="VN30" i="4"/>
  <c r="VN29" i="4"/>
  <c r="VN28" i="4"/>
  <c r="VN27" i="4"/>
  <c r="VN26" i="4"/>
  <c r="VN25" i="4"/>
  <c r="VN24" i="4"/>
  <c r="VN23" i="4"/>
  <c r="VN22" i="4"/>
  <c r="VN21" i="4"/>
  <c r="VN20" i="4"/>
  <c r="VN19" i="4"/>
  <c r="VN18" i="4"/>
  <c r="VN17" i="4"/>
  <c r="VN16" i="4"/>
  <c r="VN15" i="4"/>
  <c r="VN14" i="4"/>
  <c r="VN13" i="4"/>
  <c r="VN12" i="4"/>
  <c r="VN11" i="4"/>
  <c r="VN10" i="4"/>
  <c r="VN9" i="4"/>
  <c r="VN8" i="4"/>
  <c r="VN7" i="4"/>
  <c r="VN6" i="4"/>
  <c r="VN5" i="4"/>
  <c r="VN4" i="4"/>
  <c r="VN3" i="4"/>
  <c r="VN2" i="4"/>
  <c r="VN48" i="3"/>
  <c r="VN47" i="3"/>
  <c r="VN46" i="3"/>
  <c r="VN45" i="3"/>
  <c r="VN44" i="3"/>
  <c r="VN43" i="3"/>
  <c r="VN42" i="3"/>
  <c r="VN41" i="3"/>
  <c r="VN40" i="3"/>
  <c r="VN39" i="3"/>
  <c r="VN38" i="3"/>
  <c r="VN37" i="3"/>
  <c r="VN36" i="3"/>
  <c r="VN35" i="3"/>
  <c r="VN34" i="3"/>
  <c r="VN33" i="3"/>
  <c r="VN32" i="3"/>
  <c r="VN31" i="3"/>
  <c r="VN30" i="3"/>
  <c r="VN29" i="3"/>
  <c r="VN28" i="3"/>
  <c r="VN27" i="3"/>
  <c r="VN26" i="3"/>
  <c r="VN25" i="3"/>
  <c r="VN24" i="3"/>
  <c r="VN23" i="3"/>
  <c r="VN22" i="3"/>
  <c r="VN21" i="3"/>
  <c r="VN20" i="3"/>
  <c r="VN19" i="3"/>
  <c r="VN18" i="3"/>
  <c r="VN17" i="3"/>
  <c r="VN16" i="3"/>
  <c r="VN15" i="3"/>
  <c r="VN14" i="3"/>
  <c r="VN13" i="3"/>
  <c r="VN12" i="3"/>
  <c r="VN11" i="3"/>
  <c r="VN10" i="3"/>
  <c r="VN9" i="3"/>
  <c r="VN8" i="3"/>
  <c r="VN7" i="3"/>
  <c r="VN6" i="3"/>
  <c r="VN5" i="3"/>
  <c r="VN4" i="3"/>
  <c r="VN3" i="3"/>
  <c r="VN2" i="3"/>
  <c r="VN30" i="2"/>
  <c r="VN29" i="2"/>
  <c r="VN28" i="2"/>
  <c r="VN27" i="2"/>
  <c r="VN26" i="2"/>
  <c r="VN25" i="2"/>
  <c r="VN24" i="2"/>
  <c r="VN23" i="2"/>
  <c r="VN22" i="2"/>
  <c r="VN21" i="2"/>
  <c r="VN20" i="2"/>
  <c r="VN19" i="2"/>
  <c r="VN18" i="2"/>
  <c r="VN17" i="2"/>
  <c r="VN16" i="2"/>
  <c r="VN15" i="2"/>
  <c r="VN14" i="2"/>
  <c r="VN13" i="2"/>
  <c r="VN12" i="2"/>
  <c r="VN11" i="2"/>
  <c r="VN10" i="2"/>
  <c r="VN9" i="2"/>
  <c r="VN8" i="2"/>
  <c r="VN7" i="2"/>
  <c r="VN6" i="2"/>
  <c r="VN5" i="2"/>
  <c r="VN4" i="2"/>
  <c r="VN3" i="2"/>
  <c r="VN2" i="2"/>
  <c r="VN72" i="1"/>
  <c r="VN71" i="1"/>
  <c r="VN70" i="1"/>
  <c r="VN69" i="1"/>
  <c r="VN68" i="1"/>
  <c r="VN67" i="1"/>
  <c r="VN66" i="1"/>
  <c r="VN65" i="1"/>
  <c r="VN64" i="1"/>
  <c r="VN63" i="1"/>
  <c r="VN62" i="1"/>
  <c r="VN61" i="1"/>
  <c r="VN60" i="1"/>
  <c r="VN59" i="1"/>
  <c r="VN58" i="1"/>
  <c r="VN57" i="1"/>
  <c r="VN56" i="1"/>
  <c r="VN55" i="1"/>
  <c r="VN54" i="1"/>
  <c r="VN53" i="1"/>
  <c r="VN52" i="1"/>
  <c r="VN51" i="1"/>
  <c r="VN50" i="1"/>
  <c r="VN49" i="1"/>
  <c r="VN48" i="1"/>
  <c r="VN47" i="1"/>
  <c r="VN46" i="1"/>
  <c r="VN45" i="1"/>
  <c r="VN44" i="1"/>
  <c r="VN43" i="1"/>
  <c r="VN42" i="1"/>
  <c r="VN41" i="1"/>
  <c r="VN40" i="1"/>
  <c r="VN39" i="1"/>
  <c r="VN38" i="1"/>
  <c r="VN37" i="1"/>
  <c r="VN36" i="1"/>
  <c r="VN35" i="1"/>
  <c r="VN34" i="1"/>
  <c r="VN33" i="1"/>
  <c r="VN32" i="1"/>
  <c r="VN31" i="1"/>
  <c r="VN30" i="1"/>
  <c r="VN29" i="1"/>
  <c r="VN28" i="1"/>
  <c r="VN27" i="1"/>
  <c r="VN26" i="1"/>
  <c r="VN25" i="1"/>
  <c r="VN24" i="1"/>
  <c r="VN23" i="1"/>
  <c r="VN22" i="1"/>
  <c r="VN21" i="1"/>
  <c r="VN20" i="1"/>
  <c r="VN19" i="1"/>
  <c r="VN18" i="1"/>
  <c r="VN17" i="1"/>
  <c r="VN16" i="1"/>
  <c r="VN15" i="1"/>
  <c r="VN14" i="1"/>
  <c r="VN13" i="1"/>
  <c r="VN12" i="1"/>
  <c r="VN11" i="1"/>
  <c r="VN10" i="1"/>
  <c r="VN9" i="1"/>
  <c r="VN8" i="1"/>
  <c r="VN7" i="1"/>
  <c r="VN6" i="1"/>
  <c r="VN5" i="1"/>
  <c r="VN4" i="1"/>
  <c r="VN3" i="1"/>
  <c r="VN2" i="1"/>
  <c r="VX2" i="1"/>
  <c r="VX30" i="2"/>
  <c r="VX29" i="2"/>
  <c r="VX28" i="2"/>
  <c r="VX27" i="2"/>
  <c r="VX26" i="2"/>
  <c r="VX25" i="2"/>
  <c r="VX24" i="2"/>
  <c r="VX23" i="2"/>
  <c r="VX22" i="2"/>
  <c r="VX21" i="2"/>
  <c r="VX20" i="2"/>
  <c r="VX19" i="2"/>
  <c r="VX18" i="2"/>
  <c r="VX17" i="2"/>
  <c r="VX16" i="2"/>
  <c r="VX15" i="2"/>
  <c r="VX14" i="2"/>
  <c r="VX13" i="2"/>
  <c r="VX12" i="2"/>
  <c r="VX11" i="2"/>
  <c r="VX10" i="2"/>
  <c r="VX9" i="2"/>
  <c r="VX8" i="2"/>
  <c r="VX7" i="2"/>
  <c r="VX6" i="2"/>
  <c r="VX5" i="2"/>
  <c r="VX4" i="2"/>
  <c r="VX3" i="2"/>
  <c r="VX2" i="2"/>
  <c r="VX72" i="1"/>
  <c r="VX71" i="1"/>
  <c r="VX70" i="1"/>
  <c r="VX69" i="1"/>
  <c r="VX68" i="1"/>
  <c r="VX67" i="1"/>
  <c r="VX66" i="1"/>
  <c r="VX65" i="1"/>
  <c r="VX64" i="1"/>
  <c r="VX63" i="1"/>
  <c r="VX62" i="1"/>
  <c r="VX61" i="1"/>
  <c r="VX60" i="1"/>
  <c r="VX59" i="1"/>
  <c r="VX58" i="1"/>
  <c r="VX57" i="1"/>
  <c r="VX56" i="1"/>
  <c r="VX55" i="1"/>
  <c r="VX54" i="1"/>
  <c r="VX53" i="1"/>
  <c r="VX52" i="1"/>
  <c r="VX51" i="1"/>
  <c r="VX50" i="1"/>
  <c r="VX49" i="1"/>
  <c r="VX48" i="1"/>
  <c r="VX47" i="1"/>
  <c r="VX46" i="1"/>
  <c r="VX45" i="1"/>
  <c r="VX44" i="1"/>
  <c r="VX43" i="1"/>
  <c r="VX42" i="1"/>
  <c r="VX41" i="1"/>
  <c r="VX40" i="1"/>
  <c r="VX39" i="1"/>
  <c r="VX38" i="1"/>
  <c r="VX37" i="1"/>
  <c r="VX36" i="1"/>
  <c r="VX35" i="1"/>
  <c r="VX34" i="1"/>
  <c r="VX33" i="1"/>
  <c r="VX32" i="1"/>
  <c r="VX31" i="1"/>
  <c r="VX30" i="1"/>
  <c r="VX29" i="1"/>
  <c r="VX28" i="1"/>
  <c r="VX27" i="1"/>
  <c r="VX26" i="1"/>
  <c r="VX25" i="1"/>
  <c r="VX24" i="1"/>
  <c r="VX23" i="1"/>
  <c r="VX22" i="1"/>
  <c r="VX21" i="1"/>
  <c r="VX20" i="1"/>
  <c r="VX19" i="1"/>
  <c r="VX18" i="1"/>
  <c r="VX17" i="1"/>
  <c r="VX16" i="1"/>
  <c r="VX15" i="1"/>
  <c r="VX14" i="1"/>
  <c r="VX13" i="1"/>
  <c r="VX12" i="1"/>
  <c r="VX11" i="1"/>
  <c r="VX10" i="1"/>
  <c r="VX9" i="1"/>
  <c r="VX8" i="1"/>
  <c r="VX7" i="1"/>
  <c r="VX6" i="1"/>
  <c r="VX5" i="1"/>
  <c r="VX4" i="1"/>
  <c r="VX3" i="1"/>
  <c r="Z21" i="6"/>
  <c r="WH188" i="5"/>
  <c r="WG188" i="5"/>
  <c r="WF188" i="5"/>
  <c r="WE188" i="5"/>
  <c r="WA188" i="5"/>
  <c r="VS188" i="5"/>
  <c r="WD188" i="5" s="1"/>
  <c r="VR188" i="5"/>
  <c r="WC188" i="5" s="1"/>
  <c r="VQ188" i="5"/>
  <c r="VL188" i="5"/>
  <c r="VM188" i="5" s="1"/>
  <c r="WH187" i="5"/>
  <c r="WG187" i="5"/>
  <c r="WF187" i="5"/>
  <c r="WE187" i="5"/>
  <c r="WA187" i="5"/>
  <c r="VS187" i="5"/>
  <c r="WD187" i="5" s="1"/>
  <c r="VR187" i="5"/>
  <c r="WC187" i="5" s="1"/>
  <c r="VQ187" i="5"/>
  <c r="WB187" i="5" s="1"/>
  <c r="VM187" i="5"/>
  <c r="VL187" i="5"/>
  <c r="WH186" i="5"/>
  <c r="WG186" i="5"/>
  <c r="WF186" i="5"/>
  <c r="WE186" i="5"/>
  <c r="WA186" i="5"/>
  <c r="VR186" i="5"/>
  <c r="WC186" i="5" s="1"/>
  <c r="VQ186" i="5"/>
  <c r="VL186" i="5"/>
  <c r="VM186" i="5" s="1"/>
  <c r="WH187" i="4"/>
  <c r="WG187" i="4"/>
  <c r="WF187" i="4"/>
  <c r="WE187" i="4"/>
  <c r="WA187" i="4"/>
  <c r="VS187" i="4"/>
  <c r="WD187" i="4" s="1"/>
  <c r="VR187" i="4"/>
  <c r="WC187" i="4" s="1"/>
  <c r="VL187" i="4"/>
  <c r="VM187" i="4" s="1"/>
  <c r="WH186" i="4"/>
  <c r="WG186" i="4"/>
  <c r="WF186" i="4"/>
  <c r="WE186" i="4"/>
  <c r="WA186" i="4"/>
  <c r="VQ186" i="4"/>
  <c r="WB186" i="4" s="1"/>
  <c r="VL186" i="4"/>
  <c r="VM186" i="4" s="1"/>
  <c r="WH187" i="3"/>
  <c r="WG187" i="3"/>
  <c r="WF187" i="3"/>
  <c r="WE187" i="3"/>
  <c r="WB187" i="3"/>
  <c r="WA187" i="3"/>
  <c r="VL187" i="3"/>
  <c r="VM187" i="3" s="1"/>
  <c r="WH186" i="3"/>
  <c r="WG186" i="3"/>
  <c r="WF186" i="3"/>
  <c r="WE186" i="3"/>
  <c r="WB186" i="3"/>
  <c r="WA186" i="3"/>
  <c r="VL186" i="3"/>
  <c r="VM186" i="3" s="1"/>
  <c r="WH186" i="2"/>
  <c r="WG186" i="2"/>
  <c r="WF186" i="2"/>
  <c r="WE186" i="2"/>
  <c r="WB186" i="2"/>
  <c r="WA186" i="2"/>
  <c r="VM186" i="2"/>
  <c r="VL186" i="2" s="1"/>
  <c r="WE30" i="2"/>
  <c r="WE29" i="2"/>
  <c r="WE28" i="2"/>
  <c r="WE27" i="2"/>
  <c r="WE26" i="2"/>
  <c r="WE25" i="2"/>
  <c r="WE24" i="2"/>
  <c r="WE23" i="2"/>
  <c r="WE22" i="2"/>
  <c r="WE21" i="2"/>
  <c r="WE20" i="2"/>
  <c r="WE19" i="2"/>
  <c r="WE18" i="2"/>
  <c r="WE17" i="2"/>
  <c r="WE16" i="2"/>
  <c r="WE15" i="2"/>
  <c r="WE14" i="2"/>
  <c r="WE13" i="2"/>
  <c r="WE12" i="2"/>
  <c r="WE11" i="2"/>
  <c r="WE10" i="2"/>
  <c r="WE9" i="2"/>
  <c r="WE8" i="2"/>
  <c r="WE7" i="2"/>
  <c r="WE6" i="2"/>
  <c r="WE5" i="2"/>
  <c r="WE4" i="2"/>
  <c r="WE3" i="2"/>
  <c r="WE48" i="3"/>
  <c r="WE47" i="3"/>
  <c r="WE46" i="3"/>
  <c r="WE45" i="3"/>
  <c r="WE44" i="3"/>
  <c r="WE43" i="3"/>
  <c r="WE42" i="3"/>
  <c r="WE41" i="3"/>
  <c r="WE40" i="3"/>
  <c r="WE39" i="3"/>
  <c r="WE38" i="3"/>
  <c r="WE37" i="3"/>
  <c r="WE36" i="3"/>
  <c r="WE35" i="3"/>
  <c r="WE34" i="3"/>
  <c r="WE33" i="3"/>
  <c r="WE32" i="3"/>
  <c r="WE31" i="3"/>
  <c r="WE30" i="3"/>
  <c r="WE29" i="3"/>
  <c r="WE28" i="3"/>
  <c r="WE27" i="3"/>
  <c r="WE26" i="3"/>
  <c r="WE25" i="3"/>
  <c r="WE24" i="3"/>
  <c r="WE23" i="3"/>
  <c r="WE22" i="3"/>
  <c r="WE21" i="3"/>
  <c r="WE20" i="3"/>
  <c r="WE19" i="3"/>
  <c r="WE18" i="3"/>
  <c r="WE17" i="3"/>
  <c r="WE16" i="3"/>
  <c r="WE15" i="3"/>
  <c r="WE14" i="3"/>
  <c r="WE13" i="3"/>
  <c r="WE12" i="3"/>
  <c r="WE11" i="3"/>
  <c r="WE10" i="3"/>
  <c r="WE9" i="3"/>
  <c r="WE8" i="3"/>
  <c r="WE7" i="3"/>
  <c r="WE6" i="3"/>
  <c r="WE5" i="3"/>
  <c r="WE4" i="3"/>
  <c r="WE3" i="3"/>
  <c r="WE62" i="4"/>
  <c r="WE61" i="4"/>
  <c r="WE60" i="4"/>
  <c r="WE59" i="4"/>
  <c r="WE58" i="4"/>
  <c r="WE57" i="4"/>
  <c r="WE56" i="4"/>
  <c r="WE55" i="4"/>
  <c r="WE54" i="4"/>
  <c r="WE53" i="4"/>
  <c r="WE52" i="4"/>
  <c r="WE51" i="4"/>
  <c r="WE50" i="4"/>
  <c r="WE49" i="4"/>
  <c r="WE48" i="4"/>
  <c r="WE47" i="4"/>
  <c r="WE46" i="4"/>
  <c r="WE45" i="4"/>
  <c r="WE44" i="4"/>
  <c r="WE43" i="4"/>
  <c r="WE42" i="4"/>
  <c r="WE41" i="4"/>
  <c r="WE40" i="4"/>
  <c r="WE39" i="4"/>
  <c r="WE38" i="4"/>
  <c r="WE37" i="4"/>
  <c r="WE36" i="4"/>
  <c r="WE35" i="4"/>
  <c r="WE34" i="4"/>
  <c r="WE33" i="4"/>
  <c r="WE32" i="4"/>
  <c r="WE31" i="4"/>
  <c r="WE30" i="4"/>
  <c r="WE29" i="4"/>
  <c r="WE28" i="4"/>
  <c r="WE27" i="4"/>
  <c r="WE26" i="4"/>
  <c r="WE25" i="4"/>
  <c r="WE24" i="4"/>
  <c r="WE23" i="4"/>
  <c r="WE22" i="4"/>
  <c r="WE21" i="4"/>
  <c r="WE20" i="4"/>
  <c r="WE19" i="4"/>
  <c r="WE18" i="4"/>
  <c r="WE17" i="4"/>
  <c r="WE16" i="4"/>
  <c r="WE15" i="4"/>
  <c r="WE14" i="4"/>
  <c r="WE13" i="4"/>
  <c r="WE12" i="4"/>
  <c r="WE11" i="4"/>
  <c r="WE10" i="4"/>
  <c r="WE9" i="4"/>
  <c r="WE8" i="4"/>
  <c r="WE7" i="4"/>
  <c r="WE6" i="4"/>
  <c r="WE5" i="4"/>
  <c r="WE4" i="4"/>
  <c r="WE3" i="4"/>
  <c r="WE34" i="5"/>
  <c r="WE33" i="5"/>
  <c r="WE32" i="5"/>
  <c r="WE31" i="5"/>
  <c r="WE30" i="5"/>
  <c r="WE29" i="5"/>
  <c r="WE28" i="5"/>
  <c r="WE27" i="5"/>
  <c r="WE26" i="5"/>
  <c r="WE25" i="5"/>
  <c r="WE24" i="5"/>
  <c r="WE23" i="5"/>
  <c r="WE22" i="5"/>
  <c r="WE21" i="5"/>
  <c r="WE20" i="5"/>
  <c r="WE19" i="5"/>
  <c r="WE18" i="5"/>
  <c r="WE17" i="5"/>
  <c r="WE16" i="5"/>
  <c r="WE15" i="5"/>
  <c r="WE14" i="5"/>
  <c r="WE13" i="5"/>
  <c r="WE12" i="5"/>
  <c r="WE11" i="5"/>
  <c r="WE10" i="5"/>
  <c r="WE9" i="5"/>
  <c r="WE8" i="5"/>
  <c r="WE7" i="5"/>
  <c r="WE6" i="5"/>
  <c r="WE5" i="5"/>
  <c r="WE4" i="5"/>
  <c r="WE3" i="5"/>
  <c r="WE72" i="1"/>
  <c r="WE71" i="1"/>
  <c r="WE70" i="1"/>
  <c r="WE69" i="1"/>
  <c r="WE68" i="1"/>
  <c r="WE67" i="1"/>
  <c r="WE66" i="1"/>
  <c r="WE65" i="1"/>
  <c r="WE64" i="1"/>
  <c r="WE63" i="1"/>
  <c r="WE62" i="1"/>
  <c r="WE61" i="1"/>
  <c r="WE60" i="1"/>
  <c r="WE59" i="1"/>
  <c r="WE58" i="1"/>
  <c r="WE57" i="1"/>
  <c r="WE56" i="1"/>
  <c r="WE55" i="1"/>
  <c r="WE54" i="1"/>
  <c r="WE53" i="1"/>
  <c r="WE52" i="1"/>
  <c r="WE51" i="1"/>
  <c r="WE50" i="1"/>
  <c r="WE49" i="1"/>
  <c r="WE48" i="1"/>
  <c r="WE47" i="1"/>
  <c r="WE46" i="1"/>
  <c r="WE45" i="1"/>
  <c r="WE44" i="1"/>
  <c r="WE43" i="1"/>
  <c r="WE42" i="1"/>
  <c r="WE41" i="1"/>
  <c r="WE40" i="1"/>
  <c r="WE39" i="1"/>
  <c r="WE38" i="1"/>
  <c r="WE37" i="1"/>
  <c r="WE36" i="1"/>
  <c r="WE35" i="1"/>
  <c r="WE34" i="1"/>
  <c r="WE33" i="1"/>
  <c r="WE32" i="1"/>
  <c r="WE31" i="1"/>
  <c r="WE30" i="1"/>
  <c r="WE29" i="1"/>
  <c r="WE28" i="1"/>
  <c r="WE27" i="1"/>
  <c r="WE26" i="1"/>
  <c r="WE25" i="1"/>
  <c r="WE24" i="1"/>
  <c r="WE23" i="1"/>
  <c r="WE22" i="1"/>
  <c r="WE21" i="1"/>
  <c r="WE20" i="1"/>
  <c r="WE19" i="1"/>
  <c r="WE18" i="1"/>
  <c r="WE17" i="1"/>
  <c r="WE16" i="1"/>
  <c r="WE15" i="1"/>
  <c r="WE14" i="1"/>
  <c r="WE13" i="1"/>
  <c r="WE12" i="1"/>
  <c r="WE11" i="1"/>
  <c r="WE10" i="1"/>
  <c r="WE9" i="1"/>
  <c r="WE8" i="1"/>
  <c r="WE7" i="1"/>
  <c r="WE6" i="1"/>
  <c r="WE5" i="1"/>
  <c r="WE4" i="1"/>
  <c r="WE3" i="1"/>
  <c r="WE2" i="2"/>
  <c r="WE2" i="3"/>
  <c r="WE2" i="4"/>
  <c r="WE2" i="5"/>
  <c r="WE2" i="1"/>
  <c r="WH34" i="5"/>
  <c r="WG34" i="5"/>
  <c r="WF34" i="5"/>
  <c r="WA34" i="5"/>
  <c r="WH33" i="5"/>
  <c r="WG33" i="5"/>
  <c r="WF33" i="5"/>
  <c r="WA33" i="5"/>
  <c r="WH32" i="5"/>
  <c r="WG32" i="5"/>
  <c r="WF32" i="5"/>
  <c r="WA32" i="5"/>
  <c r="WH31" i="5"/>
  <c r="WG31" i="5"/>
  <c r="WF31" i="5"/>
  <c r="WA31" i="5"/>
  <c r="WH30" i="5"/>
  <c r="WG30" i="5"/>
  <c r="WF30" i="5"/>
  <c r="WA30" i="5"/>
  <c r="WH29" i="5"/>
  <c r="WG29" i="5"/>
  <c r="WF29" i="5"/>
  <c r="WA29" i="5"/>
  <c r="WH28" i="5"/>
  <c r="WG28" i="5"/>
  <c r="WF28" i="5"/>
  <c r="WA28" i="5"/>
  <c r="WH27" i="5"/>
  <c r="WG27" i="5"/>
  <c r="WF27" i="5"/>
  <c r="WA27" i="5"/>
  <c r="WH26" i="5"/>
  <c r="WG26" i="5"/>
  <c r="WF26" i="5"/>
  <c r="WA26" i="5"/>
  <c r="WH25" i="5"/>
  <c r="WG25" i="5"/>
  <c r="WF25" i="5"/>
  <c r="WA25" i="5"/>
  <c r="WH24" i="5"/>
  <c r="WG24" i="5"/>
  <c r="WF24" i="5"/>
  <c r="WA24" i="5"/>
  <c r="WH23" i="5"/>
  <c r="WG23" i="5"/>
  <c r="WF23" i="5"/>
  <c r="WA23" i="5"/>
  <c r="WH22" i="5"/>
  <c r="WG22" i="5"/>
  <c r="WF22" i="5"/>
  <c r="WA22" i="5"/>
  <c r="WH21" i="5"/>
  <c r="WG21" i="5"/>
  <c r="WF21" i="5"/>
  <c r="WA21" i="5"/>
  <c r="WH20" i="5"/>
  <c r="WG20" i="5"/>
  <c r="WF20" i="5"/>
  <c r="WA20" i="5"/>
  <c r="WH19" i="5"/>
  <c r="WG19" i="5"/>
  <c r="WF19" i="5"/>
  <c r="WA19" i="5"/>
  <c r="WH18" i="5"/>
  <c r="WG18" i="5"/>
  <c r="WF18" i="5"/>
  <c r="WA18" i="5"/>
  <c r="WH17" i="5"/>
  <c r="WG17" i="5"/>
  <c r="WF17" i="5"/>
  <c r="WA17" i="5"/>
  <c r="WH16" i="5"/>
  <c r="WG16" i="5"/>
  <c r="WF16" i="5"/>
  <c r="WA16" i="5"/>
  <c r="WH15" i="5"/>
  <c r="WG15" i="5"/>
  <c r="WF15" i="5"/>
  <c r="WA15" i="5"/>
  <c r="WH14" i="5"/>
  <c r="WG14" i="5"/>
  <c r="WF14" i="5"/>
  <c r="WA14" i="5"/>
  <c r="WH13" i="5"/>
  <c r="WG13" i="5"/>
  <c r="WF13" i="5"/>
  <c r="WA13" i="5"/>
  <c r="WH12" i="5"/>
  <c r="WG12" i="5"/>
  <c r="WF12" i="5"/>
  <c r="WA12" i="5"/>
  <c r="WH11" i="5"/>
  <c r="WG11" i="5"/>
  <c r="WF11" i="5"/>
  <c r="WA11" i="5"/>
  <c r="WH10" i="5"/>
  <c r="WG10" i="5"/>
  <c r="WF10" i="5"/>
  <c r="WA10" i="5"/>
  <c r="WH9" i="5"/>
  <c r="WG9" i="5"/>
  <c r="WF9" i="5"/>
  <c r="WA9" i="5"/>
  <c r="WH8" i="5"/>
  <c r="WG8" i="5"/>
  <c r="WF8" i="5"/>
  <c r="WA8" i="5"/>
  <c r="WH7" i="5"/>
  <c r="WG7" i="5"/>
  <c r="WF7" i="5"/>
  <c r="WA7" i="5"/>
  <c r="WH6" i="5"/>
  <c r="WG6" i="5"/>
  <c r="WF6" i="5"/>
  <c r="WA6" i="5"/>
  <c r="WH5" i="5"/>
  <c r="WG5" i="5"/>
  <c r="WF5" i="5"/>
  <c r="WA5" i="5"/>
  <c r="WH4" i="5"/>
  <c r="WG4" i="5"/>
  <c r="WF4" i="5"/>
  <c r="WA4" i="5"/>
  <c r="WH3" i="5"/>
  <c r="WG3" i="5"/>
  <c r="WF3" i="5"/>
  <c r="WA3" i="5"/>
  <c r="WH2" i="5"/>
  <c r="WG2" i="5"/>
  <c r="WF2" i="5"/>
  <c r="WA2" i="5"/>
  <c r="WH62" i="4"/>
  <c r="WG62" i="4"/>
  <c r="WF62" i="4"/>
  <c r="WA62" i="4"/>
  <c r="WH61" i="4"/>
  <c r="WG61" i="4"/>
  <c r="WF61" i="4"/>
  <c r="WA61" i="4"/>
  <c r="WH60" i="4"/>
  <c r="WG60" i="4"/>
  <c r="WF60" i="4"/>
  <c r="WA60" i="4"/>
  <c r="WH59" i="4"/>
  <c r="WG59" i="4"/>
  <c r="WF59" i="4"/>
  <c r="WA59" i="4"/>
  <c r="WH58" i="4"/>
  <c r="WG58" i="4"/>
  <c r="WF58" i="4"/>
  <c r="WA58" i="4"/>
  <c r="WH57" i="4"/>
  <c r="WG57" i="4"/>
  <c r="WF57" i="4"/>
  <c r="WA57" i="4"/>
  <c r="WH56" i="4"/>
  <c r="WG56" i="4"/>
  <c r="WF56" i="4"/>
  <c r="WA56" i="4"/>
  <c r="WH55" i="4"/>
  <c r="WG55" i="4"/>
  <c r="WF55" i="4"/>
  <c r="WA55" i="4"/>
  <c r="WH54" i="4"/>
  <c r="WG54" i="4"/>
  <c r="WF54" i="4"/>
  <c r="WA54" i="4"/>
  <c r="WH53" i="4"/>
  <c r="WG53" i="4"/>
  <c r="WF53" i="4"/>
  <c r="WA53" i="4"/>
  <c r="WH52" i="4"/>
  <c r="WG52" i="4"/>
  <c r="WF52" i="4"/>
  <c r="WA52" i="4"/>
  <c r="WH51" i="4"/>
  <c r="WG51" i="4"/>
  <c r="WF51" i="4"/>
  <c r="WA51" i="4"/>
  <c r="WH50" i="4"/>
  <c r="WG50" i="4"/>
  <c r="WF50" i="4"/>
  <c r="WA50" i="4"/>
  <c r="WH49" i="4"/>
  <c r="WG49" i="4"/>
  <c r="WF49" i="4"/>
  <c r="WA49" i="4"/>
  <c r="WH48" i="4"/>
  <c r="WG48" i="4"/>
  <c r="WF48" i="4"/>
  <c r="WA48" i="4"/>
  <c r="WH47" i="4"/>
  <c r="WG47" i="4"/>
  <c r="WF47" i="4"/>
  <c r="WA47" i="4"/>
  <c r="WH46" i="4"/>
  <c r="WG46" i="4"/>
  <c r="WF46" i="4"/>
  <c r="WA46" i="4"/>
  <c r="WH45" i="4"/>
  <c r="WG45" i="4"/>
  <c r="WF45" i="4"/>
  <c r="WA45" i="4"/>
  <c r="WH44" i="4"/>
  <c r="WG44" i="4"/>
  <c r="WF44" i="4"/>
  <c r="WA44" i="4"/>
  <c r="WH43" i="4"/>
  <c r="WG43" i="4"/>
  <c r="WF43" i="4"/>
  <c r="WA43" i="4"/>
  <c r="WH42" i="4"/>
  <c r="WG42" i="4"/>
  <c r="WF42" i="4"/>
  <c r="WA42" i="4"/>
  <c r="WH41" i="4"/>
  <c r="WG41" i="4"/>
  <c r="WF41" i="4"/>
  <c r="WA41" i="4"/>
  <c r="WH40" i="4"/>
  <c r="WG40" i="4"/>
  <c r="WF40" i="4"/>
  <c r="WA40" i="4"/>
  <c r="WH39" i="4"/>
  <c r="WG39" i="4"/>
  <c r="WF39" i="4"/>
  <c r="WA39" i="4"/>
  <c r="WH38" i="4"/>
  <c r="WG38" i="4"/>
  <c r="WF38" i="4"/>
  <c r="WA38" i="4"/>
  <c r="WH37" i="4"/>
  <c r="WG37" i="4"/>
  <c r="WF37" i="4"/>
  <c r="WA37" i="4"/>
  <c r="WH36" i="4"/>
  <c r="WG36" i="4"/>
  <c r="WF36" i="4"/>
  <c r="WA36" i="4"/>
  <c r="WH35" i="4"/>
  <c r="WG35" i="4"/>
  <c r="WF35" i="4"/>
  <c r="WA35" i="4"/>
  <c r="WH34" i="4"/>
  <c r="WG34" i="4"/>
  <c r="WF34" i="4"/>
  <c r="WA34" i="4"/>
  <c r="WH33" i="4"/>
  <c r="WG33" i="4"/>
  <c r="WF33" i="4"/>
  <c r="WA33" i="4"/>
  <c r="WH32" i="4"/>
  <c r="WG32" i="4"/>
  <c r="WF32" i="4"/>
  <c r="WA32" i="4"/>
  <c r="WH31" i="4"/>
  <c r="WG31" i="4"/>
  <c r="WF31" i="4"/>
  <c r="WA31" i="4"/>
  <c r="WH30" i="4"/>
  <c r="WG30" i="4"/>
  <c r="WF30" i="4"/>
  <c r="WA30" i="4"/>
  <c r="WH29" i="4"/>
  <c r="WG29" i="4"/>
  <c r="WF29" i="4"/>
  <c r="WA29" i="4"/>
  <c r="WH28" i="4"/>
  <c r="WG28" i="4"/>
  <c r="WF28" i="4"/>
  <c r="WA28" i="4"/>
  <c r="WH27" i="4"/>
  <c r="WG27" i="4"/>
  <c r="WF27" i="4"/>
  <c r="WA27" i="4"/>
  <c r="WH26" i="4"/>
  <c r="WG26" i="4"/>
  <c r="WF26" i="4"/>
  <c r="WA26" i="4"/>
  <c r="WH25" i="4"/>
  <c r="WG25" i="4"/>
  <c r="WF25" i="4"/>
  <c r="WA25" i="4"/>
  <c r="WH24" i="4"/>
  <c r="WG24" i="4"/>
  <c r="WF24" i="4"/>
  <c r="WA24" i="4"/>
  <c r="WH23" i="4"/>
  <c r="WG23" i="4"/>
  <c r="WF23" i="4"/>
  <c r="WA23" i="4"/>
  <c r="WH22" i="4"/>
  <c r="WG22" i="4"/>
  <c r="WF22" i="4"/>
  <c r="WA22" i="4"/>
  <c r="WH21" i="4"/>
  <c r="WG21" i="4"/>
  <c r="WF21" i="4"/>
  <c r="WA21" i="4"/>
  <c r="WH20" i="4"/>
  <c r="WG20" i="4"/>
  <c r="WF20" i="4"/>
  <c r="WA20" i="4"/>
  <c r="WH19" i="4"/>
  <c r="WG19" i="4"/>
  <c r="WF19" i="4"/>
  <c r="WA19" i="4"/>
  <c r="WH18" i="4"/>
  <c r="WG18" i="4"/>
  <c r="WF18" i="4"/>
  <c r="WA18" i="4"/>
  <c r="WH17" i="4"/>
  <c r="WG17" i="4"/>
  <c r="WF17" i="4"/>
  <c r="WA17" i="4"/>
  <c r="WH16" i="4"/>
  <c r="WG16" i="4"/>
  <c r="WF16" i="4"/>
  <c r="WA16" i="4"/>
  <c r="WH15" i="4"/>
  <c r="WG15" i="4"/>
  <c r="WF15" i="4"/>
  <c r="WA15" i="4"/>
  <c r="WH14" i="4"/>
  <c r="WG14" i="4"/>
  <c r="WF14" i="4"/>
  <c r="WA14" i="4"/>
  <c r="WH13" i="4"/>
  <c r="WG13" i="4"/>
  <c r="WF13" i="4"/>
  <c r="WA13" i="4"/>
  <c r="WH12" i="4"/>
  <c r="WG12" i="4"/>
  <c r="WF12" i="4"/>
  <c r="WA12" i="4"/>
  <c r="WH11" i="4"/>
  <c r="WG11" i="4"/>
  <c r="WF11" i="4"/>
  <c r="WA11" i="4"/>
  <c r="WH10" i="4"/>
  <c r="WG10" i="4"/>
  <c r="WF10" i="4"/>
  <c r="WA10" i="4"/>
  <c r="WH9" i="4"/>
  <c r="WG9" i="4"/>
  <c r="WF9" i="4"/>
  <c r="WA9" i="4"/>
  <c r="WH8" i="4"/>
  <c r="WG8" i="4"/>
  <c r="WF8" i="4"/>
  <c r="WA8" i="4"/>
  <c r="WH7" i="4"/>
  <c r="WG7" i="4"/>
  <c r="WF7" i="4"/>
  <c r="WA7" i="4"/>
  <c r="WH6" i="4"/>
  <c r="WG6" i="4"/>
  <c r="WF6" i="4"/>
  <c r="WA6" i="4"/>
  <c r="WH5" i="4"/>
  <c r="WG5" i="4"/>
  <c r="WF5" i="4"/>
  <c r="WA5" i="4"/>
  <c r="WH4" i="4"/>
  <c r="WG4" i="4"/>
  <c r="WF4" i="4"/>
  <c r="WA4" i="4"/>
  <c r="WH3" i="4"/>
  <c r="WG3" i="4"/>
  <c r="WF3" i="4"/>
  <c r="WA3" i="4"/>
  <c r="WH2" i="4"/>
  <c r="WG2" i="4"/>
  <c r="WF2" i="4"/>
  <c r="WA2" i="4"/>
  <c r="WH48" i="3"/>
  <c r="WG48" i="3"/>
  <c r="WF48" i="3"/>
  <c r="WB48" i="3"/>
  <c r="WA48" i="3"/>
  <c r="WH47" i="3"/>
  <c r="WG47" i="3"/>
  <c r="WF47" i="3"/>
  <c r="WB47" i="3"/>
  <c r="WA47" i="3"/>
  <c r="WH46" i="3"/>
  <c r="WG46" i="3"/>
  <c r="WF46" i="3"/>
  <c r="WB46" i="3"/>
  <c r="WA46" i="3"/>
  <c r="WH45" i="3"/>
  <c r="WG45" i="3"/>
  <c r="WF45" i="3"/>
  <c r="WB45" i="3"/>
  <c r="WA45" i="3"/>
  <c r="WH44" i="3"/>
  <c r="WG44" i="3"/>
  <c r="WF44" i="3"/>
  <c r="WB44" i="3"/>
  <c r="WA44" i="3"/>
  <c r="WH43" i="3"/>
  <c r="WG43" i="3"/>
  <c r="WF43" i="3"/>
  <c r="WB43" i="3"/>
  <c r="WA43" i="3"/>
  <c r="WH42" i="3"/>
  <c r="WG42" i="3"/>
  <c r="WF42" i="3"/>
  <c r="WB42" i="3"/>
  <c r="WA42" i="3"/>
  <c r="WH41" i="3"/>
  <c r="WG41" i="3"/>
  <c r="WF41" i="3"/>
  <c r="WB41" i="3"/>
  <c r="WA41" i="3"/>
  <c r="WH40" i="3"/>
  <c r="WG40" i="3"/>
  <c r="WF40" i="3"/>
  <c r="WB40" i="3"/>
  <c r="WA40" i="3"/>
  <c r="WH39" i="3"/>
  <c r="WG39" i="3"/>
  <c r="WF39" i="3"/>
  <c r="WB39" i="3"/>
  <c r="WA39" i="3"/>
  <c r="WH38" i="3"/>
  <c r="WG38" i="3"/>
  <c r="WF38" i="3"/>
  <c r="WB38" i="3"/>
  <c r="WA38" i="3"/>
  <c r="WH37" i="3"/>
  <c r="WG37" i="3"/>
  <c r="WF37" i="3"/>
  <c r="WB37" i="3"/>
  <c r="WA37" i="3"/>
  <c r="WH36" i="3"/>
  <c r="WG36" i="3"/>
  <c r="WF36" i="3"/>
  <c r="WB36" i="3"/>
  <c r="WA36" i="3"/>
  <c r="WH35" i="3"/>
  <c r="WG35" i="3"/>
  <c r="WF35" i="3"/>
  <c r="WB35" i="3"/>
  <c r="WA35" i="3"/>
  <c r="WH34" i="3"/>
  <c r="WG34" i="3"/>
  <c r="WF34" i="3"/>
  <c r="WB34" i="3"/>
  <c r="WA34" i="3"/>
  <c r="WH33" i="3"/>
  <c r="WG33" i="3"/>
  <c r="WF33" i="3"/>
  <c r="WB33" i="3"/>
  <c r="WA33" i="3"/>
  <c r="WH32" i="3"/>
  <c r="WG32" i="3"/>
  <c r="WF32" i="3"/>
  <c r="WB32" i="3"/>
  <c r="WA32" i="3"/>
  <c r="WH31" i="3"/>
  <c r="WG31" i="3"/>
  <c r="WF31" i="3"/>
  <c r="WB31" i="3"/>
  <c r="WA31" i="3"/>
  <c r="WH30" i="3"/>
  <c r="WG30" i="3"/>
  <c r="WF30" i="3"/>
  <c r="WB30" i="3"/>
  <c r="WA30" i="3"/>
  <c r="WH29" i="3"/>
  <c r="WG29" i="3"/>
  <c r="WF29" i="3"/>
  <c r="WB29" i="3"/>
  <c r="WA29" i="3"/>
  <c r="WH28" i="3"/>
  <c r="WG28" i="3"/>
  <c r="WF28" i="3"/>
  <c r="WB28" i="3"/>
  <c r="WA28" i="3"/>
  <c r="WH27" i="3"/>
  <c r="WG27" i="3"/>
  <c r="WF27" i="3"/>
  <c r="WB27" i="3"/>
  <c r="WA27" i="3"/>
  <c r="WH26" i="3"/>
  <c r="WG26" i="3"/>
  <c r="WF26" i="3"/>
  <c r="WB26" i="3"/>
  <c r="WA26" i="3"/>
  <c r="WH25" i="3"/>
  <c r="WG25" i="3"/>
  <c r="WF25" i="3"/>
  <c r="WB25" i="3"/>
  <c r="WA25" i="3"/>
  <c r="WH24" i="3"/>
  <c r="WG24" i="3"/>
  <c r="WF24" i="3"/>
  <c r="WB24" i="3"/>
  <c r="WA24" i="3"/>
  <c r="WH23" i="3"/>
  <c r="WG23" i="3"/>
  <c r="WF23" i="3"/>
  <c r="WB23" i="3"/>
  <c r="WA23" i="3"/>
  <c r="WH22" i="3"/>
  <c r="WG22" i="3"/>
  <c r="WF22" i="3"/>
  <c r="WB22" i="3"/>
  <c r="WA22" i="3"/>
  <c r="WH21" i="3"/>
  <c r="WG21" i="3"/>
  <c r="WF21" i="3"/>
  <c r="WB21" i="3"/>
  <c r="WA21" i="3"/>
  <c r="WH20" i="3"/>
  <c r="WG20" i="3"/>
  <c r="WF20" i="3"/>
  <c r="WB20" i="3"/>
  <c r="WA20" i="3"/>
  <c r="WH19" i="3"/>
  <c r="WG19" i="3"/>
  <c r="WF19" i="3"/>
  <c r="WB19" i="3"/>
  <c r="WA19" i="3"/>
  <c r="WH18" i="3"/>
  <c r="WG18" i="3"/>
  <c r="WF18" i="3"/>
  <c r="WB18" i="3"/>
  <c r="WA18" i="3"/>
  <c r="WH17" i="3"/>
  <c r="WG17" i="3"/>
  <c r="WF17" i="3"/>
  <c r="WB17" i="3"/>
  <c r="WA17" i="3"/>
  <c r="WH16" i="3"/>
  <c r="WG16" i="3"/>
  <c r="WF16" i="3"/>
  <c r="WB16" i="3"/>
  <c r="WA16" i="3"/>
  <c r="WH15" i="3"/>
  <c r="WG15" i="3"/>
  <c r="WF15" i="3"/>
  <c r="WB15" i="3"/>
  <c r="WA15" i="3"/>
  <c r="WH14" i="3"/>
  <c r="WG14" i="3"/>
  <c r="WF14" i="3"/>
  <c r="WB14" i="3"/>
  <c r="WA14" i="3"/>
  <c r="WH13" i="3"/>
  <c r="WG13" i="3"/>
  <c r="WF13" i="3"/>
  <c r="WB13" i="3"/>
  <c r="WA13" i="3"/>
  <c r="WH12" i="3"/>
  <c r="WG12" i="3"/>
  <c r="WF12" i="3"/>
  <c r="WB12" i="3"/>
  <c r="WA12" i="3"/>
  <c r="WH11" i="3"/>
  <c r="WG11" i="3"/>
  <c r="WF11" i="3"/>
  <c r="WB11" i="3"/>
  <c r="WA11" i="3"/>
  <c r="WH10" i="3"/>
  <c r="WG10" i="3"/>
  <c r="WF10" i="3"/>
  <c r="WB10" i="3"/>
  <c r="WA10" i="3"/>
  <c r="WH9" i="3"/>
  <c r="WG9" i="3"/>
  <c r="WF9" i="3"/>
  <c r="WB9" i="3"/>
  <c r="WA9" i="3"/>
  <c r="WH8" i="3"/>
  <c r="WG8" i="3"/>
  <c r="WF8" i="3"/>
  <c r="WB8" i="3"/>
  <c r="WA8" i="3"/>
  <c r="WH7" i="3"/>
  <c r="WG7" i="3"/>
  <c r="WF7" i="3"/>
  <c r="WB7" i="3"/>
  <c r="WA7" i="3"/>
  <c r="WH6" i="3"/>
  <c r="WG6" i="3"/>
  <c r="WF6" i="3"/>
  <c r="WB6" i="3"/>
  <c r="WA6" i="3"/>
  <c r="WH5" i="3"/>
  <c r="WG5" i="3"/>
  <c r="WF5" i="3"/>
  <c r="WB5" i="3"/>
  <c r="WA5" i="3"/>
  <c r="WH4" i="3"/>
  <c r="WG4" i="3"/>
  <c r="WF4" i="3"/>
  <c r="WB4" i="3"/>
  <c r="WA4" i="3"/>
  <c r="WH3" i="3"/>
  <c r="WG3" i="3"/>
  <c r="WF3" i="3"/>
  <c r="WB3" i="3"/>
  <c r="WA3" i="3"/>
  <c r="WH2" i="3"/>
  <c r="WG2" i="3"/>
  <c r="WF2" i="3"/>
  <c r="WB2" i="3"/>
  <c r="WA2" i="3"/>
  <c r="WH72" i="1"/>
  <c r="WG72" i="1"/>
  <c r="WF72" i="1"/>
  <c r="WB72" i="1"/>
  <c r="WA72" i="1"/>
  <c r="WH71" i="1"/>
  <c r="WG71" i="1"/>
  <c r="WF71" i="1"/>
  <c r="WB71" i="1"/>
  <c r="WA71" i="1"/>
  <c r="WH70" i="1"/>
  <c r="WG70" i="1"/>
  <c r="WF70" i="1"/>
  <c r="WB70" i="1"/>
  <c r="WA70" i="1"/>
  <c r="WH69" i="1"/>
  <c r="WG69" i="1"/>
  <c r="WF69" i="1"/>
  <c r="WB69" i="1"/>
  <c r="WA69" i="1"/>
  <c r="WH68" i="1"/>
  <c r="WG68" i="1"/>
  <c r="WF68" i="1"/>
  <c r="WB68" i="1"/>
  <c r="WA68" i="1"/>
  <c r="WH67" i="1"/>
  <c r="WG67" i="1"/>
  <c r="WF67" i="1"/>
  <c r="WB67" i="1"/>
  <c r="WA67" i="1"/>
  <c r="WH66" i="1"/>
  <c r="WG66" i="1"/>
  <c r="WF66" i="1"/>
  <c r="WB66" i="1"/>
  <c r="WA66" i="1"/>
  <c r="WH65" i="1"/>
  <c r="WG65" i="1"/>
  <c r="WF65" i="1"/>
  <c r="WB65" i="1"/>
  <c r="WA65" i="1"/>
  <c r="WH64" i="1"/>
  <c r="WG64" i="1"/>
  <c r="WF64" i="1"/>
  <c r="WB64" i="1"/>
  <c r="WA64" i="1"/>
  <c r="WH63" i="1"/>
  <c r="WG63" i="1"/>
  <c r="WF63" i="1"/>
  <c r="WB63" i="1"/>
  <c r="WA63" i="1"/>
  <c r="WH62" i="1"/>
  <c r="WG62" i="1"/>
  <c r="WF62" i="1"/>
  <c r="WB62" i="1"/>
  <c r="WA62" i="1"/>
  <c r="WH61" i="1"/>
  <c r="WG61" i="1"/>
  <c r="WF61" i="1"/>
  <c r="WB61" i="1"/>
  <c r="WA61" i="1"/>
  <c r="WH60" i="1"/>
  <c r="WG60" i="1"/>
  <c r="WF60" i="1"/>
  <c r="WB60" i="1"/>
  <c r="WA60" i="1"/>
  <c r="WH59" i="1"/>
  <c r="WG59" i="1"/>
  <c r="WF59" i="1"/>
  <c r="WB59" i="1"/>
  <c r="WA59" i="1"/>
  <c r="WH58" i="1"/>
  <c r="WG58" i="1"/>
  <c r="WF58" i="1"/>
  <c r="WB58" i="1"/>
  <c r="WA58" i="1"/>
  <c r="WH57" i="1"/>
  <c r="WG57" i="1"/>
  <c r="WF57" i="1"/>
  <c r="WB57" i="1"/>
  <c r="WA57" i="1"/>
  <c r="WH56" i="1"/>
  <c r="WG56" i="1"/>
  <c r="WF56" i="1"/>
  <c r="WB56" i="1"/>
  <c r="WA56" i="1"/>
  <c r="WH55" i="1"/>
  <c r="WG55" i="1"/>
  <c r="WF55" i="1"/>
  <c r="WB55" i="1"/>
  <c r="WA55" i="1"/>
  <c r="WH54" i="1"/>
  <c r="WG54" i="1"/>
  <c r="WF54" i="1"/>
  <c r="WB54" i="1"/>
  <c r="WA54" i="1"/>
  <c r="WH53" i="1"/>
  <c r="WG53" i="1"/>
  <c r="WF53" i="1"/>
  <c r="WB53" i="1"/>
  <c r="WA53" i="1"/>
  <c r="WH52" i="1"/>
  <c r="WG52" i="1"/>
  <c r="WF52" i="1"/>
  <c r="WB52" i="1"/>
  <c r="WA52" i="1"/>
  <c r="WH51" i="1"/>
  <c r="WG51" i="1"/>
  <c r="WF51" i="1"/>
  <c r="WB51" i="1"/>
  <c r="WA51" i="1"/>
  <c r="WH50" i="1"/>
  <c r="WG50" i="1"/>
  <c r="WF50" i="1"/>
  <c r="WB50" i="1"/>
  <c r="WA50" i="1"/>
  <c r="WH49" i="1"/>
  <c r="WG49" i="1"/>
  <c r="WF49" i="1"/>
  <c r="WB49" i="1"/>
  <c r="WA49" i="1"/>
  <c r="WH48" i="1"/>
  <c r="WG48" i="1"/>
  <c r="WF48" i="1"/>
  <c r="WB48" i="1"/>
  <c r="WA48" i="1"/>
  <c r="WH47" i="1"/>
  <c r="WG47" i="1"/>
  <c r="WF47" i="1"/>
  <c r="WB47" i="1"/>
  <c r="WA47" i="1"/>
  <c r="WH46" i="1"/>
  <c r="WG46" i="1"/>
  <c r="WF46" i="1"/>
  <c r="WB46" i="1"/>
  <c r="WA46" i="1"/>
  <c r="WH45" i="1"/>
  <c r="WG45" i="1"/>
  <c r="WF45" i="1"/>
  <c r="WB45" i="1"/>
  <c r="WA45" i="1"/>
  <c r="WH44" i="1"/>
  <c r="WG44" i="1"/>
  <c r="WF44" i="1"/>
  <c r="WB44" i="1"/>
  <c r="WA44" i="1"/>
  <c r="WH43" i="1"/>
  <c r="WG43" i="1"/>
  <c r="WF43" i="1"/>
  <c r="WB43" i="1"/>
  <c r="WA43" i="1"/>
  <c r="WH42" i="1"/>
  <c r="WG42" i="1"/>
  <c r="WF42" i="1"/>
  <c r="WB42" i="1"/>
  <c r="WA42" i="1"/>
  <c r="WH41" i="1"/>
  <c r="WG41" i="1"/>
  <c r="WF41" i="1"/>
  <c r="WB41" i="1"/>
  <c r="WA41" i="1"/>
  <c r="WH40" i="1"/>
  <c r="WG40" i="1"/>
  <c r="WF40" i="1"/>
  <c r="WB40" i="1"/>
  <c r="WA40" i="1"/>
  <c r="WH39" i="1"/>
  <c r="WG39" i="1"/>
  <c r="WF39" i="1"/>
  <c r="WB39" i="1"/>
  <c r="WA39" i="1"/>
  <c r="WH38" i="1"/>
  <c r="WG38" i="1"/>
  <c r="WF38" i="1"/>
  <c r="WB38" i="1"/>
  <c r="WA38" i="1"/>
  <c r="WH37" i="1"/>
  <c r="WG37" i="1"/>
  <c r="WF37" i="1"/>
  <c r="WB37" i="1"/>
  <c r="WA37" i="1"/>
  <c r="WH36" i="1"/>
  <c r="WG36" i="1"/>
  <c r="WF36" i="1"/>
  <c r="WB36" i="1"/>
  <c r="WA36" i="1"/>
  <c r="WH35" i="1"/>
  <c r="WG35" i="1"/>
  <c r="WF35" i="1"/>
  <c r="WB35" i="1"/>
  <c r="WA35" i="1"/>
  <c r="WH34" i="1"/>
  <c r="WG34" i="1"/>
  <c r="WF34" i="1"/>
  <c r="WB34" i="1"/>
  <c r="WA34" i="1"/>
  <c r="WH33" i="1"/>
  <c r="WG33" i="1"/>
  <c r="WF33" i="1"/>
  <c r="WB33" i="1"/>
  <c r="WA33" i="1"/>
  <c r="WH32" i="1"/>
  <c r="WG32" i="1"/>
  <c r="WF32" i="1"/>
  <c r="WB32" i="1"/>
  <c r="WA32" i="1"/>
  <c r="WH31" i="1"/>
  <c r="WG31" i="1"/>
  <c r="WF31" i="1"/>
  <c r="WB31" i="1"/>
  <c r="WA31" i="1"/>
  <c r="WH30" i="1"/>
  <c r="WG30" i="1"/>
  <c r="WF30" i="1"/>
  <c r="WB30" i="1"/>
  <c r="WA30" i="1"/>
  <c r="WH29" i="1"/>
  <c r="WG29" i="1"/>
  <c r="WF29" i="1"/>
  <c r="WB29" i="1"/>
  <c r="WA29" i="1"/>
  <c r="WH28" i="1"/>
  <c r="WG28" i="1"/>
  <c r="WF28" i="1"/>
  <c r="WB28" i="1"/>
  <c r="WA28" i="1"/>
  <c r="WH27" i="1"/>
  <c r="WG27" i="1"/>
  <c r="WF27" i="1"/>
  <c r="WB27" i="1"/>
  <c r="WA27" i="1"/>
  <c r="WH26" i="1"/>
  <c r="WG26" i="1"/>
  <c r="WF26" i="1"/>
  <c r="WB26" i="1"/>
  <c r="WA26" i="1"/>
  <c r="WH25" i="1"/>
  <c r="WG25" i="1"/>
  <c r="WF25" i="1"/>
  <c r="WB25" i="1"/>
  <c r="WA25" i="1"/>
  <c r="WH24" i="1"/>
  <c r="WG24" i="1"/>
  <c r="WF24" i="1"/>
  <c r="WB24" i="1"/>
  <c r="WA24" i="1"/>
  <c r="WH23" i="1"/>
  <c r="WG23" i="1"/>
  <c r="WF23" i="1"/>
  <c r="WB23" i="1"/>
  <c r="WA23" i="1"/>
  <c r="WH22" i="1"/>
  <c r="WG22" i="1"/>
  <c r="WF22" i="1"/>
  <c r="WB22" i="1"/>
  <c r="WA22" i="1"/>
  <c r="WH21" i="1"/>
  <c r="WG21" i="1"/>
  <c r="WF21" i="1"/>
  <c r="WB21" i="1"/>
  <c r="WA21" i="1"/>
  <c r="WH20" i="1"/>
  <c r="WG20" i="1"/>
  <c r="WF20" i="1"/>
  <c r="WB20" i="1"/>
  <c r="WA20" i="1"/>
  <c r="WH19" i="1"/>
  <c r="WG19" i="1"/>
  <c r="WF19" i="1"/>
  <c r="WB19" i="1"/>
  <c r="WA19" i="1"/>
  <c r="WH18" i="1"/>
  <c r="WG18" i="1"/>
  <c r="WF18" i="1"/>
  <c r="WB18" i="1"/>
  <c r="WA18" i="1"/>
  <c r="WH17" i="1"/>
  <c r="WG17" i="1"/>
  <c r="WF17" i="1"/>
  <c r="WB17" i="1"/>
  <c r="WA17" i="1"/>
  <c r="WH16" i="1"/>
  <c r="WG16" i="1"/>
  <c r="WF16" i="1"/>
  <c r="WB16" i="1"/>
  <c r="WA16" i="1"/>
  <c r="WH15" i="1"/>
  <c r="WG15" i="1"/>
  <c r="WF15" i="1"/>
  <c r="WB15" i="1"/>
  <c r="WA15" i="1"/>
  <c r="WH14" i="1"/>
  <c r="WG14" i="1"/>
  <c r="WF14" i="1"/>
  <c r="WB14" i="1"/>
  <c r="WA14" i="1"/>
  <c r="WH13" i="1"/>
  <c r="WG13" i="1"/>
  <c r="WF13" i="1"/>
  <c r="WB13" i="1"/>
  <c r="WA13" i="1"/>
  <c r="WH12" i="1"/>
  <c r="WG12" i="1"/>
  <c r="WF12" i="1"/>
  <c r="WB12" i="1"/>
  <c r="WA12" i="1"/>
  <c r="WH11" i="1"/>
  <c r="WG11" i="1"/>
  <c r="WF11" i="1"/>
  <c r="WB11" i="1"/>
  <c r="WA11" i="1"/>
  <c r="WH10" i="1"/>
  <c r="WG10" i="1"/>
  <c r="WF10" i="1"/>
  <c r="WB10" i="1"/>
  <c r="WA10" i="1"/>
  <c r="WH9" i="1"/>
  <c r="WG9" i="1"/>
  <c r="WF9" i="1"/>
  <c r="WB9" i="1"/>
  <c r="WA9" i="1"/>
  <c r="WH8" i="1"/>
  <c r="WG8" i="1"/>
  <c r="WF8" i="1"/>
  <c r="WB8" i="1"/>
  <c r="WA8" i="1"/>
  <c r="WH7" i="1"/>
  <c r="WG7" i="1"/>
  <c r="WF7" i="1"/>
  <c r="WB7" i="1"/>
  <c r="WA7" i="1"/>
  <c r="WH6" i="1"/>
  <c r="WG6" i="1"/>
  <c r="WF6" i="1"/>
  <c r="WB6" i="1"/>
  <c r="WA6" i="1"/>
  <c r="WH5" i="1"/>
  <c r="WG5" i="1"/>
  <c r="WF5" i="1"/>
  <c r="WB5" i="1"/>
  <c r="WA5" i="1"/>
  <c r="WH4" i="1"/>
  <c r="WG4" i="1"/>
  <c r="WF4" i="1"/>
  <c r="WB4" i="1"/>
  <c r="WA4" i="1"/>
  <c r="WH3" i="1"/>
  <c r="WG3" i="1"/>
  <c r="WF3" i="1"/>
  <c r="WB3" i="1"/>
  <c r="WA3" i="1"/>
  <c r="WH2" i="1"/>
  <c r="WG2" i="1"/>
  <c r="WF2" i="1"/>
  <c r="WB2" i="1"/>
  <c r="WA2" i="1"/>
  <c r="WH30" i="2"/>
  <c r="WG30" i="2"/>
  <c r="WF30" i="2"/>
  <c r="WB30" i="2"/>
  <c r="WA30" i="2"/>
  <c r="WH29" i="2"/>
  <c r="WG29" i="2"/>
  <c r="WF29" i="2"/>
  <c r="WB29" i="2"/>
  <c r="WA29" i="2"/>
  <c r="WH28" i="2"/>
  <c r="WG28" i="2"/>
  <c r="WF28" i="2"/>
  <c r="WB28" i="2"/>
  <c r="WA28" i="2"/>
  <c r="WH27" i="2"/>
  <c r="WG27" i="2"/>
  <c r="WF27" i="2"/>
  <c r="WB27" i="2"/>
  <c r="WA27" i="2"/>
  <c r="WH26" i="2"/>
  <c r="WG26" i="2"/>
  <c r="WF26" i="2"/>
  <c r="WB26" i="2"/>
  <c r="WA26" i="2"/>
  <c r="WH25" i="2"/>
  <c r="WG25" i="2"/>
  <c r="WF25" i="2"/>
  <c r="WB25" i="2"/>
  <c r="WA25" i="2"/>
  <c r="WH24" i="2"/>
  <c r="WG24" i="2"/>
  <c r="WF24" i="2"/>
  <c r="WB24" i="2"/>
  <c r="WA24" i="2"/>
  <c r="WH23" i="2"/>
  <c r="WG23" i="2"/>
  <c r="WF23" i="2"/>
  <c r="WB23" i="2"/>
  <c r="WA23" i="2"/>
  <c r="WH22" i="2"/>
  <c r="WG22" i="2"/>
  <c r="WF22" i="2"/>
  <c r="WB22" i="2"/>
  <c r="WA22" i="2"/>
  <c r="WH21" i="2"/>
  <c r="WG21" i="2"/>
  <c r="WF21" i="2"/>
  <c r="WB21" i="2"/>
  <c r="WA21" i="2"/>
  <c r="WH20" i="2"/>
  <c r="WG20" i="2"/>
  <c r="WF20" i="2"/>
  <c r="WB20" i="2"/>
  <c r="WA20" i="2"/>
  <c r="WH19" i="2"/>
  <c r="WG19" i="2"/>
  <c r="WF19" i="2"/>
  <c r="WB19" i="2"/>
  <c r="WA19" i="2"/>
  <c r="WH18" i="2"/>
  <c r="WG18" i="2"/>
  <c r="WF18" i="2"/>
  <c r="WB18" i="2"/>
  <c r="WA18" i="2"/>
  <c r="WH17" i="2"/>
  <c r="WG17" i="2"/>
  <c r="WF17" i="2"/>
  <c r="WB17" i="2"/>
  <c r="WA17" i="2"/>
  <c r="WH16" i="2"/>
  <c r="WG16" i="2"/>
  <c r="WF16" i="2"/>
  <c r="WB16" i="2"/>
  <c r="WA16" i="2"/>
  <c r="WH15" i="2"/>
  <c r="WG15" i="2"/>
  <c r="WF15" i="2"/>
  <c r="WB15" i="2"/>
  <c r="WA15" i="2"/>
  <c r="WH14" i="2"/>
  <c r="WG14" i="2"/>
  <c r="WF14" i="2"/>
  <c r="WB14" i="2"/>
  <c r="WA14" i="2"/>
  <c r="WH13" i="2"/>
  <c r="WG13" i="2"/>
  <c r="WF13" i="2"/>
  <c r="WB13" i="2"/>
  <c r="WA13" i="2"/>
  <c r="WH12" i="2"/>
  <c r="WG12" i="2"/>
  <c r="WF12" i="2"/>
  <c r="WB12" i="2"/>
  <c r="WA12" i="2"/>
  <c r="WH11" i="2"/>
  <c r="WG11" i="2"/>
  <c r="WF11" i="2"/>
  <c r="WB11" i="2"/>
  <c r="WA11" i="2"/>
  <c r="WH10" i="2"/>
  <c r="WG10" i="2"/>
  <c r="WF10" i="2"/>
  <c r="WB10" i="2"/>
  <c r="WA10" i="2"/>
  <c r="WH9" i="2"/>
  <c r="WG9" i="2"/>
  <c r="WF9" i="2"/>
  <c r="WB9" i="2"/>
  <c r="WA9" i="2"/>
  <c r="WH8" i="2"/>
  <c r="WG8" i="2"/>
  <c r="WF8" i="2"/>
  <c r="WB8" i="2"/>
  <c r="WA8" i="2"/>
  <c r="WH7" i="2"/>
  <c r="WG7" i="2"/>
  <c r="WF7" i="2"/>
  <c r="WB7" i="2"/>
  <c r="WA7" i="2"/>
  <c r="WH6" i="2"/>
  <c r="WG6" i="2"/>
  <c r="WF6" i="2"/>
  <c r="WB6" i="2"/>
  <c r="WA6" i="2"/>
  <c r="WH5" i="2"/>
  <c r="WG5" i="2"/>
  <c r="WF5" i="2"/>
  <c r="WB5" i="2"/>
  <c r="WA5" i="2"/>
  <c r="WH4" i="2"/>
  <c r="WG4" i="2"/>
  <c r="WF4" i="2"/>
  <c r="WB4" i="2"/>
  <c r="WA4" i="2"/>
  <c r="WH3" i="2"/>
  <c r="WG3" i="2"/>
  <c r="WF3" i="2"/>
  <c r="WB3" i="2"/>
  <c r="WA3" i="2"/>
  <c r="WB2" i="2"/>
  <c r="WH2" i="2"/>
  <c r="WG2" i="2"/>
  <c r="WF2" i="2"/>
  <c r="WA2" i="2"/>
  <c r="VS34" i="5"/>
  <c r="WD34" i="5" s="1"/>
  <c r="VS33" i="5"/>
  <c r="WD33" i="5" s="1"/>
  <c r="VS32" i="5"/>
  <c r="WD32" i="5" s="1"/>
  <c r="VS31" i="5"/>
  <c r="WD31" i="5" s="1"/>
  <c r="VS29" i="5"/>
  <c r="WD29" i="5" s="1"/>
  <c r="VS28" i="5"/>
  <c r="WD28" i="5" s="1"/>
  <c r="VS27" i="5"/>
  <c r="WD27" i="5" s="1"/>
  <c r="VS26" i="5"/>
  <c r="WD26" i="5" s="1"/>
  <c r="VS25" i="5"/>
  <c r="WD25" i="5" s="1"/>
  <c r="VS24" i="5"/>
  <c r="WD24" i="5" s="1"/>
  <c r="VS23" i="5"/>
  <c r="WD23" i="5" s="1"/>
  <c r="VS22" i="5"/>
  <c r="WD22" i="5" s="1"/>
  <c r="VS21" i="5"/>
  <c r="WD21" i="5" s="1"/>
  <c r="VS19" i="5"/>
  <c r="WD19" i="5" s="1"/>
  <c r="VS17" i="5"/>
  <c r="WD17" i="5" s="1"/>
  <c r="VS16" i="5"/>
  <c r="WD16" i="5" s="1"/>
  <c r="VS15" i="5"/>
  <c r="WD15" i="5" s="1"/>
  <c r="VS14" i="5"/>
  <c r="WD14" i="5" s="1"/>
  <c r="VS12" i="5"/>
  <c r="WD12" i="5" s="1"/>
  <c r="VS11" i="5"/>
  <c r="WD11" i="5" s="1"/>
  <c r="VS9" i="5"/>
  <c r="WD9" i="5" s="1"/>
  <c r="VS7" i="5"/>
  <c r="WD7" i="5" s="1"/>
  <c r="VS6" i="5"/>
  <c r="WD6" i="5" s="1"/>
  <c r="VS5" i="5"/>
  <c r="WD5" i="5" s="1"/>
  <c r="VS4" i="5"/>
  <c r="WD4" i="5" s="1"/>
  <c r="VS3" i="5"/>
  <c r="WD3" i="5" s="1"/>
  <c r="VS2" i="5"/>
  <c r="WD2" i="5" s="1"/>
  <c r="VR34" i="5"/>
  <c r="WC34" i="5" s="1"/>
  <c r="VR33" i="5"/>
  <c r="WC33" i="5" s="1"/>
  <c r="VR32" i="5"/>
  <c r="WC32" i="5" s="1"/>
  <c r="VR31" i="5"/>
  <c r="WC31" i="5" s="1"/>
  <c r="VR30" i="5"/>
  <c r="WC30" i="5" s="1"/>
  <c r="VR29" i="5"/>
  <c r="WC29" i="5" s="1"/>
  <c r="VR28" i="5"/>
  <c r="WC28" i="5" s="1"/>
  <c r="VR27" i="5"/>
  <c r="WC27" i="5" s="1"/>
  <c r="VR26" i="5"/>
  <c r="WC26" i="5" s="1"/>
  <c r="VR25" i="5"/>
  <c r="WC25" i="5" s="1"/>
  <c r="VR24" i="5"/>
  <c r="WC24" i="5" s="1"/>
  <c r="VR23" i="5"/>
  <c r="WC23" i="5" s="1"/>
  <c r="VR22" i="5"/>
  <c r="WC22" i="5" s="1"/>
  <c r="VR21" i="5"/>
  <c r="WC21" i="5" s="1"/>
  <c r="VR20" i="5"/>
  <c r="WC20" i="5" s="1"/>
  <c r="VR19" i="5"/>
  <c r="WC19" i="5" s="1"/>
  <c r="VR18" i="5"/>
  <c r="WC18" i="5" s="1"/>
  <c r="VR17" i="5"/>
  <c r="WC17" i="5" s="1"/>
  <c r="VR16" i="5"/>
  <c r="WC16" i="5" s="1"/>
  <c r="VR15" i="5"/>
  <c r="WC15" i="5" s="1"/>
  <c r="VR14" i="5"/>
  <c r="WC14" i="5" s="1"/>
  <c r="VR13" i="5"/>
  <c r="WC13" i="5" s="1"/>
  <c r="VR12" i="5"/>
  <c r="WC12" i="5" s="1"/>
  <c r="VR11" i="5"/>
  <c r="WC11" i="5" s="1"/>
  <c r="VR10" i="5"/>
  <c r="WC10" i="5" s="1"/>
  <c r="VR9" i="5"/>
  <c r="WC9" i="5" s="1"/>
  <c r="VR8" i="5"/>
  <c r="WC8" i="5" s="1"/>
  <c r="VR7" i="5"/>
  <c r="WC7" i="5" s="1"/>
  <c r="VR6" i="5"/>
  <c r="WC6" i="5" s="1"/>
  <c r="VR5" i="5"/>
  <c r="WC5" i="5" s="1"/>
  <c r="VR4" i="5"/>
  <c r="WC4" i="5" s="1"/>
  <c r="VR3" i="5"/>
  <c r="WC3" i="5" s="1"/>
  <c r="VR2" i="5"/>
  <c r="WC2" i="5" s="1"/>
  <c r="VS62" i="4"/>
  <c r="WD62" i="4" s="1"/>
  <c r="VS61" i="4"/>
  <c r="WD61" i="4" s="1"/>
  <c r="VS58" i="4"/>
  <c r="WD58" i="4" s="1"/>
  <c r="VS56" i="4"/>
  <c r="WD56" i="4" s="1"/>
  <c r="VS55" i="4"/>
  <c r="WD55" i="4" s="1"/>
  <c r="VS54" i="4"/>
  <c r="WD54" i="4" s="1"/>
  <c r="VS53" i="4"/>
  <c r="WD53" i="4" s="1"/>
  <c r="VS52" i="4"/>
  <c r="WD52" i="4" s="1"/>
  <c r="VS51" i="4"/>
  <c r="WD51" i="4" s="1"/>
  <c r="VS50" i="4"/>
  <c r="WD50" i="4" s="1"/>
  <c r="VS49" i="4"/>
  <c r="WD49" i="4" s="1"/>
  <c r="VS48" i="4"/>
  <c r="WD48" i="4" s="1"/>
  <c r="VS47" i="4"/>
  <c r="WD47" i="4" s="1"/>
  <c r="VS46" i="4"/>
  <c r="WD46" i="4" s="1"/>
  <c r="VS45" i="4"/>
  <c r="WD45" i="4" s="1"/>
  <c r="VS44" i="4"/>
  <c r="WD44" i="4" s="1"/>
  <c r="VS43" i="4"/>
  <c r="WD43" i="4" s="1"/>
  <c r="VS40" i="4"/>
  <c r="WD40" i="4" s="1"/>
  <c r="VS39" i="4"/>
  <c r="WD39" i="4" s="1"/>
  <c r="VS37" i="4"/>
  <c r="WD37" i="4" s="1"/>
  <c r="VS35" i="4"/>
  <c r="WD35" i="4" s="1"/>
  <c r="VS33" i="4"/>
  <c r="WD33" i="4" s="1"/>
  <c r="VS32" i="4"/>
  <c r="WD32" i="4" s="1"/>
  <c r="VS29" i="4"/>
  <c r="WD29" i="4" s="1"/>
  <c r="VS28" i="4"/>
  <c r="WD28" i="4" s="1"/>
  <c r="VS27" i="4"/>
  <c r="WD27" i="4" s="1"/>
  <c r="VS23" i="4"/>
  <c r="WD23" i="4" s="1"/>
  <c r="VS21" i="4"/>
  <c r="WD21" i="4" s="1"/>
  <c r="VS20" i="4"/>
  <c r="WD20" i="4" s="1"/>
  <c r="VS18" i="4"/>
  <c r="WD18" i="4" s="1"/>
  <c r="VS17" i="4"/>
  <c r="WD17" i="4" s="1"/>
  <c r="VS16" i="4"/>
  <c r="WD16" i="4" s="1"/>
  <c r="VS15" i="4"/>
  <c r="WD15" i="4" s="1"/>
  <c r="VS14" i="4"/>
  <c r="WD14" i="4" s="1"/>
  <c r="VS13" i="4"/>
  <c r="WD13" i="4" s="1"/>
  <c r="VS12" i="4"/>
  <c r="WD12" i="4" s="1"/>
  <c r="VS11" i="4"/>
  <c r="WD11" i="4" s="1"/>
  <c r="VS10" i="4"/>
  <c r="WD10" i="4" s="1"/>
  <c r="VS9" i="4"/>
  <c r="WD9" i="4" s="1"/>
  <c r="VS8" i="4"/>
  <c r="WD8" i="4" s="1"/>
  <c r="VS7" i="4"/>
  <c r="WD7" i="4" s="1"/>
  <c r="VS6" i="4"/>
  <c r="WD6" i="4" s="1"/>
  <c r="VS4" i="4"/>
  <c r="WD4" i="4" s="1"/>
  <c r="VS3" i="4"/>
  <c r="WD3" i="4" s="1"/>
  <c r="VS2" i="4"/>
  <c r="WD2" i="4" s="1"/>
  <c r="VR62" i="4"/>
  <c r="WC62" i="4" s="1"/>
  <c r="VR61" i="4"/>
  <c r="WC61" i="4" s="1"/>
  <c r="VR60" i="4"/>
  <c r="WC60" i="4" s="1"/>
  <c r="VR59" i="4"/>
  <c r="WC59" i="4" s="1"/>
  <c r="VR58" i="4"/>
  <c r="WC58" i="4" s="1"/>
  <c r="VR57" i="4"/>
  <c r="WC57" i="4" s="1"/>
  <c r="VR56" i="4"/>
  <c r="WC56" i="4" s="1"/>
  <c r="VR55" i="4"/>
  <c r="WC55" i="4" s="1"/>
  <c r="VR54" i="4"/>
  <c r="WC54" i="4" s="1"/>
  <c r="VR53" i="4"/>
  <c r="WC53" i="4" s="1"/>
  <c r="VR52" i="4"/>
  <c r="WC52" i="4" s="1"/>
  <c r="VR51" i="4"/>
  <c r="WC51" i="4" s="1"/>
  <c r="VR50" i="4"/>
  <c r="WC50" i="4" s="1"/>
  <c r="VR49" i="4"/>
  <c r="WC49" i="4" s="1"/>
  <c r="VR48" i="4"/>
  <c r="WC48" i="4" s="1"/>
  <c r="VR47" i="4"/>
  <c r="WC47" i="4" s="1"/>
  <c r="VR46" i="4"/>
  <c r="WC46" i="4" s="1"/>
  <c r="VR45" i="4"/>
  <c r="WC45" i="4" s="1"/>
  <c r="VR44" i="4"/>
  <c r="WC44" i="4" s="1"/>
  <c r="VR43" i="4"/>
  <c r="WC43" i="4" s="1"/>
  <c r="VR42" i="4"/>
  <c r="WC42" i="4" s="1"/>
  <c r="VR41" i="4"/>
  <c r="WC41" i="4" s="1"/>
  <c r="VR40" i="4"/>
  <c r="WC40" i="4" s="1"/>
  <c r="VR39" i="4"/>
  <c r="WC39" i="4" s="1"/>
  <c r="VR38" i="4"/>
  <c r="WC38" i="4" s="1"/>
  <c r="VR37" i="4"/>
  <c r="WC37" i="4" s="1"/>
  <c r="VR36" i="4"/>
  <c r="WC36" i="4" s="1"/>
  <c r="VR35" i="4"/>
  <c r="WC35" i="4" s="1"/>
  <c r="VR34" i="4"/>
  <c r="WC34" i="4" s="1"/>
  <c r="VR33" i="4"/>
  <c r="WC33" i="4" s="1"/>
  <c r="VR32" i="4"/>
  <c r="WC32" i="4" s="1"/>
  <c r="VR31" i="4"/>
  <c r="WC31" i="4" s="1"/>
  <c r="VR30" i="4"/>
  <c r="WC30" i="4" s="1"/>
  <c r="VR29" i="4"/>
  <c r="WC29" i="4" s="1"/>
  <c r="VR28" i="4"/>
  <c r="WC28" i="4" s="1"/>
  <c r="VR27" i="4"/>
  <c r="WC27" i="4" s="1"/>
  <c r="VR26" i="4"/>
  <c r="WC26" i="4" s="1"/>
  <c r="VR25" i="4"/>
  <c r="WC25" i="4" s="1"/>
  <c r="VR24" i="4"/>
  <c r="WC24" i="4" s="1"/>
  <c r="VR23" i="4"/>
  <c r="WC23" i="4" s="1"/>
  <c r="VR22" i="4"/>
  <c r="WC22" i="4" s="1"/>
  <c r="VR21" i="4"/>
  <c r="WC21" i="4" s="1"/>
  <c r="VR20" i="4"/>
  <c r="WC20" i="4" s="1"/>
  <c r="VR19" i="4"/>
  <c r="WC19" i="4" s="1"/>
  <c r="VR18" i="4"/>
  <c r="WC18" i="4" s="1"/>
  <c r="VR17" i="4"/>
  <c r="WC17" i="4" s="1"/>
  <c r="VR16" i="4"/>
  <c r="WC16" i="4" s="1"/>
  <c r="VR15" i="4"/>
  <c r="WC15" i="4" s="1"/>
  <c r="VR14" i="4"/>
  <c r="WC14" i="4" s="1"/>
  <c r="VR12" i="4"/>
  <c r="WC12" i="4" s="1"/>
  <c r="VR11" i="4"/>
  <c r="WC11" i="4" s="1"/>
  <c r="VR10" i="4"/>
  <c r="WC10" i="4" s="1"/>
  <c r="VR9" i="4"/>
  <c r="WC9" i="4" s="1"/>
  <c r="VR8" i="4"/>
  <c r="WC8" i="4" s="1"/>
  <c r="VR7" i="4"/>
  <c r="WC7" i="4" s="1"/>
  <c r="VR6" i="4"/>
  <c r="WC6" i="4" s="1"/>
  <c r="VR5" i="4"/>
  <c r="WC5" i="4" s="1"/>
  <c r="VR4" i="4"/>
  <c r="WC4" i="4" s="1"/>
  <c r="VR3" i="4"/>
  <c r="WC3" i="4" s="1"/>
  <c r="VR2" i="4"/>
  <c r="WC2" i="4" s="1"/>
  <c r="WK84" i="2"/>
  <c r="WJ84" i="2"/>
  <c r="WI84" i="2"/>
  <c r="WH84" i="2"/>
  <c r="WG84" i="2"/>
  <c r="WI84" i="1"/>
  <c r="WK84" i="1"/>
  <c r="WJ84" i="1"/>
  <c r="WH84" i="1"/>
  <c r="WG84" i="1"/>
  <c r="WD118" i="3" l="1"/>
  <c r="WE118" i="3" s="1"/>
  <c r="WD126" i="2"/>
  <c r="WE126" i="2" s="1"/>
  <c r="VT121" i="3"/>
  <c r="WD119" i="2"/>
  <c r="WE119" i="2" s="1"/>
  <c r="WD117" i="3"/>
  <c r="WE117" i="3" s="1"/>
  <c r="VT119" i="3"/>
  <c r="WD124" i="5"/>
  <c r="WE124" i="5" s="1"/>
  <c r="WD121" i="3"/>
  <c r="WE121" i="3" s="1"/>
  <c r="WD126" i="3"/>
  <c r="WE126" i="3" s="1"/>
  <c r="WD119" i="3"/>
  <c r="WE119" i="3" s="1"/>
  <c r="WD117" i="5"/>
  <c r="WE117" i="5" s="1"/>
  <c r="WD117" i="2"/>
  <c r="WE117" i="2" s="1"/>
  <c r="WD126" i="5"/>
  <c r="WE126" i="5" s="1"/>
  <c r="WD126" i="4"/>
  <c r="WE126" i="4" s="1"/>
  <c r="WD123" i="3"/>
  <c r="WE123" i="3" s="1"/>
  <c r="WD124" i="1"/>
  <c r="WE124" i="1" s="1"/>
  <c r="WD120" i="1"/>
  <c r="WE120" i="1" s="1"/>
  <c r="WD125" i="1"/>
  <c r="WE125" i="1" s="1"/>
  <c r="WX8" i="5"/>
  <c r="WT10" i="2"/>
  <c r="WV7" i="2"/>
  <c r="WP10" i="1"/>
  <c r="WW6" i="1"/>
  <c r="WT2" i="3"/>
  <c r="WX6" i="3"/>
  <c r="WP9" i="5"/>
  <c r="VU113" i="3"/>
  <c r="O64" i="6" s="1"/>
  <c r="WB114" i="4"/>
  <c r="VY112" i="5"/>
  <c r="WQ7" i="3"/>
  <c r="WT9" i="2"/>
  <c r="WQ2" i="2"/>
  <c r="WV10" i="3"/>
  <c r="WU8" i="2"/>
  <c r="WX6" i="1"/>
  <c r="WU2" i="4"/>
  <c r="WP3" i="2"/>
  <c r="WP7" i="1"/>
  <c r="WX6" i="4"/>
  <c r="WB112" i="1"/>
  <c r="WU10" i="2"/>
  <c r="WT3" i="1"/>
  <c r="WP7" i="2"/>
  <c r="WP8" i="2"/>
  <c r="WS3" i="2"/>
  <c r="WV10" i="1"/>
  <c r="WR3" i="1"/>
  <c r="WT7" i="1"/>
  <c r="WX8" i="3"/>
  <c r="WX3" i="3"/>
  <c r="WU9" i="3"/>
  <c r="WV7" i="4"/>
  <c r="WP9" i="1"/>
  <c r="WW6" i="5"/>
  <c r="WW2" i="4"/>
  <c r="WV9" i="2"/>
  <c r="VZ112" i="1"/>
  <c r="WA114" i="2"/>
  <c r="VU112" i="3"/>
  <c r="VW114" i="5"/>
  <c r="WX2" i="4"/>
  <c r="WR8" i="5"/>
  <c r="WX3" i="2"/>
  <c r="WX8" i="4"/>
  <c r="AV44" i="6" s="1"/>
  <c r="WP8" i="5"/>
  <c r="WW10" i="3"/>
  <c r="WT10" i="4"/>
  <c r="WW4" i="5"/>
  <c r="WX9" i="1"/>
  <c r="WX2" i="5"/>
  <c r="WQ9" i="1"/>
  <c r="WX2" i="3"/>
  <c r="WP6" i="5"/>
  <c r="WW10" i="5"/>
  <c r="VU113" i="5"/>
  <c r="AD64" i="6" s="1"/>
  <c r="WV6" i="5"/>
  <c r="WU3" i="3"/>
  <c r="WX7" i="5"/>
  <c r="WX9" i="4"/>
  <c r="WW6" i="3"/>
  <c r="WU8" i="5"/>
  <c r="WQ9" i="3"/>
  <c r="WA83" i="2"/>
  <c r="WU10" i="5"/>
  <c r="F63" i="6"/>
  <c r="O63" i="6"/>
  <c r="VU112" i="5"/>
  <c r="WQ10" i="2"/>
  <c r="WT8" i="1"/>
  <c r="WS3" i="3"/>
  <c r="WC112" i="1"/>
  <c r="WR3" i="2"/>
  <c r="WT2" i="2"/>
  <c r="WP6" i="2"/>
  <c r="WU9" i="2"/>
  <c r="WV10" i="2"/>
  <c r="AT35" i="6" s="1"/>
  <c r="WU3" i="1"/>
  <c r="WQ7" i="1"/>
  <c r="WX8" i="1"/>
  <c r="WW10" i="1"/>
  <c r="WV3" i="3"/>
  <c r="WT7" i="3"/>
  <c r="WT9" i="3"/>
  <c r="WV2" i="4"/>
  <c r="WW7" i="4"/>
  <c r="WP10" i="4"/>
  <c r="WU6" i="5"/>
  <c r="WW8" i="5"/>
  <c r="WU2" i="2"/>
  <c r="VY114" i="4"/>
  <c r="VU113" i="4"/>
  <c r="AB64" i="6" s="1"/>
  <c r="VU112" i="1"/>
  <c r="WA113" i="1"/>
  <c r="WU3" i="2"/>
  <c r="WW2" i="2"/>
  <c r="WP9" i="2"/>
  <c r="WX6" i="2"/>
  <c r="AV31" i="6" s="1"/>
  <c r="WT2" i="1"/>
  <c r="WX3" i="1"/>
  <c r="WW7" i="1"/>
  <c r="WT9" i="1"/>
  <c r="WU2" i="3"/>
  <c r="WW4" i="3"/>
  <c r="WX7" i="3"/>
  <c r="WX9" i="3"/>
  <c r="WW4" i="4"/>
  <c r="AU40" i="6" s="1"/>
  <c r="WT8" i="4"/>
  <c r="WV10" i="4"/>
  <c r="WX6" i="5"/>
  <c r="WT9" i="5"/>
  <c r="WW3" i="3"/>
  <c r="WV2" i="2"/>
  <c r="WQ2" i="1"/>
  <c r="WV9" i="3"/>
  <c r="WU10" i="4"/>
  <c r="AS46" i="6" s="1"/>
  <c r="WC114" i="5"/>
  <c r="VV112" i="1"/>
  <c r="VZ112" i="5"/>
  <c r="WB113" i="1"/>
  <c r="WV3" i="2"/>
  <c r="WW4" i="2"/>
  <c r="WQ6" i="2"/>
  <c r="WX7" i="2"/>
  <c r="WU2" i="1"/>
  <c r="WW4" i="1"/>
  <c r="WX7" i="1"/>
  <c r="WU9" i="1"/>
  <c r="WV2" i="3"/>
  <c r="WP6" i="3"/>
  <c r="WP8" i="3"/>
  <c r="WP10" i="3"/>
  <c r="WP6" i="4"/>
  <c r="AN42" i="6" s="1"/>
  <c r="WU8" i="4"/>
  <c r="WW10" i="4"/>
  <c r="WP7" i="5"/>
  <c r="WU9" i="5"/>
  <c r="VY113" i="1"/>
  <c r="WW10" i="2"/>
  <c r="WQ2" i="3"/>
  <c r="WV7" i="3"/>
  <c r="WX7" i="4"/>
  <c r="AV43" i="6" s="1"/>
  <c r="WV7" i="1"/>
  <c r="VW112" i="1"/>
  <c r="WA112" i="5"/>
  <c r="WC113" i="1"/>
  <c r="WW3" i="2"/>
  <c r="WA77" i="2"/>
  <c r="WQ7" i="2"/>
  <c r="WX8" i="2"/>
  <c r="WV2" i="1"/>
  <c r="WP6" i="1"/>
  <c r="AN31" i="6" s="1"/>
  <c r="WP8" i="1"/>
  <c r="WV9" i="1"/>
  <c r="WW2" i="3"/>
  <c r="WQ6" i="3"/>
  <c r="WQ8" i="3"/>
  <c r="WQ10" i="3"/>
  <c r="WU6" i="4"/>
  <c r="WW8" i="4"/>
  <c r="WT2" i="5"/>
  <c r="WT7" i="5"/>
  <c r="WV9" i="5"/>
  <c r="VZ113" i="1"/>
  <c r="WT3" i="2"/>
  <c r="WW7" i="3"/>
  <c r="WP8" i="4"/>
  <c r="AN44" i="6" s="1"/>
  <c r="VU113" i="1"/>
  <c r="WB112" i="5"/>
  <c r="WU6" i="2"/>
  <c r="WA81" i="2"/>
  <c r="WA89" i="2" s="1"/>
  <c r="WQ8" i="2"/>
  <c r="WX9" i="2"/>
  <c r="AV34" i="6" s="1"/>
  <c r="WW2" i="1"/>
  <c r="WQ6" i="1"/>
  <c r="WQ8" i="1"/>
  <c r="WU6" i="3"/>
  <c r="WT8" i="3"/>
  <c r="WT10" i="3"/>
  <c r="WV6" i="4"/>
  <c r="WU2" i="5"/>
  <c r="AS38" i="6" s="1"/>
  <c r="WV7" i="5"/>
  <c r="WX9" i="5"/>
  <c r="AV45" i="6" s="1"/>
  <c r="VU113" i="2"/>
  <c r="VV113" i="1"/>
  <c r="WC112" i="5"/>
  <c r="WV6" i="2"/>
  <c r="WA82" i="2"/>
  <c r="WQ9" i="2"/>
  <c r="WX2" i="2"/>
  <c r="WX2" i="1"/>
  <c r="AV27" i="6" s="1"/>
  <c r="WU6" i="1"/>
  <c r="WR8" i="1"/>
  <c r="WP3" i="3"/>
  <c r="WV6" i="3"/>
  <c r="WU8" i="3"/>
  <c r="WU10" i="3"/>
  <c r="WW6" i="4"/>
  <c r="AU42" i="6" s="1"/>
  <c r="WP9" i="4"/>
  <c r="AN45" i="6" s="1"/>
  <c r="WV2" i="5"/>
  <c r="WW7" i="5"/>
  <c r="WP10" i="5"/>
  <c r="WV3" i="1"/>
  <c r="WW3" i="1"/>
  <c r="VU109" i="5"/>
  <c r="VW113" i="1"/>
  <c r="VY112" i="1"/>
  <c r="WW6" i="2"/>
  <c r="AU31" i="6" s="1"/>
  <c r="WT7" i="2"/>
  <c r="WP10" i="2"/>
  <c r="WP3" i="1"/>
  <c r="WV6" i="1"/>
  <c r="WS8" i="1"/>
  <c r="WQ10" i="1"/>
  <c r="WR3" i="3"/>
  <c r="WW8" i="3"/>
  <c r="WT9" i="4"/>
  <c r="AR45" i="6" s="1"/>
  <c r="WW2" i="5"/>
  <c r="AU38" i="6" s="1"/>
  <c r="WT10" i="5"/>
  <c r="AR46" i="6" s="1"/>
  <c r="WT8" i="2"/>
  <c r="WT10" i="1"/>
  <c r="WP7" i="4"/>
  <c r="WU9" i="4"/>
  <c r="AS45" i="6" s="1"/>
  <c r="VV112" i="5"/>
  <c r="VT112" i="5" s="1"/>
  <c r="WA112" i="1"/>
  <c r="WW7" i="2"/>
  <c r="WW8" i="2"/>
  <c r="WS3" i="1"/>
  <c r="WU8" i="1"/>
  <c r="WU10" i="1"/>
  <c r="WT3" i="3"/>
  <c r="WP7" i="3"/>
  <c r="WP9" i="3"/>
  <c r="WT2" i="4"/>
  <c r="WT7" i="4"/>
  <c r="AR43" i="6" s="1"/>
  <c r="WV9" i="4"/>
  <c r="WT8" i="5"/>
  <c r="WV10" i="5"/>
  <c r="WB114" i="2"/>
  <c r="VW112" i="5"/>
  <c r="WW8" i="1"/>
  <c r="F12" i="6"/>
  <c r="OY79" i="2" s="1"/>
  <c r="X10" i="6"/>
  <c r="VS186" i="5" s="1"/>
  <c r="WD186" i="5" s="1"/>
  <c r="Z9" i="6"/>
  <c r="Z11" i="6"/>
  <c r="Z15" i="6"/>
  <c r="Z8" i="6"/>
  <c r="H10" i="6"/>
  <c r="X7" i="6"/>
  <c r="OY74" i="5" s="1"/>
  <c r="F7" i="6"/>
  <c r="OY74" i="2" s="1"/>
  <c r="H15" i="6"/>
  <c r="H13" i="6"/>
  <c r="H11" i="6"/>
  <c r="H9" i="6"/>
  <c r="Z13" i="6"/>
  <c r="X13" i="6"/>
  <c r="X12" i="6"/>
  <c r="WI20" i="2"/>
  <c r="WI25" i="2"/>
  <c r="WI2" i="2"/>
  <c r="WI6" i="2"/>
  <c r="WC31" i="3"/>
  <c r="WI31" i="3" s="1"/>
  <c r="WK26" i="2"/>
  <c r="WK55" i="1"/>
  <c r="WK19" i="2"/>
  <c r="WR2" i="5"/>
  <c r="WK58" i="1"/>
  <c r="WI30" i="2"/>
  <c r="WI15" i="2"/>
  <c r="WK30" i="2"/>
  <c r="WK6" i="2"/>
  <c r="WK25" i="2"/>
  <c r="WK34" i="1"/>
  <c r="WK72" i="1"/>
  <c r="WI18" i="2"/>
  <c r="WS6" i="3"/>
  <c r="WK35" i="1"/>
  <c r="WR6" i="3"/>
  <c r="WK10" i="1"/>
  <c r="WK43" i="1"/>
  <c r="WI28" i="2"/>
  <c r="WX4" i="5"/>
  <c r="WR9" i="5"/>
  <c r="WR7" i="5"/>
  <c r="WI19" i="2"/>
  <c r="WI11" i="2"/>
  <c r="WK23" i="1"/>
  <c r="WK30" i="1"/>
  <c r="WK62" i="1"/>
  <c r="WK68" i="1"/>
  <c r="WK20" i="2"/>
  <c r="WK44" i="1"/>
  <c r="WK50" i="1"/>
  <c r="WK29" i="2"/>
  <c r="WK18" i="1"/>
  <c r="WK38" i="1"/>
  <c r="WK70" i="1"/>
  <c r="WK46" i="1"/>
  <c r="WK7" i="2"/>
  <c r="WR2" i="4"/>
  <c r="WR7" i="3"/>
  <c r="WR10" i="5"/>
  <c r="WI17" i="2"/>
  <c r="WR6" i="5"/>
  <c r="WR6" i="4"/>
  <c r="WP4" i="5"/>
  <c r="WQ4" i="5"/>
  <c r="WS4" i="5"/>
  <c r="WT4" i="5"/>
  <c r="WU4" i="5"/>
  <c r="WR8" i="4"/>
  <c r="WV4" i="5"/>
  <c r="WI27" i="2"/>
  <c r="WS7" i="3"/>
  <c r="WD2" i="3"/>
  <c r="WI2" i="3" s="1"/>
  <c r="WD18" i="1"/>
  <c r="WI18" i="1" s="1"/>
  <c r="WD72" i="1"/>
  <c r="WI72" i="1" s="1"/>
  <c r="WD26" i="3"/>
  <c r="WI26" i="3" s="1"/>
  <c r="WK11" i="1"/>
  <c r="WK47" i="1"/>
  <c r="WD38" i="3"/>
  <c r="WI38" i="3" s="1"/>
  <c r="WK59" i="1"/>
  <c r="WD44" i="1"/>
  <c r="WI44" i="1" s="1"/>
  <c r="WK71" i="1"/>
  <c r="WD34" i="1"/>
  <c r="WI34" i="1" s="1"/>
  <c r="WD58" i="1"/>
  <c r="WI58" i="1" s="1"/>
  <c r="WK3" i="1"/>
  <c r="WK7" i="1"/>
  <c r="WK24" i="1"/>
  <c r="WK48" i="1"/>
  <c r="WK60" i="1"/>
  <c r="WD10" i="1"/>
  <c r="WI10" i="1" s="1"/>
  <c r="WD15" i="3"/>
  <c r="WI15" i="3" s="1"/>
  <c r="WK2" i="2"/>
  <c r="WK28" i="2"/>
  <c r="WK13" i="1"/>
  <c r="WK25" i="1"/>
  <c r="WK49" i="1"/>
  <c r="WK61" i="1"/>
  <c r="WK15" i="2"/>
  <c r="WK27" i="2"/>
  <c r="WK14" i="1"/>
  <c r="WK26" i="1"/>
  <c r="WK2" i="1"/>
  <c r="WK15" i="1"/>
  <c r="WK27" i="1"/>
  <c r="WK39" i="1"/>
  <c r="WK63" i="1"/>
  <c r="WK16" i="1"/>
  <c r="WK40" i="1"/>
  <c r="WK52" i="1"/>
  <c r="WK64" i="1"/>
  <c r="WK17" i="1"/>
  <c r="WK53" i="1"/>
  <c r="WK65" i="1"/>
  <c r="WK9" i="1"/>
  <c r="WK42" i="1"/>
  <c r="WK54" i="1"/>
  <c r="WK66" i="1"/>
  <c r="WK19" i="1"/>
  <c r="WK31" i="1"/>
  <c r="WK67" i="1"/>
  <c r="WK9" i="2"/>
  <c r="WK20" i="1"/>
  <c r="WK32" i="1"/>
  <c r="WK56" i="1"/>
  <c r="WK4" i="1"/>
  <c r="WK21" i="1"/>
  <c r="WK33" i="1"/>
  <c r="WK45" i="1"/>
  <c r="WK57" i="1"/>
  <c r="WK69" i="1"/>
  <c r="WK11" i="2"/>
  <c r="WK22" i="1"/>
  <c r="D64" i="6"/>
  <c r="M64" i="6"/>
  <c r="VU112" i="2"/>
  <c r="WD7" i="2"/>
  <c r="WI7" i="2" s="1"/>
  <c r="WC114" i="2"/>
  <c r="WK18" i="2"/>
  <c r="WK17" i="2"/>
  <c r="VY114" i="2"/>
  <c r="VZ114" i="2"/>
  <c r="OY83" i="3"/>
  <c r="OY75" i="1"/>
  <c r="OY82" i="2"/>
  <c r="OY75" i="3"/>
  <c r="OY78" i="1"/>
  <c r="OY83" i="2"/>
  <c r="OY78" i="3"/>
  <c r="OY81" i="1"/>
  <c r="OY81" i="3"/>
  <c r="OY82" i="1"/>
  <c r="OY82" i="3"/>
  <c r="OY83" i="1"/>
  <c r="OY78" i="2"/>
  <c r="VS36" i="1"/>
  <c r="WK36" i="1" s="1"/>
  <c r="VS29" i="1"/>
  <c r="WK29" i="1" s="1"/>
  <c r="OY76" i="3"/>
  <c r="VR16" i="2"/>
  <c r="VR3" i="2"/>
  <c r="WK3" i="2" s="1"/>
  <c r="VR13" i="2"/>
  <c r="WC13" i="2" s="1"/>
  <c r="WI13" i="2" s="1"/>
  <c r="OY76" i="1"/>
  <c r="VR24" i="2"/>
  <c r="WK24" i="2" s="1"/>
  <c r="VR22" i="2"/>
  <c r="WC22" i="2" s="1"/>
  <c r="VR5" i="2"/>
  <c r="WK5" i="2" s="1"/>
  <c r="VR14" i="2"/>
  <c r="WC14" i="2" s="1"/>
  <c r="WI14" i="2" s="1"/>
  <c r="VR23" i="2"/>
  <c r="WK23" i="2" s="1"/>
  <c r="WD23" i="1"/>
  <c r="WI23" i="1" s="1"/>
  <c r="WD26" i="2"/>
  <c r="WI26" i="2" s="1"/>
  <c r="WD35" i="1"/>
  <c r="WI35" i="1" s="1"/>
  <c r="WD29" i="2"/>
  <c r="WI29" i="2" s="1"/>
  <c r="VS5" i="1"/>
  <c r="WK5" i="1" s="1"/>
  <c r="VS12" i="1"/>
  <c r="WK12" i="1" s="1"/>
  <c r="VS12" i="2"/>
  <c r="WD12" i="2" s="1"/>
  <c r="WI12" i="2" s="1"/>
  <c r="VS16" i="2"/>
  <c r="OY77" i="2"/>
  <c r="VS6" i="1"/>
  <c r="WK6" i="1" s="1"/>
  <c r="VS28" i="1"/>
  <c r="WK28" i="1" s="1"/>
  <c r="VS21" i="2"/>
  <c r="WK21" i="2" s="1"/>
  <c r="VS39" i="3"/>
  <c r="VS10" i="2"/>
  <c r="WK10" i="2" s="1"/>
  <c r="VS51" i="1"/>
  <c r="VS22" i="2"/>
  <c r="WD22" i="2" s="1"/>
  <c r="VS40" i="3"/>
  <c r="OY77" i="1"/>
  <c r="VS8" i="1"/>
  <c r="WK8" i="1" s="1"/>
  <c r="VS37" i="1"/>
  <c r="WK37" i="1" s="1"/>
  <c r="VS41" i="1"/>
  <c r="WK41" i="1" s="1"/>
  <c r="VS4" i="2"/>
  <c r="WK4" i="2" s="1"/>
  <c r="VS187" i="3"/>
  <c r="WD187" i="3" s="1"/>
  <c r="VS8" i="2"/>
  <c r="WK8" i="2" s="1"/>
  <c r="WC9" i="3"/>
  <c r="WC21" i="3"/>
  <c r="WI21" i="3" s="1"/>
  <c r="WC33" i="3"/>
  <c r="WI33" i="3" s="1"/>
  <c r="WC45" i="3"/>
  <c r="WI45" i="3" s="1"/>
  <c r="WC186" i="2"/>
  <c r="WI186" i="2" s="1"/>
  <c r="WC9" i="2"/>
  <c r="WI9" i="2" s="1"/>
  <c r="WC3" i="1"/>
  <c r="WC15" i="1"/>
  <c r="WC27" i="1"/>
  <c r="WI27" i="1" s="1"/>
  <c r="WC39" i="1"/>
  <c r="WI39" i="1" s="1"/>
  <c r="WC51" i="1"/>
  <c r="WC63" i="1"/>
  <c r="WI63" i="1" s="1"/>
  <c r="VU112" i="4"/>
  <c r="VU111" i="1"/>
  <c r="VU108" i="5"/>
  <c r="VU114" i="5"/>
  <c r="VZ114" i="4"/>
  <c r="VU114" i="1"/>
  <c r="VV114" i="5"/>
  <c r="WA114" i="4"/>
  <c r="WC114" i="4"/>
  <c r="VU109" i="2"/>
  <c r="VU110" i="4"/>
  <c r="VU111" i="4"/>
  <c r="VU110" i="5"/>
  <c r="VY114" i="5"/>
  <c r="VU114" i="3"/>
  <c r="VU108" i="4"/>
  <c r="VZ114" i="5"/>
  <c r="VU108" i="1"/>
  <c r="VU114" i="4"/>
  <c r="VU111" i="5"/>
  <c r="WA114" i="5"/>
  <c r="VU109" i="1"/>
  <c r="WC114" i="3"/>
  <c r="VV114" i="4"/>
  <c r="WB114" i="5"/>
  <c r="VU110" i="1"/>
  <c r="VU109" i="4"/>
  <c r="VW114" i="4"/>
  <c r="VW114" i="3"/>
  <c r="VY109" i="3"/>
  <c r="VW109" i="3"/>
  <c r="VZ109" i="3"/>
  <c r="VU110" i="3"/>
  <c r="WA109" i="3"/>
  <c r="WB109" i="3"/>
  <c r="VY114" i="3"/>
  <c r="VV114" i="3"/>
  <c r="VU109" i="3"/>
  <c r="VV109" i="3"/>
  <c r="WC109" i="3"/>
  <c r="VZ114" i="3"/>
  <c r="VU111" i="3"/>
  <c r="WA114" i="3"/>
  <c r="WB114" i="3"/>
  <c r="VU108" i="3"/>
  <c r="VU110" i="2"/>
  <c r="VU114" i="2"/>
  <c r="VV114" i="2"/>
  <c r="VW114" i="2"/>
  <c r="VU111" i="2"/>
  <c r="VU108" i="2"/>
  <c r="WI187" i="5"/>
  <c r="WB186" i="5"/>
  <c r="WB188" i="5"/>
  <c r="WI188" i="5" s="1"/>
  <c r="WI186" i="3"/>
  <c r="WC187" i="3"/>
  <c r="WI47" i="3"/>
  <c r="WI11" i="3"/>
  <c r="WI22" i="3"/>
  <c r="WI28" i="3"/>
  <c r="WI18" i="3"/>
  <c r="WI36" i="3"/>
  <c r="WI29" i="3"/>
  <c r="WI49" i="3"/>
  <c r="WI4" i="3"/>
  <c r="WI71" i="1"/>
  <c r="WI16" i="3"/>
  <c r="WI27" i="3"/>
  <c r="WI20" i="3"/>
  <c r="WI5" i="3"/>
  <c r="WI23" i="3"/>
  <c r="WI34" i="3"/>
  <c r="WI43" i="3"/>
  <c r="WI12" i="3"/>
  <c r="WI32" i="3"/>
  <c r="WI41" i="3"/>
  <c r="WI7" i="3"/>
  <c r="WI10" i="3"/>
  <c r="WI30" i="3"/>
  <c r="WI48" i="3"/>
  <c r="WI25" i="3"/>
  <c r="WI19" i="3"/>
  <c r="WI46" i="3"/>
  <c r="WI14" i="3"/>
  <c r="WI8" i="3"/>
  <c r="WI17" i="3"/>
  <c r="WI37" i="3"/>
  <c r="WI3" i="3"/>
  <c r="WI6" i="3"/>
  <c r="WI35" i="3"/>
  <c r="WI44" i="3"/>
  <c r="WI13" i="3"/>
  <c r="WI24" i="3"/>
  <c r="WI42" i="3"/>
  <c r="WI22" i="1"/>
  <c r="WI46" i="1"/>
  <c r="WI70" i="1"/>
  <c r="WI17" i="1"/>
  <c r="WI53" i="1"/>
  <c r="WI65" i="1"/>
  <c r="WI60" i="1"/>
  <c r="WI7" i="1"/>
  <c r="WI19" i="1"/>
  <c r="WI24" i="1"/>
  <c r="WI31" i="1"/>
  <c r="WI43" i="1"/>
  <c r="WI48" i="1"/>
  <c r="WI55" i="1"/>
  <c r="WI67" i="1"/>
  <c r="WI62" i="1"/>
  <c r="WI57" i="1"/>
  <c r="WI69" i="1"/>
  <c r="WI2" i="1"/>
  <c r="WI38" i="1"/>
  <c r="WI50" i="1"/>
  <c r="WI4" i="1"/>
  <c r="WI9" i="1"/>
  <c r="WI16" i="1"/>
  <c r="WI21" i="1"/>
  <c r="WI33" i="1"/>
  <c r="WI40" i="1"/>
  <c r="WI45" i="1"/>
  <c r="WI52" i="1"/>
  <c r="WI64" i="1"/>
  <c r="WI11" i="1"/>
  <c r="WI47" i="1"/>
  <c r="WI59" i="1"/>
  <c r="WI26" i="1"/>
  <c r="WI66" i="1"/>
  <c r="WI14" i="1"/>
  <c r="WI13" i="1"/>
  <c r="WI25" i="1"/>
  <c r="WI30" i="1"/>
  <c r="WI42" i="1"/>
  <c r="WI49" i="1"/>
  <c r="WI54" i="1"/>
  <c r="WI61" i="1"/>
  <c r="WI20" i="1"/>
  <c r="WI32" i="1"/>
  <c r="WI56" i="1"/>
  <c r="WI68" i="1"/>
  <c r="WI50" i="3"/>
  <c r="VR13" i="4"/>
  <c r="WC13" i="4" s="1"/>
  <c r="WR7" i="4" s="1"/>
  <c r="P15" i="6"/>
  <c r="P10" i="6" s="1"/>
  <c r="A18" i="6"/>
  <c r="C27" i="6"/>
  <c r="G74" i="6"/>
  <c r="G73" i="6"/>
  <c r="G72" i="6"/>
  <c r="G71" i="6"/>
  <c r="G70" i="6"/>
  <c r="G69" i="6"/>
  <c r="G68" i="6"/>
  <c r="G57" i="6"/>
  <c r="G56" i="6"/>
  <c r="G54" i="6"/>
  <c r="G53" i="6"/>
  <c r="G51" i="6"/>
  <c r="G50" i="6"/>
  <c r="G48" i="6"/>
  <c r="G47" i="6"/>
  <c r="G45" i="6"/>
  <c r="G44" i="6"/>
  <c r="G43" i="6"/>
  <c r="G41" i="6"/>
  <c r="G40" i="6"/>
  <c r="G39" i="6"/>
  <c r="G38" i="6"/>
  <c r="G37" i="6"/>
  <c r="G35" i="6"/>
  <c r="G34" i="6"/>
  <c r="G33" i="6"/>
  <c r="G32" i="6"/>
  <c r="G31" i="6"/>
  <c r="G30" i="6"/>
  <c r="G29" i="6"/>
  <c r="G28" i="6"/>
  <c r="G27" i="6"/>
  <c r="E74" i="6"/>
  <c r="E73" i="6"/>
  <c r="E72" i="6"/>
  <c r="E71" i="6"/>
  <c r="E70" i="6"/>
  <c r="E69" i="6"/>
  <c r="E68" i="6"/>
  <c r="E57" i="6"/>
  <c r="E56" i="6"/>
  <c r="E54" i="6"/>
  <c r="E53" i="6"/>
  <c r="E51" i="6"/>
  <c r="E50" i="6"/>
  <c r="E48" i="6"/>
  <c r="E47" i="6"/>
  <c r="E45" i="6"/>
  <c r="E44" i="6"/>
  <c r="E43" i="6"/>
  <c r="E41" i="6"/>
  <c r="E40" i="6"/>
  <c r="E39" i="6"/>
  <c r="E38" i="6"/>
  <c r="E37" i="6"/>
  <c r="E35" i="6"/>
  <c r="E34" i="6"/>
  <c r="E33" i="6"/>
  <c r="E32" i="6"/>
  <c r="E31" i="6"/>
  <c r="E30" i="6"/>
  <c r="E29" i="6"/>
  <c r="E28" i="6"/>
  <c r="E27" i="6"/>
  <c r="C74" i="6"/>
  <c r="C73" i="6"/>
  <c r="C72" i="6"/>
  <c r="C71" i="6"/>
  <c r="C70" i="6"/>
  <c r="C69" i="6"/>
  <c r="C68" i="6"/>
  <c r="C57" i="6"/>
  <c r="C56" i="6"/>
  <c r="C54" i="6"/>
  <c r="C53" i="6"/>
  <c r="C51" i="6"/>
  <c r="C50" i="6"/>
  <c r="C48" i="6"/>
  <c r="C47" i="6"/>
  <c r="C45" i="6"/>
  <c r="C44" i="6"/>
  <c r="C43" i="6"/>
  <c r="C41" i="6"/>
  <c r="C40" i="6"/>
  <c r="C39" i="6"/>
  <c r="C38" i="6"/>
  <c r="C37" i="6"/>
  <c r="C35" i="6"/>
  <c r="C34" i="6"/>
  <c r="C33" i="6"/>
  <c r="C32" i="6"/>
  <c r="C31" i="6"/>
  <c r="C30" i="6"/>
  <c r="C29" i="6"/>
  <c r="C28" i="6"/>
  <c r="X74" i="6"/>
  <c r="V74" i="6"/>
  <c r="X73" i="6"/>
  <c r="V73" i="6"/>
  <c r="X72" i="6"/>
  <c r="V72" i="6"/>
  <c r="X71" i="6"/>
  <c r="V71" i="6"/>
  <c r="X70" i="6"/>
  <c r="V70" i="6"/>
  <c r="X69" i="6"/>
  <c r="V69" i="6"/>
  <c r="X68" i="6"/>
  <c r="V68" i="6"/>
  <c r="X57" i="6"/>
  <c r="V57" i="6"/>
  <c r="X56" i="6"/>
  <c r="V56" i="6"/>
  <c r="X54" i="6"/>
  <c r="V54" i="6"/>
  <c r="X53" i="6"/>
  <c r="V53" i="6"/>
  <c r="X51" i="6"/>
  <c r="V51" i="6"/>
  <c r="X50" i="6"/>
  <c r="V50" i="6"/>
  <c r="X48" i="6"/>
  <c r="V48" i="6"/>
  <c r="X47" i="6"/>
  <c r="V47" i="6"/>
  <c r="X45" i="6"/>
  <c r="V45" i="6"/>
  <c r="X44" i="6"/>
  <c r="V44" i="6"/>
  <c r="X43" i="6"/>
  <c r="V43" i="6"/>
  <c r="X41" i="6"/>
  <c r="V41" i="6"/>
  <c r="X40" i="6"/>
  <c r="V40" i="6"/>
  <c r="X39" i="6"/>
  <c r="V39" i="6"/>
  <c r="X38" i="6"/>
  <c r="V38" i="6"/>
  <c r="X37" i="6"/>
  <c r="V37" i="6"/>
  <c r="X35" i="6"/>
  <c r="V35" i="6"/>
  <c r="X34" i="6"/>
  <c r="V34" i="6"/>
  <c r="X33" i="6"/>
  <c r="V33" i="6"/>
  <c r="X32" i="6"/>
  <c r="V32" i="6"/>
  <c r="X31" i="6"/>
  <c r="V31" i="6"/>
  <c r="X30" i="6"/>
  <c r="V30" i="6"/>
  <c r="X29" i="6"/>
  <c r="V29" i="6"/>
  <c r="X28" i="6"/>
  <c r="V28" i="6"/>
  <c r="X27" i="6"/>
  <c r="V27" i="6"/>
  <c r="OY83" i="5"/>
  <c r="OY82" i="5"/>
  <c r="OY81" i="5"/>
  <c r="OY78" i="5"/>
  <c r="OY76" i="5"/>
  <c r="OY75" i="5"/>
  <c r="OY83" i="4"/>
  <c r="OY82" i="4"/>
  <c r="OY81" i="4"/>
  <c r="OY78" i="4"/>
  <c r="OY76" i="4"/>
  <c r="OY75" i="4"/>
  <c r="VQ187" i="4" s="1"/>
  <c r="OY74" i="4" l="1"/>
  <c r="H12" i="6"/>
  <c r="VS25" i="4"/>
  <c r="WD25" i="4" s="1"/>
  <c r="VS42" i="4"/>
  <c r="WD42" i="4" s="1"/>
  <c r="VS19" i="4"/>
  <c r="WD19" i="4" s="1"/>
  <c r="VS26" i="4"/>
  <c r="WD26" i="4" s="1"/>
  <c r="VS36" i="4"/>
  <c r="WD36" i="4" s="1"/>
  <c r="VS10" i="5"/>
  <c r="WD10" i="5" s="1"/>
  <c r="VS5" i="4"/>
  <c r="WD5" i="4" s="1"/>
  <c r="VS8" i="5"/>
  <c r="WD8" i="5" s="1"/>
  <c r="WS8" i="5" s="1"/>
  <c r="VS38" i="4"/>
  <c r="WD38" i="4" s="1"/>
  <c r="VS30" i="4"/>
  <c r="WD30" i="4" s="1"/>
  <c r="VS24" i="4"/>
  <c r="WD24" i="4" s="1"/>
  <c r="VS13" i="5"/>
  <c r="WD13" i="5" s="1"/>
  <c r="VS59" i="4"/>
  <c r="WD59" i="4" s="1"/>
  <c r="OY77" i="5"/>
  <c r="VS57" i="4"/>
  <c r="WD57" i="4" s="1"/>
  <c r="OY77" i="4"/>
  <c r="VS60" i="4"/>
  <c r="WD60" i="4" s="1"/>
  <c r="VS34" i="4"/>
  <c r="WD34" i="4" s="1"/>
  <c r="VS18" i="5"/>
  <c r="WD18" i="5" s="1"/>
  <c r="VS31" i="4"/>
  <c r="WD31" i="4" s="1"/>
  <c r="WA94" i="2"/>
  <c r="AP44" i="6"/>
  <c r="F64" i="6"/>
  <c r="AR38" i="6"/>
  <c r="AN43" i="6"/>
  <c r="AS42" i="6"/>
  <c r="AT43" i="6"/>
  <c r="AS44" i="6"/>
  <c r="AV38" i="6"/>
  <c r="AS33" i="6"/>
  <c r="AN34" i="6"/>
  <c r="AT42" i="6"/>
  <c r="WD112" i="5"/>
  <c r="WE112" i="5" s="1"/>
  <c r="AE63" i="6" s="1"/>
  <c r="AT45" i="6"/>
  <c r="AT31" i="6"/>
  <c r="AU46" i="6"/>
  <c r="AR27" i="6"/>
  <c r="AV42" i="6"/>
  <c r="WD112" i="1"/>
  <c r="WE112" i="1" s="1"/>
  <c r="AN33" i="6"/>
  <c r="AU35" i="6"/>
  <c r="AS34" i="6"/>
  <c r="AF64" i="6"/>
  <c r="AV33" i="6"/>
  <c r="AN35" i="6"/>
  <c r="AU27" i="6"/>
  <c r="WD113" i="1"/>
  <c r="WE113" i="1" s="1"/>
  <c r="AR34" i="6"/>
  <c r="AR35" i="6"/>
  <c r="AR32" i="6"/>
  <c r="W64" i="6"/>
  <c r="AN32" i="6"/>
  <c r="AD65" i="6"/>
  <c r="W65" i="6"/>
  <c r="W63" i="6"/>
  <c r="AD63" i="6"/>
  <c r="AU29" i="6"/>
  <c r="O62" i="6"/>
  <c r="F62" i="6"/>
  <c r="B59" i="6"/>
  <c r="K59" i="6"/>
  <c r="K65" i="6"/>
  <c r="B65" i="6"/>
  <c r="AT32" i="6"/>
  <c r="B63" i="6"/>
  <c r="K63" i="6"/>
  <c r="K61" i="6"/>
  <c r="B61" i="6"/>
  <c r="AT34" i="6"/>
  <c r="VT112" i="1"/>
  <c r="L63" i="6" s="1"/>
  <c r="AR33" i="6"/>
  <c r="O65" i="6"/>
  <c r="F65" i="6"/>
  <c r="AV32" i="6"/>
  <c r="VT113" i="1"/>
  <c r="L64" i="6" s="1"/>
  <c r="AS27" i="6"/>
  <c r="AU32" i="6"/>
  <c r="O60" i="6"/>
  <c r="F60" i="6"/>
  <c r="AD61" i="6"/>
  <c r="W61" i="6"/>
  <c r="AU44" i="6"/>
  <c r="AT27" i="6"/>
  <c r="K60" i="6"/>
  <c r="B60" i="6"/>
  <c r="AN46" i="6"/>
  <c r="W59" i="6"/>
  <c r="AD59" i="6"/>
  <c r="F59" i="6"/>
  <c r="O59" i="6"/>
  <c r="O61" i="6"/>
  <c r="F61" i="6"/>
  <c r="U64" i="6"/>
  <c r="WA90" i="2"/>
  <c r="AS35" i="6"/>
  <c r="AU43" i="6"/>
  <c r="B62" i="6"/>
  <c r="K62" i="6"/>
  <c r="W62" i="6"/>
  <c r="AD62" i="6"/>
  <c r="AU33" i="6"/>
  <c r="AD60" i="6"/>
  <c r="W60" i="6"/>
  <c r="AT46" i="6"/>
  <c r="AT38" i="6"/>
  <c r="AS31" i="6"/>
  <c r="B64" i="6"/>
  <c r="I64" i="6" s="1"/>
  <c r="K64" i="6"/>
  <c r="Q64" i="6" s="1"/>
  <c r="AR44" i="6"/>
  <c r="OY79" i="1"/>
  <c r="OY79" i="3"/>
  <c r="VS186" i="4"/>
  <c r="WD186" i="4" s="1"/>
  <c r="WI186" i="4" s="1"/>
  <c r="VS20" i="5"/>
  <c r="WD20" i="5" s="1"/>
  <c r="WS2" i="5" s="1"/>
  <c r="VS41" i="4"/>
  <c r="WD41" i="4" s="1"/>
  <c r="VS22" i="4"/>
  <c r="WD22" i="4" s="1"/>
  <c r="VS30" i="5"/>
  <c r="WD30" i="5" s="1"/>
  <c r="OY74" i="3"/>
  <c r="AP43" i="6"/>
  <c r="WD29" i="1"/>
  <c r="WI29" i="1" s="1"/>
  <c r="AP38" i="6"/>
  <c r="OY74" i="1"/>
  <c r="WI186" i="5"/>
  <c r="OY80" i="5"/>
  <c r="OY80" i="4"/>
  <c r="VT39" i="4"/>
  <c r="VT17" i="4"/>
  <c r="VT5" i="4"/>
  <c r="VT21" i="5"/>
  <c r="VT9" i="5"/>
  <c r="VT60" i="4"/>
  <c r="VT11" i="4"/>
  <c r="VT45" i="4"/>
  <c r="F13" i="6"/>
  <c r="VT24" i="1" s="1"/>
  <c r="VU24" i="1" s="1"/>
  <c r="VT8" i="4"/>
  <c r="VT51" i="4"/>
  <c r="VT20" i="4"/>
  <c r="VT26" i="4"/>
  <c r="VT6" i="5"/>
  <c r="VT187" i="4"/>
  <c r="VU187" i="4" s="1"/>
  <c r="VV187" i="4" s="1"/>
  <c r="VT14" i="4"/>
  <c r="VT26" i="5"/>
  <c r="VT186" i="4"/>
  <c r="VT2" i="4"/>
  <c r="VT9" i="4"/>
  <c r="VT31" i="5"/>
  <c r="VT12" i="5"/>
  <c r="VT32" i="4"/>
  <c r="VT41" i="4"/>
  <c r="VT30" i="5"/>
  <c r="VT50" i="4"/>
  <c r="VT13" i="4"/>
  <c r="VT35" i="4"/>
  <c r="VT5" i="5"/>
  <c r="VT54" i="4"/>
  <c r="VT29" i="4"/>
  <c r="VT24" i="5"/>
  <c r="VT38" i="4"/>
  <c r="VT33" i="5"/>
  <c r="VT23" i="4"/>
  <c r="VT56" i="4"/>
  <c r="VT42" i="4"/>
  <c r="VT25" i="5"/>
  <c r="VT27" i="4"/>
  <c r="VT34" i="5"/>
  <c r="VT48" i="4"/>
  <c r="VT19" i="5"/>
  <c r="VT28" i="5"/>
  <c r="VT188" i="5"/>
  <c r="VU188" i="5" s="1"/>
  <c r="VV188" i="5" s="1"/>
  <c r="VT13" i="5"/>
  <c r="VT15" i="4"/>
  <c r="VT22" i="5"/>
  <c r="VT36" i="4"/>
  <c r="VT7" i="5"/>
  <c r="VT43" i="4"/>
  <c r="VT52" i="4"/>
  <c r="VT3" i="4"/>
  <c r="VT10" i="5"/>
  <c r="VT24" i="4"/>
  <c r="VT58" i="4"/>
  <c r="VT31" i="4"/>
  <c r="VT40" i="4"/>
  <c r="VT21" i="4"/>
  <c r="VT61" i="4"/>
  <c r="VT12" i="4"/>
  <c r="VT46" i="4"/>
  <c r="VT19" i="4"/>
  <c r="OY79" i="4"/>
  <c r="VT14" i="5"/>
  <c r="VT28" i="4"/>
  <c r="VT23" i="5"/>
  <c r="VT49" i="4"/>
  <c r="VT32" i="5"/>
  <c r="VT34" i="4"/>
  <c r="VT7" i="4"/>
  <c r="OY79" i="5"/>
  <c r="VT2" i="5"/>
  <c r="VT16" i="4"/>
  <c r="VT11" i="5"/>
  <c r="VT37" i="4"/>
  <c r="VT20" i="5"/>
  <c r="VT29" i="5"/>
  <c r="VT27" i="5"/>
  <c r="VT53" i="4"/>
  <c r="VT4" i="4"/>
  <c r="VT62" i="4"/>
  <c r="VT25" i="4"/>
  <c r="VT8" i="5"/>
  <c r="VT17" i="5"/>
  <c r="VT15" i="5"/>
  <c r="VT16" i="5"/>
  <c r="VT30" i="4"/>
  <c r="VT18" i="5"/>
  <c r="VT59" i="4"/>
  <c r="VT22" i="4"/>
  <c r="VT4" i="5"/>
  <c r="VT18" i="4"/>
  <c r="VT47" i="4"/>
  <c r="VT10" i="4"/>
  <c r="VT55" i="4"/>
  <c r="VT6" i="4"/>
  <c r="VT44" i="4"/>
  <c r="VT33" i="4"/>
  <c r="VT187" i="5"/>
  <c r="VU187" i="5" s="1"/>
  <c r="VV187" i="5" s="1"/>
  <c r="AP42" i="6"/>
  <c r="VT57" i="4"/>
  <c r="VT3" i="5"/>
  <c r="VT186" i="5"/>
  <c r="VU186" i="5" s="1"/>
  <c r="VV186" i="5" s="1"/>
  <c r="WC5" i="2"/>
  <c r="WI5" i="2" s="1"/>
  <c r="WR9" i="3"/>
  <c r="WI22" i="2"/>
  <c r="WX4" i="4"/>
  <c r="AV40" i="6" s="1"/>
  <c r="WU4" i="4"/>
  <c r="AS40" i="6" s="1"/>
  <c r="WT4" i="4"/>
  <c r="AR40" i="6" s="1"/>
  <c r="WS4" i="4"/>
  <c r="AQ40" i="6" s="1"/>
  <c r="WV4" i="3"/>
  <c r="WR9" i="4"/>
  <c r="AP45" i="6" s="1"/>
  <c r="WR10" i="4"/>
  <c r="AP46" i="6" s="1"/>
  <c r="WP4" i="4"/>
  <c r="AN40" i="6" s="1"/>
  <c r="WV4" i="4"/>
  <c r="AT40" i="6" s="1"/>
  <c r="WI3" i="1"/>
  <c r="WP4" i="1"/>
  <c r="WR6" i="1"/>
  <c r="WR10" i="1"/>
  <c r="WR9" i="1"/>
  <c r="WX4" i="1"/>
  <c r="WS4" i="1"/>
  <c r="WQ4" i="1"/>
  <c r="WV4" i="1"/>
  <c r="WT4" i="1"/>
  <c r="WU4" i="1"/>
  <c r="WI9" i="3"/>
  <c r="WT4" i="3"/>
  <c r="WS4" i="3"/>
  <c r="WU4" i="3"/>
  <c r="WR10" i="3"/>
  <c r="WX4" i="3"/>
  <c r="WQ4" i="3"/>
  <c r="WR2" i="3"/>
  <c r="WR8" i="3"/>
  <c r="WI15" i="1"/>
  <c r="WR2" i="1"/>
  <c r="WR7" i="1"/>
  <c r="WP4" i="3"/>
  <c r="WD40" i="3"/>
  <c r="WI40" i="3" s="1"/>
  <c r="WS2" i="2"/>
  <c r="WK16" i="2"/>
  <c r="WD51" i="1"/>
  <c r="WI51" i="1" s="1"/>
  <c r="WK51" i="1"/>
  <c r="WD36" i="1"/>
  <c r="WI36" i="1" s="1"/>
  <c r="WS8" i="2"/>
  <c r="WD114" i="2"/>
  <c r="WE114" i="2" s="1"/>
  <c r="WK14" i="2"/>
  <c r="M59" i="6"/>
  <c r="D59" i="6"/>
  <c r="WK13" i="2"/>
  <c r="D62" i="6"/>
  <c r="M62" i="6"/>
  <c r="WK12" i="2"/>
  <c r="D65" i="6"/>
  <c r="M65" i="6"/>
  <c r="M61" i="6"/>
  <c r="D61" i="6"/>
  <c r="M60" i="6"/>
  <c r="D60" i="6"/>
  <c r="WK22" i="2"/>
  <c r="WC16" i="2"/>
  <c r="WR6" i="2" s="1"/>
  <c r="D63" i="6"/>
  <c r="M63" i="6"/>
  <c r="WC24" i="2"/>
  <c r="WI24" i="2" s="1"/>
  <c r="WC23" i="2"/>
  <c r="WI23" i="2" s="1"/>
  <c r="WC3" i="2"/>
  <c r="WD5" i="1"/>
  <c r="WD8" i="2"/>
  <c r="WI8" i="2" s="1"/>
  <c r="WD10" i="2"/>
  <c r="WI10" i="2" s="1"/>
  <c r="WD12" i="1"/>
  <c r="WI12" i="1" s="1"/>
  <c r="WD4" i="2"/>
  <c r="WD8" i="1"/>
  <c r="WD39" i="3"/>
  <c r="WD6" i="1"/>
  <c r="WI6" i="1" s="1"/>
  <c r="WD21" i="2"/>
  <c r="WD16" i="2"/>
  <c r="WD37" i="1"/>
  <c r="WI37" i="1" s="1"/>
  <c r="WD41" i="1"/>
  <c r="WI41" i="1" s="1"/>
  <c r="WD28" i="1"/>
  <c r="AB65" i="6"/>
  <c r="U65" i="6"/>
  <c r="U59" i="6"/>
  <c r="AB59" i="6"/>
  <c r="AB60" i="6"/>
  <c r="U60" i="6"/>
  <c r="U62" i="6"/>
  <c r="AB62" i="6"/>
  <c r="AB61" i="6"/>
  <c r="U61" i="6"/>
  <c r="U63" i="6"/>
  <c r="AB63" i="6"/>
  <c r="WD114" i="4"/>
  <c r="WE114" i="4" s="1"/>
  <c r="AC65" i="6" s="1"/>
  <c r="WD114" i="5"/>
  <c r="WE114" i="5" s="1"/>
  <c r="AE65" i="6" s="1"/>
  <c r="VT114" i="4"/>
  <c r="VT114" i="5"/>
  <c r="VT109" i="3"/>
  <c r="P60" i="6" s="1"/>
  <c r="VT114" i="3"/>
  <c r="P65" i="6" s="1"/>
  <c r="WD114" i="3"/>
  <c r="WE114" i="3" s="1"/>
  <c r="WD109" i="3"/>
  <c r="WE109" i="3" s="1"/>
  <c r="VT114" i="2"/>
  <c r="N65" i="6" s="1"/>
  <c r="WI187" i="3"/>
  <c r="WB187" i="4"/>
  <c r="WI187" i="4" s="1"/>
  <c r="VX131" i="1"/>
  <c r="VX132" i="1" s="1"/>
  <c r="VX131" i="2"/>
  <c r="VX132" i="2" s="1"/>
  <c r="VX131" i="5"/>
  <c r="VX132" i="5" s="1"/>
  <c r="VX133" i="5" s="1"/>
  <c r="VX134" i="5" s="1"/>
  <c r="VX131" i="4"/>
  <c r="VX132" i="4" s="1"/>
  <c r="VX133" i="4" s="1"/>
  <c r="VX131" i="3"/>
  <c r="VX132" i="3" s="1"/>
  <c r="A69" i="6"/>
  <c r="VX48" i="3"/>
  <c r="WK48" i="3" s="1"/>
  <c r="VX47" i="3"/>
  <c r="WK47" i="3" s="1"/>
  <c r="VX46" i="3"/>
  <c r="WK46" i="3" s="1"/>
  <c r="VX45" i="3"/>
  <c r="WK45" i="3" s="1"/>
  <c r="VX44" i="3"/>
  <c r="WK44" i="3" s="1"/>
  <c r="VX43" i="3"/>
  <c r="WK43" i="3" s="1"/>
  <c r="VX42" i="3"/>
  <c r="WK42" i="3" s="1"/>
  <c r="VX41" i="3"/>
  <c r="WK41" i="3" s="1"/>
  <c r="VX40" i="3"/>
  <c r="WK40" i="3" s="1"/>
  <c r="VX39" i="3"/>
  <c r="WK39" i="3" s="1"/>
  <c r="VX38" i="3"/>
  <c r="WK38" i="3" s="1"/>
  <c r="VX37" i="3"/>
  <c r="WK37" i="3" s="1"/>
  <c r="VX36" i="3"/>
  <c r="WK36" i="3" s="1"/>
  <c r="VX35" i="3"/>
  <c r="WK35" i="3" s="1"/>
  <c r="VX34" i="3"/>
  <c r="WK34" i="3" s="1"/>
  <c r="VX33" i="3"/>
  <c r="WK33" i="3" s="1"/>
  <c r="VX32" i="3"/>
  <c r="WK32" i="3" s="1"/>
  <c r="VX31" i="3"/>
  <c r="WK31" i="3" s="1"/>
  <c r="VX30" i="3"/>
  <c r="WK30" i="3" s="1"/>
  <c r="VX29" i="3"/>
  <c r="WK29" i="3" s="1"/>
  <c r="VX28" i="3"/>
  <c r="WK28" i="3" s="1"/>
  <c r="VX27" i="3"/>
  <c r="WK27" i="3" s="1"/>
  <c r="VX26" i="3"/>
  <c r="WK26" i="3" s="1"/>
  <c r="VX25" i="3"/>
  <c r="WK25" i="3" s="1"/>
  <c r="VX24" i="3"/>
  <c r="WK24" i="3" s="1"/>
  <c r="VX23" i="3"/>
  <c r="WK23" i="3" s="1"/>
  <c r="VX22" i="3"/>
  <c r="WK22" i="3" s="1"/>
  <c r="VX21" i="3"/>
  <c r="WK21" i="3" s="1"/>
  <c r="VX20" i="3"/>
  <c r="WK20" i="3" s="1"/>
  <c r="VX19" i="3"/>
  <c r="WK19" i="3" s="1"/>
  <c r="VX18" i="3"/>
  <c r="WK18" i="3" s="1"/>
  <c r="VX17" i="3"/>
  <c r="WK17" i="3" s="1"/>
  <c r="VX16" i="3"/>
  <c r="WK16" i="3" s="1"/>
  <c r="VX15" i="3"/>
  <c r="WK15" i="3" s="1"/>
  <c r="VX14" i="3"/>
  <c r="WK14" i="3" s="1"/>
  <c r="VX13" i="3"/>
  <c r="WK13" i="3" s="1"/>
  <c r="VX12" i="3"/>
  <c r="WK12" i="3" s="1"/>
  <c r="VX11" i="3"/>
  <c r="WK11" i="3" s="1"/>
  <c r="VX10" i="3"/>
  <c r="WK10" i="3" s="1"/>
  <c r="VX9" i="3"/>
  <c r="WK9" i="3" s="1"/>
  <c r="VX8" i="3"/>
  <c r="WK8" i="3" s="1"/>
  <c r="VX7" i="3"/>
  <c r="WK7" i="3" s="1"/>
  <c r="VX6" i="3"/>
  <c r="WK6" i="3" s="1"/>
  <c r="VX5" i="3"/>
  <c r="WK5" i="3" s="1"/>
  <c r="VX4" i="3"/>
  <c r="WK4" i="3" s="1"/>
  <c r="VX3" i="3"/>
  <c r="WK3" i="3" s="1"/>
  <c r="VX2" i="3"/>
  <c r="WK2" i="3" s="1"/>
  <c r="VL5" i="5"/>
  <c r="VM5" i="5" s="1"/>
  <c r="VX5" i="5"/>
  <c r="VQ25" i="5"/>
  <c r="VQ56" i="4"/>
  <c r="OT81" i="2"/>
  <c r="OT80" i="2"/>
  <c r="VX34" i="5"/>
  <c r="VL34" i="5"/>
  <c r="VM34" i="5" s="1"/>
  <c r="VX33" i="5"/>
  <c r="VL33" i="5"/>
  <c r="VM33" i="5" s="1"/>
  <c r="VX32" i="5"/>
  <c r="VQ32" i="5"/>
  <c r="VL32" i="5"/>
  <c r="VM32" i="5" s="1"/>
  <c r="VX31" i="5"/>
  <c r="VL31" i="5"/>
  <c r="VM31" i="5" s="1"/>
  <c r="VX30" i="5"/>
  <c r="VL30" i="5"/>
  <c r="VM30" i="5" s="1"/>
  <c r="VX29" i="5"/>
  <c r="VL29" i="5"/>
  <c r="VM29" i="5" s="1"/>
  <c r="VX28" i="5"/>
  <c r="VL28" i="5"/>
  <c r="VM28" i="5" s="1"/>
  <c r="VX27" i="5"/>
  <c r="VL27" i="5"/>
  <c r="VM27" i="5" s="1"/>
  <c r="VX26" i="5"/>
  <c r="VL26" i="5"/>
  <c r="VM26" i="5" s="1"/>
  <c r="VX25" i="5"/>
  <c r="VL25" i="5"/>
  <c r="VM25" i="5" s="1"/>
  <c r="VX24" i="5"/>
  <c r="VL24" i="5"/>
  <c r="VM24" i="5" s="1"/>
  <c r="VX23" i="5"/>
  <c r="VL23" i="5"/>
  <c r="VM23" i="5" s="1"/>
  <c r="VX22" i="5"/>
  <c r="VL22" i="5"/>
  <c r="VM22" i="5" s="1"/>
  <c r="VX21" i="5"/>
  <c r="VL21" i="5"/>
  <c r="VM21" i="5" s="1"/>
  <c r="VX20" i="5"/>
  <c r="VL20" i="5"/>
  <c r="VM20" i="5" s="1"/>
  <c r="VX19" i="5"/>
  <c r="VQ19" i="5"/>
  <c r="VL19" i="5"/>
  <c r="VM19" i="5" s="1"/>
  <c r="VX18" i="5"/>
  <c r="VL18" i="5"/>
  <c r="VM18" i="5" s="1"/>
  <c r="VX17" i="5"/>
  <c r="VL17" i="5"/>
  <c r="VM17" i="5" s="1"/>
  <c r="VX16" i="5"/>
  <c r="VL16" i="5"/>
  <c r="VM16" i="5" s="1"/>
  <c r="VX15" i="5"/>
  <c r="VL15" i="5"/>
  <c r="VM15" i="5" s="1"/>
  <c r="VX14" i="5"/>
  <c r="VL14" i="5"/>
  <c r="VM14" i="5" s="1"/>
  <c r="VX13" i="5"/>
  <c r="VL13" i="5"/>
  <c r="VM13" i="5" s="1"/>
  <c r="VX12" i="5"/>
  <c r="VL12" i="5"/>
  <c r="VM12" i="5" s="1"/>
  <c r="VX11" i="5"/>
  <c r="VL11" i="5"/>
  <c r="VM11" i="5" s="1"/>
  <c r="VX10" i="5"/>
  <c r="VL10" i="5"/>
  <c r="VM10" i="5" s="1"/>
  <c r="VX9" i="5"/>
  <c r="VL9" i="5"/>
  <c r="VM9" i="5" s="1"/>
  <c r="VX8" i="5"/>
  <c r="VQ8" i="5"/>
  <c r="VL8" i="5"/>
  <c r="VM8" i="5" s="1"/>
  <c r="VX7" i="5"/>
  <c r="VL7" i="5"/>
  <c r="VM7" i="5" s="1"/>
  <c r="VX6" i="5"/>
  <c r="VL6" i="5"/>
  <c r="VM6" i="5" s="1"/>
  <c r="VX4" i="5"/>
  <c r="VQ4" i="5"/>
  <c r="VL4" i="5"/>
  <c r="VM4" i="5" s="1"/>
  <c r="VX3" i="5"/>
  <c r="VL3" i="5"/>
  <c r="VM3" i="5" s="1"/>
  <c r="VX2" i="5"/>
  <c r="VL2" i="5"/>
  <c r="VM2" i="5" s="1"/>
  <c r="VX62" i="4"/>
  <c r="VL62" i="4"/>
  <c r="VM62" i="4" s="1"/>
  <c r="VX61" i="4"/>
  <c r="VL61" i="4"/>
  <c r="VM61" i="4" s="1"/>
  <c r="VX60" i="4"/>
  <c r="VL60" i="4"/>
  <c r="VM60" i="4" s="1"/>
  <c r="VX59" i="4"/>
  <c r="VL59" i="4"/>
  <c r="VM59" i="4" s="1"/>
  <c r="VX58" i="4"/>
  <c r="VL58" i="4"/>
  <c r="VM58" i="4" s="1"/>
  <c r="VX57" i="4"/>
  <c r="VL57" i="4"/>
  <c r="VM57" i="4" s="1"/>
  <c r="VX56" i="4"/>
  <c r="VL56" i="4"/>
  <c r="VM56" i="4" s="1"/>
  <c r="VX55" i="4"/>
  <c r="VL55" i="4"/>
  <c r="VM55" i="4" s="1"/>
  <c r="VX54" i="4"/>
  <c r="VL54" i="4"/>
  <c r="VM54" i="4" s="1"/>
  <c r="VX53" i="4"/>
  <c r="VL53" i="4"/>
  <c r="VM53" i="4" s="1"/>
  <c r="VX52" i="4"/>
  <c r="VL52" i="4"/>
  <c r="VM52" i="4" s="1"/>
  <c r="VX51" i="4"/>
  <c r="VL51" i="4"/>
  <c r="VM51" i="4" s="1"/>
  <c r="VX50" i="4"/>
  <c r="VL50" i="4"/>
  <c r="VM50" i="4" s="1"/>
  <c r="VX49" i="4"/>
  <c r="VL49" i="4"/>
  <c r="VM49" i="4" s="1"/>
  <c r="VX48" i="4"/>
  <c r="VL48" i="4"/>
  <c r="VM48" i="4" s="1"/>
  <c r="VX47" i="4"/>
  <c r="VL47" i="4"/>
  <c r="VM47" i="4" s="1"/>
  <c r="VX46" i="4"/>
  <c r="VL46" i="4"/>
  <c r="VM46" i="4" s="1"/>
  <c r="VX45" i="4"/>
  <c r="VL45" i="4"/>
  <c r="VM45" i="4" s="1"/>
  <c r="VX44" i="4"/>
  <c r="VL44" i="4"/>
  <c r="VM44" i="4" s="1"/>
  <c r="VX43" i="4"/>
  <c r="VL43" i="4"/>
  <c r="VM43" i="4" s="1"/>
  <c r="VX42" i="4"/>
  <c r="VL42" i="4"/>
  <c r="VM42" i="4" s="1"/>
  <c r="VX41" i="4"/>
  <c r="VL41" i="4"/>
  <c r="VM41" i="4" s="1"/>
  <c r="VX40" i="4"/>
  <c r="VL40" i="4"/>
  <c r="VM40" i="4" s="1"/>
  <c r="VX39" i="4"/>
  <c r="VL39" i="4"/>
  <c r="VM39" i="4" s="1"/>
  <c r="VX38" i="4"/>
  <c r="VL38" i="4"/>
  <c r="VM38" i="4" s="1"/>
  <c r="VX37" i="4"/>
  <c r="VL37" i="4"/>
  <c r="VM37" i="4" s="1"/>
  <c r="VX36" i="4"/>
  <c r="VL36" i="4"/>
  <c r="VM36" i="4" s="1"/>
  <c r="VX35" i="4"/>
  <c r="VL35" i="4"/>
  <c r="VM35" i="4" s="1"/>
  <c r="VX34" i="4"/>
  <c r="VQ34" i="4"/>
  <c r="VL34" i="4"/>
  <c r="VM34" i="4" s="1"/>
  <c r="VX33" i="4"/>
  <c r="VL33" i="4"/>
  <c r="VM33" i="4" s="1"/>
  <c r="VX32" i="4"/>
  <c r="VL32" i="4"/>
  <c r="VM32" i="4" s="1"/>
  <c r="VX31" i="4"/>
  <c r="VL31" i="4"/>
  <c r="VM31" i="4" s="1"/>
  <c r="VX30" i="4"/>
  <c r="VL30" i="4"/>
  <c r="VM30" i="4" s="1"/>
  <c r="VX29" i="4"/>
  <c r="VL29" i="4"/>
  <c r="VM29" i="4" s="1"/>
  <c r="VX28" i="4"/>
  <c r="VL28" i="4"/>
  <c r="VM28" i="4" s="1"/>
  <c r="VX27" i="4"/>
  <c r="VL27" i="4"/>
  <c r="VM27" i="4" s="1"/>
  <c r="VX26" i="4"/>
  <c r="VL26" i="4"/>
  <c r="VM26" i="4" s="1"/>
  <c r="VX25" i="4"/>
  <c r="VL25" i="4"/>
  <c r="VM25" i="4" s="1"/>
  <c r="VX24" i="4"/>
  <c r="VQ24" i="4"/>
  <c r="VL24" i="4"/>
  <c r="VM24" i="4" s="1"/>
  <c r="VX23" i="4"/>
  <c r="VL23" i="4"/>
  <c r="VM23" i="4" s="1"/>
  <c r="VX22" i="4"/>
  <c r="VL22" i="4"/>
  <c r="VM22" i="4" s="1"/>
  <c r="VX21" i="4"/>
  <c r="VL21" i="4"/>
  <c r="VM21" i="4" s="1"/>
  <c r="VX20" i="4"/>
  <c r="VQ20" i="4"/>
  <c r="VL20" i="4"/>
  <c r="VM20" i="4" s="1"/>
  <c r="VX19" i="4"/>
  <c r="VQ19" i="4"/>
  <c r="VL19" i="4"/>
  <c r="VM19" i="4" s="1"/>
  <c r="VX18" i="4"/>
  <c r="VL18" i="4"/>
  <c r="VM18" i="4" s="1"/>
  <c r="VX17" i="4"/>
  <c r="VL17" i="4"/>
  <c r="VM17" i="4" s="1"/>
  <c r="VX16" i="4"/>
  <c r="VL16" i="4"/>
  <c r="VM16" i="4" s="1"/>
  <c r="VX15" i="4"/>
  <c r="VL15" i="4"/>
  <c r="VM15" i="4" s="1"/>
  <c r="VX14" i="4"/>
  <c r="VL14" i="4"/>
  <c r="VM14" i="4" s="1"/>
  <c r="VX13" i="4"/>
  <c r="VL13" i="4"/>
  <c r="VM13" i="4" s="1"/>
  <c r="VX12" i="4"/>
  <c r="VL12" i="4"/>
  <c r="VM12" i="4" s="1"/>
  <c r="VX11" i="4"/>
  <c r="VL11" i="4"/>
  <c r="VM11" i="4" s="1"/>
  <c r="VX10" i="4"/>
  <c r="VQ10" i="4"/>
  <c r="VL10" i="4"/>
  <c r="VM10" i="4" s="1"/>
  <c r="VX9" i="4"/>
  <c r="VL9" i="4"/>
  <c r="VM9" i="4" s="1"/>
  <c r="VX8" i="4"/>
  <c r="VL8" i="4"/>
  <c r="VM8" i="4" s="1"/>
  <c r="VX7" i="4"/>
  <c r="VL7" i="4"/>
  <c r="VM7" i="4" s="1"/>
  <c r="VX6" i="4"/>
  <c r="VL6" i="4"/>
  <c r="VM6" i="4" s="1"/>
  <c r="VX5" i="4"/>
  <c r="VL5" i="4"/>
  <c r="VM5" i="4" s="1"/>
  <c r="VX4" i="4"/>
  <c r="VQ4" i="4"/>
  <c r="VL4" i="4"/>
  <c r="VM4" i="4" s="1"/>
  <c r="VX3" i="4"/>
  <c r="VL3" i="4"/>
  <c r="VM3" i="4" s="1"/>
  <c r="VX2" i="4"/>
  <c r="VL2" i="4"/>
  <c r="VM2" i="4" s="1"/>
  <c r="VL48" i="3"/>
  <c r="VM48" i="3" s="1"/>
  <c r="VL47" i="3"/>
  <c r="VM47" i="3" s="1"/>
  <c r="VL46" i="3"/>
  <c r="VM46" i="3" s="1"/>
  <c r="VL45" i="3"/>
  <c r="VM45" i="3" s="1"/>
  <c r="VL44" i="3"/>
  <c r="VM44" i="3" s="1"/>
  <c r="VL43" i="3"/>
  <c r="VM43" i="3" s="1"/>
  <c r="VL42" i="3"/>
  <c r="VM42" i="3" s="1"/>
  <c r="VL41" i="3"/>
  <c r="VM41" i="3" s="1"/>
  <c r="VL40" i="3"/>
  <c r="VM40" i="3" s="1"/>
  <c r="VL39" i="3"/>
  <c r="VM39" i="3" s="1"/>
  <c r="VL38" i="3"/>
  <c r="VM38" i="3" s="1"/>
  <c r="VL37" i="3"/>
  <c r="VM37" i="3" s="1"/>
  <c r="VL36" i="3"/>
  <c r="VM36" i="3" s="1"/>
  <c r="VL35" i="3"/>
  <c r="VM35" i="3" s="1"/>
  <c r="VL34" i="3"/>
  <c r="VM34" i="3" s="1"/>
  <c r="VL33" i="3"/>
  <c r="VM33" i="3" s="1"/>
  <c r="VL32" i="3"/>
  <c r="VM32" i="3" s="1"/>
  <c r="VL31" i="3"/>
  <c r="VM31" i="3" s="1"/>
  <c r="VL30" i="3"/>
  <c r="VM30" i="3" s="1"/>
  <c r="VL29" i="3"/>
  <c r="VM29" i="3" s="1"/>
  <c r="VL28" i="3"/>
  <c r="VM28" i="3" s="1"/>
  <c r="VL27" i="3"/>
  <c r="VM27" i="3" s="1"/>
  <c r="VL26" i="3"/>
  <c r="VM26" i="3" s="1"/>
  <c r="VL25" i="3"/>
  <c r="VM25" i="3" s="1"/>
  <c r="VL24" i="3"/>
  <c r="VM24" i="3" s="1"/>
  <c r="VL23" i="3"/>
  <c r="VM23" i="3" s="1"/>
  <c r="VL22" i="3"/>
  <c r="VM22" i="3" s="1"/>
  <c r="VL21" i="3"/>
  <c r="VM21" i="3" s="1"/>
  <c r="VL20" i="3"/>
  <c r="VM20" i="3" s="1"/>
  <c r="VL19" i="3"/>
  <c r="VM19" i="3" s="1"/>
  <c r="VL18" i="3"/>
  <c r="VM18" i="3" s="1"/>
  <c r="VL17" i="3"/>
  <c r="VM17" i="3" s="1"/>
  <c r="VL16" i="3"/>
  <c r="VM16" i="3" s="1"/>
  <c r="VL15" i="3"/>
  <c r="VM15" i="3" s="1"/>
  <c r="VL14" i="3"/>
  <c r="VM14" i="3" s="1"/>
  <c r="VL13" i="3"/>
  <c r="VM13" i="3" s="1"/>
  <c r="VL12" i="3"/>
  <c r="VM12" i="3" s="1"/>
  <c r="VL11" i="3"/>
  <c r="VM11" i="3" s="1"/>
  <c r="VL10" i="3"/>
  <c r="VM10" i="3" s="1"/>
  <c r="VL9" i="3"/>
  <c r="VM9" i="3" s="1"/>
  <c r="VL8" i="3"/>
  <c r="VM8" i="3" s="1"/>
  <c r="VL7" i="3"/>
  <c r="VM7" i="3" s="1"/>
  <c r="VL6" i="3"/>
  <c r="VM6" i="3" s="1"/>
  <c r="VL5" i="3"/>
  <c r="VM5" i="3" s="1"/>
  <c r="VL4" i="3"/>
  <c r="VM4" i="3" s="1"/>
  <c r="VL3" i="3"/>
  <c r="VM3" i="3" s="1"/>
  <c r="VL2" i="3"/>
  <c r="VM2" i="3" s="1"/>
  <c r="VM30" i="2"/>
  <c r="VL30" i="2" s="1"/>
  <c r="VM29" i="2"/>
  <c r="VL29" i="2" s="1"/>
  <c r="VM28" i="2"/>
  <c r="VL28" i="2" s="1"/>
  <c r="VM27" i="2"/>
  <c r="VL27" i="2" s="1"/>
  <c r="VM26" i="2"/>
  <c r="VL26" i="2" s="1"/>
  <c r="VM25" i="2"/>
  <c r="VL25" i="2" s="1"/>
  <c r="VM24" i="2"/>
  <c r="VL24" i="2" s="1"/>
  <c r="VM23" i="2"/>
  <c r="VL23" i="2" s="1"/>
  <c r="VM22" i="2"/>
  <c r="VL22" i="2" s="1"/>
  <c r="VM21" i="2"/>
  <c r="VL21" i="2" s="1"/>
  <c r="VM20" i="2"/>
  <c r="VL20" i="2" s="1"/>
  <c r="VM19" i="2"/>
  <c r="VL19" i="2" s="1"/>
  <c r="VM18" i="2"/>
  <c r="VL18" i="2" s="1"/>
  <c r="VM17" i="2"/>
  <c r="VL17" i="2" s="1"/>
  <c r="VM16" i="2"/>
  <c r="VL16" i="2" s="1"/>
  <c r="VM15" i="2"/>
  <c r="VL15" i="2" s="1"/>
  <c r="VM14" i="2"/>
  <c r="VL14" i="2" s="1"/>
  <c r="VM13" i="2"/>
  <c r="VL13" i="2" s="1"/>
  <c r="VM12" i="2"/>
  <c r="VL12" i="2" s="1"/>
  <c r="VM11" i="2"/>
  <c r="VL11" i="2" s="1"/>
  <c r="VM10" i="2"/>
  <c r="VL10" i="2" s="1"/>
  <c r="VM9" i="2"/>
  <c r="VL9" i="2" s="1"/>
  <c r="VM8" i="2"/>
  <c r="VL8" i="2" s="1"/>
  <c r="VM7" i="2"/>
  <c r="VL7" i="2" s="1"/>
  <c r="VM6" i="2"/>
  <c r="VL6" i="2" s="1"/>
  <c r="VM5" i="2"/>
  <c r="VL5" i="2" s="1"/>
  <c r="VM4" i="2"/>
  <c r="VL4" i="2" s="1"/>
  <c r="VM3" i="2"/>
  <c r="VL3" i="2" s="1"/>
  <c r="VM2" i="2"/>
  <c r="VL2" i="2" s="1"/>
  <c r="Q62" i="6" l="1"/>
  <c r="WS8" i="4"/>
  <c r="AQ44" i="6" s="1"/>
  <c r="WS6" i="4"/>
  <c r="WU5" i="4"/>
  <c r="AF65" i="6"/>
  <c r="AF62" i="6"/>
  <c r="Y62" i="6"/>
  <c r="AF59" i="6"/>
  <c r="Y64" i="6"/>
  <c r="Y59" i="6"/>
  <c r="WS10" i="5"/>
  <c r="Q61" i="6"/>
  <c r="AF63" i="6"/>
  <c r="Y63" i="6"/>
  <c r="WS7" i="5"/>
  <c r="Y65" i="6"/>
  <c r="AF61" i="6"/>
  <c r="Q63" i="6"/>
  <c r="Y61" i="6"/>
  <c r="Y60" i="6"/>
  <c r="AF60" i="6"/>
  <c r="Z64" i="6"/>
  <c r="WS9" i="5"/>
  <c r="VY188" i="5"/>
  <c r="VW188" i="5"/>
  <c r="Q65" i="6"/>
  <c r="VY186" i="5"/>
  <c r="VW186" i="5"/>
  <c r="H64" i="6"/>
  <c r="VY187" i="5"/>
  <c r="VW187" i="5"/>
  <c r="Q59" i="6"/>
  <c r="WS2" i="4"/>
  <c r="AQ38" i="6" s="1"/>
  <c r="Q60" i="6"/>
  <c r="WS9" i="4"/>
  <c r="WW5" i="5"/>
  <c r="WX5" i="4"/>
  <c r="WP5" i="4"/>
  <c r="WT5" i="4"/>
  <c r="WS7" i="4"/>
  <c r="WV5" i="4"/>
  <c r="VU186" i="4"/>
  <c r="VV186" i="4" s="1"/>
  <c r="WW5" i="4"/>
  <c r="WS10" i="4"/>
  <c r="WR5" i="4"/>
  <c r="WT5" i="5"/>
  <c r="WX5" i="5"/>
  <c r="WV5" i="5"/>
  <c r="WS6" i="5"/>
  <c r="WR5" i="5"/>
  <c r="WP5" i="5"/>
  <c r="WU5" i="5"/>
  <c r="VT10" i="3"/>
  <c r="VU10" i="3" s="1"/>
  <c r="VT69" i="1"/>
  <c r="VU69" i="1" s="1"/>
  <c r="VT33" i="1"/>
  <c r="VU33" i="1" s="1"/>
  <c r="VT36" i="1"/>
  <c r="VU36" i="1" s="1"/>
  <c r="VT19" i="2"/>
  <c r="VU19" i="2" s="1"/>
  <c r="VT53" i="1"/>
  <c r="VU53" i="1" s="1"/>
  <c r="VT15" i="1"/>
  <c r="VU15" i="1" s="1"/>
  <c r="VT4" i="2"/>
  <c r="VU4" i="2" s="1"/>
  <c r="VT4" i="1"/>
  <c r="VU4" i="1" s="1"/>
  <c r="VT19" i="1"/>
  <c r="VU19" i="1" s="1"/>
  <c r="VT45" i="3"/>
  <c r="VU45" i="3" s="1"/>
  <c r="VT15" i="2"/>
  <c r="VU15" i="2" s="1"/>
  <c r="VT49" i="1"/>
  <c r="VU49" i="1" s="1"/>
  <c r="VT44" i="1"/>
  <c r="VU44" i="1" s="1"/>
  <c r="VT57" i="1"/>
  <c r="VU57" i="1" s="1"/>
  <c r="VT5" i="3"/>
  <c r="VU5" i="3" s="1"/>
  <c r="VT27" i="2"/>
  <c r="VU27" i="2" s="1"/>
  <c r="VT5" i="2"/>
  <c r="VU5" i="2" s="1"/>
  <c r="VT29" i="1"/>
  <c r="VU29" i="1" s="1"/>
  <c r="VT18" i="1"/>
  <c r="VU18" i="1" s="1"/>
  <c r="VT11" i="3"/>
  <c r="VU11" i="3" s="1"/>
  <c r="VT14" i="2"/>
  <c r="VU14" i="2" s="1"/>
  <c r="VT20" i="2"/>
  <c r="VU20" i="2" s="1"/>
  <c r="VT13" i="3"/>
  <c r="VU13" i="3" s="1"/>
  <c r="VT14" i="1"/>
  <c r="VU14" i="1" s="1"/>
  <c r="VT72" i="1"/>
  <c r="VU72" i="1" s="1"/>
  <c r="VT186" i="2"/>
  <c r="VU186" i="2" s="1"/>
  <c r="VV186" i="2" s="1"/>
  <c r="VY186" i="2" s="1"/>
  <c r="VT20" i="3"/>
  <c r="VU20" i="3" s="1"/>
  <c r="VT58" i="1"/>
  <c r="VU58" i="1" s="1"/>
  <c r="VT11" i="1"/>
  <c r="VU11" i="1" s="1"/>
  <c r="VT6" i="2"/>
  <c r="VU6" i="2" s="1"/>
  <c r="VT54" i="1"/>
  <c r="VU54" i="1" s="1"/>
  <c r="VT46" i="3"/>
  <c r="VU46" i="3" s="1"/>
  <c r="VT8" i="3"/>
  <c r="VU8" i="3" s="1"/>
  <c r="VT23" i="2"/>
  <c r="VU23" i="2" s="1"/>
  <c r="VT15" i="3"/>
  <c r="VU15" i="3" s="1"/>
  <c r="VT22" i="2"/>
  <c r="VU22" i="2" s="1"/>
  <c r="VT26" i="3"/>
  <c r="VU26" i="3" s="1"/>
  <c r="VT47" i="1"/>
  <c r="VU47" i="1" s="1"/>
  <c r="VT39" i="3"/>
  <c r="VU39" i="3" s="1"/>
  <c r="VT70" i="1"/>
  <c r="VU70" i="1" s="1"/>
  <c r="VT9" i="1"/>
  <c r="VU9" i="1" s="1"/>
  <c r="VT16" i="1"/>
  <c r="VU16" i="1" s="1"/>
  <c r="VT27" i="3"/>
  <c r="VU27" i="3" s="1"/>
  <c r="VT65" i="1"/>
  <c r="VU65" i="1" s="1"/>
  <c r="VT19" i="3"/>
  <c r="VU19" i="3" s="1"/>
  <c r="VT14" i="3"/>
  <c r="VU14" i="3" s="1"/>
  <c r="VT48" i="1"/>
  <c r="VU48" i="1" s="1"/>
  <c r="VT52" i="1"/>
  <c r="VU52" i="1" s="1"/>
  <c r="VT43" i="3"/>
  <c r="VU43" i="3" s="1"/>
  <c r="VT12" i="1"/>
  <c r="VU12" i="1" s="1"/>
  <c r="VT60" i="1"/>
  <c r="VU60" i="1" s="1"/>
  <c r="VT27" i="1"/>
  <c r="VU27" i="1" s="1"/>
  <c r="VT41" i="3"/>
  <c r="VU41" i="3" s="1"/>
  <c r="VT67" i="1"/>
  <c r="VU67" i="1" s="1"/>
  <c r="VT8" i="1"/>
  <c r="VU8" i="1" s="1"/>
  <c r="VT25" i="2"/>
  <c r="VU25" i="2" s="1"/>
  <c r="VT18" i="2"/>
  <c r="VU18" i="2" s="1"/>
  <c r="VT28" i="2"/>
  <c r="VU28" i="2" s="1"/>
  <c r="VT2" i="1"/>
  <c r="VU2" i="1" s="1"/>
  <c r="VT13" i="1"/>
  <c r="VU13" i="1" s="1"/>
  <c r="VT50" i="1"/>
  <c r="VU50" i="1" s="1"/>
  <c r="VT17" i="1"/>
  <c r="VU17" i="1" s="1"/>
  <c r="VT17" i="3"/>
  <c r="VU17" i="3" s="1"/>
  <c r="VT32" i="3"/>
  <c r="VU32" i="3" s="1"/>
  <c r="VT25" i="3"/>
  <c r="VU25" i="3" s="1"/>
  <c r="VT48" i="3"/>
  <c r="VU48" i="3" s="1"/>
  <c r="VT31" i="1"/>
  <c r="VU31" i="1" s="1"/>
  <c r="VT5" i="1"/>
  <c r="VU5" i="1" s="1"/>
  <c r="VT2" i="3"/>
  <c r="VU2" i="3" s="1"/>
  <c r="VT28" i="3"/>
  <c r="VU28" i="3" s="1"/>
  <c r="VT10" i="1"/>
  <c r="VU10" i="1" s="1"/>
  <c r="VT17" i="2"/>
  <c r="VU17" i="2" s="1"/>
  <c r="VT40" i="1"/>
  <c r="VU40" i="1" s="1"/>
  <c r="VT3" i="1"/>
  <c r="VU3" i="1" s="1"/>
  <c r="VT30" i="2"/>
  <c r="VU30" i="2" s="1"/>
  <c r="VT8" i="2"/>
  <c r="VU8" i="2" s="1"/>
  <c r="VT47" i="3"/>
  <c r="VU47" i="3" s="1"/>
  <c r="VT21" i="3"/>
  <c r="VU21" i="3" s="1"/>
  <c r="VT36" i="3"/>
  <c r="VU36" i="3" s="1"/>
  <c r="VT7" i="3"/>
  <c r="VU7" i="3" s="1"/>
  <c r="VT33" i="3"/>
  <c r="VU33" i="3" s="1"/>
  <c r="VT55" i="1"/>
  <c r="VU55" i="1" s="1"/>
  <c r="VT26" i="1"/>
  <c r="VU26" i="1" s="1"/>
  <c r="VT37" i="3"/>
  <c r="VU37" i="3" s="1"/>
  <c r="VT186" i="3"/>
  <c r="VU186" i="3" s="1"/>
  <c r="VV186" i="3" s="1"/>
  <c r="VT62" i="1"/>
  <c r="VU62" i="1" s="1"/>
  <c r="VT29" i="3"/>
  <c r="VU29" i="3" s="1"/>
  <c r="VT68" i="1"/>
  <c r="VU68" i="1" s="1"/>
  <c r="VT30" i="3"/>
  <c r="VU30" i="3" s="1"/>
  <c r="VT3" i="3"/>
  <c r="VU3" i="3" s="1"/>
  <c r="VT16" i="3"/>
  <c r="VU16" i="3" s="1"/>
  <c r="VT13" i="2"/>
  <c r="VU13" i="2" s="1"/>
  <c r="VT25" i="1"/>
  <c r="VU25" i="1" s="1"/>
  <c r="VT46" i="1"/>
  <c r="VU46" i="1" s="1"/>
  <c r="VT42" i="3"/>
  <c r="VU42" i="3" s="1"/>
  <c r="VT40" i="3"/>
  <c r="VU40" i="3" s="1"/>
  <c r="VT42" i="1"/>
  <c r="VU42" i="1" s="1"/>
  <c r="VT38" i="1"/>
  <c r="VU38" i="1" s="1"/>
  <c r="VT22" i="3"/>
  <c r="VU22" i="3" s="1"/>
  <c r="VT51" i="1"/>
  <c r="VU51" i="1" s="1"/>
  <c r="VT31" i="3"/>
  <c r="VU31" i="3" s="1"/>
  <c r="VT2" i="2"/>
  <c r="VU2" i="2" s="1"/>
  <c r="VT29" i="2"/>
  <c r="VU29" i="2" s="1"/>
  <c r="VT23" i="1"/>
  <c r="VU23" i="1" s="1"/>
  <c r="VT39" i="1"/>
  <c r="VU39" i="1" s="1"/>
  <c r="VT18" i="3"/>
  <c r="VU18" i="3" s="1"/>
  <c r="VT32" i="1"/>
  <c r="VU32" i="1" s="1"/>
  <c r="VT7" i="1"/>
  <c r="VU7" i="1" s="1"/>
  <c r="OY80" i="2"/>
  <c r="OT79" i="2" s="1"/>
  <c r="VT35" i="1"/>
  <c r="VU35" i="1" s="1"/>
  <c r="VT187" i="3"/>
  <c r="VU187" i="3" s="1"/>
  <c r="VV187" i="3" s="1"/>
  <c r="VT11" i="2"/>
  <c r="VU11" i="2" s="1"/>
  <c r="VT34" i="3"/>
  <c r="VU34" i="3" s="1"/>
  <c r="VT21" i="2"/>
  <c r="VU21" i="2" s="1"/>
  <c r="VT24" i="3"/>
  <c r="VU24" i="3" s="1"/>
  <c r="VT6" i="3"/>
  <c r="VU6" i="3" s="1"/>
  <c r="VT28" i="1"/>
  <c r="VU28" i="1" s="1"/>
  <c r="VT16" i="2"/>
  <c r="VU16" i="2" s="1"/>
  <c r="VT61" i="1"/>
  <c r="VU61" i="1" s="1"/>
  <c r="VT23" i="3"/>
  <c r="VU23" i="3" s="1"/>
  <c r="VT37" i="1"/>
  <c r="VU37" i="1" s="1"/>
  <c r="VT63" i="1"/>
  <c r="VU63" i="1" s="1"/>
  <c r="VT34" i="1"/>
  <c r="VU34" i="1" s="1"/>
  <c r="VT10" i="2"/>
  <c r="VU10" i="2" s="1"/>
  <c r="OY80" i="1"/>
  <c r="VT21" i="1"/>
  <c r="VU21" i="1" s="1"/>
  <c r="VT6" i="1"/>
  <c r="VU6" i="1" s="1"/>
  <c r="VT12" i="3"/>
  <c r="VU12" i="3" s="1"/>
  <c r="VT9" i="3"/>
  <c r="VU9" i="3" s="1"/>
  <c r="VT3" i="2"/>
  <c r="VU3" i="2" s="1"/>
  <c r="VT12" i="2"/>
  <c r="VU12" i="2" s="1"/>
  <c r="VT59" i="1"/>
  <c r="VU59" i="1" s="1"/>
  <c r="VT30" i="1"/>
  <c r="VU30" i="1" s="1"/>
  <c r="VT7" i="2"/>
  <c r="VU7" i="2" s="1"/>
  <c r="VT35" i="3"/>
  <c r="VU35" i="3" s="1"/>
  <c r="VT20" i="1"/>
  <c r="VU20" i="1" s="1"/>
  <c r="VT38" i="3"/>
  <c r="VU38" i="3" s="1"/>
  <c r="VT24" i="2"/>
  <c r="VU24" i="2" s="1"/>
  <c r="VT9" i="2"/>
  <c r="VU9" i="2" s="1"/>
  <c r="VT66" i="1"/>
  <c r="VU66" i="1" s="1"/>
  <c r="VT71" i="1"/>
  <c r="VU71" i="1" s="1"/>
  <c r="VT44" i="3"/>
  <c r="VU44" i="3" s="1"/>
  <c r="VT43" i="1"/>
  <c r="VU43" i="1" s="1"/>
  <c r="OY80" i="3"/>
  <c r="VT22" i="1"/>
  <c r="VU22" i="1" s="1"/>
  <c r="VT4" i="3"/>
  <c r="VU4" i="3" s="1"/>
  <c r="VT56" i="1"/>
  <c r="VU56" i="1" s="1"/>
  <c r="VT64" i="1"/>
  <c r="VU64" i="1" s="1"/>
  <c r="VT41" i="1"/>
  <c r="VU41" i="1" s="1"/>
  <c r="VT45" i="1"/>
  <c r="VU45" i="1" s="1"/>
  <c r="VT26" i="2"/>
  <c r="VU26" i="2" s="1"/>
  <c r="AP31" i="6"/>
  <c r="WX5" i="3"/>
  <c r="WB24" i="4"/>
  <c r="WI24" i="4" s="1"/>
  <c r="WK24" i="4"/>
  <c r="WB20" i="4"/>
  <c r="WI20" i="4" s="1"/>
  <c r="WK20" i="4"/>
  <c r="WB4" i="4"/>
  <c r="WK4" i="4"/>
  <c r="WB4" i="5"/>
  <c r="WK4" i="5"/>
  <c r="WB10" i="4"/>
  <c r="WI10" i="4" s="1"/>
  <c r="WK10" i="4"/>
  <c r="WB56" i="4"/>
  <c r="WI56" i="4" s="1"/>
  <c r="WK56" i="4"/>
  <c r="WB19" i="5"/>
  <c r="WI19" i="5" s="1"/>
  <c r="WK19" i="5"/>
  <c r="WB25" i="5"/>
  <c r="WI25" i="5" s="1"/>
  <c r="WK25" i="5"/>
  <c r="WB19" i="4"/>
  <c r="WI19" i="4" s="1"/>
  <c r="WK19" i="4"/>
  <c r="WB8" i="5"/>
  <c r="WK8" i="5"/>
  <c r="WB34" i="4"/>
  <c r="WI34" i="4" s="1"/>
  <c r="WK34" i="4"/>
  <c r="WB32" i="5"/>
  <c r="WI32" i="5" s="1"/>
  <c r="WK32" i="5"/>
  <c r="WR7" i="2"/>
  <c r="AP32" i="6" s="1"/>
  <c r="WV4" i="2"/>
  <c r="AT29" i="6" s="1"/>
  <c r="WX4" i="2"/>
  <c r="AV29" i="6" s="1"/>
  <c r="WI3" i="2"/>
  <c r="WR9" i="2"/>
  <c r="AP34" i="6" s="1"/>
  <c r="WU4" i="2"/>
  <c r="AS29" i="6" s="1"/>
  <c r="WT4" i="2"/>
  <c r="AR29" i="6" s="1"/>
  <c r="WQ4" i="2"/>
  <c r="WR10" i="2"/>
  <c r="AP35" i="6" s="1"/>
  <c r="WP4" i="2"/>
  <c r="AN29" i="6" s="1"/>
  <c r="WR8" i="2"/>
  <c r="AP33" i="6" s="1"/>
  <c r="WR2" i="2"/>
  <c r="AP27" i="6" s="1"/>
  <c r="WU5" i="3"/>
  <c r="WI16" i="2"/>
  <c r="WS4" i="2"/>
  <c r="AQ29" i="6" s="1"/>
  <c r="WI21" i="2"/>
  <c r="WS7" i="2"/>
  <c r="WI4" i="2"/>
  <c r="WS6" i="2"/>
  <c r="WV5" i="2"/>
  <c r="WS9" i="2"/>
  <c r="WT5" i="2"/>
  <c r="WS10" i="2"/>
  <c r="WX5" i="2"/>
  <c r="WP5" i="2"/>
  <c r="WW5" i="2"/>
  <c r="WU5" i="2"/>
  <c r="WR5" i="2"/>
  <c r="WQ5" i="2"/>
  <c r="WI5" i="1"/>
  <c r="WU5" i="1"/>
  <c r="WS6" i="1"/>
  <c r="WS10" i="1"/>
  <c r="WT5" i="1"/>
  <c r="WS9" i="1"/>
  <c r="WX5" i="1"/>
  <c r="WW5" i="1"/>
  <c r="WR5" i="1"/>
  <c r="WV5" i="1"/>
  <c r="WP5" i="1"/>
  <c r="WQ5" i="1"/>
  <c r="WI39" i="3"/>
  <c r="WO71" i="3" s="1"/>
  <c r="P78" i="6" s="1"/>
  <c r="WS2" i="3"/>
  <c r="WT5" i="3"/>
  <c r="WP5" i="3"/>
  <c r="WS9" i="3"/>
  <c r="WS10" i="3"/>
  <c r="WR5" i="3"/>
  <c r="WW5" i="3"/>
  <c r="WI8" i="1"/>
  <c r="WS7" i="1"/>
  <c r="WV5" i="3"/>
  <c r="WI28" i="1"/>
  <c r="WS2" i="1"/>
  <c r="WQ5" i="3"/>
  <c r="WS8" i="3"/>
  <c r="AQ33" i="6" s="1"/>
  <c r="I65" i="6"/>
  <c r="H65" i="6"/>
  <c r="H59" i="6"/>
  <c r="I59" i="6"/>
  <c r="I63" i="6"/>
  <c r="H63" i="6"/>
  <c r="H62" i="6"/>
  <c r="I62" i="6"/>
  <c r="H60" i="6"/>
  <c r="I60" i="6"/>
  <c r="I61" i="6"/>
  <c r="H61" i="6"/>
  <c r="Z62" i="6"/>
  <c r="Z63" i="6"/>
  <c r="Z61" i="6"/>
  <c r="Z60" i="6"/>
  <c r="Z59" i="6"/>
  <c r="Z65" i="6"/>
  <c r="AH65" i="6"/>
  <c r="AG65" i="6"/>
  <c r="VR79" i="3"/>
  <c r="VQ83" i="2"/>
  <c r="VW81" i="3"/>
  <c r="VW89" i="3" s="1"/>
  <c r="VR83" i="3"/>
  <c r="VR82" i="3"/>
  <c r="VV81" i="2"/>
  <c r="VV89" i="2" s="1"/>
  <c r="VV83" i="3"/>
  <c r="VZ81" i="2"/>
  <c r="VZ89" i="2" s="1"/>
  <c r="VW83" i="2"/>
  <c r="VR81" i="4"/>
  <c r="VR89" i="4" s="1"/>
  <c r="VY82" i="3"/>
  <c r="VW83" i="3"/>
  <c r="VY83" i="2"/>
  <c r="VR83" i="2"/>
  <c r="VV77" i="2"/>
  <c r="WB81" i="2"/>
  <c r="WB89" i="2" s="1"/>
  <c r="VZ83" i="2"/>
  <c r="VQ77" i="3"/>
  <c r="VR77" i="3"/>
  <c r="VY77" i="2"/>
  <c r="VV82" i="2"/>
  <c r="WB83" i="2"/>
  <c r="VQ79" i="3"/>
  <c r="VR81" i="2"/>
  <c r="VR89" i="2" s="1"/>
  <c r="VW77" i="2"/>
  <c r="VZ77" i="2"/>
  <c r="VV79" i="3"/>
  <c r="VY82" i="2"/>
  <c r="VQ77" i="2"/>
  <c r="VQ81" i="3"/>
  <c r="VQ89" i="3" s="1"/>
  <c r="WB82" i="2"/>
  <c r="VW77" i="3"/>
  <c r="VW82" i="2"/>
  <c r="VQ82" i="5"/>
  <c r="VW79" i="3"/>
  <c r="WB77" i="2"/>
  <c r="VZ82" i="2"/>
  <c r="VR77" i="2"/>
  <c r="VR81" i="3"/>
  <c r="VR89" i="3" s="1"/>
  <c r="WC81" i="2"/>
  <c r="WC89" i="2" s="1"/>
  <c r="VV77" i="3"/>
  <c r="WC83" i="2"/>
  <c r="VV81" i="3"/>
  <c r="VV89" i="3" s="1"/>
  <c r="WC77" i="2"/>
  <c r="VQ81" i="2"/>
  <c r="VQ89" i="2" s="1"/>
  <c r="VQ82" i="3"/>
  <c r="VV82" i="3"/>
  <c r="VW81" i="2"/>
  <c r="VW89" i="2" s="1"/>
  <c r="WC82" i="2"/>
  <c r="VQ82" i="2"/>
  <c r="VQ83" i="3"/>
  <c r="VW82" i="3"/>
  <c r="VY81" i="2"/>
  <c r="VY89" i="2" s="1"/>
  <c r="VV83" i="2"/>
  <c r="VR82" i="2"/>
  <c r="VQ83" i="5"/>
  <c r="VQ76" i="3"/>
  <c r="VR78" i="3"/>
  <c r="VX133" i="1"/>
  <c r="VX133" i="2"/>
  <c r="VX135" i="5"/>
  <c r="VX134" i="4"/>
  <c r="VX133" i="3"/>
  <c r="WB82" i="5"/>
  <c r="VQ81" i="5"/>
  <c r="VQ89" i="5" s="1"/>
  <c r="VR81" i="5"/>
  <c r="VR89" i="5" s="1"/>
  <c r="VQ80" i="5"/>
  <c r="VQ88" i="5" s="1"/>
  <c r="VR82" i="5"/>
  <c r="VR83" i="5"/>
  <c r="VV81" i="5"/>
  <c r="VQ82" i="4"/>
  <c r="VZ81" i="4"/>
  <c r="VQ81" i="4"/>
  <c r="VQ89" i="4" s="1"/>
  <c r="VR83" i="4"/>
  <c r="VQ83" i="4"/>
  <c r="VQ76" i="4"/>
  <c r="VQ79" i="4"/>
  <c r="VW83" i="1"/>
  <c r="VR82" i="1"/>
  <c r="VV83" i="1"/>
  <c r="VY83" i="1"/>
  <c r="VQ83" i="1"/>
  <c r="VV80" i="1"/>
  <c r="VZ83" i="1"/>
  <c r="VR83" i="1"/>
  <c r="VW80" i="1"/>
  <c r="WA83" i="1"/>
  <c r="VY80" i="1"/>
  <c r="VV82" i="1"/>
  <c r="WB83" i="1"/>
  <c r="VZ80" i="1"/>
  <c r="VW82" i="1"/>
  <c r="WC83" i="1"/>
  <c r="VR79" i="4"/>
  <c r="WA80" i="1"/>
  <c r="VY82" i="1"/>
  <c r="VQ82" i="1"/>
  <c r="VQ80" i="3"/>
  <c r="VQ88" i="3" s="1"/>
  <c r="VQ77" i="5"/>
  <c r="WB80" i="1"/>
  <c r="VZ82" i="1"/>
  <c r="VQ80" i="1"/>
  <c r="VQ88" i="1" s="1"/>
  <c r="VQ80" i="4"/>
  <c r="VQ88" i="4" s="1"/>
  <c r="VR77" i="5"/>
  <c r="WC80" i="1"/>
  <c r="WA82" i="1"/>
  <c r="VR80" i="1"/>
  <c r="VR88" i="1" s="1"/>
  <c r="VQ79" i="5"/>
  <c r="WB82" i="1"/>
  <c r="WC82" i="1"/>
  <c r="VQ79" i="2"/>
  <c r="VQ76" i="5"/>
  <c r="VR79" i="2"/>
  <c r="VQ78" i="3"/>
  <c r="VQ77" i="4"/>
  <c r="VQ78" i="5"/>
  <c r="VR78" i="5"/>
  <c r="A70" i="6"/>
  <c r="WB81" i="5"/>
  <c r="VZ82" i="5"/>
  <c r="VY81" i="4"/>
  <c r="WA81" i="4"/>
  <c r="WC82" i="5"/>
  <c r="WB81" i="4"/>
  <c r="VV83" i="5"/>
  <c r="WC81" i="4"/>
  <c r="VZ83" i="5"/>
  <c r="VW81" i="4"/>
  <c r="VV81" i="4"/>
  <c r="WB83" i="5"/>
  <c r="VV82" i="5"/>
  <c r="WA83" i="5"/>
  <c r="WC81" i="5"/>
  <c r="VY83" i="5"/>
  <c r="WA81" i="5"/>
  <c r="VW83" i="5"/>
  <c r="VZ81" i="5"/>
  <c r="VY82" i="5"/>
  <c r="WC83" i="5"/>
  <c r="VW82" i="5"/>
  <c r="VW81" i="5"/>
  <c r="WA82" i="5"/>
  <c r="VY81" i="5"/>
  <c r="VZ82" i="3"/>
  <c r="WA82" i="3"/>
  <c r="VY77" i="3"/>
  <c r="WB82" i="3"/>
  <c r="VZ77" i="3"/>
  <c r="WC82" i="3"/>
  <c r="WA77" i="3"/>
  <c r="VY83" i="3"/>
  <c r="WC79" i="3"/>
  <c r="WB77" i="3"/>
  <c r="VZ83" i="3"/>
  <c r="WC77" i="3"/>
  <c r="VY81" i="3"/>
  <c r="WA83" i="3"/>
  <c r="VY79" i="3"/>
  <c r="VZ81" i="3"/>
  <c r="WB83" i="3"/>
  <c r="VZ79" i="3"/>
  <c r="WA81" i="3"/>
  <c r="WC83" i="3"/>
  <c r="WA79" i="3"/>
  <c r="WB81" i="3"/>
  <c r="WB79" i="3"/>
  <c r="WC81" i="3"/>
  <c r="VU80" i="1"/>
  <c r="VU82" i="1"/>
  <c r="VU83" i="1"/>
  <c r="VQ5" i="5"/>
  <c r="VR80" i="5"/>
  <c r="VR88" i="5" s="1"/>
  <c r="VQ48" i="4"/>
  <c r="VQ60" i="4"/>
  <c r="VQ57" i="4"/>
  <c r="VQ7" i="4"/>
  <c r="VQ2" i="4"/>
  <c r="VQ13" i="4"/>
  <c r="VQ27" i="4"/>
  <c r="VQ39" i="4"/>
  <c r="VQ41" i="4"/>
  <c r="VQ18" i="4"/>
  <c r="VQ22" i="4"/>
  <c r="VQ25" i="4"/>
  <c r="VQ37" i="4"/>
  <c r="VQ43" i="4"/>
  <c r="VQ21" i="5"/>
  <c r="VQ23" i="5"/>
  <c r="VQ28" i="5"/>
  <c r="VQ6" i="5"/>
  <c r="VQ17" i="5"/>
  <c r="VQ30" i="5"/>
  <c r="VQ76" i="2"/>
  <c r="VR80" i="2"/>
  <c r="OT75" i="2"/>
  <c r="OT76" i="2"/>
  <c r="VR78" i="2"/>
  <c r="VQ78" i="4"/>
  <c r="OT82" i="2"/>
  <c r="VU20" i="4"/>
  <c r="VQ11" i="4"/>
  <c r="VQ55" i="4"/>
  <c r="VR80" i="3"/>
  <c r="VR88" i="3" s="1"/>
  <c r="VR76" i="3"/>
  <c r="VQ9" i="4"/>
  <c r="VQ32" i="4"/>
  <c r="VQ8" i="4"/>
  <c r="VQ26" i="4"/>
  <c r="VQ6" i="4"/>
  <c r="VQ31" i="4"/>
  <c r="VQ38" i="4"/>
  <c r="VQ49" i="4"/>
  <c r="VQ27" i="5"/>
  <c r="VQ15" i="4"/>
  <c r="VQ17" i="4"/>
  <c r="VQ36" i="4"/>
  <c r="VQ47" i="4"/>
  <c r="VQ59" i="4"/>
  <c r="VQ3" i="5"/>
  <c r="VQ16" i="5"/>
  <c r="OT78" i="2"/>
  <c r="VQ29" i="4"/>
  <c r="VQ45" i="4"/>
  <c r="VQ10" i="5"/>
  <c r="VQ12" i="5"/>
  <c r="VQ14" i="5"/>
  <c r="VQ34" i="5"/>
  <c r="VQ16" i="4"/>
  <c r="VQ46" i="4"/>
  <c r="VQ13" i="5"/>
  <c r="VQ15" i="5"/>
  <c r="VQ26" i="5"/>
  <c r="VQ5" i="4"/>
  <c r="VQ35" i="4"/>
  <c r="VQ58" i="4"/>
  <c r="VQ2" i="5"/>
  <c r="VQ11" i="5"/>
  <c r="VQ22" i="5"/>
  <c r="VQ33" i="5"/>
  <c r="VQ14" i="4"/>
  <c r="VQ30" i="4"/>
  <c r="VQ3" i="4"/>
  <c r="VQ12" i="4"/>
  <c r="VQ23" i="4"/>
  <c r="VQ28" i="4"/>
  <c r="VQ42" i="4"/>
  <c r="VQ44" i="4"/>
  <c r="VQ53" i="4"/>
  <c r="VQ61" i="4"/>
  <c r="VQ9" i="5"/>
  <c r="VQ20" i="5"/>
  <c r="VQ24" i="5"/>
  <c r="VQ31" i="5"/>
  <c r="VQ51" i="4"/>
  <c r="VQ7" i="5"/>
  <c r="VR79" i="5"/>
  <c r="VQ21" i="4"/>
  <c r="VQ33" i="4"/>
  <c r="VQ40" i="4"/>
  <c r="VQ18" i="5"/>
  <c r="VQ29" i="5"/>
  <c r="VU25" i="5"/>
  <c r="VU19" i="5"/>
  <c r="VU56" i="4"/>
  <c r="VQ62" i="4"/>
  <c r="VQ50" i="4"/>
  <c r="VQ52" i="4"/>
  <c r="VQ54" i="4"/>
  <c r="VR82" i="4"/>
  <c r="OT77" i="2"/>
  <c r="AS41" i="6" l="1"/>
  <c r="AQ42" i="6"/>
  <c r="AT41" i="6"/>
  <c r="AQ45" i="6"/>
  <c r="AQ46" i="6"/>
  <c r="AQ43" i="6"/>
  <c r="AP41" i="6"/>
  <c r="AV41" i="6"/>
  <c r="AU41" i="6"/>
  <c r="VY187" i="3"/>
  <c r="VW187" i="3"/>
  <c r="VW186" i="3"/>
  <c r="VY186" i="3"/>
  <c r="AR41" i="6"/>
  <c r="AN41" i="6"/>
  <c r="AQ32" i="6"/>
  <c r="AQ31" i="6"/>
  <c r="AQ27" i="6"/>
  <c r="AV30" i="6"/>
  <c r="AN30" i="6"/>
  <c r="AT30" i="6"/>
  <c r="WO69" i="1"/>
  <c r="L76" i="6" s="1"/>
  <c r="AP30" i="6"/>
  <c r="AU30" i="6"/>
  <c r="AQ34" i="6"/>
  <c r="AR30" i="6"/>
  <c r="AQ35" i="6"/>
  <c r="AS30" i="6"/>
  <c r="VR93" i="3"/>
  <c r="VR87" i="3"/>
  <c r="WO71" i="1"/>
  <c r="L78" i="6" s="1"/>
  <c r="WO72" i="2"/>
  <c r="N79" i="6" s="1"/>
  <c r="WO72" i="1"/>
  <c r="L79" i="6" s="1"/>
  <c r="WB22" i="5"/>
  <c r="WI22" i="5" s="1"/>
  <c r="WK22" i="5"/>
  <c r="WB58" i="4"/>
  <c r="WI58" i="4" s="1"/>
  <c r="WK58" i="4"/>
  <c r="WB52" i="4"/>
  <c r="WI52" i="4" s="1"/>
  <c r="WK52" i="4"/>
  <c r="WB22" i="4"/>
  <c r="WI22" i="4" s="1"/>
  <c r="WK22" i="4"/>
  <c r="WB2" i="5"/>
  <c r="WK2" i="5"/>
  <c r="WB40" i="4"/>
  <c r="WI40" i="4" s="1"/>
  <c r="WK40" i="4"/>
  <c r="WB42" i="4"/>
  <c r="WI42" i="4" s="1"/>
  <c r="WK42" i="4"/>
  <c r="WB25" i="4"/>
  <c r="WI25" i="4" s="1"/>
  <c r="WK25" i="4"/>
  <c r="WB9" i="5"/>
  <c r="WK9" i="5"/>
  <c r="WB6" i="5"/>
  <c r="WI6" i="5" s="1"/>
  <c r="WK6" i="5"/>
  <c r="WB11" i="5"/>
  <c r="WI11" i="5" s="1"/>
  <c r="WK11" i="5"/>
  <c r="WB21" i="5"/>
  <c r="WI21" i="5" s="1"/>
  <c r="WK21" i="5"/>
  <c r="WB35" i="4"/>
  <c r="WI35" i="4" s="1"/>
  <c r="WK35" i="4"/>
  <c r="WB54" i="4"/>
  <c r="WI54" i="4" s="1"/>
  <c r="WK54" i="4"/>
  <c r="WB26" i="4"/>
  <c r="WI26" i="4" s="1"/>
  <c r="WK26" i="4"/>
  <c r="WB7" i="5"/>
  <c r="WI7" i="5" s="1"/>
  <c r="WK7" i="5"/>
  <c r="WB3" i="5"/>
  <c r="WK3" i="5"/>
  <c r="WB8" i="4"/>
  <c r="WI8" i="4" s="1"/>
  <c r="WK8" i="4"/>
  <c r="WB5" i="5"/>
  <c r="WI5" i="5" s="1"/>
  <c r="WK5" i="5"/>
  <c r="WB51" i="4"/>
  <c r="WI51" i="4" s="1"/>
  <c r="WK51" i="4"/>
  <c r="WB13" i="5"/>
  <c r="WI13" i="5" s="1"/>
  <c r="WK13" i="5"/>
  <c r="WB32" i="4"/>
  <c r="WI32" i="4" s="1"/>
  <c r="WK32" i="4"/>
  <c r="WB62" i="4"/>
  <c r="WI62" i="4" s="1"/>
  <c r="WK62" i="4"/>
  <c r="WB31" i="5"/>
  <c r="WI31" i="5" s="1"/>
  <c r="WK31" i="5"/>
  <c r="WB30" i="4"/>
  <c r="WI30" i="4" s="1"/>
  <c r="WK30" i="4"/>
  <c r="WB46" i="4"/>
  <c r="WI46" i="4" s="1"/>
  <c r="WK46" i="4"/>
  <c r="WB47" i="4"/>
  <c r="WI47" i="4" s="1"/>
  <c r="WK47" i="4"/>
  <c r="WB9" i="4"/>
  <c r="WI9" i="4" s="1"/>
  <c r="WK9" i="4"/>
  <c r="WB41" i="4"/>
  <c r="WI41" i="4" s="1"/>
  <c r="WK41" i="4"/>
  <c r="WB45" i="4"/>
  <c r="WI45" i="4" s="1"/>
  <c r="WK45" i="4"/>
  <c r="WB26" i="5"/>
  <c r="WI26" i="5" s="1"/>
  <c r="WK26" i="5"/>
  <c r="WB15" i="5"/>
  <c r="WI15" i="5" s="1"/>
  <c r="WK15" i="5"/>
  <c r="WB24" i="5"/>
  <c r="WI24" i="5" s="1"/>
  <c r="WK24" i="5"/>
  <c r="WB14" i="4"/>
  <c r="WI14" i="4" s="1"/>
  <c r="WK14" i="4"/>
  <c r="WB16" i="4"/>
  <c r="WI16" i="4" s="1"/>
  <c r="WK16" i="4"/>
  <c r="WB39" i="4"/>
  <c r="WI39" i="4" s="1"/>
  <c r="WK39" i="4"/>
  <c r="WB10" i="5"/>
  <c r="WI10" i="5" s="1"/>
  <c r="WK10" i="5"/>
  <c r="WB44" i="4"/>
  <c r="WI44" i="4" s="1"/>
  <c r="WK44" i="4"/>
  <c r="WB23" i="4"/>
  <c r="WI23" i="4" s="1"/>
  <c r="WK23" i="4"/>
  <c r="WB16" i="5"/>
  <c r="WI16" i="5" s="1"/>
  <c r="WK16" i="5"/>
  <c r="WB12" i="4"/>
  <c r="WI12" i="4" s="1"/>
  <c r="WK12" i="4"/>
  <c r="WB50" i="4"/>
  <c r="WI50" i="4" s="1"/>
  <c r="WK50" i="4"/>
  <c r="WB3" i="4"/>
  <c r="WI3" i="4" s="1"/>
  <c r="WK3" i="4"/>
  <c r="WB59" i="4"/>
  <c r="WI59" i="4" s="1"/>
  <c r="WK59" i="4"/>
  <c r="WB18" i="4"/>
  <c r="WI18" i="4" s="1"/>
  <c r="WK18" i="4"/>
  <c r="WB36" i="4"/>
  <c r="WI36" i="4" s="1"/>
  <c r="WK36" i="4"/>
  <c r="WB30" i="5"/>
  <c r="WI30" i="5" s="1"/>
  <c r="WK30" i="5"/>
  <c r="WB20" i="5"/>
  <c r="WI20" i="5" s="1"/>
  <c r="WK20" i="5"/>
  <c r="WB33" i="5"/>
  <c r="WI33" i="5" s="1"/>
  <c r="WK33" i="5"/>
  <c r="WB34" i="5"/>
  <c r="WI34" i="5" s="1"/>
  <c r="WK34" i="5"/>
  <c r="WB17" i="4"/>
  <c r="WI17" i="4" s="1"/>
  <c r="WK17" i="4"/>
  <c r="WB17" i="5"/>
  <c r="WI17" i="5" s="1"/>
  <c r="WK17" i="5"/>
  <c r="WB27" i="4"/>
  <c r="WI27" i="4" s="1"/>
  <c r="WK27" i="4"/>
  <c r="WI8" i="5"/>
  <c r="WQ8" i="5"/>
  <c r="WI4" i="5"/>
  <c r="WB13" i="4"/>
  <c r="WK13" i="4"/>
  <c r="WB15" i="4"/>
  <c r="WI15" i="4" s="1"/>
  <c r="WK15" i="4"/>
  <c r="WB12" i="5"/>
  <c r="WI12" i="5" s="1"/>
  <c r="WK12" i="5"/>
  <c r="WB27" i="5"/>
  <c r="WI27" i="5" s="1"/>
  <c r="WK27" i="5"/>
  <c r="WB11" i="4"/>
  <c r="WI11" i="4" s="1"/>
  <c r="WK11" i="4"/>
  <c r="WB28" i="5"/>
  <c r="WI28" i="5" s="1"/>
  <c r="WK28" i="5"/>
  <c r="WB2" i="4"/>
  <c r="WK2" i="4"/>
  <c r="WI4" i="4"/>
  <c r="WB29" i="5"/>
  <c r="WI29" i="5" s="1"/>
  <c r="WK29" i="5"/>
  <c r="WB23" i="5"/>
  <c r="WI23" i="5" s="1"/>
  <c r="WK23" i="5"/>
  <c r="WB7" i="4"/>
  <c r="WK7" i="4"/>
  <c r="WB18" i="5"/>
  <c r="WI18" i="5" s="1"/>
  <c r="WK18" i="5"/>
  <c r="WB38" i="4"/>
  <c r="WI38" i="4" s="1"/>
  <c r="WK38" i="4"/>
  <c r="WB57" i="4"/>
  <c r="WI57" i="4" s="1"/>
  <c r="WK57" i="4"/>
  <c r="WB55" i="4"/>
  <c r="WI55" i="4" s="1"/>
  <c r="WK55" i="4"/>
  <c r="WB43" i="4"/>
  <c r="WI43" i="4" s="1"/>
  <c r="WK43" i="4"/>
  <c r="WB60" i="4"/>
  <c r="WI60" i="4" s="1"/>
  <c r="WK60" i="4"/>
  <c r="WB14" i="5"/>
  <c r="WI14" i="5" s="1"/>
  <c r="WK14" i="5"/>
  <c r="WB61" i="4"/>
  <c r="WI61" i="4" s="1"/>
  <c r="WK61" i="4"/>
  <c r="WB53" i="4"/>
  <c r="WI53" i="4" s="1"/>
  <c r="WK53" i="4"/>
  <c r="WB49" i="4"/>
  <c r="WI49" i="4" s="1"/>
  <c r="WK49" i="4"/>
  <c r="WB33" i="4"/>
  <c r="WI33" i="4" s="1"/>
  <c r="WK33" i="4"/>
  <c r="WB29" i="4"/>
  <c r="WI29" i="4" s="1"/>
  <c r="WK29" i="4"/>
  <c r="WB31" i="4"/>
  <c r="WI31" i="4" s="1"/>
  <c r="WK31" i="4"/>
  <c r="WB21" i="4"/>
  <c r="WI21" i="4" s="1"/>
  <c r="WK21" i="4"/>
  <c r="WB28" i="4"/>
  <c r="WI28" i="4" s="1"/>
  <c r="WK28" i="4"/>
  <c r="WB5" i="4"/>
  <c r="WK5" i="4"/>
  <c r="WB6" i="4"/>
  <c r="WI6" i="4" s="1"/>
  <c r="WK6" i="4"/>
  <c r="WB37" i="4"/>
  <c r="WI37" i="4" s="1"/>
  <c r="WK37" i="4"/>
  <c r="WB48" i="4"/>
  <c r="WI48" i="4" s="1"/>
  <c r="WK48" i="4"/>
  <c r="WO71" i="2"/>
  <c r="N78" i="6" s="1"/>
  <c r="WO72" i="3"/>
  <c r="P79" i="6" s="1"/>
  <c r="WO69" i="3"/>
  <c r="P76" i="6" s="1"/>
  <c r="WO69" i="2"/>
  <c r="N76" i="6" s="1"/>
  <c r="VU77" i="3"/>
  <c r="O28" i="6" s="1"/>
  <c r="VR94" i="3"/>
  <c r="VR90" i="3"/>
  <c r="VR94" i="2"/>
  <c r="VW90" i="2"/>
  <c r="VQ86" i="3"/>
  <c r="VW94" i="2"/>
  <c r="VQ87" i="3"/>
  <c r="VU79" i="3"/>
  <c r="O30" i="6" s="1"/>
  <c r="VV94" i="3"/>
  <c r="VQ94" i="3"/>
  <c r="VW90" i="3"/>
  <c r="VQ90" i="5"/>
  <c r="VW94" i="3"/>
  <c r="WC90" i="2"/>
  <c r="VU83" i="3"/>
  <c r="O34" i="6" s="1"/>
  <c r="WC94" i="2"/>
  <c r="VV90" i="2"/>
  <c r="WB90" i="2"/>
  <c r="WB94" i="2"/>
  <c r="VQ93" i="3"/>
  <c r="VZ94" i="2"/>
  <c r="VZ90" i="2"/>
  <c r="VQ94" i="5"/>
  <c r="VY90" i="2"/>
  <c r="VY94" i="2"/>
  <c r="K34" i="6"/>
  <c r="B34" i="6"/>
  <c r="K33" i="6"/>
  <c r="B33" i="6"/>
  <c r="VU88" i="1"/>
  <c r="K31" i="6"/>
  <c r="B31" i="6"/>
  <c r="VV94" i="2"/>
  <c r="VQ90" i="3"/>
  <c r="VU51" i="4"/>
  <c r="VV51" i="4" s="1"/>
  <c r="VV13" i="2"/>
  <c r="VV24" i="2"/>
  <c r="VV5" i="2"/>
  <c r="VV3" i="2"/>
  <c r="VV14" i="2"/>
  <c r="VV16" i="2"/>
  <c r="VV12" i="2"/>
  <c r="VV21" i="2"/>
  <c r="VV8" i="2"/>
  <c r="VU8" i="5"/>
  <c r="VV8" i="5" s="1"/>
  <c r="VV22" i="2"/>
  <c r="VU19" i="4"/>
  <c r="VV19" i="4" s="1"/>
  <c r="VU34" i="4"/>
  <c r="VV34" i="4" s="1"/>
  <c r="VV39" i="3"/>
  <c r="VU24" i="4"/>
  <c r="VV24" i="4" s="1"/>
  <c r="VV10" i="2"/>
  <c r="VU33" i="4"/>
  <c r="VV33" i="4" s="1"/>
  <c r="VU14" i="5"/>
  <c r="VV14" i="5" s="1"/>
  <c r="VU12" i="5"/>
  <c r="VV12" i="5" s="1"/>
  <c r="VU7" i="5"/>
  <c r="VV7" i="5" s="1"/>
  <c r="VU34" i="5"/>
  <c r="VV34" i="5" s="1"/>
  <c r="VU62" i="4"/>
  <c r="VV62" i="4" s="1"/>
  <c r="VU33" i="5"/>
  <c r="VV33" i="5" s="1"/>
  <c r="VU3" i="4"/>
  <c r="VV3" i="4" s="1"/>
  <c r="VU20" i="5"/>
  <c r="VV20" i="5" s="1"/>
  <c r="VU47" i="4"/>
  <c r="VV47" i="4" s="1"/>
  <c r="VU37" i="4"/>
  <c r="VV37" i="4" s="1"/>
  <c r="VU25" i="4"/>
  <c r="VV25" i="4" s="1"/>
  <c r="VU23" i="4"/>
  <c r="VV23" i="4" s="1"/>
  <c r="VU12" i="4"/>
  <c r="VV12" i="4" s="1"/>
  <c r="VU3" i="5"/>
  <c r="VV3" i="5" s="1"/>
  <c r="VU14" i="4"/>
  <c r="VV14" i="4" s="1"/>
  <c r="VU52" i="4"/>
  <c r="VV52" i="4" s="1"/>
  <c r="VU8" i="4"/>
  <c r="VV8" i="4" s="1"/>
  <c r="VU9" i="4"/>
  <c r="VV9" i="4" s="1"/>
  <c r="VU18" i="4"/>
  <c r="VV18" i="4" s="1"/>
  <c r="VU5" i="5"/>
  <c r="VV5" i="5" s="1"/>
  <c r="VU45" i="4"/>
  <c r="VV45" i="4" s="1"/>
  <c r="VU27" i="5"/>
  <c r="VV27" i="5" s="1"/>
  <c r="VU11" i="4"/>
  <c r="VV11" i="4" s="1"/>
  <c r="VU38" i="4"/>
  <c r="VV38" i="4" s="1"/>
  <c r="VU40" i="4"/>
  <c r="VV40" i="4" s="1"/>
  <c r="VU54" i="4"/>
  <c r="VV54" i="4" s="1"/>
  <c r="VU46" i="4"/>
  <c r="VV46" i="4" s="1"/>
  <c r="VU16" i="5"/>
  <c r="VV16" i="5" s="1"/>
  <c r="VU23" i="5"/>
  <c r="VV23" i="5" s="1"/>
  <c r="VU7" i="4"/>
  <c r="VV7" i="4" s="1"/>
  <c r="VU31" i="5"/>
  <c r="VV31" i="5" s="1"/>
  <c r="VU21" i="4"/>
  <c r="VV21" i="4" s="1"/>
  <c r="VU22" i="5"/>
  <c r="VV22" i="5" s="1"/>
  <c r="VU16" i="4"/>
  <c r="VV16" i="4" s="1"/>
  <c r="VU57" i="4"/>
  <c r="VV57" i="4" s="1"/>
  <c r="VU24" i="5"/>
  <c r="VV24" i="5" s="1"/>
  <c r="VU61" i="4"/>
  <c r="VV61" i="4" s="1"/>
  <c r="VV11" i="3"/>
  <c r="VU5" i="4"/>
  <c r="VV5" i="4" s="1"/>
  <c r="VV25" i="2"/>
  <c r="VV28" i="3"/>
  <c r="VU15" i="4"/>
  <c r="VV15" i="4" s="1"/>
  <c r="VU49" i="4"/>
  <c r="VV49" i="4" s="1"/>
  <c r="VV18" i="2"/>
  <c r="VV35" i="3"/>
  <c r="VU2" i="5"/>
  <c r="VV2" i="5" s="1"/>
  <c r="VV27" i="3"/>
  <c r="VU29" i="4"/>
  <c r="VV29" i="4" s="1"/>
  <c r="VU36" i="4"/>
  <c r="VV36" i="4" s="1"/>
  <c r="VV41" i="3"/>
  <c r="VV2" i="3"/>
  <c r="VV12" i="3"/>
  <c r="VV37" i="3"/>
  <c r="VV48" i="3"/>
  <c r="VU30" i="5"/>
  <c r="VV30" i="5" s="1"/>
  <c r="VU41" i="4"/>
  <c r="VV41" i="4" s="1"/>
  <c r="VU50" i="4"/>
  <c r="VV50" i="4" s="1"/>
  <c r="VV31" i="3"/>
  <c r="VV28" i="2"/>
  <c r="VV29" i="2"/>
  <c r="VU53" i="4"/>
  <c r="VV53" i="4" s="1"/>
  <c r="VV20" i="3"/>
  <c r="VU29" i="5"/>
  <c r="VV29" i="5" s="1"/>
  <c r="VV25" i="3"/>
  <c r="VU44" i="4"/>
  <c r="VV44" i="4" s="1"/>
  <c r="VU30" i="4"/>
  <c r="VV30" i="4" s="1"/>
  <c r="VV20" i="2"/>
  <c r="VV21" i="3"/>
  <c r="VU31" i="4"/>
  <c r="VV31" i="4" s="1"/>
  <c r="VV32" i="3"/>
  <c r="VV42" i="3"/>
  <c r="VV26" i="3"/>
  <c r="VU17" i="5"/>
  <c r="VV17" i="5" s="1"/>
  <c r="VU39" i="4"/>
  <c r="VV39" i="4" s="1"/>
  <c r="VV24" i="3"/>
  <c r="VV25" i="5"/>
  <c r="VV33" i="3"/>
  <c r="VU42" i="4"/>
  <c r="VV42" i="4" s="1"/>
  <c r="VU6" i="4"/>
  <c r="VV6" i="4" s="1"/>
  <c r="VV10" i="3"/>
  <c r="VU27" i="4"/>
  <c r="VV27" i="4" s="1"/>
  <c r="VV2" i="2"/>
  <c r="VV34" i="3"/>
  <c r="VV15" i="2"/>
  <c r="VV29" i="3"/>
  <c r="VV26" i="2"/>
  <c r="VV9" i="3"/>
  <c r="VU26" i="5"/>
  <c r="VV26" i="5" s="1"/>
  <c r="VV6" i="3"/>
  <c r="VV5" i="3"/>
  <c r="VV16" i="3"/>
  <c r="VV17" i="2"/>
  <c r="VV3" i="3"/>
  <c r="VU18" i="5"/>
  <c r="VV18" i="5" s="1"/>
  <c r="VV6" i="2"/>
  <c r="VU28" i="4"/>
  <c r="VV28" i="4" s="1"/>
  <c r="VV36" i="3"/>
  <c r="VU15" i="5"/>
  <c r="VV15" i="5" s="1"/>
  <c r="VV7" i="2"/>
  <c r="VV46" i="3"/>
  <c r="VV40" i="3"/>
  <c r="VU6" i="5"/>
  <c r="VV6" i="5" s="1"/>
  <c r="VU13" i="4"/>
  <c r="VV13" i="4" s="1"/>
  <c r="VV23" i="3"/>
  <c r="VU21" i="5"/>
  <c r="VV21" i="5" s="1"/>
  <c r="VV7" i="3"/>
  <c r="VV15" i="3"/>
  <c r="VV4" i="3"/>
  <c r="VU13" i="5"/>
  <c r="VV13" i="5" s="1"/>
  <c r="VV4" i="2"/>
  <c r="VV20" i="4"/>
  <c r="VV17" i="3"/>
  <c r="VU28" i="5"/>
  <c r="VV28" i="5" s="1"/>
  <c r="VU2" i="4"/>
  <c r="VV2" i="4" s="1"/>
  <c r="VV30" i="3"/>
  <c r="VV19" i="2"/>
  <c r="VV11" i="2"/>
  <c r="VV30" i="2"/>
  <c r="VV56" i="4"/>
  <c r="VV43" i="3"/>
  <c r="VU11" i="5"/>
  <c r="VV11" i="5" s="1"/>
  <c r="VU10" i="5"/>
  <c r="VV10" i="5" s="1"/>
  <c r="VU59" i="4"/>
  <c r="VV59" i="4" s="1"/>
  <c r="VV22" i="3"/>
  <c r="VV14" i="3"/>
  <c r="VV8" i="3"/>
  <c r="VU55" i="4"/>
  <c r="VV55" i="4" s="1"/>
  <c r="VU43" i="4"/>
  <c r="VV43" i="4" s="1"/>
  <c r="VU60" i="4"/>
  <c r="VV60" i="4" s="1"/>
  <c r="VU4" i="5"/>
  <c r="VV4" i="5" s="1"/>
  <c r="VV47" i="3"/>
  <c r="VV19" i="5"/>
  <c r="VU48" i="4"/>
  <c r="VV48" i="4" s="1"/>
  <c r="VU32" i="5"/>
  <c r="VV32" i="5" s="1"/>
  <c r="VV27" i="2"/>
  <c r="VV45" i="3"/>
  <c r="VV9" i="2"/>
  <c r="VU10" i="4"/>
  <c r="VV10" i="4" s="1"/>
  <c r="VV38" i="3"/>
  <c r="VV23" i="2"/>
  <c r="VU58" i="4"/>
  <c r="VV58" i="4" s="1"/>
  <c r="VU9" i="5"/>
  <c r="VV9" i="5" s="1"/>
  <c r="VV18" i="3"/>
  <c r="VU35" i="4"/>
  <c r="VV35" i="4" s="1"/>
  <c r="VV13" i="3"/>
  <c r="VV44" i="3"/>
  <c r="VU17" i="4"/>
  <c r="VV17" i="4" s="1"/>
  <c r="VU26" i="4"/>
  <c r="VV26" i="4" s="1"/>
  <c r="VU32" i="4"/>
  <c r="VV32" i="4" s="1"/>
  <c r="VV19" i="3"/>
  <c r="VU22" i="4"/>
  <c r="VV22" i="4" s="1"/>
  <c r="VU4" i="4"/>
  <c r="VV4" i="4" s="1"/>
  <c r="VY94" i="3"/>
  <c r="VZ88" i="1"/>
  <c r="VZ89" i="4"/>
  <c r="WB89" i="3"/>
  <c r="VZ89" i="5"/>
  <c r="VY89" i="3"/>
  <c r="WC89" i="4"/>
  <c r="VY88" i="1"/>
  <c r="WB89" i="4"/>
  <c r="WA89" i="5"/>
  <c r="WB88" i="1"/>
  <c r="WA89" i="3"/>
  <c r="WA89" i="4"/>
  <c r="WA88" i="1"/>
  <c r="WC89" i="5"/>
  <c r="WC89" i="3"/>
  <c r="VY89" i="4"/>
  <c r="VY89" i="5"/>
  <c r="WB89" i="5"/>
  <c r="WC88" i="1"/>
  <c r="VZ89" i="3"/>
  <c r="WA90" i="1"/>
  <c r="WC90" i="3"/>
  <c r="VZ90" i="1"/>
  <c r="WA90" i="3"/>
  <c r="WB90" i="1"/>
  <c r="WC90" i="5"/>
  <c r="VY90" i="1"/>
  <c r="WA90" i="5"/>
  <c r="VZ90" i="3"/>
  <c r="WB90" i="5"/>
  <c r="VZ90" i="5"/>
  <c r="WB90" i="3"/>
  <c r="VY90" i="3"/>
  <c r="VY90" i="5"/>
  <c r="WC90" i="1"/>
  <c r="VR93" i="5"/>
  <c r="VQ84" i="3"/>
  <c r="VV94" i="1"/>
  <c r="VV89" i="5"/>
  <c r="VR94" i="1"/>
  <c r="WB94" i="1"/>
  <c r="VV88" i="1"/>
  <c r="VZ94" i="1"/>
  <c r="VW90" i="1"/>
  <c r="VQ92" i="3"/>
  <c r="VV90" i="1"/>
  <c r="VQ84" i="5"/>
  <c r="VR94" i="5"/>
  <c r="VW88" i="1"/>
  <c r="VW89" i="5"/>
  <c r="VR76" i="2"/>
  <c r="VW89" i="4"/>
  <c r="VX134" i="1"/>
  <c r="VX134" i="2"/>
  <c r="VX136" i="5"/>
  <c r="VX135" i="4"/>
  <c r="VX134" i="3"/>
  <c r="VR90" i="5"/>
  <c r="VU83" i="5"/>
  <c r="AD34" i="6" s="1"/>
  <c r="VQ90" i="4"/>
  <c r="VQ93" i="4"/>
  <c r="VQ94" i="4"/>
  <c r="VR90" i="4"/>
  <c r="VR78" i="4"/>
  <c r="VR87" i="4" s="1"/>
  <c r="VR86" i="3"/>
  <c r="VR92" i="3"/>
  <c r="VR84" i="3"/>
  <c r="WC94" i="5"/>
  <c r="VR76" i="5"/>
  <c r="VR86" i="5" s="1"/>
  <c r="VZ94" i="5"/>
  <c r="VQ93" i="5"/>
  <c r="VY94" i="1"/>
  <c r="WA94" i="1"/>
  <c r="VR80" i="4"/>
  <c r="VR88" i="4" s="1"/>
  <c r="VQ78" i="2"/>
  <c r="VQ90" i="1"/>
  <c r="VQ94" i="1"/>
  <c r="VR77" i="4"/>
  <c r="VR93" i="4" s="1"/>
  <c r="VQ80" i="2"/>
  <c r="VQ88" i="2" s="1"/>
  <c r="VR90" i="1"/>
  <c r="VR76" i="4"/>
  <c r="VW94" i="1"/>
  <c r="WB94" i="5"/>
  <c r="WC94" i="1"/>
  <c r="VU94" i="1"/>
  <c r="VQ87" i="5"/>
  <c r="VQ92" i="4"/>
  <c r="VQ87" i="4"/>
  <c r="VQ84" i="4"/>
  <c r="WC94" i="3"/>
  <c r="VV94" i="5"/>
  <c r="VQ92" i="5"/>
  <c r="VQ86" i="5"/>
  <c r="WA94" i="5"/>
  <c r="VQ86" i="4"/>
  <c r="VR87" i="5"/>
  <c r="VR94" i="4"/>
  <c r="WB94" i="3"/>
  <c r="VW94" i="5"/>
  <c r="VY94" i="5"/>
  <c r="WA94" i="3"/>
  <c r="A71" i="6"/>
  <c r="VZ94" i="3"/>
  <c r="VQ94" i="2"/>
  <c r="VR87" i="2"/>
  <c r="VV93" i="3"/>
  <c r="VU90" i="1"/>
  <c r="VU82" i="3"/>
  <c r="VW93" i="3"/>
  <c r="VR93" i="2"/>
  <c r="VW90" i="5"/>
  <c r="VU82" i="5"/>
  <c r="VV90" i="5"/>
  <c r="WD81" i="5"/>
  <c r="WE81" i="5" s="1"/>
  <c r="AE32" i="6" s="1"/>
  <c r="VR90" i="2"/>
  <c r="VU82" i="2"/>
  <c r="VQ90" i="2"/>
  <c r="WD89" i="2"/>
  <c r="WE89" i="2" s="1"/>
  <c r="VR88" i="2"/>
  <c r="WD81" i="2"/>
  <c r="WE81" i="2" s="1"/>
  <c r="VU83" i="2"/>
  <c r="M34" i="6" s="1"/>
  <c r="WD83" i="2"/>
  <c r="WE83" i="2" s="1"/>
  <c r="WD82" i="2"/>
  <c r="WE82" i="2" s="1"/>
  <c r="VU81" i="2"/>
  <c r="VZ93" i="3"/>
  <c r="VY93" i="3"/>
  <c r="WA93" i="3"/>
  <c r="WC93" i="3"/>
  <c r="WB93" i="3"/>
  <c r="WD77" i="3"/>
  <c r="WE77" i="3" s="1"/>
  <c r="VU81" i="3"/>
  <c r="WD83" i="3"/>
  <c r="WE83" i="3" s="1"/>
  <c r="VV90" i="3"/>
  <c r="WD79" i="3"/>
  <c r="WE79" i="3" s="1"/>
  <c r="WD81" i="3"/>
  <c r="WE81" i="3" s="1"/>
  <c r="WD82" i="3"/>
  <c r="WE82" i="3" s="1"/>
  <c r="WD83" i="5"/>
  <c r="WE83" i="5" s="1"/>
  <c r="AE34" i="6" s="1"/>
  <c r="VU81" i="5"/>
  <c r="WD82" i="5"/>
  <c r="WE82" i="5" s="1"/>
  <c r="AE33" i="6" s="1"/>
  <c r="VU81" i="4"/>
  <c r="VV89" i="4"/>
  <c r="WD81" i="4"/>
  <c r="WE81" i="4" s="1"/>
  <c r="AC32" i="6" s="1"/>
  <c r="VT80" i="1"/>
  <c r="L31" i="6" s="1"/>
  <c r="VT82" i="1"/>
  <c r="L33" i="6" s="1"/>
  <c r="WD83" i="1"/>
  <c r="WE83" i="1" s="1"/>
  <c r="WD80" i="1"/>
  <c r="WE80" i="1" s="1"/>
  <c r="WD82" i="1"/>
  <c r="WE82" i="1" s="1"/>
  <c r="VT83" i="1"/>
  <c r="L34" i="6" s="1"/>
  <c r="R79" i="6" l="1"/>
  <c r="R78" i="6"/>
  <c r="R76" i="6"/>
  <c r="WI7" i="4"/>
  <c r="WQ2" i="4"/>
  <c r="WI3" i="5"/>
  <c r="WQ9" i="5"/>
  <c r="WI2" i="5"/>
  <c r="WT3" i="5"/>
  <c r="WS3" i="5"/>
  <c r="WQ7" i="5"/>
  <c r="WR3" i="5"/>
  <c r="WP3" i="5"/>
  <c r="WQ10" i="5"/>
  <c r="WX3" i="5"/>
  <c r="WV3" i="5"/>
  <c r="WW3" i="5"/>
  <c r="WU3" i="5"/>
  <c r="WI5" i="4"/>
  <c r="WQ5" i="4"/>
  <c r="WQ7" i="4"/>
  <c r="WI9" i="5"/>
  <c r="WQ6" i="5"/>
  <c r="WI2" i="4"/>
  <c r="WP3" i="4"/>
  <c r="AN39" i="6" s="1"/>
  <c r="WQ8" i="4"/>
  <c r="AO44" i="6" s="1"/>
  <c r="WQ9" i="4"/>
  <c r="WX3" i="4"/>
  <c r="WW3" i="4"/>
  <c r="AU39" i="6" s="1"/>
  <c r="WV3" i="4"/>
  <c r="WQ10" i="4"/>
  <c r="WQ6" i="4"/>
  <c r="WU3" i="4"/>
  <c r="WT3" i="4"/>
  <c r="WS3" i="4"/>
  <c r="WR3" i="4"/>
  <c r="WI13" i="4"/>
  <c r="WQ4" i="4"/>
  <c r="AO40" i="6" s="1"/>
  <c r="WQ2" i="5"/>
  <c r="WQ5" i="5"/>
  <c r="F28" i="6"/>
  <c r="VT77" i="3"/>
  <c r="P28" i="6" s="1"/>
  <c r="VU90" i="2"/>
  <c r="M41" i="6" s="1"/>
  <c r="Q34" i="6"/>
  <c r="VT79" i="3"/>
  <c r="P30" i="6" s="1"/>
  <c r="VW187" i="4"/>
  <c r="VY187" i="4"/>
  <c r="VY186" i="4"/>
  <c r="VW186" i="4"/>
  <c r="F34" i="6"/>
  <c r="F30" i="6"/>
  <c r="VT83" i="3"/>
  <c r="P34" i="6" s="1"/>
  <c r="WD90" i="2"/>
  <c r="WE90" i="2" s="1"/>
  <c r="WD94" i="2"/>
  <c r="WE94" i="2" s="1"/>
  <c r="K41" i="6"/>
  <c r="B41" i="6"/>
  <c r="B39" i="6"/>
  <c r="K39" i="6"/>
  <c r="K45" i="6"/>
  <c r="B45" i="6"/>
  <c r="VY46" i="3"/>
  <c r="WD89" i="4"/>
  <c r="WE89" i="4" s="1"/>
  <c r="AC40" i="6" s="1"/>
  <c r="WD88" i="1"/>
  <c r="WE88" i="1" s="1"/>
  <c r="WD89" i="5"/>
  <c r="WE89" i="5" s="1"/>
  <c r="AE40" i="6" s="1"/>
  <c r="WD89" i="3"/>
  <c r="WE89" i="3" s="1"/>
  <c r="W32" i="6"/>
  <c r="AD32" i="6"/>
  <c r="W33" i="6"/>
  <c r="AD33" i="6"/>
  <c r="F32" i="6"/>
  <c r="O32" i="6"/>
  <c r="D32" i="6"/>
  <c r="M32" i="6"/>
  <c r="U32" i="6"/>
  <c r="AB32" i="6"/>
  <c r="D33" i="6"/>
  <c r="M33" i="6"/>
  <c r="F33" i="6"/>
  <c r="O33" i="6"/>
  <c r="VT83" i="5"/>
  <c r="W34" i="6"/>
  <c r="VT83" i="2"/>
  <c r="N34" i="6" s="1"/>
  <c r="D34" i="6"/>
  <c r="VT94" i="1"/>
  <c r="L45" i="6" s="1"/>
  <c r="WD94" i="1"/>
  <c r="WE94" i="1" s="1"/>
  <c r="VR86" i="4"/>
  <c r="VU90" i="3"/>
  <c r="O41" i="6" s="1"/>
  <c r="WD90" i="3"/>
  <c r="WE90" i="3" s="1"/>
  <c r="VT88" i="1"/>
  <c r="L39" i="6" s="1"/>
  <c r="VT90" i="1"/>
  <c r="L41" i="6" s="1"/>
  <c r="VX135" i="1"/>
  <c r="VX135" i="2"/>
  <c r="VX136" i="4"/>
  <c r="VX135" i="3"/>
  <c r="VX136" i="3" s="1"/>
  <c r="WD94" i="5"/>
  <c r="WE94" i="5" s="1"/>
  <c r="AE45" i="6" s="1"/>
  <c r="VR84" i="5"/>
  <c r="VR92" i="5"/>
  <c r="VR84" i="4"/>
  <c r="VR92" i="4"/>
  <c r="WD94" i="3"/>
  <c r="WE94" i="3" s="1"/>
  <c r="VT82" i="5"/>
  <c r="VU94" i="5"/>
  <c r="AD45" i="6" s="1"/>
  <c r="A72" i="6"/>
  <c r="VQ93" i="2"/>
  <c r="VT82" i="2"/>
  <c r="N33" i="6" s="1"/>
  <c r="VU94" i="2"/>
  <c r="M45" i="6" s="1"/>
  <c r="VT82" i="3"/>
  <c r="P33" i="6" s="1"/>
  <c r="VU94" i="3"/>
  <c r="O45" i="6" s="1"/>
  <c r="VY7" i="3"/>
  <c r="VY36" i="3"/>
  <c r="VU93" i="3"/>
  <c r="O44" i="6" s="1"/>
  <c r="VY27" i="3"/>
  <c r="VY40" i="3"/>
  <c r="VY45" i="3"/>
  <c r="VY5" i="3"/>
  <c r="VY33" i="3"/>
  <c r="VW17" i="3"/>
  <c r="VY39" i="3"/>
  <c r="VY12" i="3"/>
  <c r="VY30" i="3"/>
  <c r="VY18" i="3"/>
  <c r="VY10" i="3"/>
  <c r="VY48" i="3"/>
  <c r="VY24" i="3"/>
  <c r="VY47" i="3"/>
  <c r="VY9" i="3"/>
  <c r="VY42" i="3"/>
  <c r="VY21" i="3"/>
  <c r="VY44" i="3"/>
  <c r="VY43" i="3"/>
  <c r="VY15" i="3"/>
  <c r="VY11" i="3"/>
  <c r="VY23" i="3"/>
  <c r="VY6" i="3"/>
  <c r="VY35" i="3"/>
  <c r="VY4" i="3"/>
  <c r="VY38" i="3"/>
  <c r="VY20" i="3"/>
  <c r="VY37" i="3"/>
  <c r="VY28" i="3"/>
  <c r="VY19" i="3"/>
  <c r="VY26" i="3"/>
  <c r="VY17" i="3"/>
  <c r="VQ87" i="2"/>
  <c r="WD90" i="5"/>
  <c r="WE90" i="5" s="1"/>
  <c r="AE41" i="6" s="1"/>
  <c r="VY8" i="3"/>
  <c r="VY3" i="3"/>
  <c r="VY41" i="3"/>
  <c r="VY2" i="3"/>
  <c r="VY32" i="3"/>
  <c r="WD90" i="1"/>
  <c r="VY14" i="3"/>
  <c r="VY16" i="3"/>
  <c r="VY34" i="3"/>
  <c r="VY13" i="3"/>
  <c r="VY31" i="3"/>
  <c r="VY22" i="3"/>
  <c r="VY25" i="3"/>
  <c r="VY29" i="3"/>
  <c r="VT81" i="5"/>
  <c r="VU89" i="5"/>
  <c r="AD40" i="6" s="1"/>
  <c r="VU90" i="5"/>
  <c r="AD41" i="6" s="1"/>
  <c r="VQ84" i="2"/>
  <c r="VT81" i="2"/>
  <c r="N32" i="6" s="1"/>
  <c r="VU89" i="2"/>
  <c r="M40" i="6" s="1"/>
  <c r="VQ86" i="2"/>
  <c r="VQ92" i="2"/>
  <c r="VR86" i="2"/>
  <c r="VR92" i="2"/>
  <c r="VR84" i="2"/>
  <c r="WD93" i="3"/>
  <c r="WE93" i="3" s="1"/>
  <c r="VT81" i="3"/>
  <c r="P32" i="6" s="1"/>
  <c r="VU89" i="3"/>
  <c r="O40" i="6" s="1"/>
  <c r="VT81" i="4"/>
  <c r="VU89" i="4"/>
  <c r="AB40" i="6" s="1"/>
  <c r="VY24" i="2"/>
  <c r="VY14" i="2"/>
  <c r="VY3" i="2"/>
  <c r="VY8" i="2"/>
  <c r="VY6" i="2"/>
  <c r="VY4" i="2"/>
  <c r="VY7" i="2"/>
  <c r="VY12" i="2"/>
  <c r="VY17" i="2"/>
  <c r="VY2" i="2"/>
  <c r="VY22" i="2"/>
  <c r="VY20" i="2"/>
  <c r="VY13" i="2"/>
  <c r="VY15" i="2"/>
  <c r="VY26" i="2"/>
  <c r="VY5" i="2"/>
  <c r="VY27" i="2"/>
  <c r="VY23" i="2"/>
  <c r="VY28" i="2"/>
  <c r="VY10" i="2"/>
  <c r="VY11" i="2"/>
  <c r="VY9" i="2"/>
  <c r="VY18" i="2"/>
  <c r="VY19" i="2"/>
  <c r="VY25" i="2"/>
  <c r="VY21" i="2"/>
  <c r="VY16" i="2"/>
  <c r="VY30" i="2"/>
  <c r="VY29" i="2"/>
  <c r="VY5" i="5"/>
  <c r="VW5" i="5"/>
  <c r="VW28" i="3"/>
  <c r="VW33" i="3"/>
  <c r="VW48" i="3"/>
  <c r="VW34" i="3"/>
  <c r="VW3" i="3"/>
  <c r="VW39" i="3"/>
  <c r="VW37" i="3"/>
  <c r="VW31" i="3"/>
  <c r="VW32" i="3"/>
  <c r="VW40" i="3"/>
  <c r="VW8" i="3"/>
  <c r="VW20" i="3"/>
  <c r="VW42" i="3"/>
  <c r="VW38" i="3"/>
  <c r="VW11" i="3"/>
  <c r="VW19" i="3"/>
  <c r="VW25" i="3"/>
  <c r="VW36" i="3"/>
  <c r="VW9" i="3"/>
  <c r="VW35" i="3"/>
  <c r="VW41" i="3"/>
  <c r="VW45" i="3"/>
  <c r="VW23" i="3"/>
  <c r="VW21" i="3"/>
  <c r="VW6" i="3"/>
  <c r="VW14" i="3"/>
  <c r="VW7" i="3"/>
  <c r="VW24" i="3"/>
  <c r="VW43" i="3"/>
  <c r="VW29" i="3"/>
  <c r="VW47" i="3"/>
  <c r="VW30" i="3"/>
  <c r="VW10" i="3"/>
  <c r="VW2" i="3"/>
  <c r="VW22" i="3"/>
  <c r="VW4" i="3"/>
  <c r="VW26" i="3"/>
  <c r="VW18" i="3"/>
  <c r="VW27" i="3"/>
  <c r="VW46" i="3"/>
  <c r="VW5" i="3"/>
  <c r="VW44" i="3"/>
  <c r="VW15" i="3"/>
  <c r="VW12" i="3"/>
  <c r="VW13" i="3"/>
  <c r="VW16" i="3"/>
  <c r="VY30" i="5"/>
  <c r="VY14" i="5"/>
  <c r="VY2" i="4"/>
  <c r="VW14" i="2"/>
  <c r="VW9" i="2"/>
  <c r="VW20" i="5"/>
  <c r="VY21" i="5"/>
  <c r="VW23" i="2"/>
  <c r="VW22" i="2"/>
  <c r="VW21" i="2"/>
  <c r="VW13" i="2"/>
  <c r="VW17" i="2"/>
  <c r="VW20" i="2"/>
  <c r="VW11" i="2"/>
  <c r="VW29" i="2"/>
  <c r="VW25" i="2"/>
  <c r="VW26" i="2"/>
  <c r="VW3" i="2"/>
  <c r="VW2" i="2"/>
  <c r="VW24" i="2"/>
  <c r="VW18" i="2"/>
  <c r="VW16" i="2"/>
  <c r="VW7" i="2"/>
  <c r="VW6" i="2"/>
  <c r="VW27" i="2"/>
  <c r="VW28" i="2"/>
  <c r="VW10" i="2"/>
  <c r="VW15" i="2"/>
  <c r="VW19" i="2"/>
  <c r="VW30" i="2"/>
  <c r="VW8" i="2"/>
  <c r="VW12" i="2"/>
  <c r="VW5" i="2"/>
  <c r="VW4" i="2"/>
  <c r="VW4" i="5"/>
  <c r="VY29" i="5"/>
  <c r="VW22" i="5"/>
  <c r="VW32" i="5"/>
  <c r="VW34" i="5"/>
  <c r="VY32" i="5"/>
  <c r="VY34" i="5"/>
  <c r="VY19" i="5"/>
  <c r="VW31" i="5"/>
  <c r="VW26" i="5"/>
  <c r="VW27" i="5"/>
  <c r="VW10" i="5"/>
  <c r="VY15" i="5"/>
  <c r="VY28" i="5"/>
  <c r="VY26" i="5"/>
  <c r="VY27" i="5"/>
  <c r="VW14" i="5"/>
  <c r="VW21" i="5"/>
  <c r="VW17" i="5"/>
  <c r="VY18" i="5"/>
  <c r="VY25" i="5"/>
  <c r="VY6" i="5"/>
  <c r="VW18" i="5"/>
  <c r="VW33" i="5"/>
  <c r="VY12" i="5"/>
  <c r="VW9" i="5"/>
  <c r="VW25" i="5"/>
  <c r="VW30" i="5"/>
  <c r="VW7" i="5"/>
  <c r="VY2" i="5"/>
  <c r="VY9" i="5"/>
  <c r="VW29" i="5"/>
  <c r="VW48" i="4"/>
  <c r="VW12" i="5"/>
  <c r="VY10" i="5"/>
  <c r="VW15" i="5"/>
  <c r="VW8" i="5"/>
  <c r="VY31" i="5"/>
  <c r="VW24" i="5"/>
  <c r="VW60" i="4"/>
  <c r="VY20" i="5"/>
  <c r="VY4" i="5"/>
  <c r="VY7" i="5"/>
  <c r="VY3" i="5"/>
  <c r="VY24" i="5"/>
  <c r="VY13" i="5"/>
  <c r="VW3" i="5"/>
  <c r="VW13" i="5"/>
  <c r="VW11" i="5"/>
  <c r="VY23" i="5"/>
  <c r="VY22" i="5"/>
  <c r="VY17" i="5"/>
  <c r="VY5" i="4"/>
  <c r="VW8" i="4"/>
  <c r="VY39" i="4"/>
  <c r="VW19" i="5"/>
  <c r="VY16" i="5"/>
  <c r="VY8" i="5"/>
  <c r="VW28" i="5"/>
  <c r="VY33" i="5"/>
  <c r="VY11" i="5"/>
  <c r="VW16" i="5"/>
  <c r="VW2" i="5"/>
  <c r="VW23" i="5"/>
  <c r="VW6" i="5"/>
  <c r="VW62" i="4"/>
  <c r="VY40" i="4"/>
  <c r="VY60" i="4"/>
  <c r="VW24" i="4"/>
  <c r="VW50" i="4"/>
  <c r="VY34" i="4"/>
  <c r="VY46" i="4"/>
  <c r="VW7" i="4"/>
  <c r="VW51" i="4"/>
  <c r="VY24" i="4"/>
  <c r="VW29" i="4"/>
  <c r="VY7" i="4"/>
  <c r="VW3" i="4"/>
  <c r="VW15" i="4"/>
  <c r="VW34" i="4"/>
  <c r="VY17" i="4"/>
  <c r="VY32" i="4"/>
  <c r="VY22" i="4"/>
  <c r="VW27" i="4"/>
  <c r="VW61" i="4"/>
  <c r="VY49" i="4"/>
  <c r="VW21" i="4"/>
  <c r="VY37" i="4"/>
  <c r="VW42" i="4"/>
  <c r="VW2" i="4"/>
  <c r="VW49" i="4"/>
  <c r="VY33" i="4"/>
  <c r="VY43" i="4"/>
  <c r="VY15" i="4"/>
  <c r="VW26" i="4"/>
  <c r="VY27" i="4"/>
  <c r="VY3" i="4"/>
  <c r="VW41" i="4"/>
  <c r="VW17" i="4"/>
  <c r="VY9" i="4"/>
  <c r="VW18" i="4"/>
  <c r="VY11" i="4"/>
  <c r="VW36" i="4"/>
  <c r="VY26" i="4"/>
  <c r="VW47" i="4"/>
  <c r="VW53" i="4"/>
  <c r="VY41" i="4"/>
  <c r="VW14" i="4"/>
  <c r="VY14" i="4"/>
  <c r="VY10" i="4"/>
  <c r="VW28" i="4"/>
  <c r="VY38" i="4"/>
  <c r="VW4" i="4"/>
  <c r="VY62" i="4"/>
  <c r="VY53" i="4"/>
  <c r="VW12" i="4"/>
  <c r="VY47" i="4"/>
  <c r="VW54" i="4"/>
  <c r="VY45" i="4"/>
  <c r="VY29" i="4"/>
  <c r="VW23" i="4"/>
  <c r="VW40" i="4"/>
  <c r="VY57" i="4"/>
  <c r="VW57" i="4"/>
  <c r="VW10" i="4"/>
  <c r="VY42" i="4"/>
  <c r="VY16" i="4"/>
  <c r="VY28" i="4"/>
  <c r="VW31" i="4"/>
  <c r="VW39" i="4"/>
  <c r="VY23" i="4"/>
  <c r="VY13" i="4"/>
  <c r="VW6" i="4"/>
  <c r="VW33" i="4"/>
  <c r="VY21" i="4"/>
  <c r="VY51" i="4"/>
  <c r="VW55" i="4"/>
  <c r="VY48" i="4"/>
  <c r="VW5" i="4"/>
  <c r="VY4" i="4"/>
  <c r="VW32" i="4"/>
  <c r="VY58" i="4"/>
  <c r="VY44" i="4"/>
  <c r="VW38" i="4"/>
  <c r="VY54" i="4"/>
  <c r="VW22" i="4"/>
  <c r="VY19" i="4"/>
  <c r="VW19" i="4"/>
  <c r="VW59" i="4"/>
  <c r="VY30" i="4"/>
  <c r="VY55" i="4"/>
  <c r="VY8" i="4"/>
  <c r="VY25" i="4"/>
  <c r="VW11" i="4"/>
  <c r="VY6" i="4"/>
  <c r="VW52" i="4"/>
  <c r="VY18" i="4"/>
  <c r="VY20" i="4"/>
  <c r="VY36" i="4"/>
  <c r="VW13" i="4"/>
  <c r="VW16" i="4"/>
  <c r="VW56" i="4"/>
  <c r="VW58" i="4"/>
  <c r="VW30" i="4"/>
  <c r="VW45" i="4"/>
  <c r="VY35" i="4"/>
  <c r="VY59" i="4"/>
  <c r="VW43" i="4"/>
  <c r="VW25" i="4"/>
  <c r="VY31" i="4"/>
  <c r="VY12" i="4"/>
  <c r="VY56" i="4"/>
  <c r="VW46" i="4"/>
  <c r="VW20" i="4"/>
  <c r="VW35" i="4"/>
  <c r="VW9" i="4"/>
  <c r="VW37" i="4"/>
  <c r="VY61" i="4"/>
  <c r="VW44" i="4"/>
  <c r="VY52" i="4"/>
  <c r="VY50" i="4"/>
  <c r="VW121" i="4" l="1"/>
  <c r="VV121" i="4"/>
  <c r="VT121" i="4" s="1"/>
  <c r="WA118" i="5"/>
  <c r="VZ118" i="5"/>
  <c r="VY118" i="5"/>
  <c r="WC118" i="5"/>
  <c r="WB118" i="5"/>
  <c r="VW123" i="2"/>
  <c r="VV123" i="2"/>
  <c r="VT123" i="2" s="1"/>
  <c r="VW122" i="3"/>
  <c r="VV122" i="3"/>
  <c r="VT122" i="3" s="1"/>
  <c r="WC123" i="2"/>
  <c r="WA123" i="2"/>
  <c r="VZ123" i="2"/>
  <c r="VY123" i="2"/>
  <c r="WB123" i="2"/>
  <c r="WC124" i="2"/>
  <c r="WB124" i="2"/>
  <c r="WA124" i="2"/>
  <c r="VZ124" i="2"/>
  <c r="VY124" i="2"/>
  <c r="WC124" i="3"/>
  <c r="WB124" i="3"/>
  <c r="WA124" i="3"/>
  <c r="VZ124" i="3"/>
  <c r="VY124" i="3"/>
  <c r="VW121" i="5"/>
  <c r="VV121" i="5"/>
  <c r="VT121" i="5" s="1"/>
  <c r="WC118" i="4"/>
  <c r="WB118" i="4"/>
  <c r="WA118" i="4"/>
  <c r="VZ118" i="4"/>
  <c r="VY118" i="4"/>
  <c r="VW125" i="4"/>
  <c r="VV125" i="4"/>
  <c r="VT125" i="4" s="1"/>
  <c r="VW120" i="4"/>
  <c r="VV120" i="4"/>
  <c r="VT120" i="4" s="1"/>
  <c r="WC120" i="5"/>
  <c r="WB120" i="5"/>
  <c r="WA120" i="5"/>
  <c r="VZ120" i="5"/>
  <c r="VY120" i="5"/>
  <c r="WC123" i="5"/>
  <c r="WB123" i="5"/>
  <c r="WA123" i="5"/>
  <c r="VZ123" i="5"/>
  <c r="VY123" i="5"/>
  <c r="VW119" i="5"/>
  <c r="VV119" i="5"/>
  <c r="VT119" i="5" s="1"/>
  <c r="WB120" i="2"/>
  <c r="WA120" i="2"/>
  <c r="WC120" i="2"/>
  <c r="VZ120" i="2"/>
  <c r="VY120" i="2"/>
  <c r="VW120" i="2"/>
  <c r="VV120" i="2"/>
  <c r="VT120" i="2" s="1"/>
  <c r="WC116" i="2"/>
  <c r="WB116" i="2"/>
  <c r="WA116" i="2"/>
  <c r="VZ116" i="2"/>
  <c r="VY116" i="2"/>
  <c r="VW123" i="5"/>
  <c r="VV123" i="5"/>
  <c r="VT123" i="5" s="1"/>
  <c r="VY118" i="2"/>
  <c r="WC118" i="2"/>
  <c r="WB118" i="2"/>
  <c r="WA118" i="2"/>
  <c r="VZ118" i="2"/>
  <c r="WC123" i="4"/>
  <c r="WB123" i="4"/>
  <c r="VY123" i="4"/>
  <c r="WA123" i="4"/>
  <c r="VZ123" i="4"/>
  <c r="WC121" i="4"/>
  <c r="WB121" i="4"/>
  <c r="WA121" i="4"/>
  <c r="VZ121" i="4"/>
  <c r="VY121" i="4"/>
  <c r="VW118" i="5"/>
  <c r="VV118" i="5"/>
  <c r="VT118" i="5" s="1"/>
  <c r="VW124" i="3"/>
  <c r="VV124" i="3"/>
  <c r="VT124" i="3" s="1"/>
  <c r="WC122" i="3"/>
  <c r="WB122" i="3"/>
  <c r="WA122" i="3"/>
  <c r="VZ122" i="3"/>
  <c r="VY122" i="3"/>
  <c r="VW122" i="4"/>
  <c r="VV122" i="4"/>
  <c r="VT122" i="4" s="1"/>
  <c r="WC117" i="4"/>
  <c r="WB117" i="4"/>
  <c r="WA117" i="4"/>
  <c r="VY117" i="4"/>
  <c r="VZ117" i="4"/>
  <c r="VY119" i="4"/>
  <c r="WC119" i="4"/>
  <c r="WB119" i="4"/>
  <c r="WA119" i="4"/>
  <c r="VZ119" i="4"/>
  <c r="VW124" i="4"/>
  <c r="VV124" i="4"/>
  <c r="VT124" i="4" s="1"/>
  <c r="VW125" i="5"/>
  <c r="VV125" i="5"/>
  <c r="VT125" i="5" s="1"/>
  <c r="WC116" i="5"/>
  <c r="WB116" i="5"/>
  <c r="VZ116" i="5"/>
  <c r="VY116" i="5"/>
  <c r="WA116" i="5"/>
  <c r="VW120" i="5"/>
  <c r="VV120" i="5"/>
  <c r="VT120" i="5" s="1"/>
  <c r="VW116" i="2"/>
  <c r="VV116" i="2"/>
  <c r="VT116" i="2" s="1"/>
  <c r="VV125" i="2"/>
  <c r="VT125" i="2" s="1"/>
  <c r="VW125" i="2"/>
  <c r="VW117" i="4"/>
  <c r="VV117" i="4"/>
  <c r="VT117" i="4" s="1"/>
  <c r="VW116" i="5"/>
  <c r="VV116" i="5"/>
  <c r="VT116" i="5" s="1"/>
  <c r="VW118" i="2"/>
  <c r="VV118" i="2"/>
  <c r="VT118" i="2" s="1"/>
  <c r="WC122" i="2"/>
  <c r="WB122" i="2"/>
  <c r="WA122" i="2"/>
  <c r="VZ122" i="2"/>
  <c r="VY122" i="2"/>
  <c r="VZ116" i="3"/>
  <c r="VY116" i="3"/>
  <c r="WC116" i="3"/>
  <c r="WB116" i="3"/>
  <c r="WA116" i="3"/>
  <c r="VW123" i="4"/>
  <c r="VV123" i="4"/>
  <c r="VT123" i="4" s="1"/>
  <c r="VW116" i="4"/>
  <c r="VV116" i="4"/>
  <c r="VT116" i="4" s="1"/>
  <c r="VW122" i="5"/>
  <c r="VV122" i="5"/>
  <c r="VT122" i="5" s="1"/>
  <c r="VW121" i="2"/>
  <c r="VV121" i="2"/>
  <c r="VT121" i="2" s="1"/>
  <c r="VW125" i="3"/>
  <c r="VV125" i="3"/>
  <c r="VT125" i="3" s="1"/>
  <c r="WB124" i="4"/>
  <c r="WA124" i="4"/>
  <c r="VZ124" i="4"/>
  <c r="WC124" i="4"/>
  <c r="VY124" i="4"/>
  <c r="WC125" i="4"/>
  <c r="WB125" i="4"/>
  <c r="WA125" i="4"/>
  <c r="VZ125" i="4"/>
  <c r="VY125" i="4"/>
  <c r="WB125" i="5"/>
  <c r="WA125" i="5"/>
  <c r="VZ125" i="5"/>
  <c r="VY125" i="5"/>
  <c r="WC125" i="5"/>
  <c r="VZ121" i="5"/>
  <c r="VY121" i="5"/>
  <c r="WC121" i="5"/>
  <c r="WB121" i="5"/>
  <c r="WA121" i="5"/>
  <c r="WC125" i="2"/>
  <c r="WB125" i="2"/>
  <c r="WA125" i="2"/>
  <c r="VZ125" i="2"/>
  <c r="VY125" i="2"/>
  <c r="VW119" i="4"/>
  <c r="VV119" i="4"/>
  <c r="VT119" i="4" s="1"/>
  <c r="VW124" i="2"/>
  <c r="VV124" i="2"/>
  <c r="VT124" i="2" s="1"/>
  <c r="WC119" i="5"/>
  <c r="WB119" i="5"/>
  <c r="WA119" i="5"/>
  <c r="VY119" i="5"/>
  <c r="VZ119" i="5"/>
  <c r="VW116" i="3"/>
  <c r="VV116" i="3"/>
  <c r="VT116" i="3" s="1"/>
  <c r="VW120" i="3"/>
  <c r="VV120" i="3"/>
  <c r="VT120" i="3" s="1"/>
  <c r="VZ120" i="3"/>
  <c r="VY120" i="3"/>
  <c r="WC120" i="3"/>
  <c r="WB120" i="3"/>
  <c r="WA120" i="3"/>
  <c r="VW118" i="4"/>
  <c r="VV118" i="4"/>
  <c r="VT118" i="4" s="1"/>
  <c r="WC120" i="4"/>
  <c r="WB120" i="4"/>
  <c r="WA120" i="4"/>
  <c r="VZ120" i="4"/>
  <c r="VY120" i="4"/>
  <c r="VY122" i="4"/>
  <c r="WC122" i="4"/>
  <c r="WB122" i="4"/>
  <c r="WA122" i="4"/>
  <c r="VZ122" i="4"/>
  <c r="WB116" i="4"/>
  <c r="WA116" i="4"/>
  <c r="VZ116" i="4"/>
  <c r="VY116" i="4"/>
  <c r="WC116" i="4"/>
  <c r="WC122" i="5"/>
  <c r="WB122" i="5"/>
  <c r="WA122" i="5"/>
  <c r="VY122" i="5"/>
  <c r="VZ122" i="5"/>
  <c r="VW122" i="2"/>
  <c r="VV122" i="2"/>
  <c r="VT122" i="2" s="1"/>
  <c r="VY121" i="2"/>
  <c r="WC121" i="2"/>
  <c r="WB121" i="2"/>
  <c r="WA121" i="2"/>
  <c r="VZ121" i="2"/>
  <c r="WB125" i="3"/>
  <c r="WC125" i="3"/>
  <c r="WA125" i="3"/>
  <c r="VZ125" i="3"/>
  <c r="VY125" i="3"/>
  <c r="Y32" i="6"/>
  <c r="AF40" i="6"/>
  <c r="AF32" i="6"/>
  <c r="AT39" i="6"/>
  <c r="AQ39" i="6"/>
  <c r="AP39" i="6"/>
  <c r="AO46" i="6"/>
  <c r="AS39" i="6"/>
  <c r="AR39" i="6"/>
  <c r="AO38" i="6"/>
  <c r="AV39" i="6"/>
  <c r="AO43" i="6"/>
  <c r="AO42" i="6"/>
  <c r="AO41" i="6"/>
  <c r="AO45" i="6"/>
  <c r="WO72" i="4"/>
  <c r="AC79" i="6" s="1"/>
  <c r="WO69" i="4"/>
  <c r="AC76" i="6" s="1"/>
  <c r="WO71" i="4"/>
  <c r="AC78" i="6" s="1"/>
  <c r="WO72" i="5"/>
  <c r="AE79" i="6" s="1"/>
  <c r="WO69" i="5"/>
  <c r="AE76" i="6" s="1"/>
  <c r="WO71" i="5"/>
  <c r="AE78" i="6" s="1"/>
  <c r="WA79" i="2"/>
  <c r="WA93" i="2" s="1"/>
  <c r="WA139" i="2"/>
  <c r="WA103" i="2"/>
  <c r="WA102" i="2"/>
  <c r="WA80" i="2"/>
  <c r="WA88" i="2" s="1"/>
  <c r="WA130" i="2"/>
  <c r="WA131" i="2" s="1"/>
  <c r="WA100" i="2"/>
  <c r="WA99" i="2"/>
  <c r="WA97" i="2"/>
  <c r="WA112" i="2"/>
  <c r="WA96" i="2"/>
  <c r="WA141" i="2"/>
  <c r="WA106" i="2"/>
  <c r="WA140" i="2"/>
  <c r="WA105" i="2"/>
  <c r="WA110" i="2"/>
  <c r="WA108" i="2"/>
  <c r="WA76" i="2"/>
  <c r="WA109" i="2"/>
  <c r="WA78" i="2"/>
  <c r="WA111" i="2"/>
  <c r="WA113" i="2"/>
  <c r="VW113" i="3"/>
  <c r="VV113" i="3"/>
  <c r="VT113" i="3" s="1"/>
  <c r="P64" i="6" s="1"/>
  <c r="VZ113" i="5"/>
  <c r="WC113" i="5"/>
  <c r="WB113" i="5"/>
  <c r="WA113" i="5"/>
  <c r="VY113" i="5"/>
  <c r="WC113" i="2"/>
  <c r="WB113" i="2"/>
  <c r="VZ113" i="2"/>
  <c r="VY113" i="2"/>
  <c r="WA113" i="3"/>
  <c r="VZ113" i="3"/>
  <c r="VY113" i="3"/>
  <c r="WC113" i="3"/>
  <c r="WB113" i="3"/>
  <c r="VZ112" i="2"/>
  <c r="VY112" i="2"/>
  <c r="WC112" i="2"/>
  <c r="WB112" i="2"/>
  <c r="WC112" i="3"/>
  <c r="WB112" i="3"/>
  <c r="WA112" i="3"/>
  <c r="VZ112" i="3"/>
  <c r="VY112" i="3"/>
  <c r="VW113" i="4"/>
  <c r="VV113" i="4"/>
  <c r="VT113" i="4" s="1"/>
  <c r="WC110" i="2"/>
  <c r="WB110" i="2"/>
  <c r="VZ110" i="2"/>
  <c r="VY110" i="2"/>
  <c r="VW112" i="2"/>
  <c r="VV112" i="2"/>
  <c r="VT112" i="2" s="1"/>
  <c r="N63" i="6" s="1"/>
  <c r="WC112" i="4"/>
  <c r="WB112" i="4"/>
  <c r="WA112" i="4"/>
  <c r="VZ112" i="4"/>
  <c r="VY112" i="4"/>
  <c r="VY113" i="4"/>
  <c r="WB113" i="4"/>
  <c r="WC113" i="4"/>
  <c r="WA113" i="4"/>
  <c r="VZ113" i="4"/>
  <c r="VY108" i="2"/>
  <c r="WC108" i="2"/>
  <c r="WB108" i="2"/>
  <c r="VZ108" i="2"/>
  <c r="WC109" i="2"/>
  <c r="WB109" i="2"/>
  <c r="VZ109" i="2"/>
  <c r="VY109" i="2"/>
  <c r="VW112" i="3"/>
  <c r="VV112" i="3"/>
  <c r="VT112" i="3" s="1"/>
  <c r="P63" i="6" s="1"/>
  <c r="VV112" i="4"/>
  <c r="VT112" i="4" s="1"/>
  <c r="VW112" i="4"/>
  <c r="VW113" i="5"/>
  <c r="VV113" i="5"/>
  <c r="VT113" i="5" s="1"/>
  <c r="VW113" i="2"/>
  <c r="VV113" i="2"/>
  <c r="VT113" i="2" s="1"/>
  <c r="N64" i="6" s="1"/>
  <c r="WC111" i="2"/>
  <c r="WB111" i="2"/>
  <c r="VZ111" i="2"/>
  <c r="VY111" i="2"/>
  <c r="VW108" i="4"/>
  <c r="VV108" i="4"/>
  <c r="VT108" i="4" s="1"/>
  <c r="WA109" i="5"/>
  <c r="WC109" i="5"/>
  <c r="VY109" i="5"/>
  <c r="WB109" i="5"/>
  <c r="VZ109" i="5"/>
  <c r="VV109" i="4"/>
  <c r="VT109" i="4" s="1"/>
  <c r="VW109" i="4"/>
  <c r="WA111" i="4"/>
  <c r="WC111" i="4"/>
  <c r="VZ111" i="4"/>
  <c r="VY111" i="4"/>
  <c r="WB111" i="4"/>
  <c r="VY111" i="5"/>
  <c r="VZ111" i="5"/>
  <c r="WB111" i="5"/>
  <c r="WA111" i="5"/>
  <c r="WC111" i="5"/>
  <c r="WB108" i="4"/>
  <c r="VZ108" i="4"/>
  <c r="WA108" i="4"/>
  <c r="WC108" i="4"/>
  <c r="VY108" i="4"/>
  <c r="VY109" i="4"/>
  <c r="WB109" i="4"/>
  <c r="WA109" i="4"/>
  <c r="WC109" i="4"/>
  <c r="VZ109" i="4"/>
  <c r="VV110" i="2"/>
  <c r="VT110" i="2" s="1"/>
  <c r="N61" i="6" s="1"/>
  <c r="VW110" i="2"/>
  <c r="VV110" i="4"/>
  <c r="VT110" i="4" s="1"/>
  <c r="VW110" i="4"/>
  <c r="VW111" i="5"/>
  <c r="VV111" i="5"/>
  <c r="VT111" i="5" s="1"/>
  <c r="VW111" i="2"/>
  <c r="VV111" i="2"/>
  <c r="VT111" i="2" s="1"/>
  <c r="N62" i="6" s="1"/>
  <c r="WB110" i="5"/>
  <c r="WC110" i="5"/>
  <c r="WA110" i="5"/>
  <c r="VZ110" i="5"/>
  <c r="VY110" i="5"/>
  <c r="VV109" i="5"/>
  <c r="VT109" i="5" s="1"/>
  <c r="VW109" i="5"/>
  <c r="WA108" i="5"/>
  <c r="WC108" i="5"/>
  <c r="VY108" i="5"/>
  <c r="WB108" i="5"/>
  <c r="VZ108" i="5"/>
  <c r="VV110" i="5"/>
  <c r="VT110" i="5" s="1"/>
  <c r="VW110" i="5"/>
  <c r="VV108" i="2"/>
  <c r="VT108" i="2" s="1"/>
  <c r="N59" i="6" s="1"/>
  <c r="VW108" i="2"/>
  <c r="VZ110" i="4"/>
  <c r="WB110" i="4"/>
  <c r="WA110" i="4"/>
  <c r="VY110" i="4"/>
  <c r="WC110" i="4"/>
  <c r="VV111" i="4"/>
  <c r="VT111" i="4" s="1"/>
  <c r="VW111" i="4"/>
  <c r="VW108" i="5"/>
  <c r="VV108" i="5"/>
  <c r="VT108" i="5" s="1"/>
  <c r="VW109" i="2"/>
  <c r="VV109" i="2"/>
  <c r="VT109" i="2" s="1"/>
  <c r="N60" i="6" s="1"/>
  <c r="VV108" i="3"/>
  <c r="VT108" i="3" s="1"/>
  <c r="P59" i="6" s="1"/>
  <c r="VW108" i="3"/>
  <c r="VW111" i="3"/>
  <c r="VV111" i="3"/>
  <c r="VT111" i="3" s="1"/>
  <c r="P62" i="6" s="1"/>
  <c r="VV110" i="3"/>
  <c r="VT110" i="3" s="1"/>
  <c r="P61" i="6" s="1"/>
  <c r="VW110" i="3"/>
  <c r="WC110" i="3"/>
  <c r="WB110" i="3"/>
  <c r="VY110" i="3"/>
  <c r="VZ110" i="3"/>
  <c r="WA110" i="3"/>
  <c r="WA111" i="3"/>
  <c r="WC111" i="3"/>
  <c r="VY111" i="3"/>
  <c r="WB111" i="3"/>
  <c r="VZ111" i="3"/>
  <c r="VY108" i="3"/>
  <c r="WB108" i="3"/>
  <c r="WC108" i="3"/>
  <c r="VZ108" i="3"/>
  <c r="WA108" i="3"/>
  <c r="D41" i="6"/>
  <c r="VT90" i="2"/>
  <c r="N41" i="6" s="1"/>
  <c r="Q45" i="6"/>
  <c r="Q41" i="6"/>
  <c r="I34" i="6"/>
  <c r="Q33" i="6"/>
  <c r="H33" i="6"/>
  <c r="H34" i="6"/>
  <c r="S33" i="6"/>
  <c r="S34" i="6"/>
  <c r="AH40" i="6"/>
  <c r="AH32" i="6"/>
  <c r="R34" i="6"/>
  <c r="I33" i="6"/>
  <c r="R33" i="6"/>
  <c r="AG32" i="6"/>
  <c r="Z32" i="6"/>
  <c r="VT89" i="2"/>
  <c r="N40" i="6" s="1"/>
  <c r="D40" i="6"/>
  <c r="VT94" i="3"/>
  <c r="P45" i="6" s="1"/>
  <c r="F45" i="6"/>
  <c r="VT89" i="4"/>
  <c r="U40" i="6"/>
  <c r="VT90" i="5"/>
  <c r="W41" i="6"/>
  <c r="VT94" i="2"/>
  <c r="N45" i="6" s="1"/>
  <c r="D45" i="6"/>
  <c r="VT89" i="3"/>
  <c r="P40" i="6" s="1"/>
  <c r="F40" i="6"/>
  <c r="VT89" i="5"/>
  <c r="W40" i="6"/>
  <c r="VT90" i="3"/>
  <c r="P41" i="6" s="1"/>
  <c r="F41" i="6"/>
  <c r="VT93" i="3"/>
  <c r="P44" i="6" s="1"/>
  <c r="F44" i="6"/>
  <c r="VT94" i="5"/>
  <c r="W45" i="6"/>
  <c r="VW130" i="4"/>
  <c r="VV130" i="4"/>
  <c r="VW130" i="2"/>
  <c r="VV130" i="2"/>
  <c r="VW130" i="5"/>
  <c r="VV130" i="5"/>
  <c r="WC139" i="2"/>
  <c r="WB139" i="2"/>
  <c r="WC141" i="2"/>
  <c r="WB141" i="2"/>
  <c r="VZ139" i="2"/>
  <c r="VY139" i="2"/>
  <c r="VZ141" i="2"/>
  <c r="VY141" i="2"/>
  <c r="VY140" i="2"/>
  <c r="WC140" i="2"/>
  <c r="WB140" i="2"/>
  <c r="VZ140" i="2"/>
  <c r="VW130" i="3"/>
  <c r="VV130" i="3"/>
  <c r="VX136" i="2"/>
  <c r="VV140" i="2"/>
  <c r="VW139" i="2"/>
  <c r="VV139" i="2"/>
  <c r="VW140" i="2"/>
  <c r="VW141" i="2"/>
  <c r="VV141" i="2"/>
  <c r="WC105" i="2"/>
  <c r="VZ100" i="2"/>
  <c r="WB97" i="2"/>
  <c r="VZ130" i="2"/>
  <c r="WB105" i="2"/>
  <c r="VY100" i="2"/>
  <c r="VY130" i="2"/>
  <c r="WC102" i="2"/>
  <c r="VZ97" i="2"/>
  <c r="VZ105" i="2"/>
  <c r="WB102" i="2"/>
  <c r="VY97" i="2"/>
  <c r="VY105" i="2"/>
  <c r="WC99" i="2"/>
  <c r="WC106" i="2"/>
  <c r="VZ102" i="2"/>
  <c r="WB99" i="2"/>
  <c r="WB106" i="2"/>
  <c r="VY102" i="2"/>
  <c r="WC96" i="2"/>
  <c r="WC103" i="2"/>
  <c r="VZ99" i="2"/>
  <c r="WB96" i="2"/>
  <c r="WC80" i="2"/>
  <c r="VY103" i="2"/>
  <c r="VZ106" i="2"/>
  <c r="WB103" i="2"/>
  <c r="VY99" i="2"/>
  <c r="WB80" i="2"/>
  <c r="WB130" i="2"/>
  <c r="WB131" i="2" s="1"/>
  <c r="WB132" i="2" s="1"/>
  <c r="WC97" i="2"/>
  <c r="VY80" i="2"/>
  <c r="VY106" i="2"/>
  <c r="WC100" i="2"/>
  <c r="VZ96" i="2"/>
  <c r="WC130" i="2"/>
  <c r="WC131" i="2" s="1"/>
  <c r="WC132" i="2" s="1"/>
  <c r="VZ103" i="2"/>
  <c r="WB100" i="2"/>
  <c r="VY96" i="2"/>
  <c r="VZ80" i="2"/>
  <c r="VW105" i="3"/>
  <c r="VV97" i="3"/>
  <c r="VW139" i="3"/>
  <c r="VV105" i="3"/>
  <c r="VV139" i="3"/>
  <c r="VW102" i="3"/>
  <c r="VW80" i="3"/>
  <c r="VV102" i="3"/>
  <c r="VW99" i="3"/>
  <c r="VW106" i="3"/>
  <c r="VV99" i="3"/>
  <c r="VV80" i="3"/>
  <c r="VV106" i="3"/>
  <c r="VW96" i="3"/>
  <c r="VW103" i="3"/>
  <c r="VV96" i="3"/>
  <c r="VV103" i="3"/>
  <c r="VW141" i="3"/>
  <c r="VV140" i="3"/>
  <c r="VW100" i="3"/>
  <c r="VV141" i="3"/>
  <c r="VW97" i="3"/>
  <c r="VV100" i="3"/>
  <c r="VW140" i="3"/>
  <c r="WB139" i="3"/>
  <c r="WC106" i="3"/>
  <c r="VZ102" i="3"/>
  <c r="WB99" i="3"/>
  <c r="WC141" i="3"/>
  <c r="WA139" i="3"/>
  <c r="WB106" i="3"/>
  <c r="VY102" i="3"/>
  <c r="WA99" i="3"/>
  <c r="WC96" i="3"/>
  <c r="WB141" i="3"/>
  <c r="VZ139" i="3"/>
  <c r="WA106" i="3"/>
  <c r="WC103" i="3"/>
  <c r="VZ99" i="3"/>
  <c r="WB96" i="3"/>
  <c r="WA141" i="3"/>
  <c r="VY139" i="3"/>
  <c r="VZ106" i="3"/>
  <c r="WB103" i="3"/>
  <c r="VY99" i="3"/>
  <c r="WA96" i="3"/>
  <c r="VZ141" i="3"/>
  <c r="VY106" i="3"/>
  <c r="WA103" i="3"/>
  <c r="WC100" i="3"/>
  <c r="VZ96" i="3"/>
  <c r="VY141" i="3"/>
  <c r="VZ103" i="3"/>
  <c r="WB100" i="3"/>
  <c r="VY96" i="3"/>
  <c r="WC140" i="3"/>
  <c r="VY103" i="3"/>
  <c r="WA100" i="3"/>
  <c r="WC97" i="3"/>
  <c r="WB140" i="3"/>
  <c r="WC130" i="3"/>
  <c r="WC105" i="3"/>
  <c r="VZ100" i="3"/>
  <c r="WB97" i="3"/>
  <c r="VY130" i="3"/>
  <c r="VY131" i="3" s="1"/>
  <c r="VY132" i="3" s="1"/>
  <c r="VY133" i="3" s="1"/>
  <c r="WC99" i="3"/>
  <c r="WA140" i="3"/>
  <c r="WB130" i="3"/>
  <c r="WB131" i="3" s="1"/>
  <c r="WB105" i="3"/>
  <c r="VY100" i="3"/>
  <c r="WA97" i="3"/>
  <c r="WA102" i="3"/>
  <c r="VZ140" i="3"/>
  <c r="WA130" i="3"/>
  <c r="WA131" i="3" s="1"/>
  <c r="WA105" i="3"/>
  <c r="WC102" i="3"/>
  <c r="VZ97" i="3"/>
  <c r="VY105" i="3"/>
  <c r="VY140" i="3"/>
  <c r="VZ130" i="3"/>
  <c r="VZ131" i="3" s="1"/>
  <c r="VZ105" i="3"/>
  <c r="WB102" i="3"/>
  <c r="VY97" i="3"/>
  <c r="WC139" i="3"/>
  <c r="VW76" i="2"/>
  <c r="VV76" i="2"/>
  <c r="WC79" i="2"/>
  <c r="WB79" i="2"/>
  <c r="VZ79" i="2"/>
  <c r="VY79" i="2"/>
  <c r="WB76" i="2"/>
  <c r="VZ76" i="2"/>
  <c r="VY76" i="2"/>
  <c r="WC76" i="2"/>
  <c r="VW103" i="2"/>
  <c r="VV96" i="2"/>
  <c r="VW80" i="2"/>
  <c r="VV103" i="2"/>
  <c r="VV80" i="2"/>
  <c r="VW100" i="2"/>
  <c r="VV100" i="2"/>
  <c r="VW97" i="2"/>
  <c r="VW105" i="2"/>
  <c r="VV97" i="2"/>
  <c r="VV105" i="2"/>
  <c r="VW102" i="2"/>
  <c r="VV102" i="2"/>
  <c r="VW99" i="2"/>
  <c r="VV106" i="2"/>
  <c r="VW96" i="2"/>
  <c r="VW106" i="2"/>
  <c r="VV99" i="2"/>
  <c r="VW78" i="2"/>
  <c r="VV78" i="2"/>
  <c r="VW76" i="3"/>
  <c r="VV76" i="3"/>
  <c r="A73" i="6"/>
  <c r="VW79" i="2"/>
  <c r="VV79" i="2"/>
  <c r="VZ78" i="2"/>
  <c r="VY78" i="2"/>
  <c r="WC78" i="2"/>
  <c r="WB78" i="2"/>
  <c r="VW78" i="3"/>
  <c r="VW87" i="3" s="1"/>
  <c r="VV78" i="3"/>
  <c r="VV87" i="3" s="1"/>
  <c r="WB76" i="4"/>
  <c r="VY76" i="4"/>
  <c r="WA76" i="4"/>
  <c r="WC76" i="4"/>
  <c r="VZ76" i="4"/>
  <c r="WB77" i="5"/>
  <c r="WA77" i="5"/>
  <c r="VZ77" i="5"/>
  <c r="VY77" i="5"/>
  <c r="WC77" i="5"/>
  <c r="WC76" i="5"/>
  <c r="VY76" i="5"/>
  <c r="WA76" i="5"/>
  <c r="WB76" i="5"/>
  <c r="VZ76" i="5"/>
  <c r="WB82" i="4"/>
  <c r="VZ82" i="4"/>
  <c r="VY82" i="4"/>
  <c r="WC82" i="4"/>
  <c r="WA82" i="4"/>
  <c r="WA78" i="3"/>
  <c r="WC78" i="3"/>
  <c r="VZ78" i="3"/>
  <c r="VY78" i="3"/>
  <c r="WB78" i="3"/>
  <c r="VZ77" i="4"/>
  <c r="WC77" i="4"/>
  <c r="WA77" i="4"/>
  <c r="VY77" i="4"/>
  <c r="WB77" i="4"/>
  <c r="WC79" i="4"/>
  <c r="VY79" i="4"/>
  <c r="WB79" i="4"/>
  <c r="WA79" i="4"/>
  <c r="VZ79" i="4"/>
  <c r="VW141" i="5"/>
  <c r="VW100" i="5"/>
  <c r="VV141" i="5"/>
  <c r="VV100" i="5"/>
  <c r="VV139" i="5"/>
  <c r="VW105" i="5"/>
  <c r="VV97" i="5"/>
  <c r="VV105" i="5"/>
  <c r="VW103" i="5"/>
  <c r="VV96" i="5"/>
  <c r="VV103" i="5"/>
  <c r="VW102" i="5"/>
  <c r="VV102" i="5"/>
  <c r="VW140" i="5"/>
  <c r="VV140" i="5"/>
  <c r="VW106" i="5"/>
  <c r="VV106" i="5"/>
  <c r="VW96" i="5"/>
  <c r="VW139" i="5"/>
  <c r="VV99" i="5"/>
  <c r="VW79" i="5"/>
  <c r="VW99" i="5"/>
  <c r="VW97" i="5"/>
  <c r="VV79" i="5"/>
  <c r="VZ139" i="5"/>
  <c r="VY130" i="5"/>
  <c r="VY131" i="5" s="1"/>
  <c r="VY132" i="5" s="1"/>
  <c r="WA105" i="5"/>
  <c r="WC102" i="5"/>
  <c r="VZ97" i="5"/>
  <c r="VY139" i="5"/>
  <c r="VZ105" i="5"/>
  <c r="WB102" i="5"/>
  <c r="VY97" i="5"/>
  <c r="WB140" i="5"/>
  <c r="WC106" i="5"/>
  <c r="VZ102" i="5"/>
  <c r="WB99" i="5"/>
  <c r="WA140" i="5"/>
  <c r="WB106" i="5"/>
  <c r="VY102" i="5"/>
  <c r="WA99" i="5"/>
  <c r="WC96" i="5"/>
  <c r="VZ141" i="5"/>
  <c r="WB139" i="5"/>
  <c r="WA130" i="5"/>
  <c r="WA131" i="5" s="1"/>
  <c r="WC105" i="5"/>
  <c r="VZ100" i="5"/>
  <c r="WB97" i="5"/>
  <c r="VY141" i="5"/>
  <c r="WA139" i="5"/>
  <c r="VZ130" i="5"/>
  <c r="WB105" i="5"/>
  <c r="VY100" i="5"/>
  <c r="WA97" i="5"/>
  <c r="VZ140" i="5"/>
  <c r="WA106" i="5"/>
  <c r="WB96" i="5"/>
  <c r="VY140" i="5"/>
  <c r="VZ106" i="5"/>
  <c r="WA96" i="5"/>
  <c r="WC130" i="5"/>
  <c r="WC131" i="5" s="1"/>
  <c r="VY106" i="5"/>
  <c r="WC100" i="5"/>
  <c r="VZ96" i="5"/>
  <c r="VY79" i="5"/>
  <c r="WB100" i="5"/>
  <c r="VY96" i="5"/>
  <c r="WC139" i="5"/>
  <c r="WA100" i="5"/>
  <c r="VY105" i="5"/>
  <c r="WC99" i="5"/>
  <c r="WC141" i="5"/>
  <c r="WC103" i="5"/>
  <c r="VZ99" i="5"/>
  <c r="WA103" i="5"/>
  <c r="WB103" i="5"/>
  <c r="VY99" i="5"/>
  <c r="VZ103" i="5"/>
  <c r="WA141" i="5"/>
  <c r="WB130" i="5"/>
  <c r="WB131" i="5" s="1"/>
  <c r="VY103" i="5"/>
  <c r="WC97" i="5"/>
  <c r="WB141" i="5"/>
  <c r="WC140" i="5"/>
  <c r="WA102" i="5"/>
  <c r="WB79" i="5"/>
  <c r="WA79" i="5"/>
  <c r="WC79" i="5"/>
  <c r="VZ79" i="5"/>
  <c r="VV77" i="5"/>
  <c r="VW77" i="5"/>
  <c r="VZ83" i="4"/>
  <c r="WC83" i="4"/>
  <c r="VY83" i="4"/>
  <c r="WB83" i="4"/>
  <c r="WA83" i="4"/>
  <c r="VW83" i="4"/>
  <c r="VV83" i="4"/>
  <c r="VY76" i="3"/>
  <c r="VZ76" i="3"/>
  <c r="WC76" i="3"/>
  <c r="WA76" i="3"/>
  <c r="WB76" i="3"/>
  <c r="VV82" i="4"/>
  <c r="VW82" i="4"/>
  <c r="VZ141" i="4"/>
  <c r="WB139" i="4"/>
  <c r="WC130" i="4"/>
  <c r="WC131" i="4" s="1"/>
  <c r="WC132" i="4" s="1"/>
  <c r="VZ103" i="4"/>
  <c r="WB100" i="4"/>
  <c r="VY96" i="4"/>
  <c r="VY141" i="4"/>
  <c r="WA139" i="4"/>
  <c r="WB130" i="4"/>
  <c r="WB131" i="4" s="1"/>
  <c r="VY103" i="4"/>
  <c r="WA100" i="4"/>
  <c r="WC97" i="4"/>
  <c r="VZ139" i="4"/>
  <c r="WA130" i="4"/>
  <c r="WA131" i="4" s="1"/>
  <c r="WA132" i="4" s="1"/>
  <c r="WA133" i="4" s="1"/>
  <c r="WC105" i="4"/>
  <c r="VZ100" i="4"/>
  <c r="WB97" i="4"/>
  <c r="VY139" i="4"/>
  <c r="VZ130" i="4"/>
  <c r="VZ131" i="4" s="1"/>
  <c r="VZ132" i="4" s="1"/>
  <c r="WB105" i="4"/>
  <c r="VY100" i="4"/>
  <c r="WA97" i="4"/>
  <c r="WC140" i="4"/>
  <c r="VY130" i="4"/>
  <c r="WA105" i="4"/>
  <c r="WC102" i="4"/>
  <c r="VZ97" i="4"/>
  <c r="WB141" i="4"/>
  <c r="VZ106" i="4"/>
  <c r="WB103" i="4"/>
  <c r="VY99" i="4"/>
  <c r="WA96" i="4"/>
  <c r="WA141" i="4"/>
  <c r="WC139" i="4"/>
  <c r="VY106" i="4"/>
  <c r="WA103" i="4"/>
  <c r="WC100" i="4"/>
  <c r="VZ96" i="4"/>
  <c r="VZ102" i="4"/>
  <c r="WB96" i="4"/>
  <c r="WC103" i="4"/>
  <c r="WC141" i="4"/>
  <c r="VY102" i="4"/>
  <c r="WB140" i="4"/>
  <c r="WC106" i="4"/>
  <c r="WA140" i="4"/>
  <c r="WB106" i="4"/>
  <c r="VZ140" i="4"/>
  <c r="WA106" i="4"/>
  <c r="WC99" i="4"/>
  <c r="VY140" i="4"/>
  <c r="VZ105" i="4"/>
  <c r="WB99" i="4"/>
  <c r="VY105" i="4"/>
  <c r="WA99" i="4"/>
  <c r="VZ99" i="4"/>
  <c r="VY97" i="4"/>
  <c r="WB102" i="4"/>
  <c r="WA102" i="4"/>
  <c r="WC96" i="4"/>
  <c r="WA80" i="4"/>
  <c r="WB80" i="4"/>
  <c r="VY80" i="4"/>
  <c r="WC80" i="4"/>
  <c r="VZ80" i="4"/>
  <c r="VV76" i="5"/>
  <c r="VW76" i="5"/>
  <c r="VV78" i="5"/>
  <c r="VW78" i="5"/>
  <c r="VW80" i="5"/>
  <c r="VV80" i="5"/>
  <c r="WB80" i="5"/>
  <c r="WC80" i="5"/>
  <c r="WA80" i="5"/>
  <c r="VY80" i="5"/>
  <c r="VZ80" i="5"/>
  <c r="WB78" i="4"/>
  <c r="VZ78" i="4"/>
  <c r="WC78" i="4"/>
  <c r="WA78" i="4"/>
  <c r="VY78" i="4"/>
  <c r="VW106" i="4"/>
  <c r="VV99" i="4"/>
  <c r="VV106" i="4"/>
  <c r="VW96" i="4"/>
  <c r="VW141" i="4"/>
  <c r="VW103" i="4"/>
  <c r="VV96" i="4"/>
  <c r="VV141" i="4"/>
  <c r="VV103" i="4"/>
  <c r="VW139" i="4"/>
  <c r="VW100" i="4"/>
  <c r="VV140" i="4"/>
  <c r="VV102" i="4"/>
  <c r="VW99" i="4"/>
  <c r="VW102" i="4"/>
  <c r="VV105" i="4"/>
  <c r="VV100" i="4"/>
  <c r="VW140" i="4"/>
  <c r="VV139" i="4"/>
  <c r="VW105" i="4"/>
  <c r="VV97" i="4"/>
  <c r="VW97" i="4"/>
  <c r="VV80" i="4"/>
  <c r="VW80" i="4"/>
  <c r="VW76" i="4"/>
  <c r="VV76" i="4"/>
  <c r="VV79" i="4"/>
  <c r="VW79" i="4"/>
  <c r="VW78" i="4"/>
  <c r="VV78" i="4"/>
  <c r="VV77" i="4"/>
  <c r="VW77" i="4"/>
  <c r="WA78" i="5"/>
  <c r="WB78" i="5"/>
  <c r="WC78" i="5"/>
  <c r="VY78" i="5"/>
  <c r="VZ78" i="5"/>
  <c r="VY80" i="3"/>
  <c r="WA80" i="3"/>
  <c r="WC80" i="3"/>
  <c r="WB80" i="3"/>
  <c r="VZ80" i="3"/>
  <c r="AG79" i="6" l="1"/>
  <c r="AG78" i="6"/>
  <c r="WD120" i="3"/>
  <c r="WE120" i="3" s="1"/>
  <c r="WD120" i="4"/>
  <c r="WE120" i="4" s="1"/>
  <c r="WD125" i="5"/>
  <c r="WE125" i="5" s="1"/>
  <c r="WD116" i="5"/>
  <c r="WE116" i="5" s="1"/>
  <c r="WD125" i="2"/>
  <c r="WE125" i="2" s="1"/>
  <c r="WD118" i="4"/>
  <c r="WE118" i="4" s="1"/>
  <c r="WD124" i="2"/>
  <c r="WE124" i="2" s="1"/>
  <c r="WD116" i="4"/>
  <c r="WE116" i="4" s="1"/>
  <c r="WD118" i="5"/>
  <c r="WE118" i="5" s="1"/>
  <c r="WD122" i="2"/>
  <c r="WE122" i="2" s="1"/>
  <c r="WD122" i="5"/>
  <c r="WE122" i="5" s="1"/>
  <c r="WD122" i="4"/>
  <c r="WE122" i="4" s="1"/>
  <c r="WD119" i="4"/>
  <c r="WE119" i="4" s="1"/>
  <c r="WD123" i="5"/>
  <c r="WE123" i="5" s="1"/>
  <c r="WD121" i="2"/>
  <c r="WE121" i="2" s="1"/>
  <c r="WD117" i="4"/>
  <c r="WE117" i="4" s="1"/>
  <c r="WD116" i="3"/>
  <c r="WE116" i="3" s="1"/>
  <c r="WD121" i="4"/>
  <c r="WE121" i="4" s="1"/>
  <c r="WD120" i="2"/>
  <c r="WE120" i="2" s="1"/>
  <c r="WD125" i="3"/>
  <c r="WE125" i="3" s="1"/>
  <c r="WD119" i="5"/>
  <c r="WE119" i="5" s="1"/>
  <c r="WD120" i="5"/>
  <c r="WE120" i="5" s="1"/>
  <c r="WD123" i="4"/>
  <c r="WE123" i="4" s="1"/>
  <c r="WD125" i="4"/>
  <c r="WE125" i="4" s="1"/>
  <c r="WD118" i="2"/>
  <c r="WE118" i="2" s="1"/>
  <c r="WD122" i="3"/>
  <c r="WE122" i="3" s="1"/>
  <c r="WD123" i="2"/>
  <c r="WE123" i="2" s="1"/>
  <c r="WD124" i="3"/>
  <c r="WE124" i="3" s="1"/>
  <c r="WD121" i="5"/>
  <c r="WE121" i="5" s="1"/>
  <c r="WD124" i="4"/>
  <c r="WE124" i="4" s="1"/>
  <c r="WD116" i="2"/>
  <c r="WE116" i="2" s="1"/>
  <c r="Y40" i="6"/>
  <c r="WA87" i="2"/>
  <c r="AG76" i="6"/>
  <c r="WA132" i="2"/>
  <c r="WA133" i="2" s="1"/>
  <c r="WA86" i="2"/>
  <c r="WA92" i="2"/>
  <c r="WA84" i="2"/>
  <c r="R63" i="6"/>
  <c r="S63" i="6"/>
  <c r="WD110" i="2"/>
  <c r="WE110" i="2" s="1"/>
  <c r="WD111" i="2"/>
  <c r="WE111" i="2" s="1"/>
  <c r="R64" i="6"/>
  <c r="S64" i="6"/>
  <c r="WD113" i="2"/>
  <c r="WE113" i="2" s="1"/>
  <c r="WD108" i="2"/>
  <c r="WE108" i="2" s="1"/>
  <c r="WD112" i="3"/>
  <c r="WE112" i="3" s="1"/>
  <c r="WD109" i="2"/>
  <c r="WE109" i="2" s="1"/>
  <c r="WD113" i="5"/>
  <c r="WE113" i="5" s="1"/>
  <c r="AE64" i="6" s="1"/>
  <c r="WD113" i="4"/>
  <c r="WE113" i="4" s="1"/>
  <c r="AC64" i="6" s="1"/>
  <c r="WD112" i="2"/>
  <c r="WE112" i="2" s="1"/>
  <c r="WD111" i="5"/>
  <c r="WE111" i="5" s="1"/>
  <c r="AE62" i="6" s="1"/>
  <c r="WD110" i="5"/>
  <c r="WE110" i="5" s="1"/>
  <c r="AE61" i="6" s="1"/>
  <c r="WD113" i="3"/>
  <c r="WE113" i="3" s="1"/>
  <c r="WD112" i="4"/>
  <c r="WE112" i="4" s="1"/>
  <c r="AC63" i="6" s="1"/>
  <c r="WD108" i="4"/>
  <c r="WE108" i="4" s="1"/>
  <c r="AC59" i="6" s="1"/>
  <c r="WD108" i="5"/>
  <c r="WE108" i="5" s="1"/>
  <c r="AE59" i="6" s="1"/>
  <c r="WD111" i="3"/>
  <c r="WE111" i="3" s="1"/>
  <c r="WD109" i="5"/>
  <c r="WE109" i="5" s="1"/>
  <c r="AE60" i="6" s="1"/>
  <c r="WD110" i="4"/>
  <c r="WE110" i="4" s="1"/>
  <c r="AC61" i="6" s="1"/>
  <c r="WD109" i="4"/>
  <c r="WE109" i="4" s="1"/>
  <c r="AC60" i="6" s="1"/>
  <c r="WD111" i="4"/>
  <c r="WE111" i="4" s="1"/>
  <c r="AC62" i="6" s="1"/>
  <c r="WD110" i="3"/>
  <c r="WE110" i="3" s="1"/>
  <c r="WD108" i="3"/>
  <c r="WE108" i="3" s="1"/>
  <c r="I41" i="6"/>
  <c r="H41" i="6"/>
  <c r="H45" i="6"/>
  <c r="S45" i="6"/>
  <c r="S41" i="6"/>
  <c r="I45" i="6"/>
  <c r="R41" i="6"/>
  <c r="R45" i="6"/>
  <c r="Z40" i="6"/>
  <c r="AG40" i="6"/>
  <c r="VY88" i="3"/>
  <c r="WA87" i="3"/>
  <c r="WB93" i="2"/>
  <c r="WC93" i="2"/>
  <c r="VZ88" i="2"/>
  <c r="WA87" i="4"/>
  <c r="WB88" i="2"/>
  <c r="VZ88" i="4"/>
  <c r="VZ88" i="5"/>
  <c r="WC88" i="4"/>
  <c r="VY88" i="2"/>
  <c r="VY88" i="5"/>
  <c r="VY88" i="4"/>
  <c r="WA88" i="3"/>
  <c r="WA88" i="5"/>
  <c r="WB88" i="4"/>
  <c r="WC87" i="3"/>
  <c r="VZ88" i="3"/>
  <c r="WC88" i="5"/>
  <c r="WA88" i="4"/>
  <c r="WB87" i="3"/>
  <c r="WC88" i="2"/>
  <c r="WB88" i="3"/>
  <c r="WB88" i="5"/>
  <c r="VY87" i="3"/>
  <c r="VY93" i="2"/>
  <c r="WC88" i="3"/>
  <c r="VZ87" i="3"/>
  <c r="VZ93" i="2"/>
  <c r="VZ92" i="3"/>
  <c r="VY92" i="5"/>
  <c r="VY92" i="2"/>
  <c r="WC92" i="3"/>
  <c r="WB92" i="3"/>
  <c r="WC92" i="5"/>
  <c r="WC92" i="2"/>
  <c r="VZ92" i="2"/>
  <c r="WB92" i="2"/>
  <c r="WC92" i="4"/>
  <c r="WA92" i="3"/>
  <c r="WA92" i="4"/>
  <c r="VY92" i="4"/>
  <c r="VY92" i="3"/>
  <c r="VZ92" i="5"/>
  <c r="WB92" i="4"/>
  <c r="WB92" i="5"/>
  <c r="VZ92" i="4"/>
  <c r="WA92" i="5"/>
  <c r="WB86" i="3"/>
  <c r="WC86" i="2"/>
  <c r="VZ86" i="3"/>
  <c r="VY86" i="2"/>
  <c r="VY86" i="3"/>
  <c r="WB86" i="2"/>
  <c r="WC86" i="3"/>
  <c r="WA86" i="3"/>
  <c r="VZ86" i="2"/>
  <c r="VZ87" i="4"/>
  <c r="VU97" i="3"/>
  <c r="O48" i="6" s="1"/>
  <c r="VY87" i="5"/>
  <c r="WB87" i="5"/>
  <c r="WA87" i="5"/>
  <c r="VZ86" i="5"/>
  <c r="WA86" i="5"/>
  <c r="VZ87" i="5"/>
  <c r="VY87" i="4"/>
  <c r="WC87" i="5"/>
  <c r="WC87" i="4"/>
  <c r="WB86" i="5"/>
  <c r="WB87" i="4"/>
  <c r="VY86" i="5"/>
  <c r="VZ86" i="4"/>
  <c r="WB87" i="2"/>
  <c r="VZ87" i="2"/>
  <c r="VY90" i="4"/>
  <c r="VZ90" i="4"/>
  <c r="WB90" i="4"/>
  <c r="WC86" i="4"/>
  <c r="WA86" i="4"/>
  <c r="WC87" i="2"/>
  <c r="VY86" i="4"/>
  <c r="VY87" i="2"/>
  <c r="WB86" i="4"/>
  <c r="WC86" i="5"/>
  <c r="WA90" i="4"/>
  <c r="WC90" i="4"/>
  <c r="VU100" i="3"/>
  <c r="O51" i="6" s="1"/>
  <c r="VV131" i="3"/>
  <c r="VW88" i="3"/>
  <c r="VV88" i="3"/>
  <c r="WD97" i="2"/>
  <c r="WE97" i="2" s="1"/>
  <c r="WD100" i="2"/>
  <c r="WE100" i="2" s="1"/>
  <c r="VW131" i="5"/>
  <c r="VW88" i="2"/>
  <c r="VW131" i="3"/>
  <c r="VW131" i="2"/>
  <c r="VU96" i="3"/>
  <c r="O47" i="6" s="1"/>
  <c r="VV131" i="5"/>
  <c r="VV132" i="5" s="1"/>
  <c r="VW131" i="4"/>
  <c r="VW90" i="4"/>
  <c r="VU83" i="4"/>
  <c r="AB34" i="6" s="1"/>
  <c r="AF34" i="6" s="1"/>
  <c r="VV131" i="4"/>
  <c r="VV88" i="5"/>
  <c r="VW88" i="4"/>
  <c r="VW88" i="5"/>
  <c r="VV93" i="2"/>
  <c r="VV88" i="4"/>
  <c r="VV88" i="2"/>
  <c r="VU102" i="3"/>
  <c r="O53" i="6" s="1"/>
  <c r="VV131" i="2"/>
  <c r="WA132" i="3"/>
  <c r="WA133" i="3" s="1"/>
  <c r="WA134" i="3" s="1"/>
  <c r="WA135" i="3" s="1"/>
  <c r="WA136" i="3" s="1"/>
  <c r="VZ132" i="3"/>
  <c r="VZ133" i="3" s="1"/>
  <c r="VW94" i="4"/>
  <c r="WD97" i="3"/>
  <c r="WE97" i="3" s="1"/>
  <c r="WD103" i="3"/>
  <c r="WE103" i="3" s="1"/>
  <c r="WD102" i="2"/>
  <c r="WE102" i="2" s="1"/>
  <c r="WB133" i="2"/>
  <c r="WB134" i="2" s="1"/>
  <c r="WD103" i="2"/>
  <c r="WE103" i="2" s="1"/>
  <c r="VY134" i="3"/>
  <c r="VY135" i="3" s="1"/>
  <c r="VY136" i="3" s="1"/>
  <c r="WB132" i="3"/>
  <c r="WB133" i="3" s="1"/>
  <c r="WB134" i="3" s="1"/>
  <c r="WB135" i="3" s="1"/>
  <c r="WB136" i="3" s="1"/>
  <c r="WB132" i="5"/>
  <c r="WB133" i="5" s="1"/>
  <c r="WB134" i="5" s="1"/>
  <c r="VZ94" i="4"/>
  <c r="VW84" i="2"/>
  <c r="VW92" i="2"/>
  <c r="VW86" i="2"/>
  <c r="WB94" i="4"/>
  <c r="VY131" i="2"/>
  <c r="VW87" i="2"/>
  <c r="VW93" i="2"/>
  <c r="WC84" i="2"/>
  <c r="WC131" i="3"/>
  <c r="WD131" i="3" s="1"/>
  <c r="WE131" i="3" s="1"/>
  <c r="VZ131" i="2"/>
  <c r="VY84" i="2"/>
  <c r="WB132" i="4"/>
  <c r="WB133" i="4" s="1"/>
  <c r="WB134" i="4" s="1"/>
  <c r="VV87" i="2"/>
  <c r="VZ84" i="2"/>
  <c r="WC133" i="4"/>
  <c r="VV94" i="4"/>
  <c r="VZ131" i="5"/>
  <c r="VZ132" i="5" s="1"/>
  <c r="VZ133" i="5" s="1"/>
  <c r="WC132" i="5"/>
  <c r="WC133" i="5" s="1"/>
  <c r="WC134" i="5" s="1"/>
  <c r="WC135" i="5" s="1"/>
  <c r="WC136" i="5" s="1"/>
  <c r="WA134" i="4"/>
  <c r="WA135" i="4" s="1"/>
  <c r="WA136" i="4" s="1"/>
  <c r="WA94" i="4"/>
  <c r="WB84" i="2"/>
  <c r="WC133" i="2"/>
  <c r="WC94" i="4"/>
  <c r="VY94" i="4"/>
  <c r="VV84" i="2"/>
  <c r="VV86" i="2"/>
  <c r="VV92" i="2"/>
  <c r="VY133" i="5"/>
  <c r="VY134" i="5" s="1"/>
  <c r="VZ133" i="4"/>
  <c r="VZ134" i="4" s="1"/>
  <c r="VZ135" i="4" s="1"/>
  <c r="WD106" i="3"/>
  <c r="WE106" i="3" s="1"/>
  <c r="WC84" i="3"/>
  <c r="WD130" i="3"/>
  <c r="WE130" i="3" s="1"/>
  <c r="WD100" i="3"/>
  <c r="WE100" i="3" s="1"/>
  <c r="VZ84" i="3"/>
  <c r="WD105" i="2"/>
  <c r="WE105" i="2" s="1"/>
  <c r="VU103" i="3"/>
  <c r="O54" i="6" s="1"/>
  <c r="WA132" i="5"/>
  <c r="VY131" i="4"/>
  <c r="VY132" i="4" s="1"/>
  <c r="VY133" i="4" s="1"/>
  <c r="WD76" i="3"/>
  <c r="VY84" i="3"/>
  <c r="VU105" i="3"/>
  <c r="O56" i="6" s="1"/>
  <c r="WD80" i="3"/>
  <c r="WE80" i="3" s="1"/>
  <c r="WD106" i="2"/>
  <c r="WE106" i="2" s="1"/>
  <c r="WD130" i="2"/>
  <c r="WE130" i="2" s="1"/>
  <c r="WD78" i="3"/>
  <c r="WE78" i="3" s="1"/>
  <c r="WD96" i="3"/>
  <c r="WE96" i="3" s="1"/>
  <c r="VU103" i="2"/>
  <c r="M54" i="6" s="1"/>
  <c r="WD99" i="2"/>
  <c r="WE99" i="2" s="1"/>
  <c r="WD96" i="2"/>
  <c r="WE96" i="2" s="1"/>
  <c r="VW86" i="3"/>
  <c r="VW92" i="3"/>
  <c r="WD99" i="3"/>
  <c r="WE99" i="3" s="1"/>
  <c r="WD105" i="3"/>
  <c r="WE105" i="3" s="1"/>
  <c r="VU99" i="3"/>
  <c r="O50" i="6" s="1"/>
  <c r="VV86" i="3"/>
  <c r="VV92" i="3"/>
  <c r="WD102" i="3"/>
  <c r="WE102" i="3" s="1"/>
  <c r="VU106" i="3"/>
  <c r="O57" i="6" s="1"/>
  <c r="WB84" i="3"/>
  <c r="WA84" i="3"/>
  <c r="VU102" i="2"/>
  <c r="M53" i="6" s="1"/>
  <c r="VU80" i="2"/>
  <c r="M31" i="6" s="1"/>
  <c r="WD80" i="2"/>
  <c r="WE80" i="2" s="1"/>
  <c r="VU87" i="3"/>
  <c r="O38" i="6" s="1"/>
  <c r="VW84" i="3"/>
  <c r="VV84" i="3"/>
  <c r="VU80" i="3"/>
  <c r="O31" i="6" s="1"/>
  <c r="VV90" i="4"/>
  <c r="WD76" i="2"/>
  <c r="WD79" i="2"/>
  <c r="WE79" i="2" s="1"/>
  <c r="WD77" i="2"/>
  <c r="WE77" i="2" s="1"/>
  <c r="WD78" i="2"/>
  <c r="WE78" i="2" s="1"/>
  <c r="WD83" i="4"/>
  <c r="WE83" i="4" s="1"/>
  <c r="AC34" i="6" s="1"/>
  <c r="VU82" i="4"/>
  <c r="VU78" i="3"/>
  <c r="O29" i="6" s="1"/>
  <c r="VU80" i="5"/>
  <c r="AD31" i="6" s="1"/>
  <c r="VU76" i="5"/>
  <c r="AD27" i="6" s="1"/>
  <c r="VV93" i="5"/>
  <c r="VZ93" i="4"/>
  <c r="WD82" i="4"/>
  <c r="WE82" i="4" s="1"/>
  <c r="AC33" i="6" s="1"/>
  <c r="VU105" i="4"/>
  <c r="AB56" i="6" s="1"/>
  <c r="VU100" i="5"/>
  <c r="AD51" i="6" s="1"/>
  <c r="VY93" i="4"/>
  <c r="VW87" i="4"/>
  <c r="VU78" i="2"/>
  <c r="M29" i="6" s="1"/>
  <c r="VU105" i="2"/>
  <c r="M56" i="6" s="1"/>
  <c r="VU130" i="3"/>
  <c r="O68" i="6" s="1"/>
  <c r="WD80" i="5"/>
  <c r="WE80" i="5" s="1"/>
  <c r="AE31" i="6" s="1"/>
  <c r="VW86" i="5"/>
  <c r="VV87" i="4"/>
  <c r="VU77" i="2"/>
  <c r="M28" i="6" s="1"/>
  <c r="VU97" i="2"/>
  <c r="M48" i="6" s="1"/>
  <c r="VU103" i="4"/>
  <c r="AB54" i="6" s="1"/>
  <c r="WD77" i="5"/>
  <c r="WE77" i="5" s="1"/>
  <c r="AE28" i="6" s="1"/>
  <c r="VW84" i="5"/>
  <c r="VW93" i="5"/>
  <c r="VU77" i="5"/>
  <c r="AD28" i="6" s="1"/>
  <c r="VV87" i="5"/>
  <c r="VY93" i="5"/>
  <c r="WC84" i="5"/>
  <c r="VZ93" i="5"/>
  <c r="VU106" i="5"/>
  <c r="AD57" i="6" s="1"/>
  <c r="VU100" i="4"/>
  <c r="AB51" i="6" s="1"/>
  <c r="WD103" i="5"/>
  <c r="WE103" i="5" s="1"/>
  <c r="AE54" i="6" s="1"/>
  <c r="VU99" i="2"/>
  <c r="M50" i="6" s="1"/>
  <c r="VU79" i="4"/>
  <c r="AB30" i="6" s="1"/>
  <c r="VW92" i="4"/>
  <c r="WB93" i="5"/>
  <c r="VU76" i="3"/>
  <c r="VU106" i="2"/>
  <c r="M57" i="6" s="1"/>
  <c r="VU78" i="4"/>
  <c r="AB29" i="6" s="1"/>
  <c r="WC93" i="4"/>
  <c r="WB93" i="4"/>
  <c r="WD79" i="4"/>
  <c r="WE79" i="4" s="1"/>
  <c r="AC30" i="6" s="1"/>
  <c r="VU130" i="2"/>
  <c r="M68" i="6" s="1"/>
  <c r="VU100" i="2"/>
  <c r="M51" i="6" s="1"/>
  <c r="VU96" i="2"/>
  <c r="M47" i="6" s="1"/>
  <c r="VU76" i="2"/>
  <c r="M27" i="6" s="1"/>
  <c r="VU79" i="2"/>
  <c r="M30" i="6" s="1"/>
  <c r="VZ84" i="5"/>
  <c r="WA93" i="4"/>
  <c r="WD76" i="4"/>
  <c r="WE76" i="4" s="1"/>
  <c r="AC27" i="6" s="1"/>
  <c r="VW92" i="5"/>
  <c r="VY84" i="4"/>
  <c r="VU96" i="4"/>
  <c r="AB47" i="6" s="1"/>
  <c r="WD102" i="5"/>
  <c r="WE102" i="5" s="1"/>
  <c r="AE53" i="6" s="1"/>
  <c r="VU102" i="4"/>
  <c r="AB53" i="6" s="1"/>
  <c r="VU78" i="5"/>
  <c r="AD29" i="6" s="1"/>
  <c r="VW87" i="5"/>
  <c r="WD99" i="5"/>
  <c r="WE99" i="5" s="1"/>
  <c r="AE50" i="6" s="1"/>
  <c r="VV92" i="5"/>
  <c r="WD130" i="5"/>
  <c r="WE130" i="5" s="1"/>
  <c r="AE68" i="6" s="1"/>
  <c r="WC93" i="5"/>
  <c r="WD97" i="4"/>
  <c r="WE97" i="4" s="1"/>
  <c r="AC48" i="6" s="1"/>
  <c r="VU102" i="5"/>
  <c r="AD53" i="6" s="1"/>
  <c r="WD105" i="5"/>
  <c r="WE105" i="5" s="1"/>
  <c r="AE56" i="6" s="1"/>
  <c r="VU76" i="4"/>
  <c r="AB27" i="6" s="1"/>
  <c r="WD96" i="4"/>
  <c r="WE96" i="4" s="1"/>
  <c r="AC47" i="6" s="1"/>
  <c r="VV86" i="4"/>
  <c r="WA93" i="5"/>
  <c r="WD100" i="5"/>
  <c r="WE100" i="5" s="1"/>
  <c r="AE51" i="6" s="1"/>
  <c r="WD80" i="4"/>
  <c r="WE80" i="4" s="1"/>
  <c r="AC31" i="6" s="1"/>
  <c r="VV92" i="4"/>
  <c r="VW93" i="4"/>
  <c r="VU80" i="4"/>
  <c r="AB31" i="6" s="1"/>
  <c r="WD97" i="5"/>
  <c r="WE97" i="5" s="1"/>
  <c r="AE48" i="6" s="1"/>
  <c r="WD78" i="5"/>
  <c r="WE78" i="5" s="1"/>
  <c r="AE29" i="6" s="1"/>
  <c r="WD79" i="5"/>
  <c r="WE79" i="5" s="1"/>
  <c r="AE30" i="6" s="1"/>
  <c r="WB84" i="5"/>
  <c r="VY84" i="5"/>
  <c r="VZ84" i="4"/>
  <c r="WD105" i="4"/>
  <c r="WE105" i="4" s="1"/>
  <c r="AC56" i="6" s="1"/>
  <c r="VU96" i="5"/>
  <c r="AD47" i="6" s="1"/>
  <c r="WD106" i="5"/>
  <c r="WE106" i="5" s="1"/>
  <c r="AE57" i="6" s="1"/>
  <c r="VU77" i="4"/>
  <c r="AB28" i="6" s="1"/>
  <c r="VU106" i="4"/>
  <c r="AB57" i="6" s="1"/>
  <c r="WA84" i="5"/>
  <c r="VV86" i="5"/>
  <c r="VV84" i="5"/>
  <c r="VU103" i="5"/>
  <c r="AD54" i="6" s="1"/>
  <c r="WD76" i="5"/>
  <c r="WE76" i="5" s="1"/>
  <c r="AE27" i="6" s="1"/>
  <c r="WD96" i="5"/>
  <c r="WE96" i="5" s="1"/>
  <c r="AE47" i="6" s="1"/>
  <c r="VU99" i="4"/>
  <c r="AB50" i="6" s="1"/>
  <c r="VU130" i="5"/>
  <c r="AD68" i="6" s="1"/>
  <c r="VU97" i="5"/>
  <c r="AD48" i="6" s="1"/>
  <c r="VV93" i="4"/>
  <c r="WD106" i="4"/>
  <c r="WE106" i="4" s="1"/>
  <c r="AC57" i="6" s="1"/>
  <c r="VU79" i="5"/>
  <c r="AD30" i="6" s="1"/>
  <c r="VW86" i="4"/>
  <c r="VU99" i="5"/>
  <c r="AD50" i="6" s="1"/>
  <c r="VU105" i="5"/>
  <c r="AD56" i="6" s="1"/>
  <c r="WD103" i="4"/>
  <c r="WE103" i="4" s="1"/>
  <c r="AC54" i="6" s="1"/>
  <c r="WC84" i="4"/>
  <c r="VU97" i="4"/>
  <c r="AB48" i="6" s="1"/>
  <c r="WD99" i="4"/>
  <c r="WE99" i="4" s="1"/>
  <c r="AC50" i="6" s="1"/>
  <c r="VU130" i="4"/>
  <c r="AB68" i="6" s="1"/>
  <c r="WA84" i="4"/>
  <c r="WD78" i="4"/>
  <c r="WE78" i="4" s="1"/>
  <c r="AC29" i="6" s="1"/>
  <c r="WD102" i="4"/>
  <c r="WE102" i="4" s="1"/>
  <c r="AC53" i="6" s="1"/>
  <c r="WD77" i="4"/>
  <c r="WE77" i="4" s="1"/>
  <c r="AC28" i="6" s="1"/>
  <c r="WB84" i="4"/>
  <c r="WD100" i="4"/>
  <c r="WE100" i="4" s="1"/>
  <c r="AC51" i="6" s="1"/>
  <c r="WD130" i="4"/>
  <c r="WE130" i="4" s="1"/>
  <c r="AC68" i="6" s="1"/>
  <c r="AF27" i="6" l="1"/>
  <c r="AF28" i="6"/>
  <c r="AF51" i="6"/>
  <c r="AF29" i="6"/>
  <c r="AF56" i="6"/>
  <c r="AF48" i="6"/>
  <c r="AF57" i="6"/>
  <c r="AF53" i="6"/>
  <c r="AF30" i="6"/>
  <c r="AF68" i="6"/>
  <c r="AF54" i="6"/>
  <c r="AF47" i="6"/>
  <c r="AF50" i="6"/>
  <c r="AF31" i="6"/>
  <c r="WA134" i="2"/>
  <c r="WA135" i="2" s="1"/>
  <c r="WA136" i="2" s="1"/>
  <c r="AH61" i="6"/>
  <c r="AG61" i="6"/>
  <c r="AH59" i="6"/>
  <c r="AG59" i="6"/>
  <c r="AH63" i="6"/>
  <c r="AG63" i="6"/>
  <c r="AH62" i="6"/>
  <c r="AG62" i="6"/>
  <c r="AG64" i="6"/>
  <c r="AH64" i="6"/>
  <c r="AG60" i="6"/>
  <c r="AH60" i="6"/>
  <c r="AG68" i="6"/>
  <c r="Q31" i="6"/>
  <c r="AH48" i="6"/>
  <c r="AH28" i="6"/>
  <c r="AH51" i="6"/>
  <c r="AH34" i="6"/>
  <c r="AH30" i="6"/>
  <c r="AH57" i="6"/>
  <c r="AH50" i="6"/>
  <c r="AH31" i="6"/>
  <c r="AH27" i="6"/>
  <c r="AH53" i="6"/>
  <c r="AH54" i="6"/>
  <c r="AH47" i="6"/>
  <c r="AH56" i="6"/>
  <c r="AH29" i="6"/>
  <c r="WD88" i="2"/>
  <c r="WE88" i="2" s="1"/>
  <c r="WD93" i="2"/>
  <c r="WE93" i="2" s="1"/>
  <c r="WD88" i="3"/>
  <c r="WE88" i="3" s="1"/>
  <c r="WD88" i="5"/>
  <c r="WE88" i="5" s="1"/>
  <c r="AE39" i="6" s="1"/>
  <c r="WD87" i="3"/>
  <c r="WE87" i="3" s="1"/>
  <c r="WD88" i="4"/>
  <c r="WE88" i="4" s="1"/>
  <c r="AC39" i="6" s="1"/>
  <c r="VW132" i="5"/>
  <c r="VW133" i="5" s="1"/>
  <c r="VW132" i="4"/>
  <c r="VW133" i="4" s="1"/>
  <c r="U33" i="6"/>
  <c r="Y33" i="6" s="1"/>
  <c r="AB33" i="6"/>
  <c r="AF33" i="6" s="1"/>
  <c r="F27" i="6"/>
  <c r="O27" i="6"/>
  <c r="VT80" i="2"/>
  <c r="N31" i="6" s="1"/>
  <c r="D31" i="6"/>
  <c r="VT105" i="3"/>
  <c r="P56" i="6" s="1"/>
  <c r="F56" i="6"/>
  <c r="VT102" i="2"/>
  <c r="N53" i="6" s="1"/>
  <c r="D53" i="6"/>
  <c r="VT78" i="5"/>
  <c r="W29" i="6"/>
  <c r="VT80" i="4"/>
  <c r="U31" i="6"/>
  <c r="VT103" i="2"/>
  <c r="N54" i="6" s="1"/>
  <c r="D54" i="6"/>
  <c r="VT97" i="3"/>
  <c r="P48" i="6" s="1"/>
  <c r="F48" i="6"/>
  <c r="VT105" i="4"/>
  <c r="U56" i="6"/>
  <c r="VT79" i="4"/>
  <c r="U30" i="6"/>
  <c r="VT97" i="2"/>
  <c r="N48" i="6" s="1"/>
  <c r="D48" i="6"/>
  <c r="VT97" i="4"/>
  <c r="U48" i="6"/>
  <c r="VT77" i="5"/>
  <c r="W28" i="6"/>
  <c r="VT99" i="2"/>
  <c r="N50" i="6" s="1"/>
  <c r="D50" i="6"/>
  <c r="VT76" i="4"/>
  <c r="U27" i="6"/>
  <c r="VT102" i="4"/>
  <c r="U53" i="6"/>
  <c r="VT76" i="2"/>
  <c r="N27" i="6" s="1"/>
  <c r="D27" i="6"/>
  <c r="VT77" i="2"/>
  <c r="N28" i="6" s="1"/>
  <c r="D28" i="6"/>
  <c r="VT130" i="3"/>
  <c r="P68" i="6" s="1"/>
  <c r="F68" i="6"/>
  <c r="VT77" i="4"/>
  <c r="U28" i="6"/>
  <c r="VT100" i="2"/>
  <c r="N51" i="6" s="1"/>
  <c r="D51" i="6"/>
  <c r="VT100" i="4"/>
  <c r="U51" i="6"/>
  <c r="VT78" i="2"/>
  <c r="N29" i="6" s="1"/>
  <c r="D29" i="6"/>
  <c r="VT105" i="5"/>
  <c r="W56" i="6"/>
  <c r="VT96" i="5"/>
  <c r="W47" i="6"/>
  <c r="VT79" i="2"/>
  <c r="N30" i="6" s="1"/>
  <c r="D30" i="6"/>
  <c r="VT79" i="5"/>
  <c r="W30" i="6"/>
  <c r="VT102" i="5"/>
  <c r="W53" i="6"/>
  <c r="VT105" i="2"/>
  <c r="N56" i="6" s="1"/>
  <c r="D56" i="6"/>
  <c r="VT78" i="4"/>
  <c r="U29" i="6"/>
  <c r="VT97" i="5"/>
  <c r="W48" i="6"/>
  <c r="VT130" i="2"/>
  <c r="N68" i="6" s="1"/>
  <c r="D68" i="6"/>
  <c r="VT106" i="2"/>
  <c r="N57" i="6" s="1"/>
  <c r="D57" i="6"/>
  <c r="VT106" i="5"/>
  <c r="W57" i="6"/>
  <c r="VT76" i="5"/>
  <c r="W27" i="6"/>
  <c r="VT96" i="3"/>
  <c r="P47" i="6" s="1"/>
  <c r="F47" i="6"/>
  <c r="VT106" i="4"/>
  <c r="U57" i="6"/>
  <c r="VT96" i="2"/>
  <c r="N47" i="6" s="1"/>
  <c r="D47" i="6"/>
  <c r="VT99" i="3"/>
  <c r="P50" i="6" s="1"/>
  <c r="F50" i="6"/>
  <c r="VT130" i="5"/>
  <c r="W68" i="6"/>
  <c r="VT96" i="4"/>
  <c r="U47" i="6"/>
  <c r="VT80" i="5"/>
  <c r="W31" i="6"/>
  <c r="VT80" i="3"/>
  <c r="P31" i="6" s="1"/>
  <c r="F31" i="6"/>
  <c r="VT83" i="4"/>
  <c r="U34" i="6"/>
  <c r="Y34" i="6" s="1"/>
  <c r="VT100" i="3"/>
  <c r="P51" i="6" s="1"/>
  <c r="F51" i="6"/>
  <c r="VT130" i="4"/>
  <c r="U68" i="6"/>
  <c r="VT78" i="3"/>
  <c r="P29" i="6" s="1"/>
  <c r="F29" i="6"/>
  <c r="VT106" i="3"/>
  <c r="P57" i="6" s="1"/>
  <c r="F57" i="6"/>
  <c r="VT102" i="3"/>
  <c r="P53" i="6" s="1"/>
  <c r="F53" i="6"/>
  <c r="VT99" i="5"/>
  <c r="W50" i="6"/>
  <c r="VT100" i="5"/>
  <c r="W51" i="6"/>
  <c r="VT87" i="3"/>
  <c r="P38" i="6" s="1"/>
  <c r="F38" i="6"/>
  <c r="VT103" i="3"/>
  <c r="P54" i="6" s="1"/>
  <c r="F54" i="6"/>
  <c r="VT99" i="4"/>
  <c r="U50" i="6"/>
  <c r="VT103" i="4"/>
  <c r="U54" i="6"/>
  <c r="VT103" i="5"/>
  <c r="W54" i="6"/>
  <c r="VV132" i="3"/>
  <c r="VU88" i="2"/>
  <c r="M39" i="6" s="1"/>
  <c r="VU88" i="3"/>
  <c r="O39" i="6" s="1"/>
  <c r="VU131" i="3"/>
  <c r="O69" i="6" s="1"/>
  <c r="VW132" i="3"/>
  <c r="VU88" i="5"/>
  <c r="AD39" i="6" s="1"/>
  <c r="VU88" i="4"/>
  <c r="AB39" i="6" s="1"/>
  <c r="VU131" i="4"/>
  <c r="AB69" i="6" s="1"/>
  <c r="VU131" i="5"/>
  <c r="AD69" i="6" s="1"/>
  <c r="VU87" i="2"/>
  <c r="M38" i="6" s="1"/>
  <c r="WB135" i="2"/>
  <c r="WB136" i="2" s="1"/>
  <c r="VV133" i="5"/>
  <c r="AD35" i="6"/>
  <c r="VV132" i="4"/>
  <c r="VW132" i="2"/>
  <c r="VU90" i="4"/>
  <c r="AB41" i="6" s="1"/>
  <c r="AF41" i="6" s="1"/>
  <c r="VU93" i="2"/>
  <c r="M44" i="6" s="1"/>
  <c r="M35" i="6"/>
  <c r="VU92" i="2"/>
  <c r="M43" i="6" s="1"/>
  <c r="VV132" i="2"/>
  <c r="WD131" i="2"/>
  <c r="WE131" i="2" s="1"/>
  <c r="WD131" i="5"/>
  <c r="WE131" i="5" s="1"/>
  <c r="AE69" i="6" s="1"/>
  <c r="VZ134" i="3"/>
  <c r="VZ135" i="3" s="1"/>
  <c r="VZ136" i="3" s="1"/>
  <c r="VZ134" i="5"/>
  <c r="VZ135" i="5" s="1"/>
  <c r="VZ136" i="5" s="1"/>
  <c r="VZ136" i="4"/>
  <c r="VZ132" i="2"/>
  <c r="VZ133" i="2" s="1"/>
  <c r="VZ134" i="2" s="1"/>
  <c r="VZ135" i="2" s="1"/>
  <c r="VZ136" i="2" s="1"/>
  <c r="WC134" i="4"/>
  <c r="WC132" i="3"/>
  <c r="WD132" i="3" s="1"/>
  <c r="WE132" i="3" s="1"/>
  <c r="VT82" i="4"/>
  <c r="VU94" i="4"/>
  <c r="AB45" i="6" s="1"/>
  <c r="AF45" i="6" s="1"/>
  <c r="VY135" i="5"/>
  <c r="VY136" i="5" s="1"/>
  <c r="VY132" i="2"/>
  <c r="WC134" i="2"/>
  <c r="WC135" i="2" s="1"/>
  <c r="WC136" i="2" s="1"/>
  <c r="WD94" i="4"/>
  <c r="WE94" i="4" s="1"/>
  <c r="AC45" i="6" s="1"/>
  <c r="WB135" i="4"/>
  <c r="WB136" i="4" s="1"/>
  <c r="VU92" i="3"/>
  <c r="O43" i="6" s="1"/>
  <c r="WB135" i="5"/>
  <c r="WB136" i="5" s="1"/>
  <c r="WD92" i="3"/>
  <c r="WE92" i="3" s="1"/>
  <c r="WD86" i="3"/>
  <c r="WE86" i="3" s="1"/>
  <c r="WD84" i="3"/>
  <c r="WE84" i="3" s="1"/>
  <c r="WE76" i="3"/>
  <c r="VY134" i="4"/>
  <c r="VY135" i="4" s="1"/>
  <c r="VY136" i="4" s="1"/>
  <c r="VU86" i="3"/>
  <c r="O37" i="6" s="1"/>
  <c r="VU86" i="2"/>
  <c r="M37" i="6" s="1"/>
  <c r="WA133" i="5"/>
  <c r="WA134" i="5" s="1"/>
  <c r="VU84" i="3"/>
  <c r="WO70" i="3" s="1"/>
  <c r="P77" i="6" s="1"/>
  <c r="VT76" i="3"/>
  <c r="P27" i="6" s="1"/>
  <c r="WD87" i="2"/>
  <c r="WE87" i="2" s="1"/>
  <c r="WE76" i="2"/>
  <c r="WD84" i="2"/>
  <c r="WE84" i="2" s="1"/>
  <c r="WD92" i="2"/>
  <c r="WE92" i="2" s="1"/>
  <c r="WD86" i="2"/>
  <c r="WE86" i="2" s="1"/>
  <c r="WD90" i="4"/>
  <c r="WE90" i="4" s="1"/>
  <c r="AC41" i="6" s="1"/>
  <c r="VU86" i="5"/>
  <c r="AD37" i="6" s="1"/>
  <c r="VU93" i="5"/>
  <c r="AD44" i="6" s="1"/>
  <c r="VU87" i="4"/>
  <c r="AB38" i="6" s="1"/>
  <c r="VU87" i="5"/>
  <c r="AD38" i="6" s="1"/>
  <c r="WD93" i="5"/>
  <c r="WE93" i="5" s="1"/>
  <c r="AE44" i="6" s="1"/>
  <c r="VU92" i="5"/>
  <c r="AD43" i="6" s="1"/>
  <c r="VU92" i="4"/>
  <c r="AB43" i="6" s="1"/>
  <c r="WD93" i="4"/>
  <c r="WE93" i="4" s="1"/>
  <c r="AC44" i="6" s="1"/>
  <c r="WD87" i="5"/>
  <c r="WE87" i="5" s="1"/>
  <c r="AE38" i="6" s="1"/>
  <c r="WD132" i="5"/>
  <c r="WE132" i="5" s="1"/>
  <c r="AE70" i="6" s="1"/>
  <c r="VU84" i="2"/>
  <c r="VU93" i="4"/>
  <c r="AB44" i="6" s="1"/>
  <c r="VU131" i="2"/>
  <c r="M69" i="6" s="1"/>
  <c r="WD84" i="5"/>
  <c r="WE84" i="5" s="1"/>
  <c r="AE35" i="6" s="1"/>
  <c r="WD87" i="4"/>
  <c r="WE87" i="4" s="1"/>
  <c r="AC38" i="6" s="1"/>
  <c r="WD86" i="5"/>
  <c r="WE86" i="5" s="1"/>
  <c r="AE37" i="6" s="1"/>
  <c r="VU86" i="4"/>
  <c r="AB37" i="6" s="1"/>
  <c r="WD92" i="5"/>
  <c r="WE92" i="5" s="1"/>
  <c r="AE43" i="6" s="1"/>
  <c r="WD92" i="4"/>
  <c r="WE92" i="4" s="1"/>
  <c r="AC43" i="6" s="1"/>
  <c r="VU84" i="5"/>
  <c r="WO70" i="5" s="1"/>
  <c r="AE77" i="6" s="1"/>
  <c r="WD131" i="4"/>
  <c r="WE131" i="4" s="1"/>
  <c r="AC69" i="6" s="1"/>
  <c r="WD86" i="4"/>
  <c r="WE86" i="4" s="1"/>
  <c r="AC37" i="6" s="1"/>
  <c r="WD132" i="4"/>
  <c r="WE132" i="4" s="1"/>
  <c r="AC70" i="6" s="1"/>
  <c r="WD84" i="4"/>
  <c r="WE84" i="4" s="1"/>
  <c r="AC35" i="6" s="1"/>
  <c r="Y68" i="6" l="1"/>
  <c r="Y47" i="6"/>
  <c r="Y54" i="6"/>
  <c r="Y50" i="6"/>
  <c r="Y27" i="6"/>
  <c r="Y56" i="6"/>
  <c r="Y57" i="6"/>
  <c r="Y29" i="6"/>
  <c r="Y48" i="6"/>
  <c r="Y31" i="6"/>
  <c r="Y51" i="6"/>
  <c r="Y53" i="6"/>
  <c r="Y30" i="6"/>
  <c r="Y28" i="6"/>
  <c r="AF37" i="6"/>
  <c r="AF39" i="6"/>
  <c r="AF43" i="6"/>
  <c r="AF38" i="6"/>
  <c r="AF69" i="6"/>
  <c r="AF44" i="6"/>
  <c r="Z68" i="6"/>
  <c r="AG69" i="6"/>
  <c r="AH33" i="6"/>
  <c r="AG34" i="6"/>
  <c r="AG33" i="6"/>
  <c r="Q39" i="6"/>
  <c r="H31" i="6"/>
  <c r="WO70" i="2"/>
  <c r="N77" i="6" s="1"/>
  <c r="S31" i="6"/>
  <c r="AH41" i="6"/>
  <c r="AH39" i="6"/>
  <c r="AH43" i="6"/>
  <c r="AH37" i="6"/>
  <c r="AH38" i="6"/>
  <c r="AH44" i="6"/>
  <c r="AH45" i="6"/>
  <c r="I31" i="6"/>
  <c r="R31" i="6"/>
  <c r="AG56" i="6"/>
  <c r="Z47" i="6"/>
  <c r="AZ41" i="6" s="1"/>
  <c r="Z51" i="6"/>
  <c r="AG50" i="6"/>
  <c r="Z54" i="6"/>
  <c r="Z57" i="6"/>
  <c r="AZ38" i="6" s="1"/>
  <c r="AG48" i="6"/>
  <c r="AG54" i="6"/>
  <c r="Z50" i="6"/>
  <c r="AZ40" i="6" s="1"/>
  <c r="Z48" i="6"/>
  <c r="AG51" i="6"/>
  <c r="AG47" i="6"/>
  <c r="Z53" i="6"/>
  <c r="AZ39" i="6" s="1"/>
  <c r="Z56" i="6"/>
  <c r="AG53" i="6"/>
  <c r="AG57" i="6"/>
  <c r="AG27" i="6"/>
  <c r="AG29" i="6"/>
  <c r="AG28" i="6"/>
  <c r="AG31" i="6"/>
  <c r="AG30" i="6"/>
  <c r="Z27" i="6"/>
  <c r="Z30" i="6"/>
  <c r="Z28" i="6"/>
  <c r="Z29" i="6"/>
  <c r="Z31" i="6"/>
  <c r="Z34" i="6"/>
  <c r="Z33" i="6"/>
  <c r="AB35" i="6"/>
  <c r="AF35" i="6" s="1"/>
  <c r="VU132" i="5"/>
  <c r="AD70" i="6" s="1"/>
  <c r="VW133" i="2"/>
  <c r="VW134" i="2" s="1"/>
  <c r="O35" i="6"/>
  <c r="VT92" i="3"/>
  <c r="P43" i="6" s="1"/>
  <c r="F43" i="6"/>
  <c r="VT92" i="5"/>
  <c r="W43" i="6"/>
  <c r="VT131" i="3"/>
  <c r="P69" i="6" s="1"/>
  <c r="F69" i="6"/>
  <c r="VT87" i="5"/>
  <c r="W38" i="6"/>
  <c r="VT87" i="4"/>
  <c r="U38" i="6"/>
  <c r="VT86" i="2"/>
  <c r="N37" i="6" s="1"/>
  <c r="D37" i="6"/>
  <c r="VT131" i="2"/>
  <c r="N69" i="6" s="1"/>
  <c r="D69" i="6"/>
  <c r="VT93" i="5"/>
  <c r="W44" i="6"/>
  <c r="VT86" i="3"/>
  <c r="P37" i="6" s="1"/>
  <c r="F37" i="6"/>
  <c r="VT88" i="3"/>
  <c r="P39" i="6" s="1"/>
  <c r="F39" i="6"/>
  <c r="VT92" i="4"/>
  <c r="U43" i="6"/>
  <c r="VT84" i="3"/>
  <c r="P35" i="6" s="1"/>
  <c r="F35" i="6"/>
  <c r="VT88" i="2"/>
  <c r="N39" i="6" s="1"/>
  <c r="D39" i="6"/>
  <c r="VT88" i="4"/>
  <c r="U39" i="6"/>
  <c r="VT86" i="4"/>
  <c r="U37" i="6"/>
  <c r="VT93" i="4"/>
  <c r="U44" i="6"/>
  <c r="VT86" i="5"/>
  <c r="W37" i="6"/>
  <c r="VT131" i="5"/>
  <c r="W69" i="6"/>
  <c r="VT84" i="2"/>
  <c r="N35" i="6" s="1"/>
  <c r="D35" i="6"/>
  <c r="VT94" i="4"/>
  <c r="U45" i="6"/>
  <c r="Y45" i="6" s="1"/>
  <c r="VT92" i="2"/>
  <c r="N43" i="6" s="1"/>
  <c r="D43" i="6"/>
  <c r="VT131" i="4"/>
  <c r="U69" i="6"/>
  <c r="VT84" i="5"/>
  <c r="W35" i="6"/>
  <c r="VT87" i="2"/>
  <c r="N38" i="6" s="1"/>
  <c r="D38" i="6"/>
  <c r="VT88" i="5"/>
  <c r="W39" i="6"/>
  <c r="VT93" i="2"/>
  <c r="N44" i="6" s="1"/>
  <c r="D44" i="6"/>
  <c r="VT90" i="4"/>
  <c r="U41" i="6"/>
  <c r="Y41" i="6" s="1"/>
  <c r="VV133" i="3"/>
  <c r="VV134" i="3" s="1"/>
  <c r="VW133" i="3"/>
  <c r="VV133" i="4"/>
  <c r="VU133" i="5"/>
  <c r="AD71" i="6" s="1"/>
  <c r="VV134" i="5"/>
  <c r="VW134" i="5"/>
  <c r="WD132" i="2"/>
  <c r="WE132" i="2" s="1"/>
  <c r="VW134" i="4"/>
  <c r="VV133" i="2"/>
  <c r="VV134" i="2" s="1"/>
  <c r="WC133" i="3"/>
  <c r="WD133" i="3" s="1"/>
  <c r="WE133" i="3" s="1"/>
  <c r="WD133" i="5"/>
  <c r="WE133" i="5" s="1"/>
  <c r="AE71" i="6" s="1"/>
  <c r="VY133" i="2"/>
  <c r="WD133" i="2" s="1"/>
  <c r="WE133" i="2" s="1"/>
  <c r="WC135" i="4"/>
  <c r="WC136" i="4" s="1"/>
  <c r="WA135" i="5"/>
  <c r="WA136" i="5" s="1"/>
  <c r="WD134" i="5"/>
  <c r="WE134" i="5" s="1"/>
  <c r="AE72" i="6" s="1"/>
  <c r="VU132" i="2"/>
  <c r="M70" i="6" s="1"/>
  <c r="VU132" i="3"/>
  <c r="O70" i="6" s="1"/>
  <c r="WD134" i="4"/>
  <c r="WE134" i="4" s="1"/>
  <c r="AC72" i="6" s="1"/>
  <c r="WD133" i="4"/>
  <c r="WE133" i="4" s="1"/>
  <c r="AC71" i="6" s="1"/>
  <c r="VU132" i="4"/>
  <c r="AB70" i="6" s="1"/>
  <c r="AH81" i="6" l="1"/>
  <c r="X2" i="6" s="1"/>
  <c r="AX36" i="6" s="1"/>
  <c r="Y39" i="6"/>
  <c r="Y37" i="6"/>
  <c r="Y43" i="6"/>
  <c r="Y38" i="6"/>
  <c r="Y69" i="6"/>
  <c r="Y44" i="6"/>
  <c r="AF70" i="6"/>
  <c r="AW38" i="6"/>
  <c r="AX38" i="6"/>
  <c r="AX39" i="6"/>
  <c r="AW39" i="6"/>
  <c r="AW41" i="6"/>
  <c r="AX41" i="6"/>
  <c r="AW40" i="6"/>
  <c r="AX40" i="6"/>
  <c r="Z69" i="6"/>
  <c r="AG70" i="6"/>
  <c r="AG41" i="6"/>
  <c r="AG45" i="6"/>
  <c r="H39" i="6"/>
  <c r="S39" i="6"/>
  <c r="I39" i="6"/>
  <c r="AZ33" i="6" s="1"/>
  <c r="R39" i="6"/>
  <c r="AG44" i="6"/>
  <c r="Z44" i="6"/>
  <c r="AG38" i="6"/>
  <c r="Z37" i="6"/>
  <c r="AZ42" i="6" s="1"/>
  <c r="AG37" i="6"/>
  <c r="Z43" i="6"/>
  <c r="AZ45" i="6" s="1"/>
  <c r="Z38" i="6"/>
  <c r="AZ43" i="6" s="1"/>
  <c r="Z41" i="6"/>
  <c r="Z45" i="6"/>
  <c r="Z39" i="6"/>
  <c r="AZ44" i="6" s="1"/>
  <c r="AG43" i="6"/>
  <c r="AG39" i="6"/>
  <c r="VT132" i="5"/>
  <c r="W70" i="6"/>
  <c r="VT133" i="5"/>
  <c r="W71" i="6"/>
  <c r="VT132" i="4"/>
  <c r="U70" i="6"/>
  <c r="VT132" i="3"/>
  <c r="P70" i="6" s="1"/>
  <c r="F70" i="6"/>
  <c r="VT132" i="2"/>
  <c r="N70" i="6" s="1"/>
  <c r="D70" i="6"/>
  <c r="VU133" i="3"/>
  <c r="O71" i="6" s="1"/>
  <c r="VV135" i="3"/>
  <c r="VV136" i="3" s="1"/>
  <c r="VW134" i="3"/>
  <c r="VU133" i="4"/>
  <c r="AB71" i="6" s="1"/>
  <c r="VV134" i="4"/>
  <c r="VV135" i="5"/>
  <c r="VW135" i="5"/>
  <c r="VV135" i="2"/>
  <c r="VW135" i="4"/>
  <c r="VU133" i="2"/>
  <c r="M71" i="6" s="1"/>
  <c r="VU134" i="5"/>
  <c r="AD72" i="6" s="1"/>
  <c r="VW135" i="2"/>
  <c r="VY134" i="2"/>
  <c r="WD134" i="2" s="1"/>
  <c r="WE134" i="2" s="1"/>
  <c r="WC134" i="3"/>
  <c r="WD136" i="5"/>
  <c r="WE136" i="5" s="1"/>
  <c r="AE74" i="6" s="1"/>
  <c r="WD135" i="5"/>
  <c r="WE135" i="5" s="1"/>
  <c r="AE73" i="6" s="1"/>
  <c r="WD135" i="4"/>
  <c r="WE135" i="4" s="1"/>
  <c r="AC73" i="6" s="1"/>
  <c r="WD136" i="4"/>
  <c r="WE136" i="4" s="1"/>
  <c r="AC74" i="6" s="1"/>
  <c r="Y70" i="6" l="1"/>
  <c r="AG71" i="6"/>
  <c r="AF71" i="6"/>
  <c r="AX43" i="6"/>
  <c r="AW43" i="6"/>
  <c r="AX44" i="6"/>
  <c r="AW44" i="6"/>
  <c r="AX45" i="6"/>
  <c r="AW45" i="6"/>
  <c r="AW42" i="6"/>
  <c r="AX42" i="6"/>
  <c r="AX33" i="6"/>
  <c r="AW33" i="6"/>
  <c r="Z70" i="6"/>
  <c r="VT133" i="3"/>
  <c r="P71" i="6" s="1"/>
  <c r="F71" i="6"/>
  <c r="VT133" i="4"/>
  <c r="U71" i="6"/>
  <c r="VT134" i="5"/>
  <c r="W72" i="6"/>
  <c r="VT133" i="2"/>
  <c r="N71" i="6" s="1"/>
  <c r="D71" i="6"/>
  <c r="VU134" i="3"/>
  <c r="O72" i="6" s="1"/>
  <c r="VW135" i="3"/>
  <c r="VV135" i="4"/>
  <c r="VU134" i="4"/>
  <c r="AB72" i="6" s="1"/>
  <c r="VV136" i="5"/>
  <c r="VW136" i="4"/>
  <c r="VW136" i="2"/>
  <c r="VV136" i="2"/>
  <c r="VU135" i="5"/>
  <c r="AD73" i="6" s="1"/>
  <c r="VW136" i="5"/>
  <c r="VY135" i="2"/>
  <c r="VY136" i="2" s="1"/>
  <c r="WD136" i="2" s="1"/>
  <c r="WE136" i="2" s="1"/>
  <c r="WD134" i="3"/>
  <c r="WE134" i="3" s="1"/>
  <c r="WC135" i="3"/>
  <c r="VU134" i="2"/>
  <c r="M72" i="6" s="1"/>
  <c r="Z71" i="6" l="1"/>
  <c r="Y71" i="6"/>
  <c r="AG72" i="6"/>
  <c r="AF72" i="6"/>
  <c r="VW136" i="3"/>
  <c r="VU136" i="3" s="1"/>
  <c r="O74" i="6" s="1"/>
  <c r="VT134" i="3"/>
  <c r="P72" i="6" s="1"/>
  <c r="F72" i="6"/>
  <c r="VT135" i="5"/>
  <c r="W73" i="6"/>
  <c r="VT134" i="2"/>
  <c r="N72" i="6" s="1"/>
  <c r="D72" i="6"/>
  <c r="VT134" i="4"/>
  <c r="U72" i="6"/>
  <c r="VU135" i="3"/>
  <c r="O73" i="6" s="1"/>
  <c r="VV136" i="4"/>
  <c r="VU135" i="4"/>
  <c r="AB73" i="6" s="1"/>
  <c r="VU136" i="5"/>
  <c r="AD74" i="6" s="1"/>
  <c r="WD135" i="2"/>
  <c r="WE135" i="2" s="1"/>
  <c r="WC136" i="3"/>
  <c r="WD136" i="3" s="1"/>
  <c r="WE136" i="3" s="1"/>
  <c r="WD135" i="3"/>
  <c r="WE135" i="3" s="1"/>
  <c r="VU136" i="2"/>
  <c r="M74" i="6" s="1"/>
  <c r="VU135" i="2"/>
  <c r="M73" i="6" s="1"/>
  <c r="VL72" i="1"/>
  <c r="VM72" i="1" s="1"/>
  <c r="VL71" i="1"/>
  <c r="VM71" i="1" s="1"/>
  <c r="VL70" i="1"/>
  <c r="VM70" i="1" s="1"/>
  <c r="VL69" i="1"/>
  <c r="VM69" i="1" s="1"/>
  <c r="VL68" i="1"/>
  <c r="VM68" i="1" s="1"/>
  <c r="VL67" i="1"/>
  <c r="VM67" i="1" s="1"/>
  <c r="VL66" i="1"/>
  <c r="VM66" i="1" s="1"/>
  <c r="VL65" i="1"/>
  <c r="VM65" i="1" s="1"/>
  <c r="VL64" i="1"/>
  <c r="VM64" i="1" s="1"/>
  <c r="VL63" i="1"/>
  <c r="VM63" i="1" s="1"/>
  <c r="VL62" i="1"/>
  <c r="VM62" i="1" s="1"/>
  <c r="VL61" i="1"/>
  <c r="VM61" i="1" s="1"/>
  <c r="VL60" i="1"/>
  <c r="VM60" i="1" s="1"/>
  <c r="VL59" i="1"/>
  <c r="VM59" i="1" s="1"/>
  <c r="VL58" i="1"/>
  <c r="VM58" i="1" s="1"/>
  <c r="VL57" i="1"/>
  <c r="VM57" i="1" s="1"/>
  <c r="VL56" i="1"/>
  <c r="VM56" i="1" s="1"/>
  <c r="VL55" i="1"/>
  <c r="VM55" i="1" s="1"/>
  <c r="VL54" i="1"/>
  <c r="VM54" i="1" s="1"/>
  <c r="VL53" i="1"/>
  <c r="VM53" i="1" s="1"/>
  <c r="VL52" i="1"/>
  <c r="VM52" i="1" s="1"/>
  <c r="VL51" i="1"/>
  <c r="VM51" i="1" s="1"/>
  <c r="VL50" i="1"/>
  <c r="VM50" i="1" s="1"/>
  <c r="VL49" i="1"/>
  <c r="VM49" i="1" s="1"/>
  <c r="VL48" i="1"/>
  <c r="VM48" i="1" s="1"/>
  <c r="VL47" i="1"/>
  <c r="VM47" i="1" s="1"/>
  <c r="VL46" i="1"/>
  <c r="VM46" i="1" s="1"/>
  <c r="VL45" i="1"/>
  <c r="VM45" i="1" s="1"/>
  <c r="VL44" i="1"/>
  <c r="VM44" i="1" s="1"/>
  <c r="VL43" i="1"/>
  <c r="VM43" i="1" s="1"/>
  <c r="VL42" i="1"/>
  <c r="VM42" i="1" s="1"/>
  <c r="VL41" i="1"/>
  <c r="VM41" i="1" s="1"/>
  <c r="VL40" i="1"/>
  <c r="VM40" i="1" s="1"/>
  <c r="VL39" i="1"/>
  <c r="VM39" i="1" s="1"/>
  <c r="VL38" i="1"/>
  <c r="VM38" i="1" s="1"/>
  <c r="VL37" i="1"/>
  <c r="VM37" i="1" s="1"/>
  <c r="VL36" i="1"/>
  <c r="VM36" i="1" s="1"/>
  <c r="VL35" i="1"/>
  <c r="VM35" i="1" s="1"/>
  <c r="VL34" i="1"/>
  <c r="VM34" i="1" s="1"/>
  <c r="VL33" i="1"/>
  <c r="VM33" i="1" s="1"/>
  <c r="VL32" i="1"/>
  <c r="VM32" i="1" s="1"/>
  <c r="VL31" i="1"/>
  <c r="VM31" i="1" s="1"/>
  <c r="VL30" i="1"/>
  <c r="VM30" i="1" s="1"/>
  <c r="VL29" i="1"/>
  <c r="VM29" i="1" s="1"/>
  <c r="VL28" i="1"/>
  <c r="VM28" i="1" s="1"/>
  <c r="VL27" i="1"/>
  <c r="VM27" i="1" s="1"/>
  <c r="VL26" i="1"/>
  <c r="VM26" i="1" s="1"/>
  <c r="VL25" i="1"/>
  <c r="VM25" i="1" s="1"/>
  <c r="VL24" i="1"/>
  <c r="VM24" i="1" s="1"/>
  <c r="VL23" i="1"/>
  <c r="VM23" i="1" s="1"/>
  <c r="VL22" i="1"/>
  <c r="VM22" i="1" s="1"/>
  <c r="VL21" i="1"/>
  <c r="VM21" i="1" s="1"/>
  <c r="VL20" i="1"/>
  <c r="VM20" i="1" s="1"/>
  <c r="VL19" i="1"/>
  <c r="VM19" i="1" s="1"/>
  <c r="VL18" i="1"/>
  <c r="VM18" i="1" s="1"/>
  <c r="VL17" i="1"/>
  <c r="VM17" i="1" s="1"/>
  <c r="VL16" i="1"/>
  <c r="VM16" i="1" s="1"/>
  <c r="VL15" i="1"/>
  <c r="VM15" i="1" s="1"/>
  <c r="VL14" i="1"/>
  <c r="VM14" i="1" s="1"/>
  <c r="VL13" i="1"/>
  <c r="VM13" i="1" s="1"/>
  <c r="VL12" i="1"/>
  <c r="VM12" i="1" s="1"/>
  <c r="VL11" i="1"/>
  <c r="VM11" i="1" s="1"/>
  <c r="VL10" i="1"/>
  <c r="VM10" i="1" s="1"/>
  <c r="VL9" i="1"/>
  <c r="VM9" i="1" s="1"/>
  <c r="VL8" i="1"/>
  <c r="VM8" i="1" s="1"/>
  <c r="VL7" i="1"/>
  <c r="VM7" i="1" s="1"/>
  <c r="VL6" i="1"/>
  <c r="VM6" i="1" s="1"/>
  <c r="VL5" i="1"/>
  <c r="VM5" i="1" s="1"/>
  <c r="VL4" i="1"/>
  <c r="VM4" i="1" s="1"/>
  <c r="VL3" i="1"/>
  <c r="VM3" i="1" s="1"/>
  <c r="VL2" i="1"/>
  <c r="VM2" i="1" s="1"/>
  <c r="Z72" i="6" l="1"/>
  <c r="Y72" i="6"/>
  <c r="AG73" i="6"/>
  <c r="AF73" i="6"/>
  <c r="VX136" i="1"/>
  <c r="VT136" i="2"/>
  <c r="N74" i="6" s="1"/>
  <c r="D74" i="6"/>
  <c r="VT135" i="3"/>
  <c r="P73" i="6" s="1"/>
  <c r="F73" i="6"/>
  <c r="VT135" i="2"/>
  <c r="N73" i="6" s="1"/>
  <c r="D73" i="6"/>
  <c r="VT136" i="3"/>
  <c r="P74" i="6" s="1"/>
  <c r="F74" i="6"/>
  <c r="VT136" i="5"/>
  <c r="W74" i="6"/>
  <c r="VT135" i="4"/>
  <c r="U73" i="6"/>
  <c r="VU136" i="4"/>
  <c r="AB74" i="6" s="1"/>
  <c r="VW1" i="1"/>
  <c r="VR81" i="1"/>
  <c r="VR89" i="1" s="1"/>
  <c r="VQ81" i="1"/>
  <c r="VQ89" i="1" s="1"/>
  <c r="Z73" i="6" l="1"/>
  <c r="Y73" i="6"/>
  <c r="AG74" i="6"/>
  <c r="AF74" i="6"/>
  <c r="VV28" i="1"/>
  <c r="VV30" i="1"/>
  <c r="VV69" i="1"/>
  <c r="VV8" i="1"/>
  <c r="VV36" i="1"/>
  <c r="VV44" i="1"/>
  <c r="VV2" i="1"/>
  <c r="VV27" i="1"/>
  <c r="VV24" i="1"/>
  <c r="VV21" i="1"/>
  <c r="VV39" i="1"/>
  <c r="VV15" i="1"/>
  <c r="VV62" i="1"/>
  <c r="VV10" i="1"/>
  <c r="VV33" i="1"/>
  <c r="VV65" i="1"/>
  <c r="VV60" i="1"/>
  <c r="VV26" i="1"/>
  <c r="VV9" i="1"/>
  <c r="VV45" i="1"/>
  <c r="VV46" i="1"/>
  <c r="VV4" i="1"/>
  <c r="VV51" i="1"/>
  <c r="VV71" i="1"/>
  <c r="VV18" i="1"/>
  <c r="VV14" i="1"/>
  <c r="VV61" i="1"/>
  <c r="VV31" i="1"/>
  <c r="VV34" i="1"/>
  <c r="VV66" i="1"/>
  <c r="VV58" i="1"/>
  <c r="VV59" i="1"/>
  <c r="VV47" i="1"/>
  <c r="VV50" i="1"/>
  <c r="VV11" i="1"/>
  <c r="VV22" i="1"/>
  <c r="VV16" i="1"/>
  <c r="VV35" i="1"/>
  <c r="VV57" i="1"/>
  <c r="VV72" i="1"/>
  <c r="VV25" i="1"/>
  <c r="VV32" i="1"/>
  <c r="VV55" i="1"/>
  <c r="VV13" i="1"/>
  <c r="VV20" i="1"/>
  <c r="VV6" i="1"/>
  <c r="VV3" i="1"/>
  <c r="VV56" i="1"/>
  <c r="VV17" i="1"/>
  <c r="VV43" i="1"/>
  <c r="VV53" i="1"/>
  <c r="VV12" i="1"/>
  <c r="VV42" i="1"/>
  <c r="VV48" i="1"/>
  <c r="VV54" i="1"/>
  <c r="VV7" i="1"/>
  <c r="VV63" i="1"/>
  <c r="VV23" i="1"/>
  <c r="VV40" i="1"/>
  <c r="VV70" i="1"/>
  <c r="VV38" i="1"/>
  <c r="VV67" i="1"/>
  <c r="VV64" i="1"/>
  <c r="VV41" i="1"/>
  <c r="VV49" i="1"/>
  <c r="VV5" i="1"/>
  <c r="VV19" i="1"/>
  <c r="VV68" i="1"/>
  <c r="VV29" i="1"/>
  <c r="VV52" i="1"/>
  <c r="VV37" i="1"/>
  <c r="VT136" i="4"/>
  <c r="U74" i="6"/>
  <c r="VQ77" i="1"/>
  <c r="VQ76" i="1"/>
  <c r="VR76" i="1"/>
  <c r="VQ78" i="1"/>
  <c r="VR78" i="1"/>
  <c r="VR77" i="1"/>
  <c r="VQ79" i="1"/>
  <c r="VR79" i="1"/>
  <c r="VU78" i="1"/>
  <c r="VU81" i="1"/>
  <c r="VU79" i="1"/>
  <c r="VU76" i="1"/>
  <c r="VU77" i="1"/>
  <c r="Z74" i="6" l="1"/>
  <c r="Y74" i="6"/>
  <c r="B32" i="6"/>
  <c r="K32" i="6"/>
  <c r="B29" i="6"/>
  <c r="K29" i="6"/>
  <c r="K30" i="6"/>
  <c r="B30" i="6"/>
  <c r="B28" i="6"/>
  <c r="K28" i="6"/>
  <c r="K27" i="6"/>
  <c r="B27" i="6"/>
  <c r="VR93" i="1"/>
  <c r="VR87" i="1"/>
  <c r="VQ87" i="1"/>
  <c r="VR86" i="1"/>
  <c r="VR92" i="1"/>
  <c r="VR84" i="1"/>
  <c r="VQ86" i="1"/>
  <c r="VQ92" i="1"/>
  <c r="VQ84" i="1"/>
  <c r="VQ93" i="1"/>
  <c r="VY2" i="1"/>
  <c r="VW2" i="1"/>
  <c r="VY4" i="1"/>
  <c r="VW4" i="1"/>
  <c r="VY25" i="1"/>
  <c r="VW25" i="1"/>
  <c r="VY16" i="1"/>
  <c r="VW16" i="1"/>
  <c r="VW35" i="1"/>
  <c r="VY35" i="1"/>
  <c r="VY67" i="1"/>
  <c r="VW67" i="1"/>
  <c r="VW51" i="1"/>
  <c r="VY51" i="1"/>
  <c r="VY34" i="1"/>
  <c r="VW34" i="1"/>
  <c r="VY62" i="1"/>
  <c r="VW62" i="1"/>
  <c r="VW72" i="1"/>
  <c r="VY72" i="1"/>
  <c r="VY45" i="1"/>
  <c r="VW45" i="1"/>
  <c r="VY26" i="1"/>
  <c r="VW26" i="1"/>
  <c r="VY7" i="1"/>
  <c r="VW7" i="1"/>
  <c r="VW12" i="1"/>
  <c r="VY12" i="1"/>
  <c r="VW29" i="1"/>
  <c r="VY29" i="1"/>
  <c r="VY43" i="1"/>
  <c r="VW43" i="1"/>
  <c r="VY14" i="1"/>
  <c r="VW14" i="1"/>
  <c r="VW65" i="1"/>
  <c r="VY65" i="1"/>
  <c r="VY37" i="1"/>
  <c r="VW37" i="1"/>
  <c r="VY44" i="1"/>
  <c r="VW44" i="1"/>
  <c r="VW17" i="1"/>
  <c r="VY17" i="1"/>
  <c r="VY33" i="1"/>
  <c r="VW33" i="1"/>
  <c r="VY70" i="1"/>
  <c r="VW70" i="1"/>
  <c r="VY22" i="1"/>
  <c r="VW22" i="1"/>
  <c r="VY69" i="1"/>
  <c r="VW69" i="1"/>
  <c r="VY6" i="1"/>
  <c r="VW6" i="1"/>
  <c r="VY49" i="1"/>
  <c r="VW49" i="1"/>
  <c r="VY38" i="1"/>
  <c r="VW38" i="1"/>
  <c r="VY52" i="1"/>
  <c r="VW52" i="1"/>
  <c r="VY55" i="1"/>
  <c r="VW55" i="1"/>
  <c r="VY10" i="1"/>
  <c r="VW10" i="1"/>
  <c r="VW27" i="1"/>
  <c r="VY27" i="1"/>
  <c r="VY32" i="1"/>
  <c r="VW32" i="1"/>
  <c r="VW48" i="1"/>
  <c r="VY48" i="1"/>
  <c r="VY58" i="1"/>
  <c r="VW58" i="1"/>
  <c r="VY20" i="1"/>
  <c r="VW20" i="1"/>
  <c r="VY61" i="1"/>
  <c r="VW61" i="1"/>
  <c r="VY68" i="1"/>
  <c r="VW68" i="1"/>
  <c r="VY54" i="1"/>
  <c r="VW54" i="1"/>
  <c r="VY18" i="1"/>
  <c r="VW18" i="1"/>
  <c r="VY64" i="1"/>
  <c r="VW64" i="1"/>
  <c r="VY40" i="1"/>
  <c r="VW40" i="1"/>
  <c r="VY19" i="1"/>
  <c r="VW19" i="1"/>
  <c r="VY42" i="1"/>
  <c r="VW42" i="1"/>
  <c r="VY56" i="1"/>
  <c r="VW56" i="1"/>
  <c r="VW63" i="1"/>
  <c r="VY63" i="1"/>
  <c r="VW23" i="1"/>
  <c r="VY23" i="1"/>
  <c r="VY21" i="1"/>
  <c r="VW21" i="1"/>
  <c r="VY9" i="1"/>
  <c r="VW9" i="1"/>
  <c r="VY31" i="1"/>
  <c r="VW31" i="1"/>
  <c r="VW53" i="1"/>
  <c r="VY53" i="1"/>
  <c r="VY15" i="1"/>
  <c r="VW15" i="1"/>
  <c r="VY66" i="1"/>
  <c r="VW66" i="1"/>
  <c r="VY50" i="1"/>
  <c r="VW50" i="1"/>
  <c r="VW41" i="1"/>
  <c r="VY41" i="1"/>
  <c r="VW71" i="1"/>
  <c r="VY71" i="1"/>
  <c r="VW36" i="1"/>
  <c r="VY36" i="1"/>
  <c r="VW5" i="1"/>
  <c r="VY5" i="1"/>
  <c r="VY30" i="1"/>
  <c r="VW30" i="1"/>
  <c r="VY28" i="1"/>
  <c r="VW28" i="1"/>
  <c r="VY46" i="1"/>
  <c r="VW46" i="1"/>
  <c r="VW47" i="1"/>
  <c r="VY47" i="1"/>
  <c r="VY39" i="1"/>
  <c r="VW39" i="1"/>
  <c r="VW11" i="1"/>
  <c r="VY11" i="1"/>
  <c r="VW60" i="1"/>
  <c r="VY60" i="1"/>
  <c r="VW59" i="1"/>
  <c r="VY59" i="1"/>
  <c r="VY57" i="1"/>
  <c r="VW57" i="1"/>
  <c r="VY3" i="1"/>
  <c r="VW3" i="1"/>
  <c r="VW24" i="1"/>
  <c r="VY24" i="1"/>
  <c r="VY8" i="1"/>
  <c r="VW8" i="1"/>
  <c r="VY13" i="1"/>
  <c r="VW13" i="1"/>
  <c r="VU93" i="1"/>
  <c r="VU92" i="1"/>
  <c r="VU84" i="1"/>
  <c r="VW121" i="1" l="1"/>
  <c r="VV121" i="1"/>
  <c r="VT121" i="1" s="1"/>
  <c r="WC121" i="1"/>
  <c r="WB121" i="1"/>
  <c r="VZ121" i="1"/>
  <c r="WA121" i="1"/>
  <c r="VY121" i="1"/>
  <c r="VZ117" i="1"/>
  <c r="VY117" i="1"/>
  <c r="WC117" i="1"/>
  <c r="WB117" i="1"/>
  <c r="WA117" i="1"/>
  <c r="VV123" i="1"/>
  <c r="VT123" i="1" s="1"/>
  <c r="VW123" i="1"/>
  <c r="VW116" i="1"/>
  <c r="VV116" i="1"/>
  <c r="VT116" i="1" s="1"/>
  <c r="WB123" i="1"/>
  <c r="WC123" i="1"/>
  <c r="WA123" i="1"/>
  <c r="VZ123" i="1"/>
  <c r="VY123" i="1"/>
  <c r="WA116" i="1"/>
  <c r="WC116" i="1"/>
  <c r="WB116" i="1"/>
  <c r="VZ116" i="1"/>
  <c r="VY116" i="1"/>
  <c r="VW117" i="1"/>
  <c r="VV117" i="1"/>
  <c r="VT117" i="1" s="1"/>
  <c r="WC126" i="1"/>
  <c r="WB126" i="1"/>
  <c r="WA126" i="1"/>
  <c r="VZ126" i="1"/>
  <c r="VY126" i="1"/>
  <c r="VW126" i="1"/>
  <c r="VV126" i="1"/>
  <c r="VT126" i="1" s="1"/>
  <c r="VV119" i="1"/>
  <c r="VT119" i="1" s="1"/>
  <c r="VW119" i="1"/>
  <c r="VW122" i="1"/>
  <c r="VV122" i="1"/>
  <c r="VT122" i="1" s="1"/>
  <c r="VW118" i="1"/>
  <c r="VV118" i="1"/>
  <c r="VT118" i="1" s="1"/>
  <c r="WB118" i="1"/>
  <c r="WA118" i="1"/>
  <c r="VZ118" i="1"/>
  <c r="VY118" i="1"/>
  <c r="WC118" i="1"/>
  <c r="WB119" i="1"/>
  <c r="WA119" i="1"/>
  <c r="VZ119" i="1"/>
  <c r="VY119" i="1"/>
  <c r="WC119" i="1"/>
  <c r="VY122" i="1"/>
  <c r="WC122" i="1"/>
  <c r="WB122" i="1"/>
  <c r="WA122" i="1"/>
  <c r="VZ122" i="1"/>
  <c r="R77" i="6"/>
  <c r="AV35" i="6"/>
  <c r="WC111" i="1"/>
  <c r="WB111" i="1"/>
  <c r="WA111" i="1"/>
  <c r="VZ111" i="1"/>
  <c r="VY111" i="1"/>
  <c r="VY110" i="1"/>
  <c r="WB110" i="1"/>
  <c r="WC110" i="1"/>
  <c r="WA110" i="1"/>
  <c r="VZ110" i="1"/>
  <c r="WC109" i="1"/>
  <c r="WB109" i="1"/>
  <c r="WA109" i="1"/>
  <c r="VZ109" i="1"/>
  <c r="VY109" i="1"/>
  <c r="WC108" i="1"/>
  <c r="VZ108" i="1"/>
  <c r="WB108" i="1"/>
  <c r="WA108" i="1"/>
  <c r="VY108" i="1"/>
  <c r="WC114" i="1"/>
  <c r="WB114" i="1"/>
  <c r="WA114" i="1"/>
  <c r="VZ114" i="1"/>
  <c r="VY114" i="1"/>
  <c r="VV114" i="1"/>
  <c r="VT114" i="1" s="1"/>
  <c r="L65" i="6" s="1"/>
  <c r="VW114" i="1"/>
  <c r="VV109" i="1"/>
  <c r="VT109" i="1" s="1"/>
  <c r="L60" i="6" s="1"/>
  <c r="VW109" i="1"/>
  <c r="VW111" i="1"/>
  <c r="VV111" i="1"/>
  <c r="VT111" i="1" s="1"/>
  <c r="L62" i="6" s="1"/>
  <c r="VV108" i="1"/>
  <c r="VT108" i="1" s="1"/>
  <c r="L59" i="6" s="1"/>
  <c r="VW108" i="1"/>
  <c r="VW110" i="1"/>
  <c r="VV110" i="1"/>
  <c r="VT110" i="1" s="1"/>
  <c r="L61" i="6" s="1"/>
  <c r="H27" i="6"/>
  <c r="Q28" i="6"/>
  <c r="Q27" i="6"/>
  <c r="H28" i="6"/>
  <c r="Q30" i="6"/>
  <c r="Q29" i="6"/>
  <c r="H29" i="6"/>
  <c r="H30" i="6"/>
  <c r="Q32" i="6"/>
  <c r="H32" i="6"/>
  <c r="K43" i="6"/>
  <c r="B43" i="6"/>
  <c r="I28" i="6"/>
  <c r="I30" i="6"/>
  <c r="I27" i="6"/>
  <c r="B35" i="6"/>
  <c r="WO70" i="1"/>
  <c r="L77" i="6" s="1"/>
  <c r="B44" i="6"/>
  <c r="K44" i="6"/>
  <c r="I29" i="6"/>
  <c r="I32" i="6"/>
  <c r="VW130" i="1"/>
  <c r="VV130" i="1"/>
  <c r="WB141" i="1"/>
  <c r="VZ139" i="1"/>
  <c r="WA141" i="1"/>
  <c r="VY139" i="1"/>
  <c r="VZ141" i="1"/>
  <c r="VY141" i="1"/>
  <c r="WC140" i="1"/>
  <c r="WB140" i="1"/>
  <c r="WA140" i="1"/>
  <c r="VZ140" i="1"/>
  <c r="WA139" i="1"/>
  <c r="VY140" i="1"/>
  <c r="WC141" i="1"/>
  <c r="WC139" i="1"/>
  <c r="WB139" i="1"/>
  <c r="VY77" i="1"/>
  <c r="WB77" i="1"/>
  <c r="WC77" i="1"/>
  <c r="WA77" i="1"/>
  <c r="VZ77" i="1"/>
  <c r="VY78" i="1"/>
  <c r="WA78" i="1"/>
  <c r="WC78" i="1"/>
  <c r="WB78" i="1"/>
  <c r="VZ78" i="1"/>
  <c r="VW106" i="1"/>
  <c r="VV99" i="1"/>
  <c r="VW99" i="1"/>
  <c r="VV106" i="1"/>
  <c r="VW96" i="1"/>
  <c r="VW103" i="1"/>
  <c r="VV96" i="1"/>
  <c r="VV103" i="1"/>
  <c r="VW100" i="1"/>
  <c r="VV100" i="1"/>
  <c r="VW97" i="1"/>
  <c r="VW105" i="1"/>
  <c r="VV97" i="1"/>
  <c r="VV105" i="1"/>
  <c r="VW102" i="1"/>
  <c r="VV102" i="1"/>
  <c r="VV79" i="1"/>
  <c r="VW79" i="1"/>
  <c r="WC130" i="1"/>
  <c r="VZ103" i="1"/>
  <c r="WB100" i="1"/>
  <c r="VY96" i="1"/>
  <c r="WB130" i="1"/>
  <c r="WB131" i="1" s="1"/>
  <c r="VY103" i="1"/>
  <c r="WA100" i="1"/>
  <c r="WC97" i="1"/>
  <c r="WC100" i="1"/>
  <c r="WA130" i="1"/>
  <c r="WC105" i="1"/>
  <c r="VZ100" i="1"/>
  <c r="WB97" i="1"/>
  <c r="VZ130" i="1"/>
  <c r="VZ131" i="1" s="1"/>
  <c r="VZ132" i="1" s="1"/>
  <c r="WB105" i="1"/>
  <c r="VY100" i="1"/>
  <c r="WA97" i="1"/>
  <c r="VY130" i="1"/>
  <c r="WA105" i="1"/>
  <c r="WC102" i="1"/>
  <c r="VZ97" i="1"/>
  <c r="WA103" i="1"/>
  <c r="VZ105" i="1"/>
  <c r="WB102" i="1"/>
  <c r="VY97" i="1"/>
  <c r="VY106" i="1"/>
  <c r="VY105" i="1"/>
  <c r="WA102" i="1"/>
  <c r="WC99" i="1"/>
  <c r="WC106" i="1"/>
  <c r="VZ102" i="1"/>
  <c r="WB99" i="1"/>
  <c r="VZ96" i="1"/>
  <c r="WB106" i="1"/>
  <c r="VY102" i="1"/>
  <c r="WA99" i="1"/>
  <c r="WC96" i="1"/>
  <c r="WA106" i="1"/>
  <c r="WC103" i="1"/>
  <c r="VZ99" i="1"/>
  <c r="WB96" i="1"/>
  <c r="VZ106" i="1"/>
  <c r="WB103" i="1"/>
  <c r="VY99" i="1"/>
  <c r="WA96" i="1"/>
  <c r="VZ79" i="1"/>
  <c r="WA79" i="1"/>
  <c r="WC79" i="1"/>
  <c r="WB79" i="1"/>
  <c r="VY79" i="1"/>
  <c r="VZ76" i="1"/>
  <c r="WC76" i="1"/>
  <c r="VY76" i="1"/>
  <c r="WB76" i="1"/>
  <c r="WA76" i="1"/>
  <c r="WB81" i="1"/>
  <c r="WA81" i="1"/>
  <c r="VZ81" i="1"/>
  <c r="VY81" i="1"/>
  <c r="WC81" i="1"/>
  <c r="VW81" i="1"/>
  <c r="VV81" i="1"/>
  <c r="VT81" i="1" s="1"/>
  <c r="L32" i="6" s="1"/>
  <c r="S32" i="6" s="1"/>
  <c r="VW76" i="1"/>
  <c r="VV76" i="1"/>
  <c r="VW77" i="1"/>
  <c r="VV77" i="1"/>
  <c r="VW78" i="1"/>
  <c r="VV78" i="1"/>
  <c r="VV140" i="1"/>
  <c r="VW139" i="1"/>
  <c r="VV139" i="1"/>
  <c r="VW141" i="1"/>
  <c r="VV141" i="1"/>
  <c r="VW140" i="1"/>
  <c r="WD126" i="1" l="1"/>
  <c r="WE126" i="1" s="1"/>
  <c r="WD123" i="1"/>
  <c r="WE123" i="1" s="1"/>
  <c r="WD122" i="1"/>
  <c r="WE122" i="1" s="1"/>
  <c r="WD117" i="1"/>
  <c r="WE117" i="1" s="1"/>
  <c r="WD119" i="1"/>
  <c r="WE119" i="1" s="1"/>
  <c r="WD118" i="1"/>
  <c r="WE118" i="1" s="1"/>
  <c r="WD121" i="1"/>
  <c r="WE121" i="1" s="1"/>
  <c r="WD116" i="1"/>
  <c r="WE116" i="1" s="1"/>
  <c r="AY29" i="6"/>
  <c r="AY34" i="6"/>
  <c r="AY30" i="6"/>
  <c r="AY32" i="6"/>
  <c r="AY27" i="6"/>
  <c r="AY33" i="6"/>
  <c r="AY31" i="6"/>
  <c r="WD111" i="1"/>
  <c r="WE111" i="1" s="1"/>
  <c r="R61" i="6"/>
  <c r="S61" i="6"/>
  <c r="R59" i="6"/>
  <c r="S59" i="6"/>
  <c r="S62" i="6"/>
  <c r="R62" i="6"/>
  <c r="R60" i="6"/>
  <c r="S60" i="6"/>
  <c r="WD109" i="1"/>
  <c r="WE109" i="1" s="1"/>
  <c r="S65" i="6"/>
  <c r="R65" i="6"/>
  <c r="WD114" i="1"/>
  <c r="WE114" i="1" s="1"/>
  <c r="WD110" i="1"/>
  <c r="WE110" i="1" s="1"/>
  <c r="WD108" i="1"/>
  <c r="WE108" i="1" s="1"/>
  <c r="H44" i="6"/>
  <c r="H43" i="6"/>
  <c r="Q43" i="6"/>
  <c r="Q44" i="6"/>
  <c r="I35" i="6"/>
  <c r="H35" i="6"/>
  <c r="I22" i="6" s="1"/>
  <c r="I44" i="6"/>
  <c r="I43" i="6"/>
  <c r="AZ34" i="6" s="1"/>
  <c r="R32" i="6"/>
  <c r="WA89" i="1"/>
  <c r="WC89" i="1"/>
  <c r="VY89" i="1"/>
  <c r="VZ89" i="1"/>
  <c r="WB89" i="1"/>
  <c r="WB92" i="1"/>
  <c r="VY92" i="1"/>
  <c r="WC92" i="1"/>
  <c r="VZ92" i="1"/>
  <c r="WA92" i="1"/>
  <c r="VZ86" i="1"/>
  <c r="WA86" i="1"/>
  <c r="WC86" i="1"/>
  <c r="VU100" i="1"/>
  <c r="K51" i="6" s="1"/>
  <c r="VU103" i="1"/>
  <c r="K54" i="6" s="1"/>
  <c r="WB86" i="1"/>
  <c r="WB93" i="1"/>
  <c r="VW131" i="1"/>
  <c r="VY86" i="1"/>
  <c r="VZ87" i="1"/>
  <c r="WB87" i="1"/>
  <c r="WC87" i="1"/>
  <c r="WA87" i="1"/>
  <c r="VY87" i="1"/>
  <c r="WD105" i="1"/>
  <c r="WE105" i="1" s="1"/>
  <c r="VU106" i="1"/>
  <c r="K57" i="6" s="1"/>
  <c r="VU105" i="1"/>
  <c r="K56" i="6" s="1"/>
  <c r="VV131" i="1"/>
  <c r="VU97" i="1"/>
  <c r="K48" i="6" s="1"/>
  <c r="VU102" i="1"/>
  <c r="K53" i="6" s="1"/>
  <c r="VT78" i="1"/>
  <c r="L29" i="6" s="1"/>
  <c r="S29" i="6" s="1"/>
  <c r="VW87" i="1"/>
  <c r="VV89" i="1"/>
  <c r="VU96" i="1"/>
  <c r="K47" i="6" s="1"/>
  <c r="VV93" i="1"/>
  <c r="VW89" i="1"/>
  <c r="WD96" i="1"/>
  <c r="WE96" i="1" s="1"/>
  <c r="WD97" i="1"/>
  <c r="WE97" i="1" s="1"/>
  <c r="VW93" i="1"/>
  <c r="VT79" i="1"/>
  <c r="L30" i="6" s="1"/>
  <c r="S30" i="6" s="1"/>
  <c r="WA93" i="1"/>
  <c r="WB84" i="1"/>
  <c r="VZ84" i="1"/>
  <c r="WC131" i="1"/>
  <c r="WA131" i="1"/>
  <c r="WA132" i="1" s="1"/>
  <c r="VZ93" i="1"/>
  <c r="VV84" i="1"/>
  <c r="VT84" i="1" s="1"/>
  <c r="L35" i="6" s="1"/>
  <c r="VV92" i="1"/>
  <c r="VV86" i="1"/>
  <c r="WC93" i="1"/>
  <c r="VW84" i="1"/>
  <c r="VW92" i="1"/>
  <c r="VW86" i="1"/>
  <c r="VY131" i="1"/>
  <c r="VY93" i="1"/>
  <c r="VZ133" i="1"/>
  <c r="WB132" i="1"/>
  <c r="VT77" i="1"/>
  <c r="L28" i="6" s="1"/>
  <c r="S28" i="6" s="1"/>
  <c r="VV87" i="1"/>
  <c r="WA84" i="1"/>
  <c r="WC84" i="1"/>
  <c r="VT76" i="1"/>
  <c r="L27" i="6" s="1"/>
  <c r="VY84" i="1"/>
  <c r="VU99" i="1"/>
  <c r="K50" i="6" s="1"/>
  <c r="WD103" i="1"/>
  <c r="WE103" i="1" s="1"/>
  <c r="WD100" i="1"/>
  <c r="WE100" i="1" s="1"/>
  <c r="WD130" i="1"/>
  <c r="WE130" i="1" s="1"/>
  <c r="WD106" i="1"/>
  <c r="WE106" i="1" s="1"/>
  <c r="WD99" i="1"/>
  <c r="WE99" i="1" s="1"/>
  <c r="WD102" i="1"/>
  <c r="WE102" i="1" s="1"/>
  <c r="VU130" i="1"/>
  <c r="K68" i="6" s="1"/>
  <c r="WD79" i="1"/>
  <c r="WE79" i="1" s="1"/>
  <c r="WD76" i="1"/>
  <c r="WD78" i="1"/>
  <c r="WE78" i="1" s="1"/>
  <c r="WD77" i="1"/>
  <c r="WE77" i="1" s="1"/>
  <c r="WD81" i="1"/>
  <c r="WE81" i="1" s="1"/>
  <c r="S27" i="6" l="1"/>
  <c r="Q50" i="6"/>
  <c r="Q56" i="6"/>
  <c r="Q57" i="6"/>
  <c r="Q54" i="6"/>
  <c r="Q51" i="6"/>
  <c r="Q48" i="6"/>
  <c r="Q47" i="6"/>
  <c r="Q68" i="6"/>
  <c r="Q53" i="6"/>
  <c r="R27" i="6"/>
  <c r="R30" i="6"/>
  <c r="R28" i="6"/>
  <c r="R29" i="6"/>
  <c r="WD89" i="1"/>
  <c r="WE89" i="1" s="1"/>
  <c r="VW132" i="1"/>
  <c r="VW133" i="1" s="1"/>
  <c r="VT99" i="1"/>
  <c r="L50" i="6" s="1"/>
  <c r="S50" i="6" s="1"/>
  <c r="B50" i="6"/>
  <c r="VT102" i="1"/>
  <c r="L53" i="6" s="1"/>
  <c r="S53" i="6" s="1"/>
  <c r="B53" i="6"/>
  <c r="VT97" i="1"/>
  <c r="L48" i="6" s="1"/>
  <c r="S48" i="6" s="1"/>
  <c r="B48" i="6"/>
  <c r="VT105" i="1"/>
  <c r="L56" i="6" s="1"/>
  <c r="S56" i="6" s="1"/>
  <c r="B56" i="6"/>
  <c r="VT96" i="1"/>
  <c r="L47" i="6" s="1"/>
  <c r="S47" i="6" s="1"/>
  <c r="B47" i="6"/>
  <c r="VT130" i="1"/>
  <c r="L68" i="6" s="1"/>
  <c r="B68" i="6"/>
  <c r="VT106" i="1"/>
  <c r="B57" i="6"/>
  <c r="VT103" i="1"/>
  <c r="L54" i="6" s="1"/>
  <c r="S54" i="6" s="1"/>
  <c r="B54" i="6"/>
  <c r="VT100" i="1"/>
  <c r="L51" i="6" s="1"/>
  <c r="S51" i="6" s="1"/>
  <c r="B51" i="6"/>
  <c r="VT93" i="1"/>
  <c r="L44" i="6" s="1"/>
  <c r="S44" i="6" s="1"/>
  <c r="VT92" i="1"/>
  <c r="L43" i="6" s="1"/>
  <c r="S43" i="6" s="1"/>
  <c r="VU131" i="1"/>
  <c r="K69" i="6" s="1"/>
  <c r="VV132" i="1"/>
  <c r="WD131" i="1"/>
  <c r="WE131" i="1" s="1"/>
  <c r="K35" i="6"/>
  <c r="WA133" i="1"/>
  <c r="WA134" i="1" s="1"/>
  <c r="WB133" i="1"/>
  <c r="WB134" i="1" s="1"/>
  <c r="VY132" i="1"/>
  <c r="WC132" i="1"/>
  <c r="VZ134" i="1"/>
  <c r="VZ135" i="1" s="1"/>
  <c r="VZ136" i="1" s="1"/>
  <c r="VU89" i="1"/>
  <c r="K40" i="6" s="1"/>
  <c r="WD92" i="1"/>
  <c r="WE92" i="1" s="1"/>
  <c r="WD93" i="1"/>
  <c r="WE93" i="1" s="1"/>
  <c r="WE76" i="1"/>
  <c r="WD84" i="1"/>
  <c r="WE84" i="1" s="1"/>
  <c r="WD87" i="1"/>
  <c r="WE87" i="1" s="1"/>
  <c r="WD86" i="1"/>
  <c r="WE86" i="1" s="1"/>
  <c r="VU86" i="1"/>
  <c r="K37" i="6" s="1"/>
  <c r="VU87" i="1"/>
  <c r="K38" i="6" s="1"/>
  <c r="L57" i="6" l="1"/>
  <c r="S57" i="6" s="1"/>
  <c r="Q69" i="6"/>
  <c r="Q40" i="6"/>
  <c r="Q38" i="6"/>
  <c r="Q37" i="6"/>
  <c r="H54" i="6"/>
  <c r="H53" i="6"/>
  <c r="H57" i="6"/>
  <c r="H50" i="6"/>
  <c r="H47" i="6"/>
  <c r="H68" i="6"/>
  <c r="H51" i="6"/>
  <c r="H48" i="6"/>
  <c r="R35" i="6"/>
  <c r="Q35" i="6"/>
  <c r="H56" i="6"/>
  <c r="R51" i="6"/>
  <c r="R48" i="6"/>
  <c r="I57" i="6"/>
  <c r="AZ27" i="6" s="1"/>
  <c r="I50" i="6"/>
  <c r="AZ29" i="6" s="1"/>
  <c r="R54" i="6"/>
  <c r="R68" i="6"/>
  <c r="R53" i="6"/>
  <c r="R50" i="6"/>
  <c r="I54" i="6"/>
  <c r="I68" i="6"/>
  <c r="I47" i="6"/>
  <c r="AZ30" i="6" s="1"/>
  <c r="R43" i="6"/>
  <c r="R47" i="6"/>
  <c r="R44" i="6"/>
  <c r="I56" i="6"/>
  <c r="I51" i="6"/>
  <c r="I48" i="6"/>
  <c r="I53" i="6"/>
  <c r="R56" i="6"/>
  <c r="VU132" i="1"/>
  <c r="K70" i="6" s="1"/>
  <c r="VT131" i="1"/>
  <c r="L69" i="6" s="1"/>
  <c r="B69" i="6"/>
  <c r="VT87" i="1"/>
  <c r="L38" i="6" s="1"/>
  <c r="S38" i="6" s="1"/>
  <c r="B38" i="6"/>
  <c r="VT86" i="1"/>
  <c r="L37" i="6" s="1"/>
  <c r="S37" i="6" s="1"/>
  <c r="B37" i="6"/>
  <c r="VT89" i="1"/>
  <c r="L40" i="6" s="1"/>
  <c r="S40" i="6" s="1"/>
  <c r="B40" i="6"/>
  <c r="VV133" i="1"/>
  <c r="VU133" i="1" s="1"/>
  <c r="K71" i="6" s="1"/>
  <c r="VW134" i="1"/>
  <c r="WA135" i="1"/>
  <c r="WA136" i="1" s="1"/>
  <c r="WD132" i="1"/>
  <c r="WE132" i="1" s="1"/>
  <c r="WB135" i="1"/>
  <c r="WB136" i="1" s="1"/>
  <c r="VY133" i="1"/>
  <c r="WC133" i="1"/>
  <c r="VV84" i="4"/>
  <c r="VU84" i="4"/>
  <c r="VW84" i="4"/>
  <c r="R57" i="6" l="1"/>
  <c r="AX27" i="6" s="1"/>
  <c r="S82" i="6"/>
  <c r="S81" i="6"/>
  <c r="AG77" i="6"/>
  <c r="AV46" i="6"/>
  <c r="AX30" i="6"/>
  <c r="AW30" i="6"/>
  <c r="AX34" i="6"/>
  <c r="AW34" i="6"/>
  <c r="AX29" i="6"/>
  <c r="AW29" i="6"/>
  <c r="Q71" i="6"/>
  <c r="Q70" i="6"/>
  <c r="H37" i="6"/>
  <c r="H38" i="6"/>
  <c r="H69" i="6"/>
  <c r="H40" i="6"/>
  <c r="U35" i="6"/>
  <c r="AH82" i="6" s="1"/>
  <c r="WO70" i="4"/>
  <c r="AC77" i="6" s="1"/>
  <c r="R37" i="6"/>
  <c r="I38" i="6"/>
  <c r="AZ32" i="6" s="1"/>
  <c r="I40" i="6"/>
  <c r="R38" i="6"/>
  <c r="I37" i="6"/>
  <c r="AZ31" i="6" s="1"/>
  <c r="I69" i="6"/>
  <c r="R40" i="6"/>
  <c r="R69" i="6"/>
  <c r="B70" i="6"/>
  <c r="VT132" i="1"/>
  <c r="L70" i="6" s="1"/>
  <c r="VT133" i="1"/>
  <c r="L71" i="6" s="1"/>
  <c r="B71" i="6"/>
  <c r="VV134" i="1"/>
  <c r="VW135" i="1"/>
  <c r="WC134" i="1"/>
  <c r="WC135" i="1" s="1"/>
  <c r="WC136" i="1" s="1"/>
  <c r="VY134" i="1"/>
  <c r="WD133" i="1"/>
  <c r="WE133" i="1" s="1"/>
  <c r="VT84" i="4"/>
  <c r="AW27" i="6" l="1"/>
  <c r="AH83" i="6"/>
  <c r="AH84" i="6" s="1"/>
  <c r="X3" i="6" s="1"/>
  <c r="Y35" i="6"/>
  <c r="AC22" i="6" s="1"/>
  <c r="AY45" i="6"/>
  <c r="AY44" i="6"/>
  <c r="AY43" i="6"/>
  <c r="AY42" i="6"/>
  <c r="AY38" i="6"/>
  <c r="AY40" i="6"/>
  <c r="AY41" i="6"/>
  <c r="AY39" i="6"/>
  <c r="AX31" i="6"/>
  <c r="AW31" i="6"/>
  <c r="AX32" i="6"/>
  <c r="AW32" i="6"/>
  <c r="AG35" i="6"/>
  <c r="H70" i="6"/>
  <c r="H71" i="6"/>
  <c r="Z35" i="6"/>
  <c r="F2" i="6"/>
  <c r="AX25" i="6" s="1"/>
  <c r="S83" i="6"/>
  <c r="S84" i="6" s="1"/>
  <c r="F3" i="6" s="1"/>
  <c r="R70" i="6"/>
  <c r="I71" i="6"/>
  <c r="I70" i="6"/>
  <c r="R71" i="6"/>
  <c r="VV135" i="1"/>
  <c r="VU134" i="1"/>
  <c r="K72" i="6" s="1"/>
  <c r="VW136" i="1"/>
  <c r="VY135" i="1"/>
  <c r="WD134" i="1"/>
  <c r="WE134" i="1" s="1"/>
  <c r="Q72" i="6" l="1"/>
  <c r="VT134" i="1"/>
  <c r="L72" i="6" s="1"/>
  <c r="B72" i="6"/>
  <c r="VV136" i="1"/>
  <c r="VU135" i="1"/>
  <c r="K73" i="6" s="1"/>
  <c r="VY136" i="1"/>
  <c r="WD136" i="1" s="1"/>
  <c r="WE136" i="1" s="1"/>
  <c r="WD135" i="1"/>
  <c r="WE135" i="1" s="1"/>
  <c r="Q73" i="6" l="1"/>
  <c r="H72" i="6"/>
  <c r="I72" i="6"/>
  <c r="R72" i="6"/>
  <c r="VT135" i="1"/>
  <c r="L73" i="6" s="1"/>
  <c r="B73" i="6"/>
  <c r="VU136" i="1"/>
  <c r="K74" i="6" s="1"/>
  <c r="Q74" i="6" l="1"/>
  <c r="H73" i="6"/>
  <c r="I73" i="6"/>
  <c r="R73" i="6"/>
  <c r="VT136" i="1"/>
  <c r="L74" i="6" s="1"/>
  <c r="B74" i="6"/>
  <c r="H74" i="6" l="1"/>
  <c r="I74" i="6"/>
  <c r="R74" i="6"/>
</calcChain>
</file>

<file path=xl/sharedStrings.xml><?xml version="1.0" encoding="utf-8"?>
<sst xmlns="http://schemas.openxmlformats.org/spreadsheetml/2006/main" count="53057" uniqueCount="5472">
  <si>
    <t>ResponseID</t>
  </si>
  <si>
    <t>AppNumber</t>
  </si>
  <si>
    <t>Demographic</t>
  </si>
  <si>
    <t>DevType</t>
  </si>
  <si>
    <t>County</t>
  </si>
  <si>
    <t>RECAP</t>
  </si>
  <si>
    <t>QCT</t>
  </si>
  <si>
    <t>2024-066C</t>
  </si>
  <si>
    <t>RFA 2023-201</t>
  </si>
  <si>
    <t>Yes</t>
  </si>
  <si>
    <t>No, 2 shy</t>
  </si>
  <si>
    <t>No, 1 shy</t>
  </si>
  <si>
    <t>RA Level 6</t>
  </si>
  <si>
    <t>0.05 mi</t>
  </si>
  <si>
    <t>0.32 mi</t>
  </si>
  <si>
    <t>0.00 mi</t>
  </si>
  <si>
    <t>0.320 mi</t>
  </si>
  <si>
    <t>No</t>
  </si>
  <si>
    <t>Family</t>
  </si>
  <si>
    <t>CORE Parkside Village LLC</t>
  </si>
  <si>
    <t>CORE Parkside Village Developer LLC</t>
  </si>
  <si>
    <t>Michael Ruane</t>
  </si>
  <si>
    <t>Mission Cove I</t>
  </si>
  <si>
    <t>Oceanside, California</t>
  </si>
  <si>
    <t>Housing Credits</t>
  </si>
  <si>
    <t>The indicated units meet the minimum RFA requirement of 45 units (50% x 90)... [More In Detail]</t>
  </si>
  <si>
    <t>The year meets the date requirement for the affordable housing experience. ... [More In Detail]</t>
  </si>
  <si>
    <t>All required data fields have entries. The minimum number of 3 developments... [More In Detail]</t>
  </si>
  <si>
    <t>Oceancrest Terrace</t>
  </si>
  <si>
    <t>Yorba Linda, California</t>
  </si>
  <si>
    <t>This Housing Credits Development meets the date requirement for the program... [More In Detail]</t>
  </si>
  <si>
    <t>Valencia Vista</t>
  </si>
  <si>
    <t>San Bernadino, California</t>
  </si>
  <si>
    <t>Priority 1</t>
  </si>
  <si>
    <t>Kerri</t>
  </si>
  <si>
    <t>Toth</t>
  </si>
  <si>
    <t>Royal American Management, Inc.</t>
  </si>
  <si>
    <t>1022 W. 23rd St. Suite 300</t>
  </si>
  <si>
    <t>Panama City</t>
  </si>
  <si>
    <t>FL</t>
  </si>
  <si>
    <t>850-769-8981</t>
  </si>
  <si>
    <t>Kerri.Toth@RoyalAmerican.com</t>
  </si>
  <si>
    <t>Clearlake Isles</t>
  </si>
  <si>
    <t>Cocoa, Florida</t>
  </si>
  <si>
    <t>Currently Managing</t>
  </si>
  <si>
    <t>The indicated units meet the minimum requirement (50% x 90 = 45). The minim... [More In Detail]</t>
  </si>
  <si>
    <t>The # of years indicated meets the minimum RFA requirement. The minimum of ... [More In Detail]</t>
  </si>
  <si>
    <t>All required data fields have entries. The minimum number of 2 developments... [More In Detail]</t>
  </si>
  <si>
    <t>San Juan</t>
  </si>
  <si>
    <t>Kissimmee, Florida</t>
  </si>
  <si>
    <t>Michael</t>
  </si>
  <si>
    <t>Ruane</t>
  </si>
  <si>
    <t>National Community Renaissance of California</t>
  </si>
  <si>
    <t>9692 Haven Ave. Suite 100</t>
  </si>
  <si>
    <t>Rancho Cucamonga</t>
  </si>
  <si>
    <t>CA</t>
  </si>
  <si>
    <t>909204-3451</t>
  </si>
  <si>
    <t>Mruane@NationalCore.org</t>
  </si>
  <si>
    <t>Ariana</t>
  </si>
  <si>
    <t>Brendle</t>
  </si>
  <si>
    <t>410-227-9540</t>
  </si>
  <si>
    <t>Abrendle@NationalCore.org</t>
  </si>
  <si>
    <t>Parkside Village</t>
  </si>
  <si>
    <t>New Construction</t>
  </si>
  <si>
    <t>Not Applicable</t>
  </si>
  <si>
    <t>This Application qualifies for RA Level 6.</t>
  </si>
  <si>
    <t>(The selected Development Category of New Construction automatically qualif... [More In Detail]</t>
  </si>
  <si>
    <t>(Your selection for Development Type is confirmed by the Unit Characteristi... [More In Detail]</t>
  </si>
  <si>
    <t>Garden Apartments</t>
  </si>
  <si>
    <t>Alachua</t>
  </si>
  <si>
    <t>Medium</t>
  </si>
  <si>
    <t>NW 23rd Terrace, Northwest of the intersection of NW 62nd Avenue and NW 23r... [More In Detail]</t>
  </si>
  <si>
    <t>Gainesville</t>
  </si>
  <si>
    <t>This area intentionally left blank.</t>
  </si>
  <si>
    <t>Walmart Supercenter</t>
  </si>
  <si>
    <t>5700 NW 23rd St, Gainesville, FL 32653</t>
  </si>
  <si>
    <t>Walmart Pharmacy</t>
  </si>
  <si>
    <t>Norton Elementary School</t>
  </si>
  <si>
    <t>2200 NW 45th Ave, Gainesville, FL 32605</t>
  </si>
  <si>
    <t>Tier</t>
  </si>
  <si>
    <t>Yes - automatically</t>
  </si>
  <si>
    <t>Minimum number of units of 30 is met. There is no maximum unit limit.</t>
  </si>
  <si>
    <t>Average Income Test</t>
  </si>
  <si>
    <t>The total number of units calculated in the Unit Mix Chart matches the tota... [More In Detail]</t>
  </si>
  <si>
    <t>50 Years</t>
  </si>
  <si>
    <t>NA</t>
  </si>
  <si>
    <t>ICC 700 National Green building Standard (NGBS)</t>
  </si>
  <si>
    <t>0 Points</t>
  </si>
  <si>
    <t>One qualifying GAO has been entered below.</t>
  </si>
  <si>
    <t>The given Census Tract Number is a GAO Census Tract in Alachua County.</t>
  </si>
  <si>
    <t>Alachua County is in the GAO Listing, but the given QCT is NOT.</t>
  </si>
  <si>
    <t>The Applicant did not indicate the attachments qualified for the LGAO Desig... [More In Detail]</t>
  </si>
  <si>
    <t>Located entirely in a GAO</t>
  </si>
  <si>
    <t>TBD</t>
  </si>
  <si>
    <t>Investor fees</t>
  </si>
  <si>
    <t>Regulated Mortgage Lender</t>
  </si>
  <si>
    <t>Enter request on Funding Tab</t>
  </si>
  <si>
    <t xml:space="preserve">$-  </t>
  </si>
  <si>
    <t>This Applicant Certification and Acknowledgement Form has been signed by th... [More In Detail]</t>
  </si>
  <si>
    <t>President</t>
  </si>
  <si>
    <t>2024-067C</t>
  </si>
  <si>
    <t>0.12 mi</t>
  </si>
  <si>
    <t>0.120 mi</t>
  </si>
  <si>
    <t>CORE Azalea Bloom LLC</t>
  </si>
  <si>
    <t>CORE Azalea Bloom Developer LLC</t>
  </si>
  <si>
    <t>The indicated units meet the minimum RFA requirement of 35 units (50% x 70)... [More In Detail]</t>
  </si>
  <si>
    <t>The indicated units meet the minimum requirement (50% x 70 = 35). The minim... [More In Detail]</t>
  </si>
  <si>
    <t>Azalea Bloom</t>
  </si>
  <si>
    <t>Mid-Rise (4 Stories)</t>
  </si>
  <si>
    <t>Osceola</t>
  </si>
  <si>
    <t>Aeronautical Drive, W. of the Intersection of Aeronautical Drive and E Irlo... [More In Detail]</t>
  </si>
  <si>
    <t>Unincorporated Osceola County</t>
  </si>
  <si>
    <t>Publix Super Market</t>
  </si>
  <si>
    <t>2338 E Irlo Bronson Memorial Highway, Kissimmee, FL 34744</t>
  </si>
  <si>
    <t>AdventHealth Partin Settlement Health Park</t>
  </si>
  <si>
    <t>Publix Pharmacy</t>
  </si>
  <si>
    <t>2338 E Irlo Bronson  Memorial Highway,  Kissimmee, FL 34744</t>
  </si>
  <si>
    <t>The ZCTA is in the HUD 2023 database for Osceola County.</t>
  </si>
  <si>
    <t>Please respond to above question.</t>
  </si>
  <si>
    <t>The Development appears to qualify for a HUD basis boost, disqualifying it ... [More In Detail]</t>
  </si>
  <si>
    <t>Located entirely in a SADDA</t>
  </si>
  <si>
    <t>Investor Fees</t>
  </si>
  <si>
    <t>2024-068C</t>
  </si>
  <si>
    <t>0.45 mi</t>
  </si>
  <si>
    <t>0.47 mi</t>
  </si>
  <si>
    <t>0.470 mi</t>
  </si>
  <si>
    <t>Elderly Non-ALF</t>
  </si>
  <si>
    <t>Turnstone 2018-1, LP</t>
  </si>
  <si>
    <t>Turnstone Development Corporation</t>
  </si>
  <si>
    <t>Provident Housing Solutions, Incorporated</t>
  </si>
  <si>
    <t>Susan Wiemer</t>
  </si>
  <si>
    <t>Wisdom Village Crossing</t>
  </si>
  <si>
    <t>Fort Lauderdale, Fl</t>
  </si>
  <si>
    <t>The indicated units meet the minimum RFA requirement of 41 units (50% x 81)... [More In Detail]</t>
  </si>
  <si>
    <t>Northlake Senior Phase 1</t>
  </si>
  <si>
    <t>Northlake, IL</t>
  </si>
  <si>
    <t>Crystal Lake Senior Residences</t>
  </si>
  <si>
    <t>Crystal Lake, IL</t>
  </si>
  <si>
    <t>Marcie</t>
  </si>
  <si>
    <t>Williams</t>
  </si>
  <si>
    <t>Rivergate KW Management, LLC</t>
  </si>
  <si>
    <t>6100 Fairview Road, Suite 355</t>
  </si>
  <si>
    <t>Charlotte</t>
  </si>
  <si>
    <t>NC</t>
  </si>
  <si>
    <t>704822-8022</t>
  </si>
  <si>
    <t>mwilliams@rkwresidential.com</t>
  </si>
  <si>
    <t>Eclipse West</t>
  </si>
  <si>
    <t>Fort Lauderdale, FL</t>
  </si>
  <si>
    <t>The indicated units meet the minimum requirement (50% x 81 = 41). The minim... [More In Detail]</t>
  </si>
  <si>
    <t>Vista 707</t>
  </si>
  <si>
    <t>Charlotte, NC</t>
  </si>
  <si>
    <t>Susan</t>
  </si>
  <si>
    <t>Wiemer</t>
  </si>
  <si>
    <t>56 E. North Avenue, Suite 100</t>
  </si>
  <si>
    <t>Northlake</t>
  </si>
  <si>
    <t>IL</t>
  </si>
  <si>
    <t>312453-0641</t>
  </si>
  <si>
    <t>swiemer@turnstonedev.org</t>
  </si>
  <si>
    <t>Hartman</t>
  </si>
  <si>
    <t>8914 Puerto Del Rio Drive, #303</t>
  </si>
  <si>
    <t>Cape Canaveral</t>
  </si>
  <si>
    <t>321223-8650</t>
  </si>
  <si>
    <t>mhartman@turnstonedev.org</t>
  </si>
  <si>
    <t>Clermont Ridge Senior Villas II</t>
  </si>
  <si>
    <t>Lake</t>
  </si>
  <si>
    <t>North side of Hunt Trace Blvd., at intersection of Hunt Trace Blvd. and Fai... [More In Detail]</t>
  </si>
  <si>
    <t>Clermont</t>
  </si>
  <si>
    <t>Winn Dixie</t>
  </si>
  <si>
    <t>684 E. Highway 50, Clermont, FL 34711</t>
  </si>
  <si>
    <t>Physicians Medical Group</t>
  </si>
  <si>
    <t>Clermont Elementary School</t>
  </si>
  <si>
    <t>680 E. Highland Avenue, Clermont, FL 34711</t>
  </si>
  <si>
    <t>Minimum number of units of 30 is met. Maximum number of units of 160 is met... [More In Detail]</t>
  </si>
  <si>
    <t>40% of units at 60% of Area Median Income (AMI) or lower</t>
  </si>
  <si>
    <t>The ZCTA is in the HUD 2023 database for Lake County.</t>
  </si>
  <si>
    <t>The given Census Tract Number is a GAO Census Tract in Lake County.</t>
  </si>
  <si>
    <t>Lake County is in the GAO Listing, but the given QCT is NOT.</t>
  </si>
  <si>
    <t>2019-015P-09</t>
  </si>
  <si>
    <t>There is no offsite work.</t>
  </si>
  <si>
    <t>Marketing - 81,000; Appraisal - 8,500; Market Study - 7,650; FF&amp;E - 60,000;... [More In Detail]</t>
  </si>
  <si>
    <t>Local Government Subsidy</t>
  </si>
  <si>
    <t>Lake County</t>
  </si>
  <si>
    <t>Loan</t>
  </si>
  <si>
    <t>2022-001C, 2023-070C</t>
  </si>
  <si>
    <t>2023-070C</t>
  </si>
  <si>
    <t>Executive Director</t>
  </si>
  <si>
    <t>2024-069C</t>
  </si>
  <si>
    <t>0.15 mi</t>
  </si>
  <si>
    <t>0.16 mi</t>
  </si>
  <si>
    <t>0.26 mi</t>
  </si>
  <si>
    <t>0.260 mi</t>
  </si>
  <si>
    <t>ECG Stoney Creek, LP</t>
  </si>
  <si>
    <t>ECG Stoney Creek Developer, LLC</t>
  </si>
  <si>
    <t>C. Hunter Nelson</t>
  </si>
  <si>
    <t xml:space="preserve">Oakwood </t>
  </si>
  <si>
    <t>Nashville, TN</t>
  </si>
  <si>
    <t>The indicated units meet the minimum RFA requirement of 37 units (50% x 74)... [More In Detail]</t>
  </si>
  <si>
    <t>Chestnut Flats</t>
  </si>
  <si>
    <t>Chattanooga, TN</t>
  </si>
  <si>
    <t>Patterson Flats</t>
  </si>
  <si>
    <t>Memphis, TN</t>
  </si>
  <si>
    <t>C.</t>
  </si>
  <si>
    <t>Hunter</t>
  </si>
  <si>
    <t>Nelson</t>
  </si>
  <si>
    <t>Elmington Property Management</t>
  </si>
  <si>
    <t>1030 16th Ave South, Ste 500</t>
  </si>
  <si>
    <t xml:space="preserve">Nashville </t>
  </si>
  <si>
    <t>TN</t>
  </si>
  <si>
    <t>(615) 490-6700</t>
  </si>
  <si>
    <t>hunter@elmingtoncapital.com</t>
  </si>
  <si>
    <t>Robinson Flats</t>
  </si>
  <si>
    <t>The indicated units meet the minimum requirement (50% x 74 = 37). The minim... [More In Detail]</t>
  </si>
  <si>
    <t>Patten Towers</t>
  </si>
  <si>
    <t>1030 16th Avenue South, Suite 500</t>
  </si>
  <si>
    <t>Nashville</t>
  </si>
  <si>
    <t>John</t>
  </si>
  <si>
    <t xml:space="preserve">Shepard </t>
  </si>
  <si>
    <t>jshepard@elmingtoncapital.com</t>
  </si>
  <si>
    <t>Stoney Creek Apartments</t>
  </si>
  <si>
    <t>Leon</t>
  </si>
  <si>
    <t>Old Bainbridge Road, E of the intersection of Old Bainbridge Road and Fred ... [More In Detail]</t>
  </si>
  <si>
    <t>Tallahassee</t>
  </si>
  <si>
    <t>Fresh 4 Less</t>
  </si>
  <si>
    <t>3813 N Monroe St       Tallahassee, FL 32303</t>
  </si>
  <si>
    <t>Walgreens</t>
  </si>
  <si>
    <t>Springwood Elementary School</t>
  </si>
  <si>
    <t>3801 Fred George Rd      Tallahassee, FL 32303</t>
  </si>
  <si>
    <t>The given Census Tract Number is a GAO Census Tract in Leon County.</t>
  </si>
  <si>
    <t>Leon County is in the GAO Listing, but the given QCT is NOT.</t>
  </si>
  <si>
    <t>N/A</t>
  </si>
  <si>
    <t>FF&amp;E($75,000), Utility Connection Fees($370,000), Lease Up Expenses($80,000... [More In Detail]</t>
  </si>
  <si>
    <t>Equity Underwriting expense($25,000), Cost Certification ($40,000)</t>
  </si>
  <si>
    <t>Principal of Applicant</t>
  </si>
  <si>
    <t>2024-070C</t>
  </si>
  <si>
    <t>0.000 mi</t>
  </si>
  <si>
    <t>RST Cypress Point Estates, LP</t>
  </si>
  <si>
    <t>Roundstone Development, LLC</t>
  </si>
  <si>
    <t>Clifton E. Phillips</t>
  </si>
  <si>
    <t>The Pines</t>
  </si>
  <si>
    <t>DeLand, FL</t>
  </si>
  <si>
    <t>The indicated units meet the minimum RFA requirement of 28 units (50% x 56)... [More In Detail]</t>
  </si>
  <si>
    <t>The Lodges at Pinellas Park</t>
  </si>
  <si>
    <t>Pinellas Park, FL</t>
  </si>
  <si>
    <t>The year is prior to the Housing Credits Developer experience date of 2013.... [More In Detail]</t>
  </si>
  <si>
    <t>Monarch Estates</t>
  </si>
  <si>
    <t>Uvalde, TX</t>
  </si>
  <si>
    <t>Phil</t>
  </si>
  <si>
    <t>Wilson</t>
  </si>
  <si>
    <t>Sunchase American, Ltd.</t>
  </si>
  <si>
    <t>804 Green Valley Road, Suite 105</t>
  </si>
  <si>
    <t>Greensboro</t>
  </si>
  <si>
    <t>(336)545-1291</t>
  </si>
  <si>
    <t>pwilson@sunchaseamerican.com</t>
  </si>
  <si>
    <t>Phil Wilson</t>
  </si>
  <si>
    <t>The indicated units meet the minimum requirement (50% x 56 = 28). The minim... [More In Detail]</t>
  </si>
  <si>
    <t>Clifton</t>
  </si>
  <si>
    <t>E.</t>
  </si>
  <si>
    <t>Phillips</t>
  </si>
  <si>
    <t>1603 LBJ Freeway, Suite 860</t>
  </si>
  <si>
    <t>Dallas</t>
  </si>
  <si>
    <t>TX</t>
  </si>
  <si>
    <t>(972)243-4205</t>
  </si>
  <si>
    <t>roundstonefl@rstdev.com</t>
  </si>
  <si>
    <t>Mercedez</t>
  </si>
  <si>
    <t>Acuna</t>
  </si>
  <si>
    <t>mac@rstdev.com</t>
  </si>
  <si>
    <t>Cypress Point Estates</t>
  </si>
  <si>
    <t>Jackson</t>
  </si>
  <si>
    <t>Small</t>
  </si>
  <si>
    <t>West side of Carters Mill Road at Hospital Drive, Marianna</t>
  </si>
  <si>
    <t>Marianna</t>
  </si>
  <si>
    <t>Grocery Outlet #7710</t>
  </si>
  <si>
    <t>4230 Lafayette St # C, Marianna, FL 32446</t>
  </si>
  <si>
    <t>Jackson Hospital</t>
  </si>
  <si>
    <t>Paramore's Pharmacy</t>
  </si>
  <si>
    <t>The given Census Tract Number is a GAO Census Tract in Jackson County.</t>
  </si>
  <si>
    <t>Jackson County is in the GAO Listing, but the given QCT is NOT.</t>
  </si>
  <si>
    <t>Minimal work of tying in utility connections</t>
  </si>
  <si>
    <t>Development costs of inspections, FF&amp;E, marketing, property taxes, payment ... [More In Detail]</t>
  </si>
  <si>
    <t>Syndication Costs/Fees</t>
  </si>
  <si>
    <t>Managing Member of Managing Member of General Partner</t>
  </si>
  <si>
    <t>2024-071C</t>
  </si>
  <si>
    <t>0.46 mi</t>
  </si>
  <si>
    <t>0.460 mi</t>
  </si>
  <si>
    <t>HTG Hermosa, Ltd.</t>
  </si>
  <si>
    <t>HTG Hermosa Developer, LLC</t>
  </si>
  <si>
    <t>Matthew A. Rieger</t>
  </si>
  <si>
    <t>Village View</t>
  </si>
  <si>
    <t>Fort Lauderdale, Florida</t>
  </si>
  <si>
    <t>The indicated units meet the minimum RFA requirement of 41 units (50% x 82)... [More In Detail]</t>
  </si>
  <si>
    <t>Valencia Grove II</t>
  </si>
  <si>
    <t>Eustis, Florida</t>
  </si>
  <si>
    <t>Twin Lakes Estates - Phase II</t>
  </si>
  <si>
    <t>Lakeland, Florida</t>
  </si>
  <si>
    <t>Matthew</t>
  </si>
  <si>
    <t>A.</t>
  </si>
  <si>
    <t>Rieger</t>
  </si>
  <si>
    <t>HTG Management, LLC</t>
  </si>
  <si>
    <t>3225 Aviation Ave., 6th floor</t>
  </si>
  <si>
    <t>Miami</t>
  </si>
  <si>
    <t>(305)860-8188</t>
  </si>
  <si>
    <t>mattr@htgf.com</t>
  </si>
  <si>
    <t>Valencia Grove</t>
  </si>
  <si>
    <t>The indicated units meet the minimum requirement (50% x 82 = 41). The minim... [More In Detail]</t>
  </si>
  <si>
    <t>Princeton Park</t>
  </si>
  <si>
    <t>Unincorporated Miami-Dade County, Florida</t>
  </si>
  <si>
    <t xml:space="preserve">HTG Hermosa, Ltd. </t>
  </si>
  <si>
    <t>Glenda</t>
  </si>
  <si>
    <t>Brown</t>
  </si>
  <si>
    <t>Housing Trust Group, LLC</t>
  </si>
  <si>
    <t>(786)347-4542</t>
  </si>
  <si>
    <t>operationalcontact@htgf.com</t>
  </si>
  <si>
    <t>Forest Glen</t>
  </si>
  <si>
    <t>Brevard</t>
  </si>
  <si>
    <t>2001 South Street</t>
  </si>
  <si>
    <t>Titusville</t>
  </si>
  <si>
    <t>Save A Lot</t>
  </si>
  <si>
    <t>120 S Hopkins Ave Titusville, FL 32796</t>
  </si>
  <si>
    <t>Mission Family Medicine</t>
  </si>
  <si>
    <t>Itani Family Pharmacy</t>
  </si>
  <si>
    <t>The Development appears to qualify for this QAP basis boost, subject to ver... [More In Detail]</t>
  </si>
  <si>
    <t>Brevard County</t>
  </si>
  <si>
    <t>City of Titusville</t>
  </si>
  <si>
    <t>2023-027C</t>
  </si>
  <si>
    <t>Manager of the Non-Investor LP</t>
  </si>
  <si>
    <t>2024-072C</t>
  </si>
  <si>
    <t>Longwood Gardens, Ltd.</t>
  </si>
  <si>
    <t>Longwood Gardens Dev, LLC</t>
  </si>
  <si>
    <t>Oscar Sol</t>
  </si>
  <si>
    <t>Silver Creek</t>
  </si>
  <si>
    <t>Miami, FL</t>
  </si>
  <si>
    <t>The indicated units meet the minimum RFA requirement of 38 units (50% x 76)... [More In Detail]</t>
  </si>
  <si>
    <t>Burlington Post</t>
  </si>
  <si>
    <t>St. Petersburg, FL</t>
  </si>
  <si>
    <t>Aida Palms</t>
  </si>
  <si>
    <t>Lakeland, FL</t>
  </si>
  <si>
    <t>Amy</t>
  </si>
  <si>
    <t>K</t>
  </si>
  <si>
    <t>Ausley</t>
  </si>
  <si>
    <t>1022 W. 23rd Street, Third Floor</t>
  </si>
  <si>
    <t>(850)914-8472</t>
  </si>
  <si>
    <t>amy.ausley@royalamerican.com</t>
  </si>
  <si>
    <t>The indicated units meet the minimum requirement (50% x 76 = 38). The minim... [More In Detail]</t>
  </si>
  <si>
    <t>Oscar</t>
  </si>
  <si>
    <t>Sol</t>
  </si>
  <si>
    <t>Green Mills Group</t>
  </si>
  <si>
    <t>3323 W. Commercial Blvd, Suite E220</t>
  </si>
  <si>
    <t>Fort Lauderdale</t>
  </si>
  <si>
    <t>(305)898-2188</t>
  </si>
  <si>
    <t>osol@greenmillsgroup.com</t>
  </si>
  <si>
    <t>Diana</t>
  </si>
  <si>
    <t>Mansur</t>
  </si>
  <si>
    <t>3323 W. Commercial Blvd., Suite E220</t>
  </si>
  <si>
    <t>(954)507-6219</t>
  </si>
  <si>
    <t>dmansur@greenmillsgroup.com</t>
  </si>
  <si>
    <t>Longwood Gardens</t>
  </si>
  <si>
    <t>Citrus</t>
  </si>
  <si>
    <t>On Longwood Avenue, on the northeast corner of the intersection of Forest D... [More In Detail]</t>
  </si>
  <si>
    <t>Inverness, FL</t>
  </si>
  <si>
    <t>Winn-Dixie</t>
  </si>
  <si>
    <t>1202 W. Main St., Inverness, FL 34450</t>
  </si>
  <si>
    <t>Inverness Middle School</t>
  </si>
  <si>
    <t>1950 US HWY 41, Inverness, FL 34450</t>
  </si>
  <si>
    <t>Owner Items, Recreational, Solar</t>
  </si>
  <si>
    <t>City of Inverness</t>
  </si>
  <si>
    <t>2023-053C</t>
  </si>
  <si>
    <t>Manager of the Manager of the Managing General Partner</t>
  </si>
  <si>
    <t>2024-073C</t>
  </si>
  <si>
    <t>Cardinal Oaks, LLC</t>
  </si>
  <si>
    <t>Invictus Development, LLC</t>
  </si>
  <si>
    <t>Urban Affordable Development, LLC</t>
  </si>
  <si>
    <t>ADC Communities II, LLC</t>
  </si>
  <si>
    <t>Paula McDonald Rhodes</t>
  </si>
  <si>
    <t>Parramore Oaks</t>
  </si>
  <si>
    <t>Orlando, Florida</t>
  </si>
  <si>
    <t>The indicated units meet the minimum RFA requirement of 40 units (50% x 80)... [More In Detail]</t>
  </si>
  <si>
    <t>The Lodges on Lincoln</t>
  </si>
  <si>
    <t>Selma, Alabama</t>
  </si>
  <si>
    <t>Appaloosa Run</t>
  </si>
  <si>
    <t>Andalusia, Alabama</t>
  </si>
  <si>
    <t>Dawn</t>
  </si>
  <si>
    <t>A</t>
  </si>
  <si>
    <t>Wolter</t>
  </si>
  <si>
    <t>Asset Living</t>
  </si>
  <si>
    <t>4840 Dairy Road, Ste. 103</t>
  </si>
  <si>
    <t>Melbourne</t>
  </si>
  <si>
    <t>321-728-4447</t>
  </si>
  <si>
    <t>JMG Realty LLC (acquired by Asset Living 12-7-2021)</t>
  </si>
  <si>
    <t>Ella at Encore</t>
  </si>
  <si>
    <t>Tampa, FL</t>
  </si>
  <si>
    <t>The indicated units meet the minimum requirement (50% x 80 = 40). The minim... [More In Detail]</t>
  </si>
  <si>
    <t>Trio at Encore</t>
  </si>
  <si>
    <t>Paula</t>
  </si>
  <si>
    <t>McDonald</t>
  </si>
  <si>
    <t>Rhodes</t>
  </si>
  <si>
    <t>1910 W. Cass Street</t>
  </si>
  <si>
    <t>Tampa</t>
  </si>
  <si>
    <t>813-448-7868</t>
  </si>
  <si>
    <t>prhodes@invictusdev.com</t>
  </si>
  <si>
    <t>Richard</t>
  </si>
  <si>
    <t>E</t>
  </si>
  <si>
    <t>Cavalieri</t>
  </si>
  <si>
    <t>rcavalieri@invictusdev.com</t>
  </si>
  <si>
    <t>Cardinal Oaks</t>
  </si>
  <si>
    <t>Lewdingar Drive, NW of the intersection of Cardinal Street and Lewdingar Dr... [More In Detail]</t>
  </si>
  <si>
    <t>Unincorporated Citrus County</t>
  </si>
  <si>
    <t>Walmart</t>
  </si>
  <si>
    <t>6885 S. Suncoast Blvd.; Homosassa, FL 34446</t>
  </si>
  <si>
    <t>HCA Florida Oak Hill Family Care -Homosassa</t>
  </si>
  <si>
    <t>The ZCTA is in the HUD 2023 database for Citrus County.</t>
  </si>
  <si>
    <t>None</t>
  </si>
  <si>
    <t>Citrus County Loan</t>
  </si>
  <si>
    <t>GP Capital Contribution</t>
  </si>
  <si>
    <t>Other</t>
  </si>
  <si>
    <t>Citrus County LGAO Loan</t>
  </si>
  <si>
    <t>Citrus County</t>
  </si>
  <si>
    <t>2023-056C</t>
  </si>
  <si>
    <t>Manager of Managing Member's Manager</t>
  </si>
  <si>
    <t>2024-074C</t>
  </si>
  <si>
    <t>New River Place, LLC</t>
  </si>
  <si>
    <t>The indicated units meet the minimum RFA requirement of 26 units (50% x 52)... [More In Detail]</t>
  </si>
  <si>
    <t>dawn.wolter@assetliving.com</t>
  </si>
  <si>
    <t>The indicated units meet the minimum requirement (50% x 52 = 26). The minim... [More In Detail]</t>
  </si>
  <si>
    <t>New River Place</t>
  </si>
  <si>
    <t>Bradford</t>
  </si>
  <si>
    <t>Thomas Street, SE of the Intersection of Short Street and Thomas Street, St... [More In Detail]</t>
  </si>
  <si>
    <t>Starke</t>
  </si>
  <si>
    <t>470 W. Madison St., Starke, FL 32091</t>
  </si>
  <si>
    <t>Bradford High School</t>
  </si>
  <si>
    <t>922 East Call St., Starke, FL  32091</t>
  </si>
  <si>
    <t>GP Equity</t>
  </si>
  <si>
    <t>GP Capital Contributions</t>
  </si>
  <si>
    <t>Manager of Manager's Managing Member</t>
  </si>
  <si>
    <t>2024-075C</t>
  </si>
  <si>
    <t>0.11 mi</t>
  </si>
  <si>
    <t>0.22 mi</t>
  </si>
  <si>
    <t>0.230 mi</t>
  </si>
  <si>
    <t>HTG Vero Village, Ltd</t>
  </si>
  <si>
    <t>HTG Vero Village Developer, LLC</t>
  </si>
  <si>
    <t>The indicated units meet the minimum RFA requirement of 40 units (50% x 79)... [More In Detail]</t>
  </si>
  <si>
    <t>The indicated units meet the minimum requirement (50% x 79 = 40). The minim... [More In Detail]</t>
  </si>
  <si>
    <t>Vero Village</t>
  </si>
  <si>
    <t>Indian River</t>
  </si>
  <si>
    <t>4355 38th Ave., Vero Beach, FL 32967</t>
  </si>
  <si>
    <t>Unincorporated Indian River County</t>
  </si>
  <si>
    <t>Publix Super Market at Harbor Point</t>
  </si>
  <si>
    <t>5230 US-1, Vero Beach, FL 32967</t>
  </si>
  <si>
    <t>Publix Pharmacy at Harbor Point</t>
  </si>
  <si>
    <t>Dodgertown Elementary School</t>
  </si>
  <si>
    <t>4350 43rd Ave, Vero Beach, FL 32967</t>
  </si>
  <si>
    <t>Metro</t>
  </si>
  <si>
    <t>The QCT is in the Indian River County HUD 2023 Metro QCT database.</t>
  </si>
  <si>
    <t>Indian River County</t>
  </si>
  <si>
    <t>Grant</t>
  </si>
  <si>
    <t>2023-022C</t>
  </si>
  <si>
    <t>2024-076C</t>
  </si>
  <si>
    <t xml:space="preserve">Kelli Grove, Ltd. </t>
  </si>
  <si>
    <t xml:space="preserve">TVC Development, Inc. </t>
  </si>
  <si>
    <t>John D. Rood</t>
  </si>
  <si>
    <t xml:space="preserve">Lofts at Brooklyn </t>
  </si>
  <si>
    <t xml:space="preserve">Jacksonville, Florida </t>
  </si>
  <si>
    <t>The indicated units meet the minimum RFA requirement of 42 units (50% x 84)... [More In Detail]</t>
  </si>
  <si>
    <t>Lofts at LaVilla</t>
  </si>
  <si>
    <t>Lofts at Murray Hill</t>
  </si>
  <si>
    <t>Jacksonville, Florida</t>
  </si>
  <si>
    <t xml:space="preserve">Brian </t>
  </si>
  <si>
    <t xml:space="preserve">Davies </t>
  </si>
  <si>
    <t xml:space="preserve">WRH Realty Services, Inc. </t>
  </si>
  <si>
    <t xml:space="preserve">3030 Hartley Road, Suite 320 </t>
  </si>
  <si>
    <t xml:space="preserve">Jacksonville </t>
  </si>
  <si>
    <t>(904)260-6200</t>
  </si>
  <si>
    <t>bdavies@wrhrealty.com</t>
  </si>
  <si>
    <t xml:space="preserve">Peyton Ridge </t>
  </si>
  <si>
    <t>The indicated units meet the minimum requirement (50% x 84 = 42). The minim... [More In Detail]</t>
  </si>
  <si>
    <t xml:space="preserve">Lofts at LaVilla </t>
  </si>
  <si>
    <t>James</t>
  </si>
  <si>
    <t>R.</t>
  </si>
  <si>
    <t>Hoover</t>
  </si>
  <si>
    <t xml:space="preserve">1649 Atlantic Blvd. </t>
  </si>
  <si>
    <t>Jacksonville</t>
  </si>
  <si>
    <t>(904)260-3030</t>
  </si>
  <si>
    <t>rhoover@vestcor.com</t>
  </si>
  <si>
    <t xml:space="preserve">Kevin </t>
  </si>
  <si>
    <t xml:space="preserve">L. </t>
  </si>
  <si>
    <t>Troup</t>
  </si>
  <si>
    <t>ktroup@vestcor.com</t>
  </si>
  <si>
    <t>Kelli Grove</t>
  </si>
  <si>
    <t>Clay</t>
  </si>
  <si>
    <t>Sandridge Road, 500 feet east of the intersection of Sandridge Road and Rol... [More In Detail]</t>
  </si>
  <si>
    <t xml:space="preserve">unincorporated Clay County </t>
  </si>
  <si>
    <t>The given Census Tract Number is a GAO Census Tract in Clay County.</t>
  </si>
  <si>
    <t>Clay County is in the GAO Listing, but the given QCT is NOT.</t>
  </si>
  <si>
    <t>FF&amp;E = $500,000</t>
  </si>
  <si>
    <t>Clay County</t>
  </si>
  <si>
    <t>James R. Hoover</t>
  </si>
  <si>
    <t xml:space="preserve">VP of Manager of GP of Applicant </t>
  </si>
  <si>
    <t>2024-077C</t>
  </si>
  <si>
    <t>JIC Avon Park Apartments LLC</t>
  </si>
  <si>
    <t>JIC Florida Development, LLC</t>
  </si>
  <si>
    <t>Timothy M. Morgan</t>
  </si>
  <si>
    <t>Grand Palms</t>
  </si>
  <si>
    <t>Bradenton, Florida</t>
  </si>
  <si>
    <t>Farmview Apartments</t>
  </si>
  <si>
    <t>Florence, Kentucky</t>
  </si>
  <si>
    <t>Crossroads Village</t>
  </si>
  <si>
    <t>Seymour, Indiana</t>
  </si>
  <si>
    <t>Melissa</t>
  </si>
  <si>
    <t>Dugas</t>
  </si>
  <si>
    <t>Royal American Management</t>
  </si>
  <si>
    <t>600 East Colonial, Suite 320</t>
  </si>
  <si>
    <t>Orlando</t>
  </si>
  <si>
    <t>407-540-1477</t>
  </si>
  <si>
    <t>melissa.dugas@royalamerican.com</t>
  </si>
  <si>
    <t>Timothy</t>
  </si>
  <si>
    <t>M.</t>
  </si>
  <si>
    <t>Morgan</t>
  </si>
  <si>
    <t>Jonesboro Investments Corp.</t>
  </si>
  <si>
    <t>7160 Chagrin Road, Suite 250</t>
  </si>
  <si>
    <t>Chagrin Falls</t>
  </si>
  <si>
    <t>OH</t>
  </si>
  <si>
    <t>440-247-3900</t>
  </si>
  <si>
    <t>tmorgan@jonesborocorp.com</t>
  </si>
  <si>
    <t>Avon Park Apartments</t>
  </si>
  <si>
    <t>Highlands</t>
  </si>
  <si>
    <t>610 South Florida Avenue and 911 West State Street</t>
  </si>
  <si>
    <t>Avon Park</t>
  </si>
  <si>
    <t>802 US 27 South, Avon Park, FL 33825</t>
  </si>
  <si>
    <t>CVS</t>
  </si>
  <si>
    <t>Avon Park Middle School</t>
  </si>
  <si>
    <t>401 S. Lake Avenue, Avon Park, FL 33825</t>
  </si>
  <si>
    <t>Florida Green Building Coalition (FGBC)</t>
  </si>
  <si>
    <t>The QCT is in the Highlands County HUD 2023 Metro QCT database.</t>
  </si>
  <si>
    <t>Sidewalks - $138,000.</t>
  </si>
  <si>
    <t>1) FF&amp;E - $224,000. 2) Organizational Expenses - $24,000. 3) Marketing and ... [More In Detail]</t>
  </si>
  <si>
    <t>Highlands County</t>
  </si>
  <si>
    <t>2023-023C</t>
  </si>
  <si>
    <t>Manager</t>
  </si>
  <si>
    <t>2024-078C</t>
  </si>
  <si>
    <t>0.03 mi</t>
  </si>
  <si>
    <t>0.080 mi</t>
  </si>
  <si>
    <t>JIC Rockledge Apartments LLC</t>
  </si>
  <si>
    <t>600 East Colonial Drive, Suite 320</t>
  </si>
  <si>
    <t>(407) 540-1477</t>
  </si>
  <si>
    <t xml:space="preserve">Bradenton, Florida </t>
  </si>
  <si>
    <t xml:space="preserve">Timothy </t>
  </si>
  <si>
    <t>(440) 247-3900</t>
  </si>
  <si>
    <t>Rockledge Apartments</t>
  </si>
  <si>
    <t>NWC Murrell Road and Levitt Parkway</t>
  </si>
  <si>
    <t>Rockledge</t>
  </si>
  <si>
    <t>Publix</t>
  </si>
  <si>
    <t>1880 US Highway 1 Rockledge, Florida 32955</t>
  </si>
  <si>
    <t>Brevard Family Walk In Clinic</t>
  </si>
  <si>
    <t>Hans Christen Anderson Elementary School</t>
  </si>
  <si>
    <t>3011 S. Fiske Boulevard Rockledge, Florida 32955</t>
  </si>
  <si>
    <t>The ZCTA is in the HUD 2023 database for Brevard County.</t>
  </si>
  <si>
    <t>The given Census Tract Number is a GAO Census Tract in Brevard County.</t>
  </si>
  <si>
    <t>Brevard County is in the GAO Listing, but the given QCT is NOT.</t>
  </si>
  <si>
    <t>Located entirely in a GAO &amp; SADDA</t>
  </si>
  <si>
    <t>1) Sidewalks - $146,400</t>
  </si>
  <si>
    <t>2024-079C</t>
  </si>
  <si>
    <t>WCC IV FL MMXXIII, LLC</t>
  </si>
  <si>
    <t>The Woda Group, Inc.</t>
  </si>
  <si>
    <t>Jeffrey J. Woda</t>
  </si>
  <si>
    <t>North Avenue Gateway II</t>
  </si>
  <si>
    <t>Baltimore, Maryland</t>
  </si>
  <si>
    <t>The indicated units meet the minimum RFA requirement of 33 units (50% x 66)... [More In Detail]</t>
  </si>
  <si>
    <t>LaBelle Greene II</t>
  </si>
  <si>
    <t>Wheeling, West Virginia</t>
  </si>
  <si>
    <t>Butler Crossing II</t>
  </si>
  <si>
    <t>Kingstree, South Carolina</t>
  </si>
  <si>
    <t>Erica</t>
  </si>
  <si>
    <t>Green</t>
  </si>
  <si>
    <t>Woda Management &amp; Real Estate, LLC</t>
  </si>
  <si>
    <t>500 S. Front St., 10th Floor</t>
  </si>
  <si>
    <t>Columbus</t>
  </si>
  <si>
    <t>614396-3200</t>
  </si>
  <si>
    <t>egreen@wodagroup.com</t>
  </si>
  <si>
    <t>Silver Lakes</t>
  </si>
  <si>
    <t>Madison, Georgia</t>
  </si>
  <si>
    <t>The indicated units meet the minimum requirement (50% x 66 = 33). The minim... [More In Detail]</t>
  </si>
  <si>
    <t>Harmony Greene</t>
  </si>
  <si>
    <t>Pooler, Georgia</t>
  </si>
  <si>
    <t>Jeffrey</t>
  </si>
  <si>
    <t>J.</t>
  </si>
  <si>
    <t>Woda</t>
  </si>
  <si>
    <t>614396-3202</t>
  </si>
  <si>
    <t>jwoda@wodagroup.com</t>
  </si>
  <si>
    <t>Joseph</t>
  </si>
  <si>
    <t>T</t>
  </si>
  <si>
    <t>DiCesare</t>
  </si>
  <si>
    <t>614396-0023</t>
  </si>
  <si>
    <t>jodicesare@wodagroup.com</t>
  </si>
  <si>
    <t>College Crossing</t>
  </si>
  <si>
    <t>407 College Drive, Middleburg, FL 32068</t>
  </si>
  <si>
    <t>Unincorporated Clay County</t>
  </si>
  <si>
    <t>Walmart Neighborhood Market</t>
  </si>
  <si>
    <t>2570 County Rd 220, Middleburg, FL 32068</t>
  </si>
  <si>
    <t>Doctors Inlet Elementary</t>
  </si>
  <si>
    <t>2634 County Rd 220, Middleburg, FL 32068</t>
  </si>
  <si>
    <t>Leadership in Energy and Envirnomental Design (LEED)</t>
  </si>
  <si>
    <t>The $100,000 of off-site work is for a deceleration lane.</t>
  </si>
  <si>
    <t>Other includes $50,000 of syndication costs.</t>
  </si>
  <si>
    <t>Authorized Principal Representative &amp; Managing Member of WCC IV FL MMXXIII,... [More In Detail]</t>
  </si>
  <si>
    <t>2024-080C</t>
  </si>
  <si>
    <t>0.07 mi</t>
  </si>
  <si>
    <t>0.19 mi</t>
  </si>
  <si>
    <t>0.020 mi</t>
  </si>
  <si>
    <t>Oliva Vista Apartments, LLLP</t>
  </si>
  <si>
    <t>ACRUVA Community Developers, LLC</t>
  </si>
  <si>
    <t xml:space="preserve">Neighborhood Renaissance, Inc. </t>
  </si>
  <si>
    <t>Daniel Acosta</t>
  </si>
  <si>
    <t>St. Martin's Place</t>
  </si>
  <si>
    <t>Rennaissance Square (Las Gladiolas, LLC.)</t>
  </si>
  <si>
    <t>San Juan, Commonwealth of Puerto Rico</t>
  </si>
  <si>
    <t>Bayshore Villas (Puerta de Tierra, LLC.)</t>
  </si>
  <si>
    <t>Royal American Management Company, Inc.</t>
  </si>
  <si>
    <t>1022 W. 23rd Street, Suite 300</t>
  </si>
  <si>
    <t>(850)914-3253</t>
  </si>
  <si>
    <t>kerri.toth@royalamerican.com</t>
  </si>
  <si>
    <t>Holly Point</t>
  </si>
  <si>
    <t>Holly Hill, FL</t>
  </si>
  <si>
    <t>The Reserve at Kanapaha Phase I</t>
  </si>
  <si>
    <t>Gainesville, FL</t>
  </si>
  <si>
    <t>Terri</t>
  </si>
  <si>
    <t>Murray</t>
  </si>
  <si>
    <t>Neighborhood Renaissance, Inc.</t>
  </si>
  <si>
    <t>510 24th Street</t>
  </si>
  <si>
    <t>West Palm Beach</t>
  </si>
  <si>
    <t>(561) 832-6776</t>
  </si>
  <si>
    <t>tmurray@neighborhoodrenaissance.org</t>
  </si>
  <si>
    <t>Daniel</t>
  </si>
  <si>
    <t>F</t>
  </si>
  <si>
    <t>Acosta</t>
  </si>
  <si>
    <t>800 Fairway Drive., Suite 291</t>
  </si>
  <si>
    <t>Deerfield Beach</t>
  </si>
  <si>
    <t>954-498-1682</t>
  </si>
  <si>
    <t>daniel.acosta@acruvacp.com</t>
  </si>
  <si>
    <t>Oliva Vista Apartments</t>
  </si>
  <si>
    <t>2030 Midyette Road and 2036 Midyette Road</t>
  </si>
  <si>
    <t>Publix Super Market at Southwood Village</t>
  </si>
  <si>
    <t>3551 S Blair Stone Rd, Tallahassee, FL 32301</t>
  </si>
  <si>
    <t>CVS Pharmacy</t>
  </si>
  <si>
    <t>Conley Elementary School</t>
  </si>
  <si>
    <t xml:space="preserve"> 2400 E Orange Ave, Tallahassee, FL 32311</t>
  </si>
  <si>
    <t>Public Improvements</t>
  </si>
  <si>
    <t>Loan Costs of Issuance</t>
  </si>
  <si>
    <t>Terri Murray</t>
  </si>
  <si>
    <t>2024-081C</t>
  </si>
  <si>
    <t>Flagler Pointe Apartments Limited Partnership</t>
  </si>
  <si>
    <t>BCP Development 23 LLC</t>
  </si>
  <si>
    <t>Donald W Paxton</t>
  </si>
  <si>
    <t>Houston Street Manor</t>
  </si>
  <si>
    <t>Summerset Apartments</t>
  </si>
  <si>
    <t>Zephyrhills, Florida</t>
  </si>
  <si>
    <t>Metro South Senior Apartments</t>
  </si>
  <si>
    <t>South Miami, Florida</t>
  </si>
  <si>
    <t>David</t>
  </si>
  <si>
    <t>R</t>
  </si>
  <si>
    <t>Bales</t>
  </si>
  <si>
    <t>Cushman Wakefield</t>
  </si>
  <si>
    <t>2600 Lake Lucien Drive, Suite 300</t>
  </si>
  <si>
    <t>Maitland</t>
  </si>
  <si>
    <t>407-949-0812</t>
  </si>
  <si>
    <t>David.Bales@cushwake.com</t>
  </si>
  <si>
    <t>Donald</t>
  </si>
  <si>
    <t>W</t>
  </si>
  <si>
    <t>Paxton</t>
  </si>
  <si>
    <t>One Sarasota Tower, 2 North Tamiami Trail, Suite 800</t>
  </si>
  <si>
    <t>Sarasota</t>
  </si>
  <si>
    <t>941-929-1270</t>
  </si>
  <si>
    <t>dpaxton@beneficialcom.com</t>
  </si>
  <si>
    <t>Steven</t>
  </si>
  <si>
    <t>S</t>
  </si>
  <si>
    <t>Deaton</t>
  </si>
  <si>
    <t>sdeaton@beneficialcom.com</t>
  </si>
  <si>
    <t>Flagler Pointe Apartments</t>
  </si>
  <si>
    <t>Flagler</t>
  </si>
  <si>
    <t>1,000 feet South of the intersection of Hwy 100 and Flagler Plaza Dr</t>
  </si>
  <si>
    <t>Palm Coast</t>
  </si>
  <si>
    <t>111 Flagler Plaza Dr., Palm Coast, FL 32137</t>
  </si>
  <si>
    <t>Old Kings Elementary School</t>
  </si>
  <si>
    <t>301 Old Kings Rd. S., Flagler Beach, FL 32136</t>
  </si>
  <si>
    <t>The given Census Tract Number is a GAO Census Tract in Flagler County.</t>
  </si>
  <si>
    <t>Flagler County is in the GAO Listing, but the given QCT is NOT.</t>
  </si>
  <si>
    <t>There is no Off Site Work in the Proforma</t>
  </si>
  <si>
    <t>Manager of General Partner</t>
  </si>
  <si>
    <t>2024-082C</t>
  </si>
  <si>
    <t>Country Club Magnolia Senior, LP</t>
  </si>
  <si>
    <t>New Affordable Housing Partners, LLC</t>
  </si>
  <si>
    <t>Tallahassee Housing Economic Corporation</t>
  </si>
  <si>
    <t>James S Grauley</t>
  </si>
  <si>
    <t>Pendana at West Lakes (Phase 1)</t>
  </si>
  <si>
    <t>Orlando, FL</t>
  </si>
  <si>
    <t>Pendana at West Lakes Senior Residences (Phase II)</t>
  </si>
  <si>
    <t>Columia Parc Bayou</t>
  </si>
  <si>
    <t>New Orleans, Lousisiana</t>
  </si>
  <si>
    <t>Aaron</t>
  </si>
  <si>
    <t>Swain</t>
  </si>
  <si>
    <t>Columbia Residential Properties, LLC</t>
  </si>
  <si>
    <t>1718 Peachtree Street NW, Suite 684</t>
  </si>
  <si>
    <t>Atlanta</t>
  </si>
  <si>
    <t>GA</t>
  </si>
  <si>
    <t>(404) 419-1453</t>
  </si>
  <si>
    <t>aswain@columbiares.com</t>
  </si>
  <si>
    <t>The Retreat at Edgewood</t>
  </si>
  <si>
    <t>Atlanta, GA</t>
  </si>
  <si>
    <t>Carmen</t>
  </si>
  <si>
    <t>Chubb</t>
  </si>
  <si>
    <t xml:space="preserve">Atlanta </t>
  </si>
  <si>
    <t>(404) 874-5000</t>
  </si>
  <si>
    <t>cchubb@columbiares.com</t>
  </si>
  <si>
    <t>Clara</t>
  </si>
  <si>
    <t>Trejos</t>
  </si>
  <si>
    <t>New Affrodable Housing Partners, LLC</t>
  </si>
  <si>
    <t>(404) 867-6921</t>
  </si>
  <si>
    <t>ctrejos@columbiares.com</t>
  </si>
  <si>
    <t>Magnolia Senior</t>
  </si>
  <si>
    <t>Sebring Ct, NE of the intersection of Sebring Ct and Country Club Dr</t>
  </si>
  <si>
    <t>Piggly Wiggly</t>
  </si>
  <si>
    <t>2526 S. Monroe St          Tallahassee, FL 32301</t>
  </si>
  <si>
    <t>Care Point</t>
  </si>
  <si>
    <t>Rickards High School</t>
  </si>
  <si>
    <t>3013 Jim Lee Rd           Tallahassee, FL 32301</t>
  </si>
  <si>
    <t>The QCT is in the Leon County HUD 2023 Metro QCT database.</t>
  </si>
  <si>
    <t>Tallahassee Housing Authority</t>
  </si>
  <si>
    <t>Payment and Performance Bonds: $225,000                                    ... [More In Detail]</t>
  </si>
  <si>
    <t>Construction Loan Interest</t>
  </si>
  <si>
    <t>City of Tallahassee</t>
  </si>
  <si>
    <t>Carmen Chubb</t>
  </si>
  <si>
    <t>2024-083C</t>
  </si>
  <si>
    <t>0.200 mi</t>
  </si>
  <si>
    <t>Riverbend Landings Partners, Ltd.</t>
  </si>
  <si>
    <t>Atlantic Housing Partners, L.L.L.P.</t>
  </si>
  <si>
    <t>W. Scott Culp</t>
  </si>
  <si>
    <t>Lexington Court Apartments</t>
  </si>
  <si>
    <t>Concord Court at Creative Village</t>
  </si>
  <si>
    <t>Palm Coast Landing Senior Living</t>
  </si>
  <si>
    <t>Palm Coast, FL</t>
  </si>
  <si>
    <t>Jonathan</t>
  </si>
  <si>
    <t>Thomas</t>
  </si>
  <si>
    <t>Concord Management, Ltd.</t>
  </si>
  <si>
    <t>2605 Maitland Center Parkway, Suite A</t>
  </si>
  <si>
    <t>(407) 691-5950</t>
  </si>
  <si>
    <t>jonathan.thomas@concordrents.com</t>
  </si>
  <si>
    <t>Beach Village at Palm Coast Apartments - Phase I</t>
  </si>
  <si>
    <t>Malabar Cove - Phase I</t>
  </si>
  <si>
    <t>Palm Bay, FL</t>
  </si>
  <si>
    <t>Jay</t>
  </si>
  <si>
    <t>P.</t>
  </si>
  <si>
    <t>Brock</t>
  </si>
  <si>
    <t>Southern Affordable Services, Inc.</t>
  </si>
  <si>
    <t>335 N. Knowles Avenue, Suite 101</t>
  </si>
  <si>
    <t>Winter Park</t>
  </si>
  <si>
    <t>(407) 741-8682</t>
  </si>
  <si>
    <t>jbrock@sashousing.org</t>
  </si>
  <si>
    <t>Riverbend Landings</t>
  </si>
  <si>
    <t>Seminole</t>
  </si>
  <si>
    <t>3750 E. S.R. 46, Sanford, FL 32771</t>
  </si>
  <si>
    <t>Sanford</t>
  </si>
  <si>
    <t>True Health</t>
  </si>
  <si>
    <t>Midway Elementary</t>
  </si>
  <si>
    <t>2368 Brisson Ave., Sanford, FL 32771</t>
  </si>
  <si>
    <t>No qualifying GAO has been entered below.</t>
  </si>
  <si>
    <t>The given Census Tract Number and Seminole County are in the GAO listing, b... [More In Detail]</t>
  </si>
  <si>
    <t>Seminole County is in the GAO Listing, but the given QCT is NOT.</t>
  </si>
  <si>
    <t xml:space="preserve"> Seminole County SHIP Funds</t>
  </si>
  <si>
    <t>Seminole County SHIP Funds</t>
  </si>
  <si>
    <t>Seminole County</t>
  </si>
  <si>
    <t>Jay P. Brock</t>
  </si>
  <si>
    <t>Executive Vice President of Co-General Partner of Applicant</t>
  </si>
  <si>
    <t>2024-084C</t>
  </si>
  <si>
    <t>0.28 mi</t>
  </si>
  <si>
    <t>0.280 mi</t>
  </si>
  <si>
    <t>Pine Island Apartments Limited Partnership</t>
  </si>
  <si>
    <t>Pine Island Apartments</t>
  </si>
  <si>
    <t>Hernando</t>
  </si>
  <si>
    <t>East side of US 19, 1,700 feet North of the intersection of US 19 and SR 50</t>
  </si>
  <si>
    <t>Unincorporated Hernando County</t>
  </si>
  <si>
    <t>6270 Commercial Way, Brooksville, FL 34613</t>
  </si>
  <si>
    <t>Fox Chapel Middle School</t>
  </si>
  <si>
    <t>9412 Fox Chapel Lane, Spring Hill, FL 34606</t>
  </si>
  <si>
    <t>The given Census Tract Number is a GAO Census Tract in Hernando County.</t>
  </si>
  <si>
    <t>Hernando County is in the GAO Listing, but the given QCT is NOT.</t>
  </si>
  <si>
    <t>There are no Off Site Costs in the Proforma</t>
  </si>
  <si>
    <t>2024-085C</t>
  </si>
  <si>
    <t>0.14 mi</t>
  </si>
  <si>
    <t>0.17 mi</t>
  </si>
  <si>
    <t>0.170 mi</t>
  </si>
  <si>
    <t>Woodland Park II, LLC</t>
  </si>
  <si>
    <t>Newstar Development, LLC</t>
  </si>
  <si>
    <t>GHA Development, LLC</t>
  </si>
  <si>
    <t>Richard L. Higgins</t>
  </si>
  <si>
    <t>Pinellas Heights</t>
  </si>
  <si>
    <t>Largo, FL</t>
  </si>
  <si>
    <t>n/a</t>
  </si>
  <si>
    <t>The indicated units meet the minimum RFA requirement of 48 units (50% x 96)... [More In Detail]</t>
  </si>
  <si>
    <t>Sunrise Park Apartments</t>
  </si>
  <si>
    <t>Lake Wales, FL</t>
  </si>
  <si>
    <t>Renaissance Preserve Senior</t>
  </si>
  <si>
    <t>Fort Myers, FL</t>
  </si>
  <si>
    <t>SAIL</t>
  </si>
  <si>
    <t>Stephanie</t>
  </si>
  <si>
    <t>Baker</t>
  </si>
  <si>
    <t>Norstar Accolade Property Management</t>
  </si>
  <si>
    <t>1707 E. Beltline Rd., Suite 102</t>
  </si>
  <si>
    <t>Coppell</t>
  </si>
  <si>
    <t>214 496 0600</t>
  </si>
  <si>
    <t>sbaker@accoladepm.com</t>
  </si>
  <si>
    <t>Gulf Breeze Apartments</t>
  </si>
  <si>
    <t>Punta Gorda, FL</t>
  </si>
  <si>
    <t>The indicated units meet the minimum requirement (50% x 96 = 48). The minim... [More In Detail]</t>
  </si>
  <si>
    <t>Formerly Managed</t>
  </si>
  <si>
    <t>Brian</t>
  </si>
  <si>
    <t>Evjen</t>
  </si>
  <si>
    <t>4144 N Armenia Avenue, Suite 220</t>
  </si>
  <si>
    <t>813 608-4144</t>
  </si>
  <si>
    <t>brian@newstar-development.com</t>
  </si>
  <si>
    <t>Justin</t>
  </si>
  <si>
    <t>Corder</t>
  </si>
  <si>
    <t>813608-4144</t>
  </si>
  <si>
    <t>justin@newstar-development.com</t>
  </si>
  <si>
    <t>Woodland Park Phase II</t>
  </si>
  <si>
    <t>SE 19th Pl, SE of the intersection of SE 19th Pl and SE 1st Terr; SE 1st Te... [More In Detail]</t>
  </si>
  <si>
    <t>SS1:  29.633096, -82.318438; SS2:  29.631935, -82.317333</t>
  </si>
  <si>
    <t>300 SW 16th Ave, Gainesville, FL</t>
  </si>
  <si>
    <t>Abraham Lincoln Middle School</t>
  </si>
  <si>
    <t>1001 SE 12th St., Gainesville, FL  32641</t>
  </si>
  <si>
    <t>Gainesville Housing Authority</t>
  </si>
  <si>
    <t>No off-site work.</t>
  </si>
  <si>
    <t>Marketing: $75,000</t>
  </si>
  <si>
    <t>City of Gainesville</t>
  </si>
  <si>
    <t>2022-069C and 2023-071C</t>
  </si>
  <si>
    <t>Brian Evjen</t>
  </si>
  <si>
    <t>2024-086C</t>
  </si>
  <si>
    <t>0.54 mi</t>
  </si>
  <si>
    <t>0.540 mi</t>
  </si>
  <si>
    <t>Oak Hill Townhomes Limited Partnership</t>
  </si>
  <si>
    <t>Oak Hill Townhomes</t>
  </si>
  <si>
    <t>Townhouses</t>
  </si>
  <si>
    <t>East side of US 19, 1,200 feet northeast of the intersection of US 19 and G... [More In Detail]</t>
  </si>
  <si>
    <t>There are no Off Site costs in the Proforma</t>
  </si>
  <si>
    <t>2024-087C</t>
  </si>
  <si>
    <t>0.20 mi</t>
  </si>
  <si>
    <t>Kupfrian Manor, LLC</t>
  </si>
  <si>
    <t>Paces Preservation Partners, LLC</t>
  </si>
  <si>
    <t xml:space="preserve">Mark du Mas </t>
  </si>
  <si>
    <t>The Paces Foundation, Inc.</t>
  </si>
  <si>
    <t>Fairfield Manor</t>
  </si>
  <si>
    <t>Pensacola, Florida</t>
  </si>
  <si>
    <t>The indicated units meet the minimum RFA requirement of 47 units (50% x 94)... [More In Detail]</t>
  </si>
  <si>
    <t>Brownsville Manor</t>
  </si>
  <si>
    <t>Century Park</t>
  </si>
  <si>
    <t>Century, Florida</t>
  </si>
  <si>
    <t>Tax-Exempt Bonds</t>
  </si>
  <si>
    <t xml:space="preserve">Julie </t>
  </si>
  <si>
    <t>Pruitt</t>
  </si>
  <si>
    <t>United Apartment Group</t>
  </si>
  <si>
    <t>7334 Blanco Rd Ste 300</t>
  </si>
  <si>
    <t>San Antonio</t>
  </si>
  <si>
    <t>901-428-5292</t>
  </si>
  <si>
    <t>julie.pruitt@uaginc.com</t>
  </si>
  <si>
    <t>Carrie Girgus</t>
  </si>
  <si>
    <t>The indicated units meet the minimum requirement (50% x 94 = 47). The minim... [More In Detail]</t>
  </si>
  <si>
    <t>The Meadowlands</t>
  </si>
  <si>
    <t>Houston, Texas</t>
  </si>
  <si>
    <t>Renee</t>
  </si>
  <si>
    <t>Sandell</t>
  </si>
  <si>
    <t xml:space="preserve">The Paces Foundation, Inc. </t>
  </si>
  <si>
    <t>2730 Cumberland Blvd SE</t>
  </si>
  <si>
    <t>Smyrna</t>
  </si>
  <si>
    <t>321-431-3164</t>
  </si>
  <si>
    <t>renee@pacesfoundation.org</t>
  </si>
  <si>
    <t>Kevin</t>
  </si>
  <si>
    <t>DiQuattro</t>
  </si>
  <si>
    <t>Soho Housing Partners</t>
  </si>
  <si>
    <t>1408 N. Westshore Blvd Ste 804</t>
  </si>
  <si>
    <t>813-368-9423</t>
  </si>
  <si>
    <t>kevin@sohohousingpartners.com</t>
  </si>
  <si>
    <t>Escambia</t>
  </si>
  <si>
    <t>Southeast corner of North H Street &amp; West Avery Street</t>
  </si>
  <si>
    <t>Pensacola</t>
  </si>
  <si>
    <t>Grocery Advantage</t>
  </si>
  <si>
    <t>1612 N Pace Blvd, Pensacola, FL 32505</t>
  </si>
  <si>
    <t>Baptist Hospital</t>
  </si>
  <si>
    <t>Towers Pharmacy</t>
  </si>
  <si>
    <t>The QCT is in the Escambia County HUD 2023 Metro QCT database.</t>
  </si>
  <si>
    <t>$161,594 - FF&amp;E/Personal Property</t>
  </si>
  <si>
    <t>City of Pensacola</t>
  </si>
  <si>
    <t>2023-028C</t>
  </si>
  <si>
    <t>Renee Sandell</t>
  </si>
  <si>
    <t>Vice President/COO</t>
  </si>
  <si>
    <t>2024-088C</t>
  </si>
  <si>
    <t>Parc West, LLLP</t>
  </si>
  <si>
    <t>Rural Neighborhoods, Incorporated</t>
  </si>
  <si>
    <t>Odyssey Development Group 1, LLC</t>
  </si>
  <si>
    <t>Steven Kirk</t>
  </si>
  <si>
    <t>Cannery Row at Redlands Crossing</t>
  </si>
  <si>
    <t>Naranaja, Florida</t>
  </si>
  <si>
    <t>Orchid Grove</t>
  </si>
  <si>
    <t>Florida City, Florida</t>
  </si>
  <si>
    <t>TCAP</t>
  </si>
  <si>
    <t>Cypress Cove</t>
  </si>
  <si>
    <t>Winter Haven, Florida</t>
  </si>
  <si>
    <t>Kirk</t>
  </si>
  <si>
    <t>Eveglades Housing Group, Incorporated</t>
  </si>
  <si>
    <t>19308 SW 380 Street</t>
  </si>
  <si>
    <t>Florida City</t>
  </si>
  <si>
    <t>305.242.2142</t>
  </si>
  <si>
    <t>Stevekirk@ruralneighborhoods.org</t>
  </si>
  <si>
    <t>Everglades Housing Group, Incorporated</t>
  </si>
  <si>
    <t>Casa Cesar Chavez</t>
  </si>
  <si>
    <t>Manatee Village SRO</t>
  </si>
  <si>
    <t>Ruskin, Florida</t>
  </si>
  <si>
    <t>Jason</t>
  </si>
  <si>
    <t>Goldfarb</t>
  </si>
  <si>
    <t>Odyssey Housing Group</t>
  </si>
  <si>
    <t>1550 Michigan Avenue, Unit 4</t>
  </si>
  <si>
    <t>Miami Beach</t>
  </si>
  <si>
    <t>305.807.8201</t>
  </si>
  <si>
    <t>jcegoldfarb@gmail.com</t>
  </si>
  <si>
    <t>Parc West</t>
  </si>
  <si>
    <t>Okeechobee</t>
  </si>
  <si>
    <t>NW 22 Lane; SE corner of the intersection of NW 22 Lane and NW 3 Avenue &amp; N... [More In Detail]</t>
  </si>
  <si>
    <t>Okeechobee County</t>
  </si>
  <si>
    <t>27.264679, -80.831646</t>
  </si>
  <si>
    <t>HCA Florida Raulerson Hospital</t>
  </si>
  <si>
    <t>Okeechobee High School</t>
  </si>
  <si>
    <t>2800 US-441 Okeechobee, FL 34972</t>
  </si>
  <si>
    <t>Pump Station</t>
  </si>
  <si>
    <t>Onsite Utility Connections</t>
  </si>
  <si>
    <t>FFE / P&amp;P Bond</t>
  </si>
  <si>
    <t>Syndication Due Diligence</t>
  </si>
  <si>
    <t>President of the General Partner of the Applicant</t>
  </si>
  <si>
    <t>2024-089C</t>
  </si>
  <si>
    <t>Azalea Pointe, LLC</t>
  </si>
  <si>
    <t>Azalea Pointe</t>
  </si>
  <si>
    <t>Putnam</t>
  </si>
  <si>
    <t>Crill Avenue; North of the intersection of Crill Avenue and Latesha Terrace</t>
  </si>
  <si>
    <t>City of Palatka</t>
  </si>
  <si>
    <t>1024 S State Rd 19, Palatka, FL 32177</t>
  </si>
  <si>
    <t>Putnam Community Medical Center</t>
  </si>
  <si>
    <t>Angel's Pharmacy</t>
  </si>
  <si>
    <t>Excutive Director of the Sole Member of the Manager of the Applicant</t>
  </si>
  <si>
    <t>2024-090C</t>
  </si>
  <si>
    <t>0.24 mi</t>
  </si>
  <si>
    <t>Leah Gardens, Ltd.</t>
  </si>
  <si>
    <t>Lofts at Brooklyn</t>
  </si>
  <si>
    <t xml:space="preserve">Jacksonville, FL </t>
  </si>
  <si>
    <t>Davies</t>
  </si>
  <si>
    <t>(904) 260-6200</t>
  </si>
  <si>
    <t xml:space="preserve">Leah Gardens, Ltd. </t>
  </si>
  <si>
    <t>L.</t>
  </si>
  <si>
    <t>Leah Gardens</t>
  </si>
  <si>
    <t>9701 Chemstrand Road</t>
  </si>
  <si>
    <t xml:space="preserve">Unincorporated Escambia County </t>
  </si>
  <si>
    <t xml:space="preserve">Winn-Dixie </t>
  </si>
  <si>
    <t>312 E 9 Mile Road, Pensacola, FL 32514</t>
  </si>
  <si>
    <t>Winn-Dixie Pharmacy</t>
  </si>
  <si>
    <t>L.D. McArthur Elementary School</t>
  </si>
  <si>
    <t>330 E 10 Mile Road, Pensacola, FL 32534</t>
  </si>
  <si>
    <t>The given Census Tract Number is a GAO Census Tract in Escambia County.</t>
  </si>
  <si>
    <t>Escambia County is in the GAO Listing, but the given QCT is NOT.</t>
  </si>
  <si>
    <t>FF&amp;E - $450,000</t>
  </si>
  <si>
    <t>2024-091C</t>
  </si>
  <si>
    <t>York River Apartments, LLLP</t>
  </si>
  <si>
    <t>The indicated units meet the minimum RFA requirement of 30 units (50% x 60)... [More In Detail]</t>
  </si>
  <si>
    <t>The indicated units meet the minimum requirement (50% x 60 = 30). The minim... [More In Detail]</t>
  </si>
  <si>
    <t>York River Apartments</t>
  </si>
  <si>
    <t>Volusia</t>
  </si>
  <si>
    <t>330 Clyde Morris Blvd.</t>
  </si>
  <si>
    <t>Ormond Beach</t>
  </si>
  <si>
    <t>Publix Super Market at Ormond Towne Square</t>
  </si>
  <si>
    <t>1478 W Granada Blvd, Ormond Beach, FL 32174</t>
  </si>
  <si>
    <t>ABA Family Medicine</t>
  </si>
  <si>
    <t>Community Pharmacy Of Ormond Beach</t>
  </si>
  <si>
    <t>The given Census Tract Number and Volusia County are in the GAO listing, bu... [More In Detail]</t>
  </si>
  <si>
    <t>Volusia County is in the GAO Listing, but the given QCT is NOT.</t>
  </si>
  <si>
    <t>2024-092C</t>
  </si>
  <si>
    <t>0.13 mi</t>
  </si>
  <si>
    <t>0.140 mi</t>
  </si>
  <si>
    <t>1450 S. Babcock Family, LLC</t>
  </si>
  <si>
    <t>1450 S. Babcock Family Developer, LLC</t>
  </si>
  <si>
    <t>Elieen M. Pope</t>
  </si>
  <si>
    <t>West River Phase 1A, LP (AKA Bethune Residences at West River aka Renaissan... [More In Detail]</t>
  </si>
  <si>
    <t>The indicated units meet the minimum RFA requirement of 44 units (50% x 88)... [More In Detail]</t>
  </si>
  <si>
    <t>Magnolia Gardens Housing, LLC (aka Magnolia Senior Residences)</t>
  </si>
  <si>
    <t>The Reed at Encore, LP (aka Reed at Encore)</t>
  </si>
  <si>
    <t>1022 W. 23rd Street Suite 300</t>
  </si>
  <si>
    <t>(850) 769-8981</t>
  </si>
  <si>
    <t xml:space="preserve">Royal American Management, Inc. </t>
  </si>
  <si>
    <t>Maitland Oaks</t>
  </si>
  <si>
    <t>The indicated units meet the minimum requirement (50% x 88 = 44). The minim... [More In Detail]</t>
  </si>
  <si>
    <t>Dan</t>
  </si>
  <si>
    <t>Coakley</t>
  </si>
  <si>
    <t>398 NE 5th Street, 13th Floor</t>
  </si>
  <si>
    <t>(917) 968-6164</t>
  </si>
  <si>
    <t>dcoakley@pmgaffordable.com</t>
  </si>
  <si>
    <t>Gavin</t>
  </si>
  <si>
    <t>Morrison</t>
  </si>
  <si>
    <t>PMG Affordable Holdings, LLC</t>
  </si>
  <si>
    <t>(914) 772-1917</t>
  </si>
  <si>
    <t>gmorrision@pmgaffordable.com</t>
  </si>
  <si>
    <t>Babcock Family Apartments</t>
  </si>
  <si>
    <t>W. Hibiscus Blvd, NW of the intersection of W. Hibiscus Blvd and S. Babcock... [More In Detail]</t>
  </si>
  <si>
    <t>Publix Super Market at Melbourne Shopping Center</t>
  </si>
  <si>
    <t>1411 S Babcock St             Melbourne, FL 32901</t>
  </si>
  <si>
    <t>Prime Care Pharmacy</t>
  </si>
  <si>
    <t>Melbourne High School</t>
  </si>
  <si>
    <t>74 Bulldog Blvd                 Melbourne, FL 32901</t>
  </si>
  <si>
    <t>$50,000 for adjacent site work for retention pond</t>
  </si>
  <si>
    <t>$85,253 GC General Liability Insurance; $140,140 Performance &amp; Payment Bond... [More In Detail]</t>
  </si>
  <si>
    <t>$20,000 Organizatonal Cost; $35,500 Pre-Construction Site Mobilization; $50... [More In Detail]</t>
  </si>
  <si>
    <t>$25,000 Lender Legal Cost</t>
  </si>
  <si>
    <t>Dan E Coakley</t>
  </si>
  <si>
    <t>Prinicpal of Applicant</t>
  </si>
  <si>
    <t>2024-093C</t>
  </si>
  <si>
    <t>BDG Woodlock Manor, LP</t>
  </si>
  <si>
    <t>BDG Woodlock Manor Developer, LLC</t>
  </si>
  <si>
    <t>Jeffrey Kiss</t>
  </si>
  <si>
    <t>Hibiscus Apartments (dba Brisas Del Sur)</t>
  </si>
  <si>
    <t>Fort Myers, Florida</t>
  </si>
  <si>
    <t>Providence Reserve Seniors (dba Banyan Reserve Senior Apartments)</t>
  </si>
  <si>
    <t>Banyan Cove</t>
  </si>
  <si>
    <t>Deland, Florida</t>
  </si>
  <si>
    <t>Scott</t>
  </si>
  <si>
    <t>Zimmerman</t>
  </si>
  <si>
    <t>AGPM, LLC</t>
  </si>
  <si>
    <t>501 North Magnolia Avenue</t>
  </si>
  <si>
    <t>(407)447-1780</t>
  </si>
  <si>
    <t>Szimmerman@agpmanager.com</t>
  </si>
  <si>
    <t>Banyan Court</t>
  </si>
  <si>
    <t>Lake Worth Beach, Florida</t>
  </si>
  <si>
    <t>Alexander</t>
  </si>
  <si>
    <t>Kiss</t>
  </si>
  <si>
    <t>(407)233-3335</t>
  </si>
  <si>
    <t>Alex@BanyanDevelopmentGroup.com</t>
  </si>
  <si>
    <t>Woodlock Manor</t>
  </si>
  <si>
    <t>South Orange Blossom Trail, South Orange Blossom Trail and Business Center ... [More In Detail]</t>
  </si>
  <si>
    <t>unincorporated Osceola County</t>
  </si>
  <si>
    <t>Poinciana (5025 S. Rail Ave., Kissimmee, 34746)</t>
  </si>
  <si>
    <t>Dollar General</t>
  </si>
  <si>
    <t>4457 S Orange Blossom Trail, Kissimmee, FL 34746</t>
  </si>
  <si>
    <t>Osceola Community Health Services at Intercession City</t>
  </si>
  <si>
    <t>Sunrise Elementary</t>
  </si>
  <si>
    <t>1925 Ham Brown Road, Kissimmee, FL 34746</t>
  </si>
  <si>
    <t>The given Census Tract Number is a GAO Census Tract in Osceola County.</t>
  </si>
  <si>
    <t>Osceola County is in the GAO Listing, but the given QCT is NOT.</t>
  </si>
  <si>
    <t>P&amp;P Bonding = $94,587; Furniture &amp; Fixtures = $100,000; Total = 194,587</t>
  </si>
  <si>
    <t>Ineligible Cost: Marketing = $100,000</t>
  </si>
  <si>
    <t>Eligible Costs: Construction Loan Interest = $990,000; Ineligible Costs: Co... [More In Detail]</t>
  </si>
  <si>
    <t>Scott Zimmerman</t>
  </si>
  <si>
    <t>Manager of the General Partner of the Applicant</t>
  </si>
  <si>
    <t>2024-094C</t>
  </si>
  <si>
    <t>0.91 mi</t>
  </si>
  <si>
    <t>Twin Lakes III, Ltd.</t>
  </si>
  <si>
    <t>HTG Twin Lakes III Developer, LLC</t>
  </si>
  <si>
    <t>Polk County Housing Developers, Inc.</t>
  </si>
  <si>
    <t xml:space="preserve">Village View </t>
  </si>
  <si>
    <t>The indicated units meet the minimum RFA requirement of 43 units (50% x 86)... [More In Detail]</t>
  </si>
  <si>
    <t xml:space="preserve">Matthew </t>
  </si>
  <si>
    <t>3225 Aviation Ave., 6th Floor</t>
  </si>
  <si>
    <t>(305) 860-8188</t>
  </si>
  <si>
    <t>The indicated units meet the minimum requirement (50% x 86 = 43). The minim... [More In Detail]</t>
  </si>
  <si>
    <t>(786) 347-4542</t>
  </si>
  <si>
    <t>Twin Lakes Estates - Phase III</t>
  </si>
  <si>
    <t>Polk</t>
  </si>
  <si>
    <t>Herschell St., 150 ft W of Herschell St. &amp; S Webster Ave. Intersection, Lak... [More In Detail]</t>
  </si>
  <si>
    <t>Lakeland</t>
  </si>
  <si>
    <t>28.037664, -81.969267</t>
  </si>
  <si>
    <t>Harvey's Supermarket</t>
  </si>
  <si>
    <t>1305 Ariana Street, Lakeland, FL 33803</t>
  </si>
  <si>
    <t>Ariana Pharmacy</t>
  </si>
  <si>
    <t>1354 Ariana Street, Lakeland, FL 33803</t>
  </si>
  <si>
    <t>Rosabella W. Blake Academy</t>
  </si>
  <si>
    <t>510 Hartsell Avenue, Lakeland, FL 33815</t>
  </si>
  <si>
    <t>The given Census Tract Number and Polk County are in the GAO listing, but t... [More In Detail]</t>
  </si>
  <si>
    <t>Polk County is in the GAO Listing, but the given QCT is NOT.</t>
  </si>
  <si>
    <t>Housing Authority of the City of Lakeland, Florida</t>
  </si>
  <si>
    <t>$250,000 Off-site Road Improvements</t>
  </si>
  <si>
    <t>$250,000 CCTV and Signage</t>
  </si>
  <si>
    <t>City of Lakeland</t>
  </si>
  <si>
    <t>Manager of a General Partner</t>
  </si>
  <si>
    <t>2024-095C</t>
  </si>
  <si>
    <t>MHP Collier IV, LLC</t>
  </si>
  <si>
    <t>MHP Collier IV Developer, LLC</t>
  </si>
  <si>
    <t>Mario A. Sariol</t>
  </si>
  <si>
    <t xml:space="preserve">MHP Collier IV Developer, LLC </t>
  </si>
  <si>
    <t>Village Place</t>
  </si>
  <si>
    <t>Wagner Creek</t>
  </si>
  <si>
    <t xml:space="preserve">Miami, FL </t>
  </si>
  <si>
    <t>Veranda Senior Apartments</t>
  </si>
  <si>
    <t>Bonnie</t>
  </si>
  <si>
    <t>Smetzer</t>
  </si>
  <si>
    <t>JMG Realty, LLC</t>
  </si>
  <si>
    <t>945 BUNKER HILL RD, Floor 14</t>
  </si>
  <si>
    <t>Houston</t>
  </si>
  <si>
    <t>(321) 728-4447</t>
  </si>
  <si>
    <t>bonnie.smetzer@assetliving.com</t>
  </si>
  <si>
    <t>Viridian Apartments</t>
  </si>
  <si>
    <t>Renaissance at West River</t>
  </si>
  <si>
    <t>Christopher</t>
  </si>
  <si>
    <t>Shear</t>
  </si>
  <si>
    <t>McDowell Housing Partners, LLC</t>
  </si>
  <si>
    <t>777 Brickell Avenue, Suite 1300</t>
  </si>
  <si>
    <t>786577-9837</t>
  </si>
  <si>
    <t>cshear@mcdhousing.com</t>
  </si>
  <si>
    <t>Bill</t>
  </si>
  <si>
    <t>Zunamon</t>
  </si>
  <si>
    <t xml:space="preserve">McDowell Housing Partners </t>
  </si>
  <si>
    <t>786584-2486</t>
  </si>
  <si>
    <t>bzunamon@mcdhousing.com</t>
  </si>
  <si>
    <t>Ekos at Golden Gate</t>
  </si>
  <si>
    <t>Collier</t>
  </si>
  <si>
    <t>South side of Golden Gate Blvd. W, Southeast of the intersection of Golden ... [More In Detail]</t>
  </si>
  <si>
    <t>Unincorporated Collier County</t>
  </si>
  <si>
    <t>Bravo Supermarkets</t>
  </si>
  <si>
    <t>50 Wilson Blvd. S Naples, FL 34117</t>
  </si>
  <si>
    <t>Sunrise Medcare Center</t>
  </si>
  <si>
    <t>Walgreens Pharmacy</t>
  </si>
  <si>
    <t>The ZCTA is in the HUD 2023 database for Collier County.</t>
  </si>
  <si>
    <t>The given Census Tract Number is a GAO Census Tract in Collier County.</t>
  </si>
  <si>
    <t>Collier County is in the GAO Listing, but the given QCT is NOT.</t>
  </si>
  <si>
    <t xml:space="preserve">Owner FF&amp;E and recreational items </t>
  </si>
  <si>
    <t>printing and shipping, Legal Fees - Partnership &amp; Organization, Title Insur... [More In Detail]</t>
  </si>
  <si>
    <t>First Construction Loan Interest</t>
  </si>
  <si>
    <t>Christopher L. Shear</t>
  </si>
  <si>
    <t>COO of MHP Collier IV Manager, LLC, Manager of the Applicant</t>
  </si>
  <si>
    <t>2024-096C</t>
  </si>
  <si>
    <t>0.27 mi</t>
  </si>
  <si>
    <t>0.480 mi</t>
  </si>
  <si>
    <t>Blue Sunrise Village, LLC</t>
  </si>
  <si>
    <t>Blue SR Developer, LLC</t>
  </si>
  <si>
    <t>Shawn Wilson</t>
  </si>
  <si>
    <t>Preserve at Sabal Park</t>
  </si>
  <si>
    <t>Seffner, Florida</t>
  </si>
  <si>
    <t>The indicated units meet the minimum RFA requirement of 34 units (50% x 68)... [More In Detail]</t>
  </si>
  <si>
    <t>Blue Sky Brandon</t>
  </si>
  <si>
    <t>Brandon, FL</t>
  </si>
  <si>
    <t>Sandpiper Place</t>
  </si>
  <si>
    <t>Bradenton, FL</t>
  </si>
  <si>
    <t>Laurel</t>
  </si>
  <si>
    <t>Macdonald</t>
  </si>
  <si>
    <t>Carteret Management Corporation</t>
  </si>
  <si>
    <t>180 Fountain Parkway N., Suite 100</t>
  </si>
  <si>
    <t>St. Petersburg</t>
  </si>
  <si>
    <t>(813) 384-4832</t>
  </si>
  <si>
    <t>LMacdonald@carteretmgmt.com</t>
  </si>
  <si>
    <t>The indicated units meet the minimum requirement (50% x 68 = 34). The minim... [More In Detail]</t>
  </si>
  <si>
    <t>Duval Park</t>
  </si>
  <si>
    <t>Shawn</t>
  </si>
  <si>
    <t>813-384-4825</t>
  </si>
  <si>
    <t>swilson@blueskycommunities.com</t>
  </si>
  <si>
    <t>Blue Sky Communities LLC</t>
  </si>
  <si>
    <t>813-514-2108</t>
  </si>
  <si>
    <t>smacdonald@blueskycommunities.com</t>
  </si>
  <si>
    <t>Sunrise Village</t>
  </si>
  <si>
    <t>St. Lucie</t>
  </si>
  <si>
    <t>3000 Okeechobee Rd</t>
  </si>
  <si>
    <t>Fort Pierce</t>
  </si>
  <si>
    <t>HCA Florida Lawnwood Hospital</t>
  </si>
  <si>
    <t>Lawnwood Elementary</t>
  </si>
  <si>
    <t>1900 S 23rd St Fort Pierce, FL 34950</t>
  </si>
  <si>
    <t>The QCT is in the St. Lucie County HUD 2023 Metro QCT database.</t>
  </si>
  <si>
    <t>FF&amp;E $190,400 &amp; Marketing $15,000</t>
  </si>
  <si>
    <t>Lender/Investor Fees $60,000</t>
  </si>
  <si>
    <t>City of Fort Pierce</t>
  </si>
  <si>
    <t>St. Lucie County</t>
  </si>
  <si>
    <t>2023-065C</t>
  </si>
  <si>
    <t>Manager of Manager</t>
  </si>
  <si>
    <t>2024-097C</t>
  </si>
  <si>
    <t>Ava Greens, LLC</t>
  </si>
  <si>
    <t>Revital Development Group, LLC</t>
  </si>
  <si>
    <t>DDER Development, LLC</t>
  </si>
  <si>
    <t>Deion R. Lowery</t>
  </si>
  <si>
    <t>Los Altos Apartments</t>
  </si>
  <si>
    <t>Kissimmee, FL</t>
  </si>
  <si>
    <t>Palos Verdes Apartments</t>
  </si>
  <si>
    <t>Osprey Pointe</t>
  </si>
  <si>
    <t xml:space="preserve">Melbourne, FL </t>
  </si>
  <si>
    <t>Carrie</t>
  </si>
  <si>
    <t>Brewer</t>
  </si>
  <si>
    <t>Professional Management, Inc.</t>
  </si>
  <si>
    <t>9095 SW 87th Avenue, Suite 777</t>
  </si>
  <si>
    <t>305270-0870</t>
  </si>
  <si>
    <t>carrieb@pmiflorida.com</t>
  </si>
  <si>
    <t>Kings Terrace</t>
  </si>
  <si>
    <t>Pinnacle Cove</t>
  </si>
  <si>
    <t>Allan</t>
  </si>
  <si>
    <t>3750 Gunn Hwy, Suite 104</t>
  </si>
  <si>
    <t>813816-2240</t>
  </si>
  <si>
    <t>mallan@revitaldevelopment.com</t>
  </si>
  <si>
    <t>Melanie</t>
  </si>
  <si>
    <t>Greenwood</t>
  </si>
  <si>
    <t>2700 Westhall Lane, Suite 200</t>
  </si>
  <si>
    <t>404596-1276</t>
  </si>
  <si>
    <t>mgreenwood@birdsonghousing.com</t>
  </si>
  <si>
    <t>Ava Greens</t>
  </si>
  <si>
    <t>Lee</t>
  </si>
  <si>
    <t>41, 51, &amp; 71 Pine Island Road and 1765 N. Tamiami Trail</t>
  </si>
  <si>
    <t>Unincorporated Lee County</t>
  </si>
  <si>
    <t>545 Pine Island Road, North Fort Myers, FL 33903</t>
  </si>
  <si>
    <t>Max Health</t>
  </si>
  <si>
    <t>J. Colin English Elementary School</t>
  </si>
  <si>
    <t>120 Pine Island Road, North Fort Myers, FL 33903</t>
  </si>
  <si>
    <t>The given Census Tract Number is a GAO Census Tract in Lee County.</t>
  </si>
  <si>
    <t>Lee County is in the GAO Listing, but the given QCT is NOT.</t>
  </si>
  <si>
    <t>FF&amp;E: $192,000; Payment &amp; Performance Bond: $97,056</t>
  </si>
  <si>
    <t>Tax Credit Syndicator Fee: $50,000</t>
  </si>
  <si>
    <t>Michael Allan</t>
  </si>
  <si>
    <t>Manager of Manager of Manager of Applicant</t>
  </si>
  <si>
    <t>2024-098C</t>
  </si>
  <si>
    <t>0.33 mi</t>
  </si>
  <si>
    <t>0.330 mi</t>
  </si>
  <si>
    <t>Autumn Palms NFTM, LLC</t>
  </si>
  <si>
    <t>LCHA Developer, LLC</t>
  </si>
  <si>
    <t>Marcus D. Goodson</t>
  </si>
  <si>
    <t>East Pointe Place</t>
  </si>
  <si>
    <t>Homes of Renaissance Preserve I</t>
  </si>
  <si>
    <t>Autumn Palms at Bayshore</t>
  </si>
  <si>
    <t>4941 Bayshore Road</t>
  </si>
  <si>
    <t>5660 Bayshore Road, Fort Myers, FL 33917</t>
  </si>
  <si>
    <t>The QCT is in the Lee County HUD 2023 Metro QCT database.</t>
  </si>
  <si>
    <t>Lee County Housing Authority</t>
  </si>
  <si>
    <t>FF&amp;E: $120,000; Payment &amp; Performance Bond: $75,279</t>
  </si>
  <si>
    <t>Manager of Manager of Applicant's Manager</t>
  </si>
  <si>
    <t>2024-099C</t>
  </si>
  <si>
    <t>0.42 mi</t>
  </si>
  <si>
    <t>0.23 mi</t>
  </si>
  <si>
    <t>0.420 mi</t>
  </si>
  <si>
    <t>Lakeside Flats, LLC</t>
  </si>
  <si>
    <t>Lakeside Flats Developer, LLC</t>
  </si>
  <si>
    <t>Brett Green</t>
  </si>
  <si>
    <t>Arborside Preserve Phase 2 f.k.a. Weldon Crossings</t>
  </si>
  <si>
    <t>Starke, Florida</t>
  </si>
  <si>
    <t>The indicated units meet the minimum RFA requirement of 36 units (50% x 72)... [More In Detail]</t>
  </si>
  <si>
    <t>Arborside Preserve Phase 1 f.k.a. Welford Place</t>
  </si>
  <si>
    <t>CDBG-DR</t>
  </si>
  <si>
    <t>Springfield Crossings</t>
  </si>
  <si>
    <t>Springfield, Florida</t>
  </si>
  <si>
    <t>WRH Realty Services, Inc.</t>
  </si>
  <si>
    <t>3030 Hartley Road, Suite 320</t>
  </si>
  <si>
    <t>904260-6200</t>
  </si>
  <si>
    <t>Lofts at Lavilla</t>
  </si>
  <si>
    <t>Jacksonville, FL</t>
  </si>
  <si>
    <t>The indicated units meet the minimum requirement (50% x 72 = 36). The minim... [More In Detail]</t>
  </si>
  <si>
    <t>Peyton Ridge</t>
  </si>
  <si>
    <t>Brett</t>
  </si>
  <si>
    <t>Principal of the Applicant</t>
  </si>
  <si>
    <t>7575 Dr. Phillips Blvd #390</t>
  </si>
  <si>
    <t>321689-8197</t>
  </si>
  <si>
    <t>bgreen@archway-partners.com</t>
  </si>
  <si>
    <t>Heaslip</t>
  </si>
  <si>
    <t>727244-2705</t>
  </si>
  <si>
    <t>dave@archway-partners.com</t>
  </si>
  <si>
    <t>Lakeside Flats</t>
  </si>
  <si>
    <t>2120 Mahan Drive</t>
  </si>
  <si>
    <t>101 N Blair Stone Rd Ste 301, Tallahassee, FL 32301</t>
  </si>
  <si>
    <t>Patients First</t>
  </si>
  <si>
    <t>Cost to connect water and sewer off-site</t>
  </si>
  <si>
    <t>Demolition of Existing Structures</t>
  </si>
  <si>
    <t>FF&amp;E and P&amp;P Bonds</t>
  </si>
  <si>
    <t>2024-100C</t>
  </si>
  <si>
    <t>0.30 mi</t>
  </si>
  <si>
    <t>Parkside Park Apartments, LLC</t>
  </si>
  <si>
    <t>Parkside Park Developer, LLC</t>
  </si>
  <si>
    <t>Parkside Park Apartments</t>
  </si>
  <si>
    <t>Voncile Ave, intersection of Voncile Ave and McGuire Ave</t>
  </si>
  <si>
    <t>1700 N Monroe St, Tallahassee, FL 32303</t>
  </si>
  <si>
    <t>Ruediger Elementary School</t>
  </si>
  <si>
    <t>526 W 10th Ave Tallahassee, FL 32303</t>
  </si>
  <si>
    <t>2024-101C</t>
  </si>
  <si>
    <t>0.52 mi</t>
  </si>
  <si>
    <t>Westside Phase II, LLC</t>
  </si>
  <si>
    <t>NSBHDC Developer, LLC</t>
  </si>
  <si>
    <t>Westside Phase II Fortis Developer, LLC</t>
  </si>
  <si>
    <t>Darren J. Smith</t>
  </si>
  <si>
    <t>Pineda Village</t>
  </si>
  <si>
    <t>Cocoa, FL</t>
  </si>
  <si>
    <t>Lake Delray Apartments</t>
  </si>
  <si>
    <t>Delray Beach, FL</t>
  </si>
  <si>
    <t>Garden Walk Apartments</t>
  </si>
  <si>
    <t>Cutler Bay, FL</t>
  </si>
  <si>
    <t>Charee</t>
  </si>
  <si>
    <t>Russell</t>
  </si>
  <si>
    <t>SPM, LLC</t>
  </si>
  <si>
    <t>913 South Parsons Ave. Suite A</t>
  </si>
  <si>
    <t>Brandon</t>
  </si>
  <si>
    <t>206-639-5192</t>
  </si>
  <si>
    <t>chareer@spm.net</t>
  </si>
  <si>
    <t>Tallman Pines I</t>
  </si>
  <si>
    <t>Deerfield Beach, FL</t>
  </si>
  <si>
    <t>Arbors By The Bay</t>
  </si>
  <si>
    <t>Daphne, AL</t>
  </si>
  <si>
    <t>Darren</t>
  </si>
  <si>
    <t>Smith</t>
  </si>
  <si>
    <t>Westside Phase II Fortis, LLC</t>
  </si>
  <si>
    <t>1100 NW 4th Ave.</t>
  </si>
  <si>
    <t>Delray Beach</t>
  </si>
  <si>
    <t>561-859-8520</t>
  </si>
  <si>
    <t>dsmith@smithhenzy.com</t>
  </si>
  <si>
    <t>Jacob</t>
  </si>
  <si>
    <t>Smith &amp; Henzy Affordable Group Inc.</t>
  </si>
  <si>
    <t xml:space="preserve">Delray Beach </t>
  </si>
  <si>
    <t>(847) 868-6221</t>
  </si>
  <si>
    <t>jzunamon@smithhenzy.com</t>
  </si>
  <si>
    <t>Westside Phase II</t>
  </si>
  <si>
    <t>Scattered Site 1: On Enterprise Avenue, northeast of the intersection of En... [More In Detail]</t>
  </si>
  <si>
    <t>New Smyrna Beach</t>
  </si>
  <si>
    <t>29.027960, -80.937912</t>
  </si>
  <si>
    <t>1835 FL-44, New Smyrna Beach, FL 32168</t>
  </si>
  <si>
    <t>New Smyrna Beach Urgent Care</t>
  </si>
  <si>
    <t>Chisholm Elementary School</t>
  </si>
  <si>
    <t>557 Ronnoc Ln., New Smyrna Beach, FL 32168</t>
  </si>
  <si>
    <t>The Housing Authority of the City of New Smyrna Beach, Florida</t>
  </si>
  <si>
    <t>Existing water and sewer utility infrastructure to be upgraded.</t>
  </si>
  <si>
    <t>Signage $50,000, Lease-Up &amp; Marketing $100,000, Accounting $40,000, Plan &amp; ... [More In Detail]</t>
  </si>
  <si>
    <t>Seller Financing</t>
  </si>
  <si>
    <t>Volusia County</t>
  </si>
  <si>
    <t>2023-062C</t>
  </si>
  <si>
    <t>Authorized Member</t>
  </si>
  <si>
    <t>2024-102C</t>
  </si>
  <si>
    <t>Madison Oaks East, LLC</t>
  </si>
  <si>
    <t>American Residential Communities, LLC</t>
  </si>
  <si>
    <t>New South Residential, LLC</t>
  </si>
  <si>
    <t>Patrick E. Law</t>
  </si>
  <si>
    <t>Madison Point</t>
  </si>
  <si>
    <t>Clearwater, FL</t>
  </si>
  <si>
    <t>Madison Landing</t>
  </si>
  <si>
    <t>Madison Highlands</t>
  </si>
  <si>
    <t>Emily</t>
  </si>
  <si>
    <t>K.</t>
  </si>
  <si>
    <t>Badger</t>
  </si>
  <si>
    <t>Leland Enterprises, Inc.</t>
  </si>
  <si>
    <t>1627 East Vine Street, Suite E</t>
  </si>
  <si>
    <t>Kissimmee</t>
  </si>
  <si>
    <t>407-931-0400</t>
  </si>
  <si>
    <t>ebadger@lelandenterprises.com</t>
  </si>
  <si>
    <t>Madison Glen</t>
  </si>
  <si>
    <t>Ormond Beach, FL</t>
  </si>
  <si>
    <t>Madison Vines</t>
  </si>
  <si>
    <t>Ft. Pierce, FL</t>
  </si>
  <si>
    <t>Patrick</t>
  </si>
  <si>
    <t>Law</t>
  </si>
  <si>
    <t>558 W New England Ave, Suite 230</t>
  </si>
  <si>
    <t>407-333-1440</t>
  </si>
  <si>
    <t>Patrick.e.law@gmail.com</t>
  </si>
  <si>
    <t>Stacy</t>
  </si>
  <si>
    <t>Banach</t>
  </si>
  <si>
    <t>407-758-4866</t>
  </si>
  <si>
    <t>sbanach@newsouth.cc</t>
  </si>
  <si>
    <t>Madison Oaks East</t>
  </si>
  <si>
    <t>Marion</t>
  </si>
  <si>
    <t>On the south side of NW 35th St, approximately 2000' east of the intersect... [More In Detail]</t>
  </si>
  <si>
    <t>Ocala</t>
  </si>
  <si>
    <t>The QCT is in the Marion County HUD 2023 Metro QCT database.</t>
  </si>
  <si>
    <t>Equity Bridge Loan</t>
  </si>
  <si>
    <t>City of Ocala</t>
  </si>
  <si>
    <t>2024-103C</t>
  </si>
  <si>
    <t>Madison Cove, LLC</t>
  </si>
  <si>
    <t>Wintre Park</t>
  </si>
  <si>
    <t>Madison Cove</t>
  </si>
  <si>
    <t>Southwest corner of N Beach Street and Madison Ave, Daytona Beach</t>
  </si>
  <si>
    <t>Daytona Beach</t>
  </si>
  <si>
    <t>The QCT is in the Volusia County HUD 2023 Metro QCT database.</t>
  </si>
  <si>
    <t>City of Daytona Beach</t>
  </si>
  <si>
    <t>2024-104C</t>
  </si>
  <si>
    <t>0.150 mi</t>
  </si>
  <si>
    <t>CORE Sunset Ridge LLC</t>
  </si>
  <si>
    <t>CORE Sunset Ridge Developer LLC</t>
  </si>
  <si>
    <t>Sunset Ridge</t>
  </si>
  <si>
    <t>2818 Lakeshore Drive</t>
  </si>
  <si>
    <t>3221 N Monroe St, Tallahassee, FL 32303</t>
  </si>
  <si>
    <t>Sanitas Medical Center</t>
  </si>
  <si>
    <t>The ZCTA is in the HUD 2023 database for Leon County.</t>
  </si>
  <si>
    <t>2024-105C</t>
  </si>
  <si>
    <t>WCC V FL MMXXIII, LLC</t>
  </si>
  <si>
    <t>Pebble Crossing</t>
  </si>
  <si>
    <t>On Governors Drive approximately 230' northeast of the intersection of Cre... [More In Detail]</t>
  </si>
  <si>
    <t>Unincorporated Escambia County</t>
  </si>
  <si>
    <t>HCA Florida West Hospital</t>
  </si>
  <si>
    <t>Ferry Pass Elementary School</t>
  </si>
  <si>
    <t>8310 North Davis Highway, Pensacola, FL</t>
  </si>
  <si>
    <t>Other includes $50,000 of syndication fees.</t>
  </si>
  <si>
    <t>County of Escambia</t>
  </si>
  <si>
    <t>Authorized Principal Representative &amp; Managing Member of WCC V FL MMXXIII, ... [More In Detail]</t>
  </si>
  <si>
    <t>2024-106C</t>
  </si>
  <si>
    <t>MHP Arbor Park II, LLC</t>
  </si>
  <si>
    <t>MHP Arbor Park Phase II Developer, LLC</t>
  </si>
  <si>
    <t>945 Bunker Hill Rd, Floor 14</t>
  </si>
  <si>
    <t xml:space="preserve">JMG Realty, LLC </t>
  </si>
  <si>
    <t>786-577-9837</t>
  </si>
  <si>
    <t>777 Brickell Ave., Suite 1300</t>
  </si>
  <si>
    <t>(786) 584-2486</t>
  </si>
  <si>
    <t>Ekos at Arbor Park Phase II</t>
  </si>
  <si>
    <t>South side of W Price Blvd, southeast of the intersection of W Price Blvd &amp;... [More In Detail]</t>
  </si>
  <si>
    <t>North Port</t>
  </si>
  <si>
    <t>1251 Toledo Blade Blvd., North Port, FL 34288</t>
  </si>
  <si>
    <t>Toledo Blade Elementary School</t>
  </si>
  <si>
    <t>1201 Geranium Ave., North Port, FL 34288</t>
  </si>
  <si>
    <t>The ZCTA is in the HUD 2023 database for Sarasota County.</t>
  </si>
  <si>
    <t>Sarasota County is in the GAO Listing, but the given QCT is NOT.</t>
  </si>
  <si>
    <t>FF&amp;E, Recreational Items</t>
  </si>
  <si>
    <t>Accounting Services, Printing Shipping Travel, Total Reports &amp; Studies, Tit... [More In Detail]</t>
  </si>
  <si>
    <t>First Construction Loan Interest, Lender / Investor Inspection Fees, Perman... [More In Detail]</t>
  </si>
  <si>
    <t>COO of MHP Arbor Park II Manager, LLC, Manager of Applicant</t>
  </si>
  <si>
    <t>2024-107C</t>
  </si>
  <si>
    <t>Bromley Square, Ltd.</t>
  </si>
  <si>
    <t>Bromley Square Developer, LLC</t>
  </si>
  <si>
    <t>Jonathan L. Wolf</t>
  </si>
  <si>
    <t>Heritage Village</t>
  </si>
  <si>
    <t>Longwood, Florida</t>
  </si>
  <si>
    <t>Brixton Landing</t>
  </si>
  <si>
    <t>Apopka, Florida</t>
  </si>
  <si>
    <t>Wellington Park</t>
  </si>
  <si>
    <t>Ryan</t>
  </si>
  <si>
    <t>S.</t>
  </si>
  <si>
    <t>von Weller</t>
  </si>
  <si>
    <t>Wendover Management, LLC</t>
  </si>
  <si>
    <t>1105 Kensington Park Dr. Suite 200</t>
  </si>
  <si>
    <t>Altamonte Springs</t>
  </si>
  <si>
    <t>(407) 333-3233</t>
  </si>
  <si>
    <t>rvonweller@wendovergroup.com</t>
  </si>
  <si>
    <t>Landings at Sea Forest</t>
  </si>
  <si>
    <t>New Port Richey, Florida</t>
  </si>
  <si>
    <t>Marcis Pointe</t>
  </si>
  <si>
    <t>Wolf</t>
  </si>
  <si>
    <t>Wendover Housing Partners, LLC</t>
  </si>
  <si>
    <t>jwolf@wendovergroup.com</t>
  </si>
  <si>
    <t>Jennie</t>
  </si>
  <si>
    <t>D.</t>
  </si>
  <si>
    <t>Lagmay</t>
  </si>
  <si>
    <t>jlagmay@wendovergroup.com</t>
  </si>
  <si>
    <t>Bromley Square</t>
  </si>
  <si>
    <t>Doyle Rd., Approximately 500ft. NW of the intersection of Doyle Rd. and Gar... [More In Detail]</t>
  </si>
  <si>
    <t>Deltona, Unincorporated Volusia County</t>
  </si>
  <si>
    <t>Fresco y Mas</t>
  </si>
  <si>
    <t>1229 A, Providence Blvd, Deltona, FL 32725</t>
  </si>
  <si>
    <t>Publix Pharmacy at Deltona Landings</t>
  </si>
  <si>
    <t>Forest Lake Elementary</t>
  </si>
  <si>
    <t>1600 Doyle Rd, Deltona, FL 32725</t>
  </si>
  <si>
    <t>The ZCTA is in the HUD 2023 database for Volusia County.</t>
  </si>
  <si>
    <t>$625,000= Marketing- $125,000, Recording Fees- $100,000, Personal Property/... [More In Detail]</t>
  </si>
  <si>
    <t>Syndication Fees- $55,000</t>
  </si>
  <si>
    <t>Manager of Bromley Square GP, LLC, General Partner of Bromley Square, Ltd.</t>
  </si>
  <si>
    <t>2024-108C</t>
  </si>
  <si>
    <t>Grove at Theater Road, LLC</t>
  </si>
  <si>
    <t>NDA Developer, LLC</t>
  </si>
  <si>
    <t>Eric C. Miller</t>
  </si>
  <si>
    <t>Roosevelt Terrace</t>
  </si>
  <si>
    <t>Baton Rouge, Louisiana</t>
  </si>
  <si>
    <t>The indicated units meet the minimum RFA requirement of 18 units (50% x 35)... [More In Detail]</t>
  </si>
  <si>
    <t>Cedar Point</t>
  </si>
  <si>
    <t>Oak Wood Terrace Subdivision</t>
  </si>
  <si>
    <t>Baton Rouge, Lousiana</t>
  </si>
  <si>
    <t>Elwood</t>
  </si>
  <si>
    <t>NDC Asset Management, LLC</t>
  </si>
  <si>
    <t>1001 Third Avenue West, Suite 200</t>
  </si>
  <si>
    <t xml:space="preserve">Bradenton </t>
  </si>
  <si>
    <t>(941) 907-4109</t>
  </si>
  <si>
    <t>relwood@ndcassetmanagement.com</t>
  </si>
  <si>
    <t>Pueblo Bonito, Phase 1</t>
  </si>
  <si>
    <t>Bonita Springs, FL</t>
  </si>
  <si>
    <t>The indicated units meet the minimum requirement (50% x 35 = 18). The minim... [More In Detail]</t>
  </si>
  <si>
    <t>Casa San Juan Bosco</t>
  </si>
  <si>
    <t>Arcadia, FL</t>
  </si>
  <si>
    <t>Eric</t>
  </si>
  <si>
    <t>C</t>
  </si>
  <si>
    <t>Miller</t>
  </si>
  <si>
    <t>12629 New Brittany Boulevard, Building 16</t>
  </si>
  <si>
    <t>Fort Myers</t>
  </si>
  <si>
    <t>(239) 850-1729</t>
  </si>
  <si>
    <t>rmiller@national-development.com</t>
  </si>
  <si>
    <t xml:space="preserve">D. </t>
  </si>
  <si>
    <t>(239) 691-5559</t>
  </si>
  <si>
    <t>mmiller@national-development.com</t>
  </si>
  <si>
    <t>Grove at Theater Road</t>
  </si>
  <si>
    <t>Hardee</t>
  </si>
  <si>
    <t>Theater Rd, NW of the intersection of Theater Rd and SR 62</t>
  </si>
  <si>
    <t>unincorporated Hardee County</t>
  </si>
  <si>
    <t>1480 HWY 17                  Wauchula, FL 33873</t>
  </si>
  <si>
    <t>Hilltop Elementary School</t>
  </si>
  <si>
    <t>2401 HWY 17 N           Wauchula, FL 33873</t>
  </si>
  <si>
    <t>2024-109C</t>
  </si>
  <si>
    <t>0.160 mi</t>
  </si>
  <si>
    <t>St. Raphael Apartments, LLC</t>
  </si>
  <si>
    <t>St. Raphael Housing Developer, LLC</t>
  </si>
  <si>
    <t>St. Raphael Apartments</t>
  </si>
  <si>
    <t>Lee Blvd, NE of the intersection of Lee Blvd and Bella Ct</t>
  </si>
  <si>
    <t>Lehigh Acres</t>
  </si>
  <si>
    <t>2523 Lee Blvd                    Lehigh Acres, FL 33971</t>
  </si>
  <si>
    <t>Lehigh Regional Medical Center</t>
  </si>
  <si>
    <t>2024-110C</t>
  </si>
  <si>
    <t xml:space="preserve">St. Agnes Place, Ltd. </t>
  </si>
  <si>
    <t>St. Agnes Housing Developer, LLC</t>
  </si>
  <si>
    <t>St. Agnes Place, Ltd.</t>
  </si>
  <si>
    <t>St. Agnes Place</t>
  </si>
  <si>
    <t>Bucks Run Dr., SE of the intersection of Bucks Run Dr. and Collier Blvd.; B... [More In Detail]</t>
  </si>
  <si>
    <t>unincorporated Collier County</t>
  </si>
  <si>
    <t>SS1: 26.246708, -81.684920; SS2: 26.247425, -81.685068</t>
  </si>
  <si>
    <t>7550 Mission Hills Dr,        Naples, FL 34119</t>
  </si>
  <si>
    <t>Oakridge Middle School</t>
  </si>
  <si>
    <t>14975 Collier Blvd.             Naples, FL 34119</t>
  </si>
  <si>
    <t>Collier County</t>
  </si>
  <si>
    <t xml:space="preserve">Principal of Applicant </t>
  </si>
  <si>
    <t>2024-111C</t>
  </si>
  <si>
    <t>0.18 mi</t>
  </si>
  <si>
    <t>0.180 mi</t>
  </si>
  <si>
    <t>Harwick Place, Ltd.</t>
  </si>
  <si>
    <t>Harwick Place Developer, LLC</t>
  </si>
  <si>
    <t>Harwick Place</t>
  </si>
  <si>
    <t>N Ridgewood Ave., Approximately 600ft. SW of the intersection of N Ridgewoo... [More In Detail]</t>
  </si>
  <si>
    <t>Edgewater</t>
  </si>
  <si>
    <t>Complete Health - Edgewater</t>
  </si>
  <si>
    <t>Edgewater Public School</t>
  </si>
  <si>
    <t>801 S Old County Rd, Edgewater, FL 32132</t>
  </si>
  <si>
    <t>Manager of Harwick Place GP, LLC, General Partner of Harwick Place, Ltd.</t>
  </si>
  <si>
    <t>2024-112C</t>
  </si>
  <si>
    <t>0.35 mi</t>
  </si>
  <si>
    <t>0.34 mi</t>
  </si>
  <si>
    <t>0.350 mi</t>
  </si>
  <si>
    <t>Grove Manor Phase II, LLC</t>
  </si>
  <si>
    <t>LWHA Development, LLC</t>
  </si>
  <si>
    <t>SHAG Grove Manor Phase I Developer, LLC</t>
  </si>
  <si>
    <t>Darren Smith</t>
  </si>
  <si>
    <t xml:space="preserve">Pineda Village </t>
  </si>
  <si>
    <t xml:space="preserve">Cocoa, FL </t>
  </si>
  <si>
    <t>The indicated units meet the minimum RFA requirement of 39 units (50% x 78)... [More In Detail]</t>
  </si>
  <si>
    <t xml:space="preserve">Rick </t>
  </si>
  <si>
    <t>1001 3rd Avenue West, Suite 200</t>
  </si>
  <si>
    <t>Bradenton</t>
  </si>
  <si>
    <t>941-907-4109</t>
  </si>
  <si>
    <t xml:space="preserve">NDC Asset Management, LLC </t>
  </si>
  <si>
    <t>Campbell Landing</t>
  </si>
  <si>
    <t>The indicated units meet the minimum requirement (50% x 78 = 39). The minim... [More In Detail]</t>
  </si>
  <si>
    <t xml:space="preserve">The Graham </t>
  </si>
  <si>
    <t xml:space="preserve">Tampa, FL </t>
  </si>
  <si>
    <t>SHAG Grove Manor Phase II, LLC</t>
  </si>
  <si>
    <t xml:space="preserve">1100 NW 4th Ave. </t>
  </si>
  <si>
    <t xml:space="preserve">Crogan </t>
  </si>
  <si>
    <t xml:space="preserve">Smith &amp; Henzy Affordable Group Inc. </t>
  </si>
  <si>
    <t>850-628-0618</t>
  </si>
  <si>
    <t>rcrogan@smithhenzy.com</t>
  </si>
  <si>
    <t>Grove Manor Phase II</t>
  </si>
  <si>
    <t>West Sessoms Avenue, northeast of the intersection of West Sessoms Avenue a... [More In Detail]</t>
  </si>
  <si>
    <t>Lake Wales</t>
  </si>
  <si>
    <t xml:space="preserve">Publix </t>
  </si>
  <si>
    <t>102 E State Road 60, Lake Wales, FL 33853</t>
  </si>
  <si>
    <t>Central Florida Health Care</t>
  </si>
  <si>
    <t xml:space="preserve">Spook Hill Elementary </t>
  </si>
  <si>
    <t>321 Dr JA Wiltshire Ave, Lake Wales, FL 33853</t>
  </si>
  <si>
    <t>The QCT is in the Polk County HUD 2023 Metro QCT database.</t>
  </si>
  <si>
    <t>Lake Wales Housing Authority</t>
  </si>
  <si>
    <t>Appraisal &amp; Market Study ($15,000), Title ($172,500), FF&amp;E ($175,000), Mark... [More In Detail]</t>
  </si>
  <si>
    <t>Interest ($1,084,819), Conversion Fees ($10,000), Searches ($1,500)</t>
  </si>
  <si>
    <t>City of Lake Wales, FL</t>
  </si>
  <si>
    <t>Polk County</t>
  </si>
  <si>
    <t>2022-057C,            2023-061C</t>
  </si>
  <si>
    <t>2023-061C</t>
  </si>
  <si>
    <t>2024-113C</t>
  </si>
  <si>
    <t>Blue Luther, LLC</t>
  </si>
  <si>
    <t>Blue DC Developer, LLC</t>
  </si>
  <si>
    <t>Blue Deep Creek</t>
  </si>
  <si>
    <t>2460, 2480, 2490, 2452, 2352, 2360 &amp; 2362 Luther Rd.</t>
  </si>
  <si>
    <t>Unincorporated Charlotte County</t>
  </si>
  <si>
    <t>The given Census Tract Number is a GAO Census Tract in Charlotte County.</t>
  </si>
  <si>
    <t>Charlotte County is in the GAO Listing, but the given QCT is NOT.</t>
  </si>
  <si>
    <t>FF&amp;E $210,000 Marketing $15,000</t>
  </si>
  <si>
    <t>Investor/Lender Fees $60,000</t>
  </si>
  <si>
    <t>Charlotte County</t>
  </si>
  <si>
    <t>2024-114C</t>
  </si>
  <si>
    <t>0.76 mi</t>
  </si>
  <si>
    <t>BAH FLORIDA VENTURES, LP</t>
  </si>
  <si>
    <t xml:space="preserve">Brownstone Affordable Housing, Ltd. </t>
  </si>
  <si>
    <t>Mears Development &amp; Construction, Inc.</t>
  </si>
  <si>
    <t>Doak D. Brown</t>
  </si>
  <si>
    <t>Brownstone Affordable Housing, Ltd.</t>
  </si>
  <si>
    <t>Canton High I</t>
  </si>
  <si>
    <t>Canton, MS</t>
  </si>
  <si>
    <t>Preston Apartments</t>
  </si>
  <si>
    <t>Magnolia, AR</t>
  </si>
  <si>
    <t>Aeolian Senior Apartments</t>
  </si>
  <si>
    <t>Vicksburg, MS</t>
  </si>
  <si>
    <t>Rob</t>
  </si>
  <si>
    <t>Dryman</t>
  </si>
  <si>
    <t>Brownstone Residential, LLC</t>
  </si>
  <si>
    <t>P.O. Box 1465</t>
  </si>
  <si>
    <t>Colleyville</t>
  </si>
  <si>
    <t>903287-5008</t>
  </si>
  <si>
    <t>rdryman@brownstoneresidential.com</t>
  </si>
  <si>
    <t>Rob Dryman</t>
  </si>
  <si>
    <t xml:space="preserve">Canton High I </t>
  </si>
  <si>
    <t>Doak</t>
  </si>
  <si>
    <t>6517 Mapleridge</t>
  </si>
  <si>
    <t>713432-7727</t>
  </si>
  <si>
    <t>doak@tbsg.com</t>
  </si>
  <si>
    <t>Jeremy</t>
  </si>
  <si>
    <t>Mears</t>
  </si>
  <si>
    <t>318855-5215</t>
  </si>
  <si>
    <t>jeremy@tbsg.com</t>
  </si>
  <si>
    <t>Ardent at West Melbourne</t>
  </si>
  <si>
    <t>3820 Minton Road (CR 509)</t>
  </si>
  <si>
    <t>West Melbourne</t>
  </si>
  <si>
    <t>145 Palm Bay Rd NE Ste 117, West Melbourne, FL 32904</t>
  </si>
  <si>
    <t>Meadowlane Elementary</t>
  </si>
  <si>
    <t>2800 Wingate Blvd, West Melbourne, FL 32904</t>
  </si>
  <si>
    <t>Title &amp; Recording Costs $56,822 FF&amp;E $125,000 Lease Up Costs/Marketing $125... [More In Detail]</t>
  </si>
  <si>
    <t>Authorized Principal Representative</t>
  </si>
  <si>
    <t>2024-115C</t>
  </si>
  <si>
    <t>0.21 mi</t>
  </si>
  <si>
    <t>Stafford Point, Ltd.</t>
  </si>
  <si>
    <t>Stafford Point Developer, LLC</t>
  </si>
  <si>
    <t>Stafford Point</t>
  </si>
  <si>
    <t>Mid-Rise (5-6 Stories)</t>
  </si>
  <si>
    <t>Wymore Rd., Approximately 300ft. SE of the intersection of Wymore Rd. and W... [More In Detail]</t>
  </si>
  <si>
    <t>Whole Foods Market</t>
  </si>
  <si>
    <t>305 E Altamonte Dr Suite 1000, Altamonte Springs, FL 32701</t>
  </si>
  <si>
    <t>AdventHealth Centra Care Altamonte Springs</t>
  </si>
  <si>
    <t>The ZCTA is in the HUD 2023 database for Seminole County.</t>
  </si>
  <si>
    <t>Manager of Stafford Point GP, LLC, General Partner of Stafford Point, Ltd.</t>
  </si>
  <si>
    <t>2024-116C</t>
  </si>
  <si>
    <t>0.25 mi</t>
  </si>
  <si>
    <t>0.250 mi</t>
  </si>
  <si>
    <t>Bayside Gardens Redevelopment, LP</t>
  </si>
  <si>
    <t>TEDC Affordable Communities Inc.</t>
  </si>
  <si>
    <t>Bayside Development of Fort Walton, LLC</t>
  </si>
  <si>
    <t>42 Partners, LLC</t>
  </si>
  <si>
    <t>Carol Gardner</t>
  </si>
  <si>
    <t>Tuscany Cove</t>
  </si>
  <si>
    <t>Garden Walk</t>
  </si>
  <si>
    <t>Edison Terraces</t>
  </si>
  <si>
    <t>Carol</t>
  </si>
  <si>
    <t>Gardner</t>
  </si>
  <si>
    <t>Tacolcy Property Management Corporation</t>
  </si>
  <si>
    <t>5900 NW 7th Avenue, Suite 102</t>
  </si>
  <si>
    <t>(305) 757-3737</t>
  </si>
  <si>
    <t>cgardner@tedcbuilds.org</t>
  </si>
  <si>
    <t>Crystal</t>
  </si>
  <si>
    <t>cjackson@tedcbuilds.org</t>
  </si>
  <si>
    <t>Bayside Gardens</t>
  </si>
  <si>
    <t>Okaloosa</t>
  </si>
  <si>
    <t>Bass Avenue SW, approximately 887 feet southwest of the intersection of Bas... [More In Detail]</t>
  </si>
  <si>
    <t>Fort Walton Beach</t>
  </si>
  <si>
    <t>99 Eglin Pkwy NE, Fort Walton Beach, FL 32548</t>
  </si>
  <si>
    <t>Elliott Point Elementary School</t>
  </si>
  <si>
    <t>301 Hughes St NE, Fort Walton Beach, FL 32548</t>
  </si>
  <si>
    <t>2023-151BSN</t>
  </si>
  <si>
    <t>The QCT is in the Okaloosa County HUD 2023 Metro QCT database.</t>
  </si>
  <si>
    <t>Fort Walton Beach Housing Authority</t>
  </si>
  <si>
    <t>Organizational Costs - $55,000 FF&amp;E $150,000 Rent Up Costs/Marketing $36,00... [More In Detail]</t>
  </si>
  <si>
    <t>City of Fort Walton Beach</t>
  </si>
  <si>
    <t>2022-047C</t>
  </si>
  <si>
    <t>2023-052C</t>
  </si>
  <si>
    <t>President of the sole member of the managing member of the Applicant</t>
  </si>
  <si>
    <t>2024-117C</t>
  </si>
  <si>
    <t xml:space="preserve">Poinciana Parc 2, Ltd. </t>
  </si>
  <si>
    <t>Poinciana Parc 2 Dev, LLC</t>
  </si>
  <si>
    <t>Colonnade Park</t>
  </si>
  <si>
    <t>Priority 2</t>
  </si>
  <si>
    <t>1022 W. 23rd St., Third Floor</t>
  </si>
  <si>
    <t>Osol@greenmillsgroup.com</t>
  </si>
  <si>
    <t>M</t>
  </si>
  <si>
    <t>Poinciana Parc II</t>
  </si>
  <si>
    <t>On Old Tampa Highway, approximately 758 feet southwest of the intersection ... [More In Detail]</t>
  </si>
  <si>
    <t>2023-042C</t>
  </si>
  <si>
    <t>Solar, Recreational, Owner Items</t>
  </si>
  <si>
    <t>2024-118C</t>
  </si>
  <si>
    <t>0.09 mi</t>
  </si>
  <si>
    <t>0.08 mi</t>
  </si>
  <si>
    <t>0.090 mi</t>
  </si>
  <si>
    <t>Beacon Bayside Revelopment, LLLP</t>
  </si>
  <si>
    <t>The Beacon at Bayside</t>
  </si>
  <si>
    <t>E of Robinwood Dr SW, approximately 285 yards south of the intersection of ... [More In Detail]</t>
  </si>
  <si>
    <t>Okaloosa - Bayside Breeze</t>
  </si>
  <si>
    <t>FF&amp;E - $150,000 Lease Up Costs/Marketing - $28,000 Organizational Costs - $... [More In Detail]</t>
  </si>
  <si>
    <t>Okaloosa County</t>
  </si>
  <si>
    <t>President of the sole member of the managing general partner</t>
  </si>
  <si>
    <t>2024-119C</t>
  </si>
  <si>
    <t>SP Magnolia LLC</t>
  </si>
  <si>
    <t>Southport Development, Inc., a WA corporation doing business in FL as South... [More In Detail]</t>
  </si>
  <si>
    <t>Galveztown, LLC</t>
  </si>
  <si>
    <t>J. David Page</t>
  </si>
  <si>
    <t>Calusa Estates</t>
  </si>
  <si>
    <t xml:space="preserve">Belle Glade, Florida </t>
  </si>
  <si>
    <t>Woodlawn Trail</t>
  </si>
  <si>
    <t>Clearwater, Florida</t>
  </si>
  <si>
    <t xml:space="preserve">City Place Apartments fka Burlington Senior </t>
  </si>
  <si>
    <t>St. Petersburg, Florida</t>
  </si>
  <si>
    <t xml:space="preserve">Steve </t>
  </si>
  <si>
    <t>Sterquell</t>
  </si>
  <si>
    <t>Cambridge Management, Inc. a WA corporation doing business in FL as Cambrid... [More In Detail]</t>
  </si>
  <si>
    <t>1916 64th Avenue W</t>
  </si>
  <si>
    <t>Tacoma</t>
  </si>
  <si>
    <t>WA</t>
  </si>
  <si>
    <t>253-905-8199</t>
  </si>
  <si>
    <t>ssterquell@cmiweb.net</t>
  </si>
  <si>
    <t>Belle Glade, Florida</t>
  </si>
  <si>
    <t>The Crossings at Indian Run</t>
  </si>
  <si>
    <t>Stuart, Florida</t>
  </si>
  <si>
    <t>Page</t>
  </si>
  <si>
    <t>5403 West Gray Street</t>
  </si>
  <si>
    <t>813-288-6988</t>
  </si>
  <si>
    <t>JDPage@sphome.com</t>
  </si>
  <si>
    <t>Brianne</t>
  </si>
  <si>
    <t>Heffner</t>
  </si>
  <si>
    <t>FHFCcontact@sphome.com</t>
  </si>
  <si>
    <t>Magnolia Trail</t>
  </si>
  <si>
    <t>1200 N 57th Avenue, Pensacola (unincorporated Escambia County)</t>
  </si>
  <si>
    <t>4600 Mobile Hwy St 122, Penscacola, FL 32506</t>
  </si>
  <si>
    <t>Escambia High School</t>
  </si>
  <si>
    <t>1310 N 65th Ave, Penscacola, FL 32506</t>
  </si>
  <si>
    <t>Payment &amp; Performance Bond, Furniture</t>
  </si>
  <si>
    <t>Escambia County</t>
  </si>
  <si>
    <t>2024-120C</t>
  </si>
  <si>
    <t>SP Lane LLC</t>
  </si>
  <si>
    <t>Misty Creek Preserve</t>
  </si>
  <si>
    <t>The south side of Okeechobee Rd, 265 feet east of the intersection of Okeec... [More In Detail]</t>
  </si>
  <si>
    <t>5100 Okeechobee Rd, Fort Pierce, FL 34947</t>
  </si>
  <si>
    <t>Rite Care Pharmacy</t>
  </si>
  <si>
    <t>Fairlawn Elementary School</t>
  </si>
  <si>
    <t>3203 Rhode Island Avenue, Fort Pierce, 34947</t>
  </si>
  <si>
    <t>The given Census Tract Number and St. Lucie County are in the GAO listing, ... [More In Detail]</t>
  </si>
  <si>
    <t>St. Lucie County is in the GAO Listing, but the given QCT is NOT.</t>
  </si>
  <si>
    <t xml:space="preserve">Payment and Performance Bond; Furniture </t>
  </si>
  <si>
    <t>2024-121C</t>
  </si>
  <si>
    <t>SP West LLC</t>
  </si>
  <si>
    <t>The Atrium</t>
  </si>
  <si>
    <t>West side of US Highway 98 approx. 980 feet South of the intersection of US... [More In Detail]</t>
  </si>
  <si>
    <t>Unincorporated Polk County</t>
  </si>
  <si>
    <t>6767 US Hwy 98 N Lakeland, FL 33809</t>
  </si>
  <si>
    <t>Churchwell Elementary School</t>
  </si>
  <si>
    <t>8201 Park-Byrd Rd Lakeland, FL 33810</t>
  </si>
  <si>
    <t>The ZCTA is in the HUD 2023 database for Polk County.</t>
  </si>
  <si>
    <t>2024-122C</t>
  </si>
  <si>
    <t>Timshel Multifamily 3, LLC</t>
  </si>
  <si>
    <t>Timshel Hill Tide Developers, LLC</t>
  </si>
  <si>
    <t>Robert W. Long</t>
  </si>
  <si>
    <t>Heritage Estates at Huntsville</t>
  </si>
  <si>
    <t>Huntsville, TX</t>
  </si>
  <si>
    <t>Woodfield Cove</t>
  </si>
  <si>
    <t>Havelock, NC</t>
  </si>
  <si>
    <t>Estates at Rockwell</t>
  </si>
  <si>
    <t>Oklahoma City, OK</t>
  </si>
  <si>
    <t>Randall</t>
  </si>
  <si>
    <t>Fleece</t>
  </si>
  <si>
    <t>Gateway Management Company</t>
  </si>
  <si>
    <t>22 Inverness Center Parkway, Suite 222</t>
  </si>
  <si>
    <t>Birmingham</t>
  </si>
  <si>
    <t>AL</t>
  </si>
  <si>
    <t>205777-7765</t>
  </si>
  <si>
    <t>rfleece@gatewaymgt.com</t>
  </si>
  <si>
    <t>Peach Orchard</t>
  </si>
  <si>
    <t>Augusta, GA</t>
  </si>
  <si>
    <t>Cherry Ridge Village</t>
  </si>
  <si>
    <t>Birmingham, AL</t>
  </si>
  <si>
    <t>Todd</t>
  </si>
  <si>
    <t>Wind</t>
  </si>
  <si>
    <t>1000 Bryn Mawr Street</t>
  </si>
  <si>
    <t>917-497-8520</t>
  </si>
  <si>
    <t>twind@timsheldevelopment.com</t>
  </si>
  <si>
    <t>B.</t>
  </si>
  <si>
    <t>Waterfield</t>
  </si>
  <si>
    <t>407-461-4651</t>
  </si>
  <si>
    <t>bwaterfield@timsheldevelopment.com</t>
  </si>
  <si>
    <t>Tranquility at the Crossing</t>
  </si>
  <si>
    <t>5365 West Nine Mile Road</t>
  </si>
  <si>
    <t>8684 Beulah Road Pensacola, FL 32526</t>
  </si>
  <si>
    <t>Beulah Middle School</t>
  </si>
  <si>
    <t>6001 W Nine Mile Road Pensacola, FL 32526</t>
  </si>
  <si>
    <t>FF&amp;E $150,000; Organizational Fees $5,000</t>
  </si>
  <si>
    <t>Todd M. Wind</t>
  </si>
  <si>
    <t>2024-123C</t>
  </si>
  <si>
    <t>Timshel Multifamily 1, LLC</t>
  </si>
  <si>
    <t>Tranquility at Shady Hills</t>
  </si>
  <si>
    <t>Pasco</t>
  </si>
  <si>
    <t>West side of Shady Hills Road, approximately 2,530 feet south of the inters... [More In Detail]</t>
  </si>
  <si>
    <t>Unincorporated Pasco County</t>
  </si>
  <si>
    <t>160 Mariner Blvd  Spring Hill, FL 34609</t>
  </si>
  <si>
    <t>Shady Hills Elementary School</t>
  </si>
  <si>
    <t>18000 Shady Hill Rd Spring Hill, FL 34610</t>
  </si>
  <si>
    <t>The given Census Tract Number is a GAO Census Tract in Pasco County.</t>
  </si>
  <si>
    <t>Pasco County is in the GAO Listing, but the given QCT is NOT.</t>
  </si>
  <si>
    <t>2024-124C</t>
  </si>
  <si>
    <t>Timshel Multifamily 2, LLC</t>
  </si>
  <si>
    <t>Tranquility at Saint Andrews</t>
  </si>
  <si>
    <t>Bay</t>
  </si>
  <si>
    <t>East side of Saint Andrews Boulevard, approximately 665 feet to the south o... [More In Detail]</t>
  </si>
  <si>
    <t>Unincorporated Bay County</t>
  </si>
  <si>
    <t>650 W 23rd Street Panama City, FL 32405</t>
  </si>
  <si>
    <t>University Academy</t>
  </si>
  <si>
    <t>1980 Discovery Loop Panama City, FL 32405</t>
  </si>
  <si>
    <t>The given Census Tract Number is a GAO Census Tract in Bay County.</t>
  </si>
  <si>
    <t>Bay County is in the GAO Listing, but the given QCT is NOT.</t>
  </si>
  <si>
    <t>2024-125C</t>
  </si>
  <si>
    <t>Summit Villas Senior, LLLP</t>
  </si>
  <si>
    <t>BHA Development, LLC</t>
  </si>
  <si>
    <t>Summit Fortis Development Developer, LLC</t>
  </si>
  <si>
    <t xml:space="preserve">Garden Walk Apartments </t>
  </si>
  <si>
    <t>Rick</t>
  </si>
  <si>
    <t>1001 3rd Ave. West, Suite 200</t>
  </si>
  <si>
    <t>The Graham</t>
  </si>
  <si>
    <t>Summit Fortis Development, LLC</t>
  </si>
  <si>
    <t>1100 NW 4th Ave</t>
  </si>
  <si>
    <t>Crogan</t>
  </si>
  <si>
    <t>Summit Villas</t>
  </si>
  <si>
    <t>Scattered Site 1:  Hale Avenue, southwest of the intersection of Hale Avenu... [More In Detail]</t>
  </si>
  <si>
    <t xml:space="preserve">Brooksville </t>
  </si>
  <si>
    <t>28.545802,-82.392971</t>
  </si>
  <si>
    <t>1230 S. Broad Street Brooksville, FL 34601</t>
  </si>
  <si>
    <t>HCA Florida Oak Hill Family Care - Veterans</t>
  </si>
  <si>
    <t>The QCT is in the Hernando County HUD 2023 Metro QCT database.</t>
  </si>
  <si>
    <t>Brooksville Housing Authority</t>
  </si>
  <si>
    <t>Property Appraisal &amp; Market Study ($15,000), Title ($170,000), FF&amp;E ($150,0... [More In Detail]</t>
  </si>
  <si>
    <t>Interest ($1,035,104) and Conversion Fees ($10,000)</t>
  </si>
  <si>
    <t>Hernando County</t>
  </si>
  <si>
    <t>2023-046C</t>
  </si>
  <si>
    <t>2024-126C</t>
  </si>
  <si>
    <t>Sabal Palms Housing Partners, LP</t>
  </si>
  <si>
    <t>NuRock Development Partners Inc.</t>
  </si>
  <si>
    <t>R Howell Development, LLC</t>
  </si>
  <si>
    <t>R Block Development, LLC</t>
  </si>
  <si>
    <t>Robert Hoskins</t>
  </si>
  <si>
    <t>Residences at Haverhill</t>
  </si>
  <si>
    <t>West Palm Beach, Florida</t>
  </si>
  <si>
    <t>Residences at Crystal Lakes</t>
  </si>
  <si>
    <t>Pompano Beach, Florida</t>
  </si>
  <si>
    <t>Heritage at Pompano Station</t>
  </si>
  <si>
    <t>Robert</t>
  </si>
  <si>
    <t>Hoskins</t>
  </si>
  <si>
    <t>NuRock Management Group, LLC</t>
  </si>
  <si>
    <t>800 N Point Parkway, Suite 125</t>
  </si>
  <si>
    <t>Alpharetta</t>
  </si>
  <si>
    <t>772-550-8070</t>
  </si>
  <si>
    <t>rhoskins@nurock.com</t>
  </si>
  <si>
    <t>Town Park Crossing</t>
  </si>
  <si>
    <t>Davie, Florida</t>
  </si>
  <si>
    <t>Alpahretta</t>
  </si>
  <si>
    <t>Robby</t>
  </si>
  <si>
    <t>Block</t>
  </si>
  <si>
    <t>9200 Belvedere Road, Suite 209</t>
  </si>
  <si>
    <t>Royal Palm Beach</t>
  </si>
  <si>
    <t>561-735-8656</t>
  </si>
  <si>
    <t>rblock@nurock.com</t>
  </si>
  <si>
    <t>Residences at Dade City</t>
  </si>
  <si>
    <t>US Highway 301, approximately 1,197 feet NE of the intersection of US Highw... [More In Detail]</t>
  </si>
  <si>
    <t>Dade City</t>
  </si>
  <si>
    <t>12649 US Hwy 301, Dade City, FL 33525</t>
  </si>
  <si>
    <t>Pasco High School</t>
  </si>
  <si>
    <t>36850 County Rd. 52, Dade City, FL 33525</t>
  </si>
  <si>
    <t>The QCT is in the Pasco County HUD 2023 Metro QCT database.</t>
  </si>
  <si>
    <t>The given Census Tract Number and Pasco County are in the GAO listing, but ... [More In Detail]</t>
  </si>
  <si>
    <t>F, F, &amp; E</t>
  </si>
  <si>
    <t>its Manager</t>
  </si>
  <si>
    <t>2024-127C</t>
  </si>
  <si>
    <t>United Commons, Ltd.</t>
  </si>
  <si>
    <t>United Commons Dev, LLC</t>
  </si>
  <si>
    <t>(954)597-6219</t>
  </si>
  <si>
    <t>United Commons</t>
  </si>
  <si>
    <t>On the north side of E Main St, approximately 250 feet west of the intersec... [More In Detail]</t>
  </si>
  <si>
    <t>Bartow</t>
  </si>
  <si>
    <t>255 E Van Fleet Dr Bartow, FL 33830</t>
  </si>
  <si>
    <t>Delikat Family Practice</t>
  </si>
  <si>
    <t>City of Bartow</t>
  </si>
  <si>
    <t>2024-128C</t>
  </si>
  <si>
    <t>Sweetwater Housing II, LLC</t>
  </si>
  <si>
    <t>ReVital Development Group, LLC</t>
  </si>
  <si>
    <t>The Greater Lake City Community Development Corporation, Inc.</t>
  </si>
  <si>
    <t>The indicated units meet the minimum RFA requirement of 24 units (50% x 48)... [More In Detail]</t>
  </si>
  <si>
    <t>The indicated units meet the minimum requirement (50% x 48 = 24). The minim... [More In Detail]</t>
  </si>
  <si>
    <t>Sweetwater Apartments Phase II</t>
  </si>
  <si>
    <t>Columbia</t>
  </si>
  <si>
    <t>NE Martin Luther King Jr St., at the intersection of NE Martin Luther King ... [More In Detail]</t>
  </si>
  <si>
    <t>Lake City</t>
  </si>
  <si>
    <t>1036 E. Duval St., Lake City, FL 32055</t>
  </si>
  <si>
    <t>Niblack Elementary School</t>
  </si>
  <si>
    <t>837 NE Broadway Ave., Lake City, FL 32055</t>
  </si>
  <si>
    <t>2017-001P-09</t>
  </si>
  <si>
    <t>No off-site work</t>
  </si>
  <si>
    <t>FF&amp;E: $156,000; P&amp;P Bond: $67,706</t>
  </si>
  <si>
    <t>2024-129C</t>
  </si>
  <si>
    <t>Trinity Village, LTD</t>
  </si>
  <si>
    <t>Trinity Village Dev, LLC</t>
  </si>
  <si>
    <t>GM Trinity Village Dev, LLC</t>
  </si>
  <si>
    <t xml:space="preserve">Amy </t>
  </si>
  <si>
    <t>Charles</t>
  </si>
  <si>
    <t>Anderson</t>
  </si>
  <si>
    <t xml:space="preserve">Trinity Worship Center International Ministries </t>
  </si>
  <si>
    <t>2795 N 10th St</t>
  </si>
  <si>
    <t>Haines City</t>
  </si>
  <si>
    <t>(863)207-7771</t>
  </si>
  <si>
    <t>charles.anderson@icloud.com</t>
  </si>
  <si>
    <t>Trinity Village</t>
  </si>
  <si>
    <t>On N 10th St, 650 feet southeast of the intersection of N 10th St and Cemet... [More In Detail]</t>
  </si>
  <si>
    <t>36205 US-27 Haines City, FL 33844</t>
  </si>
  <si>
    <t>Bay Care - Haines City Family Health Center</t>
  </si>
  <si>
    <t>2023-054C</t>
  </si>
  <si>
    <t>Charles E Anderson</t>
  </si>
  <si>
    <t>Executive Director of the Manager of the General Partner</t>
  </si>
  <si>
    <t>2024-130C</t>
  </si>
  <si>
    <t>MHP Sarasota I, LTD.</t>
  </si>
  <si>
    <t>MHP Sarasota I Developer, LLC</t>
  </si>
  <si>
    <t>The indicated units meet the minimum RFA requirement of 57 units (50% x 114... [More In Detail]</t>
  </si>
  <si>
    <t>The indicated units meet the minimum requirement (50% x 114 = 57). The mini... [More In Detail]</t>
  </si>
  <si>
    <t>Sean</t>
  </si>
  <si>
    <t>(786) 604-0475</t>
  </si>
  <si>
    <t>ssmith@mcdhousing.com</t>
  </si>
  <si>
    <t>Bayonet Gardens</t>
  </si>
  <si>
    <t>13821 Lakeshore Blvd., Hudson, Pasco County</t>
  </si>
  <si>
    <t>Winn-Dixie Grocery</t>
  </si>
  <si>
    <t>14134 US Highway 19, Hudson, FL 34667</t>
  </si>
  <si>
    <t>HCA Florida Bayonet Point Hospital</t>
  </si>
  <si>
    <t>FF&amp;E, Owners Recreational Items</t>
  </si>
  <si>
    <t>Accounting, Title and Recording, Third Party Reports, Printing / Shipping</t>
  </si>
  <si>
    <t>Construction Interest Reserve, Lender Inspection Fees, Permanent Agency Fee... [More In Detail]</t>
  </si>
  <si>
    <t>Pasco County LGAO</t>
  </si>
  <si>
    <t>Pasco County</t>
  </si>
  <si>
    <t>2023-041C</t>
  </si>
  <si>
    <t>2022-053C</t>
  </si>
  <si>
    <t>COO of MHP Sarasota I SLP, LLC, SLP of Applicant</t>
  </si>
  <si>
    <t>2024-131C</t>
  </si>
  <si>
    <t>Southward Village Phase 2, LP</t>
  </si>
  <si>
    <t>Fort Myers Developer, LLC</t>
  </si>
  <si>
    <t>Southwest Florida Affordable Development, LLC</t>
  </si>
  <si>
    <t>Vincent R Bennett</t>
  </si>
  <si>
    <t>Hayes Valley (North)</t>
  </si>
  <si>
    <t>San Francisco, CA</t>
  </si>
  <si>
    <t>The indicated units meet the minimum RFA requirement of 53 units (50% x 105... [More In Detail]</t>
  </si>
  <si>
    <t>Foote Park at South City II</t>
  </si>
  <si>
    <t>Preservation Square I</t>
  </si>
  <si>
    <t>St. Louis, MO</t>
  </si>
  <si>
    <t>Nargang</t>
  </si>
  <si>
    <t>McCormack Baron Management, Inc</t>
  </si>
  <si>
    <t>100 N. Broadway, Suite 100</t>
  </si>
  <si>
    <t>St. Louis</t>
  </si>
  <si>
    <t>MO</t>
  </si>
  <si>
    <t>314335-2874</t>
  </si>
  <si>
    <t>david.nargang@mccormackbaron.com</t>
  </si>
  <si>
    <t>6 North</t>
  </si>
  <si>
    <t>The indicated units meet the minimum requirement (50% x 105 = 53). The mini... [More In Detail]</t>
  </si>
  <si>
    <t>Allen Market Lane</t>
  </si>
  <si>
    <t>Vincent</t>
  </si>
  <si>
    <t>Bennett</t>
  </si>
  <si>
    <t>314327-5382</t>
  </si>
  <si>
    <t>vince.bennett@mccormackbaron.com</t>
  </si>
  <si>
    <t>Sandra</t>
  </si>
  <si>
    <t>Seals</t>
  </si>
  <si>
    <t>McCormack Baron Salazar, Inc</t>
  </si>
  <si>
    <t>(314) 425-8970</t>
  </si>
  <si>
    <t>sandra.seals@mccormackbaron.com</t>
  </si>
  <si>
    <t>Southward Village CNI Phase 2</t>
  </si>
  <si>
    <t>Edison Ave, SW of the intersection of Edison Ave and Wright St; Edison Ave,... [More In Detail]</t>
  </si>
  <si>
    <t>SS1: 26.633394, -81.849449; SS2: 26.632618, -81.849191; SS3: 26.632615, -81... [More In Detail]</t>
  </si>
  <si>
    <t>Housing Authority of the City of Fort Myers</t>
  </si>
  <si>
    <t>There will be no Off-Site work.</t>
  </si>
  <si>
    <t>Title &amp; Recording $135,000; Lease-up $365,000; Environmental, Property &amp; Ge... [More In Detail]</t>
  </si>
  <si>
    <t>City of Fort Myers</t>
  </si>
  <si>
    <t>2023-039C</t>
  </si>
  <si>
    <t>ED of the Manager of the GP of Applicant</t>
  </si>
  <si>
    <t>2024-132C</t>
  </si>
  <si>
    <t>Enclave at Endeavor, LP</t>
  </si>
  <si>
    <t>Royal American Properties, LLC</t>
  </si>
  <si>
    <t>Jeannette B. Chapman</t>
  </si>
  <si>
    <t>Holly Point Apartments</t>
  </si>
  <si>
    <t>The San Juan</t>
  </si>
  <si>
    <t>The Jasmine</t>
  </si>
  <si>
    <t>Royal American Management, Inc</t>
  </si>
  <si>
    <t>1022 West 23rd Street, Suite 300</t>
  </si>
  <si>
    <t>850769-8981</t>
  </si>
  <si>
    <t>Goodbread Hills</t>
  </si>
  <si>
    <t>Tallahassee, FL</t>
  </si>
  <si>
    <t>Chapman, IV</t>
  </si>
  <si>
    <t>Waddell Plantation, Inc</t>
  </si>
  <si>
    <t>joey.chapman@royalamerican.com</t>
  </si>
  <si>
    <t>Boyd</t>
  </si>
  <si>
    <t xml:space="preserve">Royal American Development </t>
  </si>
  <si>
    <t xml:space="preserve">Panama City </t>
  </si>
  <si>
    <t>jim.boyd@royalamerican.com</t>
  </si>
  <si>
    <t>Pasco Pointe</t>
  </si>
  <si>
    <t>Approximately 75' southwest of the intersection between Old San Ann Road a... [More In Detail]</t>
  </si>
  <si>
    <t xml:space="preserve">Save A Lot </t>
  </si>
  <si>
    <t>12860 US-301 #5, Dade City, FL 33525</t>
  </si>
  <si>
    <t>36850 County Road 52, Dade City, FL 33525</t>
  </si>
  <si>
    <t>Joseph F Chapman, IV</t>
  </si>
  <si>
    <t>Vice President Waddell Plantation, Inc</t>
  </si>
  <si>
    <t>2024-133C</t>
  </si>
  <si>
    <t>Crystalwood Preservation, LP</t>
  </si>
  <si>
    <t>Williston Pointe</t>
  </si>
  <si>
    <t>Approximately 800' southwest of SW 25th Terrace on the south side of SW Wi... [More In Detail]</t>
  </si>
  <si>
    <t>Publix Supermarket at Williston Plaza</t>
  </si>
  <si>
    <t>5200 SW 34th Street, Gainesville, FL 32608</t>
  </si>
  <si>
    <t>Publix Pharmacy at Williston Plaza</t>
  </si>
  <si>
    <t>Idylwild Elementary School</t>
  </si>
  <si>
    <t>4601 SW 20th Terrace, Gainesville, FL 32608</t>
  </si>
  <si>
    <t>2024-134C</t>
  </si>
  <si>
    <t>Lake Sumter Reserve II Partners, Ltd.</t>
  </si>
  <si>
    <t>The indicated units meet the minimum RFA requirement of 42 units (50% x 83)... [More In Detail]</t>
  </si>
  <si>
    <t>The indicated units meet the minimum requirement (50% x 83 = 42). The minim... [More In Detail]</t>
  </si>
  <si>
    <t>Lake Sumter Reserve - Phase II</t>
  </si>
  <si>
    <t>Sumter</t>
  </si>
  <si>
    <t>Northwest corner of the intersection of C.R. 100 and N.E. 108th Place, Unin... [More In Detail]</t>
  </si>
  <si>
    <t>Unincorporated Sumter County</t>
  </si>
  <si>
    <t>820 Old Campe Road, The Villages, FL 32162</t>
  </si>
  <si>
    <t>Lady Lake Family Medicine</t>
  </si>
  <si>
    <t>The given Census Tract Number and Sumter County are in the GAO listing, but... [More In Detail]</t>
  </si>
  <si>
    <t>Sumter County is in the GAO Listing, but the given QCT is NOT.</t>
  </si>
  <si>
    <t>Sumter County LGAO Loan</t>
  </si>
  <si>
    <t>Sumter County</t>
  </si>
  <si>
    <t>Executive Vice President of Sole Member/Manager of General Partner</t>
  </si>
  <si>
    <t>2024-135C</t>
  </si>
  <si>
    <t>0.04 mi</t>
  </si>
  <si>
    <t>0.070 mi</t>
  </si>
  <si>
    <t>RST The Fountains at Hidden Lake, LP</t>
  </si>
  <si>
    <t>The Fountains</t>
  </si>
  <si>
    <t>Southeast Corner of Grand Blvd. and FL-54, Unincorporated Pasco County</t>
  </si>
  <si>
    <t>New Port Richey</t>
  </si>
  <si>
    <t>6033 FL-54, New Port Richey, FL 34653</t>
  </si>
  <si>
    <t>Medlink Pharmacy</t>
  </si>
  <si>
    <t>Anclote Elementary</t>
  </si>
  <si>
    <t>3610 Madison St, Elfers, FL 34652</t>
  </si>
  <si>
    <t>2024-136C</t>
  </si>
  <si>
    <t>RST Mallard Bay, L.P.</t>
  </si>
  <si>
    <t>Mallard Bay</t>
  </si>
  <si>
    <t>Southeast Quadrant of US Highway 27 South and West Hal McRae Blvd, Avon Par... [More In Detail]</t>
  </si>
  <si>
    <t>1020 US Hwy 27 S, Avon Park, FL 33825</t>
  </si>
  <si>
    <t>Avon Park Middle</t>
  </si>
  <si>
    <t>401 S Lake Ave, Avon Park, FL 33825</t>
  </si>
  <si>
    <t>The given Census Tract Number is a GAO Census Tract in Highlands County.</t>
  </si>
  <si>
    <t>Highlands County is in the GAO Listing, but the given QCT is NOT.</t>
  </si>
  <si>
    <t>Excel RFA Number</t>
  </si>
  <si>
    <t>ExhibitA IssueDate</t>
  </si>
  <si>
    <t>DevExp MinDevs List Score</t>
  </si>
  <si>
    <t>DevExp MinDevs List Count</t>
  </si>
  <si>
    <t>DevExp DevsWithSinceDate Score</t>
  </si>
  <si>
    <t>DevExp DevsWithSinceDate Count</t>
  </si>
  <si>
    <t>DevExp PrgmMinDevs Score</t>
  </si>
  <si>
    <t>DevExp PrgmMinDevs Count</t>
  </si>
  <si>
    <t>DevExp MinUnits Score</t>
  </si>
  <si>
    <t>DevExp MinUnits Count</t>
  </si>
  <si>
    <t>GCExp MinDevs List Score</t>
  </si>
  <si>
    <t>GCExp MinDevs List Count</t>
  </si>
  <si>
    <t>GCExp MinUnits Percent Score</t>
  </si>
  <si>
    <t>GCExp MinUnits Percent Count</t>
  </si>
  <si>
    <t>GCExp MinDevs DB Score</t>
  </si>
  <si>
    <t>GCExp MinDevs DB Count</t>
  </si>
  <si>
    <t>MgmtExp MinDevs List Score</t>
  </si>
  <si>
    <t>MgmtExp MinDevs List Count</t>
  </si>
  <si>
    <t>MgmtExp MinDevs time Score</t>
  </si>
  <si>
    <t>MgmtExp MinDevs time Count</t>
  </si>
  <si>
    <t>MgmtExp MinUnits Score</t>
  </si>
  <si>
    <t>MgmtExp MinUnits Count</t>
  </si>
  <si>
    <t>RA Level</t>
  </si>
  <si>
    <t>Calc BusStop1</t>
  </si>
  <si>
    <t>Calc BusStop2</t>
  </si>
  <si>
    <t>Calc BusStop3</t>
  </si>
  <si>
    <t>Calc BusTransfer</t>
  </si>
  <si>
    <t>Calc BusRapid</t>
  </si>
  <si>
    <t>Calc Rail</t>
  </si>
  <si>
    <t>number of PBS</t>
  </si>
  <si>
    <t>Greatest distance for PBS</t>
  </si>
  <si>
    <t>Is HC ELI at least 30Percent</t>
  </si>
  <si>
    <t>What Is HC ELI commitment</t>
  </si>
  <si>
    <t>Mand dist 30PercentELI</t>
  </si>
  <si>
    <t>UnitMix Score Response</t>
  </si>
  <si>
    <t>Multiphase subsequent qualified</t>
  </si>
  <si>
    <t>Small Area DDA qualified</t>
  </si>
  <si>
    <t>DDA nonmetro qualified</t>
  </si>
  <si>
    <t>QCT qualified</t>
  </si>
  <si>
    <t>Geo Area of Opp boost qualified</t>
  </si>
  <si>
    <t>Urban Center Area of Opp boost qualified</t>
  </si>
  <si>
    <t>LGAO Number qualified</t>
  </si>
  <si>
    <t>PHA Area of Opp boost qualified</t>
  </si>
  <si>
    <t>LGC Points Earned</t>
  </si>
  <si>
    <t>LGC Points Min Amt</t>
  </si>
  <si>
    <t>LGAO Min Amt</t>
  </si>
  <si>
    <t>NR Required GI</t>
  </si>
  <si>
    <t>NR Optional GI</t>
  </si>
  <si>
    <t>NR Required PDI</t>
  </si>
  <si>
    <t>NR Optional PDI</t>
  </si>
  <si>
    <t>NR Required DL</t>
  </si>
  <si>
    <t>NR Optional DL</t>
  </si>
  <si>
    <t>NR Required Prox</t>
  </si>
  <si>
    <t>NR Optional Prox</t>
  </si>
  <si>
    <t>NR Required USAB</t>
  </si>
  <si>
    <t>NR Optional USAB</t>
  </si>
  <si>
    <t>NR Required CF</t>
  </si>
  <si>
    <t>NR Optional CF</t>
  </si>
  <si>
    <t>NR Required Serv</t>
  </si>
  <si>
    <t>NR Optional Serv</t>
  </si>
  <si>
    <t>NR Required RP</t>
  </si>
  <si>
    <t>NR Optional RP</t>
  </si>
  <si>
    <t>NR Required Fund</t>
  </si>
  <si>
    <t>NR Optional Fund</t>
  </si>
  <si>
    <t>NR Required HOME</t>
  </si>
  <si>
    <t>NR Optional HOME</t>
  </si>
  <si>
    <t>NHTF Total Units Funded</t>
  </si>
  <si>
    <t>FLJobs Score</t>
  </si>
  <si>
    <t>Track Funding</t>
  </si>
  <si>
    <t>Esc Factor</t>
  </si>
  <si>
    <t>TB FL JobCreat Pref Met</t>
  </si>
  <si>
    <t>TB Corp Fund PSAU</t>
  </si>
  <si>
    <t>ExcelCheckBox LessThan80</t>
  </si>
  <si>
    <t>ExcelCheckBox AtLeast80</t>
  </si>
  <si>
    <t>ExcelCheckBox DC Impaired</t>
  </si>
  <si>
    <t>ExcelCheckBox SSI</t>
  </si>
  <si>
    <t>ExcelCheckBox DC Not Impaired</t>
  </si>
  <si>
    <t>ExcelCheckBox YouthAgingOut</t>
  </si>
  <si>
    <t>ExcelCheckBox Survivors</t>
  </si>
  <si>
    <t>Name Of Applicant</t>
  </si>
  <si>
    <t>NonProfit Applicant</t>
  </si>
  <si>
    <t>Name Of Developer 1</t>
  </si>
  <si>
    <t>Name Of Developer 2</t>
  </si>
  <si>
    <t>Name Of Developer 3</t>
  </si>
  <si>
    <t>DevExp Natural Person Meets</t>
  </si>
  <si>
    <t>DevExp natural person</t>
  </si>
  <si>
    <t>DevExp natural person entity</t>
  </si>
  <si>
    <t>DevExp first Dev name</t>
  </si>
  <si>
    <t>DevExp first Dev location</t>
  </si>
  <si>
    <t>DevExp first Dev program</t>
  </si>
  <si>
    <t>DevExp first Other program</t>
  </si>
  <si>
    <t>DevExp first Dev units</t>
  </si>
  <si>
    <t>Comment DevExp first Dev units</t>
  </si>
  <si>
    <t>DevExp first Dev year</t>
  </si>
  <si>
    <t>Comment DevExp first Dev year</t>
  </si>
  <si>
    <t>Comment DevExp first Dev complete</t>
  </si>
  <si>
    <t>DevExp second Dev name</t>
  </si>
  <si>
    <t>DevExp second Dev location</t>
  </si>
  <si>
    <t>DevExp second Dev program</t>
  </si>
  <si>
    <t>DevExp second Other program</t>
  </si>
  <si>
    <t>DevExp second Dev units</t>
  </si>
  <si>
    <t>Comment DevExp second Dev units</t>
  </si>
  <si>
    <t>DevExp second Dev year</t>
  </si>
  <si>
    <t>Comment DevExp second Dev year</t>
  </si>
  <si>
    <t>Comment DevExp second Dev complete</t>
  </si>
  <si>
    <t>DevExp third Dev name</t>
  </si>
  <si>
    <t>DevExp third Dev location</t>
  </si>
  <si>
    <t>DevExp third Dev program</t>
  </si>
  <si>
    <t>DevExp third Other program</t>
  </si>
  <si>
    <t>DevExp third Dev units</t>
  </si>
  <si>
    <t>Comment DevExp third Dev units</t>
  </si>
  <si>
    <t>DevExp third Dev year</t>
  </si>
  <si>
    <t>Comment DevExp third Dev year</t>
  </si>
  <si>
    <t>Comment DevExp third Dev complete</t>
  </si>
  <si>
    <t>Priority Level</t>
  </si>
  <si>
    <t>MgmtExp Contact First Name</t>
  </si>
  <si>
    <t>MgmtExp Contact Middle Initial</t>
  </si>
  <si>
    <t>MgmtExp Contact Last Name</t>
  </si>
  <si>
    <t>Name of Mgmt Co</t>
  </si>
  <si>
    <t>Mgmt InputTracking</t>
  </si>
  <si>
    <t>MgmtExp Address</t>
  </si>
  <si>
    <t>MgmtExp City</t>
  </si>
  <si>
    <t>MgmtExp State</t>
  </si>
  <si>
    <t>MgmtExp Zip Code</t>
  </si>
  <si>
    <t>MgmtExp Phone</t>
  </si>
  <si>
    <t>MgmtExp Phone ext</t>
  </si>
  <si>
    <t>MgmtExp Email</t>
  </si>
  <si>
    <t>MgmtExp Experienced entity</t>
  </si>
  <si>
    <t>MgmtExp first Dev name</t>
  </si>
  <si>
    <t>MgmtExp first location</t>
  </si>
  <si>
    <t>MgmtExp first currently or formerly managed</t>
  </si>
  <si>
    <t>MgmtExp first units</t>
  </si>
  <si>
    <t>Comment MgmtExp first units</t>
  </si>
  <si>
    <t>MgmtExp first time</t>
  </si>
  <si>
    <t>Comment MgmtExp first time</t>
  </si>
  <si>
    <t>Comment MgmtExp first complete</t>
  </si>
  <si>
    <t>MgmtExp second Dev name</t>
  </si>
  <si>
    <t>MgmtExp second location</t>
  </si>
  <si>
    <t>MgmtExp second currently or formerly managed</t>
  </si>
  <si>
    <t>MgmtExp second units</t>
  </si>
  <si>
    <t>Comment MgmtExp second units</t>
  </si>
  <si>
    <t>MgmtExp second time</t>
  </si>
  <si>
    <t>Comment MgmtExp second time</t>
  </si>
  <si>
    <t>Comment MgmtExp second complete</t>
  </si>
  <si>
    <t>Authorized Contact First Name</t>
  </si>
  <si>
    <t>Authorized Contact Middle Initial</t>
  </si>
  <si>
    <t>Authorized Contact Last Name</t>
  </si>
  <si>
    <t>Company Of Authorized Contact Person</t>
  </si>
  <si>
    <t>Authorized Contact Address</t>
  </si>
  <si>
    <t>Authorized Contact City</t>
  </si>
  <si>
    <t>Authorized Contact State</t>
  </si>
  <si>
    <t>Authorized Contact Zip</t>
  </si>
  <si>
    <t>Authorized Contact Phone</t>
  </si>
  <si>
    <t>Authorized Contact Phone Ext</t>
  </si>
  <si>
    <t>Authorized Contact EMail</t>
  </si>
  <si>
    <t>Operational Contact First Name</t>
  </si>
  <si>
    <t>Operational Contact Middle Initial</t>
  </si>
  <si>
    <t>Operational Contact Last Name</t>
  </si>
  <si>
    <t>Company Of Operational Contact Person</t>
  </si>
  <si>
    <t>Operational Contact Address</t>
  </si>
  <si>
    <t>Operational Contact City</t>
  </si>
  <si>
    <t>Operational Contact State</t>
  </si>
  <si>
    <t>Operational Contact Zip Code</t>
  </si>
  <si>
    <t>Operational Contact Phone</t>
  </si>
  <si>
    <t>Operational Contact Phone Ext</t>
  </si>
  <si>
    <t>Operational Contact EMail</t>
  </si>
  <si>
    <t>Name of proposed Development</t>
  </si>
  <si>
    <t>Development Category</t>
  </si>
  <si>
    <t>Development SubCategory</t>
  </si>
  <si>
    <t>DevCat Test Units</t>
  </si>
  <si>
    <t>ExcelCheckBox DevCat CorpPortfolio</t>
  </si>
  <si>
    <t>ExcelCheckBox DevCat RDPortfolio</t>
  </si>
  <si>
    <t>DevCat Qualifications Met</t>
  </si>
  <si>
    <t>Total RA Units Currently</t>
  </si>
  <si>
    <t>Total RA Units Future</t>
  </si>
  <si>
    <t>Total Percent RA Units Currently</t>
  </si>
  <si>
    <t>Total Percent RA Units Future</t>
  </si>
  <si>
    <t>Comment RA Level</t>
  </si>
  <si>
    <t>DevCat Preference met</t>
  </si>
  <si>
    <t>DevType met</t>
  </si>
  <si>
    <t>Garden ESS NC units</t>
  </si>
  <si>
    <t>All NC Units</t>
  </si>
  <si>
    <t>Garden NonESS NC units</t>
  </si>
  <si>
    <t>MR ESS NC units</t>
  </si>
  <si>
    <t>MR NonESS NC units</t>
  </si>
  <si>
    <t>Other ESS NC units</t>
  </si>
  <si>
    <t>total units in unit desc chart</t>
  </si>
  <si>
    <t>County Size</t>
  </si>
  <si>
    <t>Development Location</t>
  </si>
  <si>
    <t>Development Location  City</t>
  </si>
  <si>
    <t>Scattered Sites</t>
  </si>
  <si>
    <t>DLP latitude</t>
  </si>
  <si>
    <t>DLP longitude</t>
  </si>
  <si>
    <t>Scattered Sites latlong</t>
  </si>
  <si>
    <t>LDA Selection Location</t>
  </si>
  <si>
    <t>PHA Prox boost</t>
  </si>
  <si>
    <t>Boost Points</t>
  </si>
  <si>
    <t>RD Prox boost</t>
  </si>
  <si>
    <t>Private Transportation</t>
  </si>
  <si>
    <t>Transit Private points</t>
  </si>
  <si>
    <t>Transit PBS1 lat</t>
  </si>
  <si>
    <t>Transit PBS1 long</t>
  </si>
  <si>
    <t>Transit PBS1 distance</t>
  </si>
  <si>
    <t>Transit PBS points</t>
  </si>
  <si>
    <t>Transit PBS2 lat</t>
  </si>
  <si>
    <t>Transit PBS2 long</t>
  </si>
  <si>
    <t>Transit PBS2 distance</t>
  </si>
  <si>
    <t>Transit PBS3 lat</t>
  </si>
  <si>
    <t>Transit PBS3 long</t>
  </si>
  <si>
    <t>Transit PBS3 distance</t>
  </si>
  <si>
    <t>Transit BTS lat</t>
  </si>
  <si>
    <t>Transit BTS long</t>
  </si>
  <si>
    <t>Transit BTS distance</t>
  </si>
  <si>
    <t>Transit BTS points</t>
  </si>
  <si>
    <t>Transit Rail lat</t>
  </si>
  <si>
    <t>Transit Rail long</t>
  </si>
  <si>
    <t>Transit Rail distance</t>
  </si>
  <si>
    <t>Transit Rail points</t>
  </si>
  <si>
    <t>One type of transit</t>
  </si>
  <si>
    <t>SunRail Goal</t>
  </si>
  <si>
    <t>SunRail Name</t>
  </si>
  <si>
    <t>Grocery Name</t>
  </si>
  <si>
    <t>Grocery Address</t>
  </si>
  <si>
    <t>Grocery Distance</t>
  </si>
  <si>
    <t>Grocery points</t>
  </si>
  <si>
    <t>Medical Name</t>
  </si>
  <si>
    <t>Medical Address</t>
  </si>
  <si>
    <t>Medical Distance</t>
  </si>
  <si>
    <t>Medical points</t>
  </si>
  <si>
    <t>Pharmacy Name</t>
  </si>
  <si>
    <t>Pharmacy Address</t>
  </si>
  <si>
    <t>Pharmacy Distance</t>
  </si>
  <si>
    <t>Pharmacy points</t>
  </si>
  <si>
    <t>School Name</t>
  </si>
  <si>
    <t>School Address</t>
  </si>
  <si>
    <t>School Distance</t>
  </si>
  <si>
    <t>School points</t>
  </si>
  <si>
    <t>Mand distance</t>
  </si>
  <si>
    <t>Proximity list related</t>
  </si>
  <si>
    <t>Prox List Related Disregard 1</t>
  </si>
  <si>
    <t>LDA Selection Proximity</t>
  </si>
  <si>
    <t>RECAP Except 2</t>
  </si>
  <si>
    <t>UrbanCenter Tier</t>
  </si>
  <si>
    <t>transit points achieved</t>
  </si>
  <si>
    <t>community service points achieved</t>
  </si>
  <si>
    <t>PHA or RD points achieved</t>
  </si>
  <si>
    <t>total proximity points achieved</t>
  </si>
  <si>
    <t>LGAO Designation Prox Score</t>
  </si>
  <si>
    <t>SunRail Prox Score</t>
  </si>
  <si>
    <t>LGAO Revite Prox Score</t>
  </si>
  <si>
    <t>Urban Metro Prox Score</t>
  </si>
  <si>
    <t>transit points min met</t>
  </si>
  <si>
    <t>total proximity points min met</t>
  </si>
  <si>
    <t>total proximity points pref met</t>
  </si>
  <si>
    <t>total proximity points without boost</t>
  </si>
  <si>
    <t>Total Units</t>
  </si>
  <si>
    <t>Min and max units met</t>
  </si>
  <si>
    <t>Minimum SetAside per Sec 42</t>
  </si>
  <si>
    <t>thirtythree AMI HC</t>
  </si>
  <si>
    <t>thirtyfive AMI HC</t>
  </si>
  <si>
    <t>forty AMI HC</t>
  </si>
  <si>
    <t>fifty AMI HC</t>
  </si>
  <si>
    <t>sixty AMI HC</t>
  </si>
  <si>
    <t>Workforce AMI non avg inc</t>
  </si>
  <si>
    <t>total HC units NonAIT</t>
  </si>
  <si>
    <t>NonAIT HC SA Percent</t>
  </si>
  <si>
    <t>total units in setaside chart</t>
  </si>
  <si>
    <t>pct units in setaside chart</t>
  </si>
  <si>
    <t>thirty AMI Avg Income Units</t>
  </si>
  <si>
    <t>forty AMI Avg Income Units</t>
  </si>
  <si>
    <t>fifty AMI Avg Income Units</t>
  </si>
  <si>
    <t>sixty AMI Avg Income Units</t>
  </si>
  <si>
    <t>seventy AMI Avg Income Units</t>
  </si>
  <si>
    <t>eighty AMI Avg Income Units</t>
  </si>
  <si>
    <t>Market  Avg Income Units</t>
  </si>
  <si>
    <t>Workforce Avg Income Units</t>
  </si>
  <si>
    <t>total HC units avg inc</t>
  </si>
  <si>
    <t>AIT HC SA Percent</t>
  </si>
  <si>
    <t>Total AIT Chart Units</t>
  </si>
  <si>
    <t>avg AMI HC Units in avg inc chart</t>
  </si>
  <si>
    <t>Total Gap Chart Units</t>
  </si>
  <si>
    <t>Zero Bed One Bath Total Units</t>
  </si>
  <si>
    <t>One Bed One Bath Total Units</t>
  </si>
  <si>
    <t>Two Bed One Bath Total Units</t>
  </si>
  <si>
    <t>Two Bed One and half Bath Total Units</t>
  </si>
  <si>
    <t>Two Bed Two Bath Total Units</t>
  </si>
  <si>
    <t>Three Bed Two Bath Total Units</t>
  </si>
  <si>
    <t>Three Bed Two and half Bath Total Units</t>
  </si>
  <si>
    <t>Four Bed Two and half Bath Total Units</t>
  </si>
  <si>
    <t>Four Bed Three Bath Total Units</t>
  </si>
  <si>
    <t>Comment UnitMix NumberOfUnits</t>
  </si>
  <si>
    <t>Comment UnitMix 3Bedroom</t>
  </si>
  <si>
    <t>Comment UnitMix MaxBedroom</t>
  </si>
  <si>
    <t>residential buildings</t>
  </si>
  <si>
    <t>Compliance Period</t>
  </si>
  <si>
    <t>SS Waive the Option</t>
  </si>
  <si>
    <t>Green cert</t>
  </si>
  <si>
    <t>ExcelCheckbox thermostat</t>
  </si>
  <si>
    <t>ExcelCheckbox Humidistat</t>
  </si>
  <si>
    <t>ExcelCheckbox dual flush</t>
  </si>
  <si>
    <t>ExcelCheckbox light pavement</t>
  </si>
  <si>
    <t>ExcelCheckbox ES roof coating</t>
  </si>
  <si>
    <t>ExcelCheckbox ES roof materials</t>
  </si>
  <si>
    <t>ExcelCheckbox cabinets</t>
  </si>
  <si>
    <t>ExcelCheckbox flooring</t>
  </si>
  <si>
    <t>ExcelCheckbox SEER for AC</t>
  </si>
  <si>
    <t>ExcelCheckbox windows</t>
  </si>
  <si>
    <t>ExcelCheckbox Yards</t>
  </si>
  <si>
    <t>ExcelCheckbox sensors</t>
  </si>
  <si>
    <t>Green total points</t>
  </si>
  <si>
    <t>ExcelCheckbox Coordination Exp 3rd party</t>
  </si>
  <si>
    <t>ExcelCheckbox ExpApplicant</t>
  </si>
  <si>
    <t>Owner operator Exp total Dev units</t>
  </si>
  <si>
    <t>ExcelCheckbox After School</t>
  </si>
  <si>
    <t>ExcelCheckbox Literacy Family</t>
  </si>
  <si>
    <t>ExcelCheckbox Employment Assistance general</t>
  </si>
  <si>
    <t>ExcelCheckbox Family Support Coordinator</t>
  </si>
  <si>
    <t>ExcelCheckbox Financial Counseling</t>
  </si>
  <si>
    <t>ExcelCheckbox Homeownership seminar</t>
  </si>
  <si>
    <t>ExcelCheckbox Literacy Elderly</t>
  </si>
  <si>
    <t>ExcelCheckbox Computer Training</t>
  </si>
  <si>
    <t>ExcelCheckbox Daily Activities</t>
  </si>
  <si>
    <t>ExcelCheckbox Housekeeping</t>
  </si>
  <si>
    <t>ExcelCheckbox Resident checkin</t>
  </si>
  <si>
    <t>Max Workforce</t>
  </si>
  <si>
    <t>Eligible Workforce Request Amount</t>
  </si>
  <si>
    <t>Max SAIL</t>
  </si>
  <si>
    <t>Eligible SAIL Request Amount</t>
  </si>
  <si>
    <t>Max ELI</t>
  </si>
  <si>
    <t>Eligible ELI Request Amount</t>
  </si>
  <si>
    <t>Max RRLP Base 1</t>
  </si>
  <si>
    <t>Max RRLP Base 2</t>
  </si>
  <si>
    <t>Max RRLP Base</t>
  </si>
  <si>
    <t>Eligible RRLP Base Request Amount</t>
  </si>
  <si>
    <t>Max RRLP ELI</t>
  </si>
  <si>
    <t>Eligible RRLP ELI Request Amount</t>
  </si>
  <si>
    <t>Eligible RRLP Request Amount</t>
  </si>
  <si>
    <t>Total HOME Assisted Units</t>
  </si>
  <si>
    <t>Max HOME</t>
  </si>
  <si>
    <t>Eligible HOME Request Amount</t>
  </si>
  <si>
    <t>Miin HOME Assisted Units</t>
  </si>
  <si>
    <t>Low HOME Rent Units</t>
  </si>
  <si>
    <t>High HOME Rent Units</t>
  </si>
  <si>
    <t>Max ARP</t>
  </si>
  <si>
    <t>Eligible HOME ARP Request Amount</t>
  </si>
  <si>
    <t>Max Grant</t>
  </si>
  <si>
    <t>Eligible Grant Request Amount</t>
  </si>
  <si>
    <t>NHTF Funding Required Units</t>
  </si>
  <si>
    <t>NHTF Funding Additional Units</t>
  </si>
  <si>
    <t>NHTF Funding Combined Units</t>
  </si>
  <si>
    <t>Max NHTF</t>
  </si>
  <si>
    <t>Eligible NHTF Request Amount</t>
  </si>
  <si>
    <t>Max CDBG DR Land</t>
  </si>
  <si>
    <t>Eligible CDBG DR Land Request Amount</t>
  </si>
  <si>
    <t>Max CDBG DR Dev</t>
  </si>
  <si>
    <t>Eligible CDBG DR Dev Request Amount</t>
  </si>
  <si>
    <t>Max TBD</t>
  </si>
  <si>
    <t>Eligible TBD Request Amount</t>
  </si>
  <si>
    <t>Max Competitive HC</t>
  </si>
  <si>
    <t>Competitive HC Request Amount</t>
  </si>
  <si>
    <t>Eligible Competitive HC Request Amount</t>
  </si>
  <si>
    <t>Non Competitive HC Request Amount</t>
  </si>
  <si>
    <t>Multiphase firstphase</t>
  </si>
  <si>
    <t>Multiphase subsequent</t>
  </si>
  <si>
    <t>App number first phase</t>
  </si>
  <si>
    <t>Small Area DDA</t>
  </si>
  <si>
    <t>SADDA ZCTA 1</t>
  </si>
  <si>
    <t>Comment SADDA ZCTA 1</t>
  </si>
  <si>
    <t>DDA nonmetro</t>
  </si>
  <si>
    <t>DDA nonmetro name</t>
  </si>
  <si>
    <t>QCT metro or nonmetro</t>
  </si>
  <si>
    <t>QCT number</t>
  </si>
  <si>
    <t>Comment QCT number metro</t>
  </si>
  <si>
    <t>Geo Area of Opp boost</t>
  </si>
  <si>
    <t>Geo Area of Opp boost qualified comment</t>
  </si>
  <si>
    <t>GAO Number1</t>
  </si>
  <si>
    <t>Comment GAO Number1</t>
  </si>
  <si>
    <t>Comment GAO Number2</t>
  </si>
  <si>
    <t>Comment GAO Number3</t>
  </si>
  <si>
    <t>LGAO Number</t>
  </si>
  <si>
    <t>LGAO Number qualified Comment</t>
  </si>
  <si>
    <t>PHA Area of Opp boost</t>
  </si>
  <si>
    <t>GeoAofO SADDA Goal</t>
  </si>
  <si>
    <t>GeoAofO SADDA Goal EntireSite</t>
  </si>
  <si>
    <t>PLP File number</t>
  </si>
  <si>
    <t>PLP award amount</t>
  </si>
  <si>
    <t>ExcelCheckBox RD515</t>
  </si>
  <si>
    <t>ExcelCheckBox RD538</t>
  </si>
  <si>
    <t>SS Higher Percentage</t>
  </si>
  <si>
    <t>Total Cash Funding</t>
  </si>
  <si>
    <t>Total Cash Funding Min</t>
  </si>
  <si>
    <t>Total Cash Funding Met</t>
  </si>
  <si>
    <t>Qualified Fin Assist Pref Met</t>
  </si>
  <si>
    <t>HOME Match Source 1 Amount</t>
  </si>
  <si>
    <t>HOME Match Source 2 Amount</t>
  </si>
  <si>
    <t>HOME Match Source 3 Amount</t>
  </si>
  <si>
    <t>HOME Match Source 4 Amount</t>
  </si>
  <si>
    <t>HOME Match Source 5 Amount</t>
  </si>
  <si>
    <t>Total HOME Match</t>
  </si>
  <si>
    <t>Percent HOME Assisted Units</t>
  </si>
  <si>
    <t>Effective Total HOME Match</t>
  </si>
  <si>
    <t>Percentage HOME Match Funds</t>
  </si>
  <si>
    <t>PHA land lease</t>
  </si>
  <si>
    <t>PHA as Principal</t>
  </si>
  <si>
    <t>PHA Name</t>
  </si>
  <si>
    <t>Total Corp Funding</t>
  </si>
  <si>
    <t>Total Corp Funding PSAU</t>
  </si>
  <si>
    <t>Actual Demolition ineligible</t>
  </si>
  <si>
    <t>Actual Demolition total</t>
  </si>
  <si>
    <t>Actual NewConAct eligible</t>
  </si>
  <si>
    <t>Actual NewConAct ineligible</t>
  </si>
  <si>
    <t>Actual NewConAct total</t>
  </si>
  <si>
    <t>Actual site eligible</t>
  </si>
  <si>
    <t>Actual site ineligible</t>
  </si>
  <si>
    <t>Actual site total</t>
  </si>
  <si>
    <t>Actual Other eligible</t>
  </si>
  <si>
    <t>Actual Other ineligible</t>
  </si>
  <si>
    <t>Actual Other total</t>
  </si>
  <si>
    <t>Actual Constructioncost eligible</t>
  </si>
  <si>
    <t>Actual Constructioncost ineligible</t>
  </si>
  <si>
    <t>Actual Constructioncost total</t>
  </si>
  <si>
    <t>Actual GCfee eligible</t>
  </si>
  <si>
    <t>Actual GCfee ineligible</t>
  </si>
  <si>
    <t>Actual GCfee total</t>
  </si>
  <si>
    <t>GCF DollarMax</t>
  </si>
  <si>
    <t>Actual TotalConstructioncost eligible</t>
  </si>
  <si>
    <t>Actual TotalConstructioncost ineligible</t>
  </si>
  <si>
    <t>Actual TotalConstructioncost total</t>
  </si>
  <si>
    <t>Contingency Hard eligible</t>
  </si>
  <si>
    <t>Contingency Hard ineligible</t>
  </si>
  <si>
    <t>Contingency Hard total</t>
  </si>
  <si>
    <t>HCC DollarMax</t>
  </si>
  <si>
    <t>Prof Fees eligible</t>
  </si>
  <si>
    <t>Prof Fees ineligible</t>
  </si>
  <si>
    <t>Prof Fees total</t>
  </si>
  <si>
    <t>Insurances eligible</t>
  </si>
  <si>
    <t>Insurances ineligible</t>
  </si>
  <si>
    <t>Insurances total</t>
  </si>
  <si>
    <t>LG Fees Taxes eligible</t>
  </si>
  <si>
    <t>LG Fees Taxes ineligible</t>
  </si>
  <si>
    <t>LG Fees Taxes total</t>
  </si>
  <si>
    <t>FHFC Costs Fees Eligible</t>
  </si>
  <si>
    <t>FHFC Costs Fees Ineligible</t>
  </si>
  <si>
    <t>FHFC Costs Fees total</t>
  </si>
  <si>
    <t>General relocation eligible</t>
  </si>
  <si>
    <t>General relocation ineligible</t>
  </si>
  <si>
    <t>General relocation total</t>
  </si>
  <si>
    <t>General other eligible</t>
  </si>
  <si>
    <t>General other ineligible</t>
  </si>
  <si>
    <t>General other total</t>
  </si>
  <si>
    <t>General totaldevelopmentcost eligible</t>
  </si>
  <si>
    <t>General totaldevelopmentcost ineligible</t>
  </si>
  <si>
    <t>General totaldevelopmentcost total</t>
  </si>
  <si>
    <t>Contingency Soft eligible</t>
  </si>
  <si>
    <t>Contingency Soft ineligible</t>
  </si>
  <si>
    <t>Contingency Soft total</t>
  </si>
  <si>
    <t>SCC DollarMax</t>
  </si>
  <si>
    <t>Financial constr commitment eligible</t>
  </si>
  <si>
    <t>Financial constr commitment ineligible</t>
  </si>
  <si>
    <t>Financial constr commitment total</t>
  </si>
  <si>
    <t>Financial perm commitment ineligible</t>
  </si>
  <si>
    <t>Financial perm commitment total</t>
  </si>
  <si>
    <t>Financial other eligible</t>
  </si>
  <si>
    <t>Financial other ineligible</t>
  </si>
  <si>
    <t>Financial other total</t>
  </si>
  <si>
    <t>Financial total eligible</t>
  </si>
  <si>
    <t>Financial total ineligible</t>
  </si>
  <si>
    <t>Financial totalcosts total</t>
  </si>
  <si>
    <t>Building Acq elig</t>
  </si>
  <si>
    <t>Building Acq inelig</t>
  </si>
  <si>
    <t>Other eligible</t>
  </si>
  <si>
    <t>Other ineligible</t>
  </si>
  <si>
    <t>Development Cost eligible</t>
  </si>
  <si>
    <t>Development Cost ineligible</t>
  </si>
  <si>
    <t>Development Cost total</t>
  </si>
  <si>
    <t>Developer fee acq eligible</t>
  </si>
  <si>
    <t>Developer fee acq ineligible</t>
  </si>
  <si>
    <t>Developer fee acq total</t>
  </si>
  <si>
    <t>Dev Fee Max Acq</t>
  </si>
  <si>
    <t>Developer fee non acq eligible</t>
  </si>
  <si>
    <t>Developer fee non acq ineligible</t>
  </si>
  <si>
    <t>Developer fee non acq total</t>
  </si>
  <si>
    <t>Dev Fee Max Non Acq</t>
  </si>
  <si>
    <t>Dev Fee Max Demo</t>
  </si>
  <si>
    <t>Developer fee eligible</t>
  </si>
  <si>
    <t>Developer fee ineligible</t>
  </si>
  <si>
    <t>Developer fee total</t>
  </si>
  <si>
    <t>Dev Fee Max Total</t>
  </si>
  <si>
    <t>ODR ineligible</t>
  </si>
  <si>
    <t>ODR total</t>
  </si>
  <si>
    <t>ODR Max</t>
  </si>
  <si>
    <t>Land ineligible</t>
  </si>
  <si>
    <t>Land total</t>
  </si>
  <si>
    <t>TDC eligible</t>
  </si>
  <si>
    <t>TDC ineligible</t>
  </si>
  <si>
    <t>TDC total</t>
  </si>
  <si>
    <t>Description Actual offsite</t>
  </si>
  <si>
    <t>Description Actual other</t>
  </si>
  <si>
    <t>Description General other</t>
  </si>
  <si>
    <t>Description financial other</t>
  </si>
  <si>
    <t>Description acquisition other</t>
  </si>
  <si>
    <t>ConstrAnalysis  1st Mtg</t>
  </si>
  <si>
    <t>ConstrAnalysis  1st Type</t>
  </si>
  <si>
    <t>ConstrAnalysis  2nd Mtg</t>
  </si>
  <si>
    <t>ConstrAnalysis  2nd Type</t>
  </si>
  <si>
    <t>ConstrAnalysis  3rd Mtg</t>
  </si>
  <si>
    <t>ConstrAnalysis  3rd Type</t>
  </si>
  <si>
    <t>ConstrAnalysis  4th Mtg</t>
  </si>
  <si>
    <t>ConstrAnalysis  4th Type</t>
  </si>
  <si>
    <t>ConstrAnalysis  7th Type</t>
  </si>
  <si>
    <t>ConstrAnalysis  8th Type</t>
  </si>
  <si>
    <t>ConstrAnalysis  9th Type</t>
  </si>
  <si>
    <t>ConstrAnalysis 10th Type</t>
  </si>
  <si>
    <t>ConstrAnalysis HC</t>
  </si>
  <si>
    <t>ConstrAnalysis other1 title</t>
  </si>
  <si>
    <t>ConstrAnalysis other1</t>
  </si>
  <si>
    <t>ConstrAnalysis Other 1 Type</t>
  </si>
  <si>
    <t>ConstrAnalysis other2 title</t>
  </si>
  <si>
    <t>ConstrAnalysis other2</t>
  </si>
  <si>
    <t>ConstrAnalysis Other 2 Type</t>
  </si>
  <si>
    <t>ConstrAnalysis deferredfee</t>
  </si>
  <si>
    <t>ConstrAnalysis totalsources</t>
  </si>
  <si>
    <t>ConstrAnalysis surplus</t>
  </si>
  <si>
    <t>ConstrSource Use Ratio</t>
  </si>
  <si>
    <t>PermAnalysis  1st Mtg</t>
  </si>
  <si>
    <t>PermAnalysis  1st Type</t>
  </si>
  <si>
    <t>PermAnalysis  2nd Mtg</t>
  </si>
  <si>
    <t>PermAnalysis  2nd Type</t>
  </si>
  <si>
    <t>PermAnalysis  3rd Mtg</t>
  </si>
  <si>
    <t>PermAnalysis  3rd Type</t>
  </si>
  <si>
    <t>PermAnalysis  4th Mtg</t>
  </si>
  <si>
    <t>PermAnalysis  4th Type</t>
  </si>
  <si>
    <t>PermAnalysis  7th Type</t>
  </si>
  <si>
    <t>PermAnalysis  8th Type</t>
  </si>
  <si>
    <t>PermAnalysis  9th Type</t>
  </si>
  <si>
    <t>PermAnalysis 10th Type</t>
  </si>
  <si>
    <t>PermAnalysis HC</t>
  </si>
  <si>
    <t>PermAnalysis other1 title</t>
  </si>
  <si>
    <t>PermAnalysis other1</t>
  </si>
  <si>
    <t>PermAnalysis Other 1 Type</t>
  </si>
  <si>
    <t>PermAnalysis other2 title</t>
  </si>
  <si>
    <t>PermAnalysis other2</t>
  </si>
  <si>
    <t>PermAnalysis Other 2 Type</t>
  </si>
  <si>
    <t>PermAnalysis deferredfee</t>
  </si>
  <si>
    <t>PermAnalysis totalsources</t>
  </si>
  <si>
    <t>Total NonGrant Mtg</t>
  </si>
  <si>
    <t>PermAnalysis surplus</t>
  </si>
  <si>
    <t>PermSource Use Ratio</t>
  </si>
  <si>
    <t>Unit Count</t>
  </si>
  <si>
    <t>Hard Cost PU F</t>
  </si>
  <si>
    <t>Hard n Soft Costs</t>
  </si>
  <si>
    <t>Hard Soft Costs AOMult</t>
  </si>
  <si>
    <t>Maximum DevCost PU</t>
  </si>
  <si>
    <t>Maximum DevCost</t>
  </si>
  <si>
    <t>Escalated DF</t>
  </si>
  <si>
    <t>Build Cost Allo DF</t>
  </si>
  <si>
    <t>Max Tot DF</t>
  </si>
  <si>
    <t>Max TDC Component</t>
  </si>
  <si>
    <t>Net TDC</t>
  </si>
  <si>
    <t>Percent Credits Purchased</t>
  </si>
  <si>
    <t>Local govt contribution</t>
  </si>
  <si>
    <t>LGC Loan Face</t>
  </si>
  <si>
    <t>LGC Loan NPV</t>
  </si>
  <si>
    <t>LGC Loan ValueOfContribution</t>
  </si>
  <si>
    <t>LGC Grant Face</t>
  </si>
  <si>
    <t>LGC Grant ValueOfContribution</t>
  </si>
  <si>
    <t>LGC FW2 ValueOfContribution</t>
  </si>
  <si>
    <t>LGC FD ValueOfContribution</t>
  </si>
  <si>
    <t>LGC Total Face</t>
  </si>
  <si>
    <t>LGC Total NPV</t>
  </si>
  <si>
    <t>LGC Total ValueOfContribution</t>
  </si>
  <si>
    <t>LG Name1</t>
  </si>
  <si>
    <t>LG Name1 Type</t>
  </si>
  <si>
    <t>LG Name2</t>
  </si>
  <si>
    <t>LG Name2 Type</t>
  </si>
  <si>
    <t>LGAO Documentation</t>
  </si>
  <si>
    <t>ExcelCheckbox LGAO Revite</t>
  </si>
  <si>
    <t>LGAO Prior App Number 2YR</t>
  </si>
  <si>
    <t>ExcelCheckbox LGAO Continuous</t>
  </si>
  <si>
    <t>LGAO Prior App Number 1YR</t>
  </si>
  <si>
    <t>ExcelCheckbox LGAO NoPref</t>
  </si>
  <si>
    <t>ExcelCheckBox Goal 1</t>
  </si>
  <si>
    <t>ExcelCheckBox Goal 2</t>
  </si>
  <si>
    <t>ExcelCheckBox Goal 3</t>
  </si>
  <si>
    <t>Fee Pmt Information</t>
  </si>
  <si>
    <t>Addenda Comments</t>
  </si>
  <si>
    <t>Cert Signature</t>
  </si>
  <si>
    <t>Proper signature</t>
  </si>
  <si>
    <t>Cert Title of Signature</t>
  </si>
  <si>
    <t>HC Multiplier</t>
  </si>
  <si>
    <t>Broward</t>
  </si>
  <si>
    <t>PHA</t>
  </si>
  <si>
    <t>Dev Type</t>
  </si>
  <si>
    <t>Corp $</t>
  </si>
  <si>
    <t>NC HR</t>
  </si>
  <si>
    <t>NC Garden</t>
  </si>
  <si>
    <t>NC MR</t>
  </si>
  <si>
    <t>NC SF</t>
  </si>
  <si>
    <t>NC Other</t>
  </si>
  <si>
    <t>Corp $ SAU</t>
  </si>
  <si>
    <t>4% Boost</t>
  </si>
  <si>
    <t>ESSC</t>
  </si>
  <si>
    <t>B</t>
  </si>
  <si>
    <t>%A</t>
  </si>
  <si>
    <t>PHA-Y</t>
  </si>
  <si>
    <t>PHA-N</t>
  </si>
  <si>
    <t>Overall</t>
  </si>
  <si>
    <t>Total Bds</t>
  </si>
  <si>
    <t>Avg Bds</t>
  </si>
  <si>
    <t>Up To…</t>
  </si>
  <si>
    <t>Total Avg Bds</t>
  </si>
  <si>
    <t>Original</t>
  </si>
  <si>
    <t>Modified</t>
  </si>
  <si>
    <t>HR ESS NC units</t>
  </si>
  <si>
    <t>Transit PBRTS lat</t>
  </si>
  <si>
    <t>Transit PBRTS long</t>
  </si>
  <si>
    <t>Transit PBRTS distance</t>
  </si>
  <si>
    <t>Transit PBRTS points</t>
  </si>
  <si>
    <t>Actual Comm Retail ineligible</t>
  </si>
  <si>
    <t>Actual Comm Retail total</t>
  </si>
  <si>
    <t>LGC FW2 Face</t>
  </si>
  <si>
    <t>LGAO Designation</t>
  </si>
  <si>
    <t>Selected Goal</t>
  </si>
  <si>
    <t>LGAO Goal Number</t>
  </si>
  <si>
    <t>2024-156C</t>
  </si>
  <si>
    <t>RFA 2023-202</t>
  </si>
  <si>
    <t>0.55 mi</t>
  </si>
  <si>
    <t>0.547 mi</t>
  </si>
  <si>
    <t>Residences at Marina Village, LLC</t>
  </si>
  <si>
    <t>Residences at Marina Village Developer, LLC</t>
  </si>
  <si>
    <t>Alberto Milo, Jr.</t>
  </si>
  <si>
    <t>Georgian Gardens Apartments</t>
  </si>
  <si>
    <t>The indicated units meet the minimum RFA requirement of 60 units (50% x 120... [More In Detail]</t>
  </si>
  <si>
    <t>Liberty Square Phase One</t>
  </si>
  <si>
    <t>Miami, Florida</t>
  </si>
  <si>
    <t>Liberty Square Phase Two</t>
  </si>
  <si>
    <t>Priority I</t>
  </si>
  <si>
    <t>Marilyn</t>
  </si>
  <si>
    <t>Pascual</t>
  </si>
  <si>
    <t>TRG Management Company, LLLP</t>
  </si>
  <si>
    <t>2200 N. Commerce Parkway, Suite 100</t>
  </si>
  <si>
    <t>Weston</t>
  </si>
  <si>
    <t>(305) 442-8628</t>
  </si>
  <si>
    <t>mpascual@relatedgroup.com</t>
  </si>
  <si>
    <t>Smathers Preservation Phase One</t>
  </si>
  <si>
    <t>The indicated units meet the minimum requirement (50% x 120 = 60). The mini... [More In Detail]</t>
  </si>
  <si>
    <t>Golfside Villas Preservation</t>
  </si>
  <si>
    <t>Alberto</t>
  </si>
  <si>
    <t>Milo, Jr.</t>
  </si>
  <si>
    <t>2850 Tigertail Avenue, Suite 800</t>
  </si>
  <si>
    <t>(305) 460-9900</t>
  </si>
  <si>
    <t>amilo@relatedgroup.com</t>
  </si>
  <si>
    <t>Andrew</t>
  </si>
  <si>
    <t>Velo-Arias</t>
  </si>
  <si>
    <t>(305) 459-8176</t>
  </si>
  <si>
    <t>avelo@relatedgroup.com</t>
  </si>
  <si>
    <t>Residences at Marina Village</t>
  </si>
  <si>
    <t>High-Rise</t>
  </si>
  <si>
    <t>Palm Beach</t>
  </si>
  <si>
    <t>Large</t>
  </si>
  <si>
    <t>57 E 12TH ST RIVIERA BEACH, FL 33404</t>
  </si>
  <si>
    <t>Riviera Beach</t>
  </si>
  <si>
    <t>228 Blue Heron Blvd, Riviera Beach, FL 33404</t>
  </si>
  <si>
    <t>2501 Broadway, Riviera Beach, FL 33404</t>
  </si>
  <si>
    <t>West Riviera Elementary School</t>
  </si>
  <si>
    <t>1057 W. 6th St., Riviera Beach, FL 33404</t>
  </si>
  <si>
    <t>Minimum number of units of 75 is met. Maximum number of units of 160 is met... [More In Detail]</t>
  </si>
  <si>
    <t>No Off-Site Work</t>
  </si>
  <si>
    <t>$150,000 in FF&amp;E</t>
  </si>
  <si>
    <t>City of Riviera Beach / Riviera Beach CRA</t>
  </si>
  <si>
    <t>c. Local Government Area of Opportunity Designation Goal (Broward, Duval, H... [More In Detail]</t>
  </si>
  <si>
    <t>20230822F6B7021C000713</t>
  </si>
  <si>
    <t>Wire transfer in the amount of $3,000 with Fed Reference Number: 20230822F6... [More In Detail]</t>
  </si>
  <si>
    <t>2024-154C</t>
  </si>
  <si>
    <t>Pine Island Park LLC</t>
  </si>
  <si>
    <t>RS Development Corp</t>
  </si>
  <si>
    <t>Lewis V. Swezy</t>
  </si>
  <si>
    <t>Woodland Grove</t>
  </si>
  <si>
    <t>Unincorporated Miami-Dade County, FL</t>
  </si>
  <si>
    <t>Ocean Breeze East</t>
  </si>
  <si>
    <t>Boynton Beach, FL</t>
  </si>
  <si>
    <t>Redland Crossings</t>
  </si>
  <si>
    <t>Lewis</t>
  </si>
  <si>
    <t>V</t>
  </si>
  <si>
    <t>Swezy</t>
  </si>
  <si>
    <t>Centennial Management Corp</t>
  </si>
  <si>
    <t>7735 NW 146 Street, Suite 306</t>
  </si>
  <si>
    <t>Miami Lakes</t>
  </si>
  <si>
    <t>(305)821-0330</t>
  </si>
  <si>
    <t>lswezy@centennialmgt.com</t>
  </si>
  <si>
    <t>Lewis V. Swezy, Pres of Centennial Mgt Corp</t>
  </si>
  <si>
    <t>Miami Stadium Apartments</t>
  </si>
  <si>
    <t>La Joya Apartments</t>
  </si>
  <si>
    <t>Unincorporated Miami-Dade County</t>
  </si>
  <si>
    <t>Paul</t>
  </si>
  <si>
    <t>Bilton</t>
  </si>
  <si>
    <t>(786)399-4210</t>
  </si>
  <si>
    <t>pbilton@centennialmgt.com</t>
  </si>
  <si>
    <t>Pine Island Park</t>
  </si>
  <si>
    <t>On the South Side of NW 44 Street, about 350 feet east of NW 92 Way</t>
  </si>
  <si>
    <t>Sunrise</t>
  </si>
  <si>
    <t>10155 W Oakland Park Blvd, Sunrise, FL 33351</t>
  </si>
  <si>
    <t>Banyan Elementary School</t>
  </si>
  <si>
    <t>8800 NW 50 Street, Sunrise, FL 33351</t>
  </si>
  <si>
    <t>Minimum number of units of 75 is met. There is no maximum unit limit.</t>
  </si>
  <si>
    <t>The ZCTA is in the HUD 2023 database for Broward County.</t>
  </si>
  <si>
    <t>The given Census Tract Number is a GAO Census Tract in Broward County.</t>
  </si>
  <si>
    <t>Broward County is in the GAO Listing, but the given QCT is NOT.</t>
  </si>
  <si>
    <t>Payment and Performance Bond $180,000.  Other Insurance $48,000.</t>
  </si>
  <si>
    <t>Syndication Fees $40,000</t>
  </si>
  <si>
    <t>Broward County Contribution</t>
  </si>
  <si>
    <t>Broward County Grant</t>
  </si>
  <si>
    <t>Broward County</t>
  </si>
  <si>
    <t>b. Geographic Area of Opportunity / SADDA (Broward, Pinellas Counties)</t>
  </si>
  <si>
    <t>Check #5668</t>
  </si>
  <si>
    <t>Lewis V Swezy</t>
  </si>
  <si>
    <t>2024-159C</t>
  </si>
  <si>
    <t>Roseland Gardens Phase II, LLC</t>
  </si>
  <si>
    <t>SHAG Roseland Gardens Phase II Developer, LLC</t>
  </si>
  <si>
    <t>Magnolia Affordable Development, Inc.</t>
  </si>
  <si>
    <t>Campus Towers Apartments</t>
  </si>
  <si>
    <t>The indicated units meet the minimum RFA requirement of 62 units (50% x 124... [More In Detail]</t>
  </si>
  <si>
    <t>Linda</t>
  </si>
  <si>
    <t>Odum</t>
  </si>
  <si>
    <t>The West Palm Beach Housing Authority</t>
  </si>
  <si>
    <t>3700 Georgia Ave</t>
  </si>
  <si>
    <t>(561) 655-8530</t>
  </si>
  <si>
    <t>lodum@wpbha.org</t>
  </si>
  <si>
    <t>Paul Laurence Dunbar Senior Complex</t>
  </si>
  <si>
    <t>West Palm Beach, FL</t>
  </si>
  <si>
    <t>The indicated units meet the minimum requirement (50% x 124 = 62). The mini... [More In Detail]</t>
  </si>
  <si>
    <t>Royal Palm Place</t>
  </si>
  <si>
    <t>SHAG Roseland Gardens Phase II, LLC</t>
  </si>
  <si>
    <t>(561) 859-8520</t>
  </si>
  <si>
    <t>Henzy</t>
  </si>
  <si>
    <t>Smith &amp; Henzy Affordable Group, Inc.</t>
  </si>
  <si>
    <t>(631) 357-2411</t>
  </si>
  <si>
    <t>mhenzy@smithhenzy.com</t>
  </si>
  <si>
    <t>Roseland Gardens Phase II</t>
  </si>
  <si>
    <t>On Lake Avenue, 350 feet southeast of the intersection of Lake Avenue and R... [More In Detail]</t>
  </si>
  <si>
    <t>Publix Supermarket at Southdale</t>
  </si>
  <si>
    <t>828 Southern Blvd, West Palm Beach, FL 33405</t>
  </si>
  <si>
    <t>Conniston Middle School</t>
  </si>
  <si>
    <t>3630 Parker Ave, West Palm Beach, FL 33405</t>
  </si>
  <si>
    <t>The given Census Tract Number is a GAO Census Tract in Palm Beach County.</t>
  </si>
  <si>
    <t>Palm Beach County is in the GAO Listing, but the given QCT is NOT.</t>
  </si>
  <si>
    <t>Interest Costs: $2,435,373, Title: $262,500, FF&amp;E: 300,000, Marketing $124,... [More In Detail]</t>
  </si>
  <si>
    <t>The City of West Palm Beach</t>
  </si>
  <si>
    <t>Wire Reference Number: 0908B1QGC06C018032; Transaction Number:8014237898</t>
  </si>
  <si>
    <t>2024-143C</t>
  </si>
  <si>
    <t>0.70 mi</t>
  </si>
  <si>
    <t>0.710 mi</t>
  </si>
  <si>
    <t>MHP Broward II, LLC</t>
  </si>
  <si>
    <t xml:space="preserve">MHP Broward II Developer, LLC </t>
  </si>
  <si>
    <t>MHP Broward II Developer, LLC</t>
  </si>
  <si>
    <t>Viridian</t>
  </si>
  <si>
    <t xml:space="preserve">Bill </t>
  </si>
  <si>
    <t>786-584-8019</t>
  </si>
  <si>
    <t>Ekos Lauderhill</t>
  </si>
  <si>
    <t>South side of W. Commercial Blvd, East of the Intersection of Rev. Herron A... [More In Detail]</t>
  </si>
  <si>
    <t>Lauderhill</t>
  </si>
  <si>
    <t>Total Health Medical Centers</t>
  </si>
  <si>
    <t>7200 W Commercial Blvd Suite 205, Lauderhill, FL 33319</t>
  </si>
  <si>
    <t>5555 N. University Drive, Lauderhill, FL 33351</t>
  </si>
  <si>
    <t>Pinewood Elementary</t>
  </si>
  <si>
    <t>1600 SW 83rd Ave, North Lauderdale, FL 33068</t>
  </si>
  <si>
    <t>Owner FF&amp;E</t>
  </si>
  <si>
    <t>Legal Fees - Partnership &amp; Organizational, Title and Insurance, Property ta... [More In Detail]</t>
  </si>
  <si>
    <t>First Construction Loan Interest Reserve</t>
  </si>
  <si>
    <t>Fed Reference: 20230908MMQFMPRN005498</t>
  </si>
  <si>
    <t>COO of MHP Broward II Manager, LLC, Manager of Applicant</t>
  </si>
  <si>
    <t>2024-144C</t>
  </si>
  <si>
    <t>MHP Pinellas I, LLC</t>
  </si>
  <si>
    <t>MHP Pinellas I Developer, LLC</t>
  </si>
  <si>
    <t>Ekos on Pinellas</t>
  </si>
  <si>
    <t>Pinellas</t>
  </si>
  <si>
    <t>1150 S. Pinellas Ave., Tarpon Springs, FL</t>
  </si>
  <si>
    <t>Tarpon Springs</t>
  </si>
  <si>
    <t>1171 S Pinellas Ave. Tarpon Springs, FL 34689</t>
  </si>
  <si>
    <t>605 S Pinellas Ave, Tarpon Springs, FL 34689</t>
  </si>
  <si>
    <t>Tarpon Springs Fundamental</t>
  </si>
  <si>
    <t>400 E Harrison St, Tarpon Springs, FL 34689</t>
  </si>
  <si>
    <t>Minimum number of units of 50 is met. There is no maximum unit limit.</t>
  </si>
  <si>
    <t>The local government funding entered into the LGAO table does not meet the ... [More In Detail]</t>
  </si>
  <si>
    <t>First Construction Loan Interest, Lender / Investor Inspection Fees</t>
  </si>
  <si>
    <t>Pinellas County - LGC</t>
  </si>
  <si>
    <t>Pinellas County</t>
  </si>
  <si>
    <t>Fed Reference: 20230908MMQFMPRN005499</t>
  </si>
  <si>
    <t>COO of MHP Pinellas I Manager, LLC, Manager of Applicant</t>
  </si>
  <si>
    <t>2024-139C</t>
  </si>
  <si>
    <t>Cardinal Pointe, LLC</t>
  </si>
  <si>
    <t xml:space="preserve">Kissimmee, FL </t>
  </si>
  <si>
    <t>Melbourne, FL</t>
  </si>
  <si>
    <t>307270-0870</t>
  </si>
  <si>
    <t>Deion</t>
  </si>
  <si>
    <t>Lowery</t>
  </si>
  <si>
    <t>407341-2830</t>
  </si>
  <si>
    <t>deionlowery@yahoo.com</t>
  </si>
  <si>
    <t>Cardinal Pointe</t>
  </si>
  <si>
    <t>Orange</t>
  </si>
  <si>
    <t>Scattered Site 1:  Snyder Drive, approximately 762 feet east of the interse... [More In Detail]</t>
  </si>
  <si>
    <t>Unincorporated Orange County</t>
  </si>
  <si>
    <t>Scattered Site 2: 28.537225 -81.283894 Scattered Site 3: 28.536965 -81.2838... [More In Detail]</t>
  </si>
  <si>
    <t>702 S. Goldenrod Road Orlando, FL 32822</t>
  </si>
  <si>
    <t>UrgentMed Care</t>
  </si>
  <si>
    <t>716 S. Goldenrod Road Orlando, FL 32822</t>
  </si>
  <si>
    <t>Chickasaw Elementary School</t>
  </si>
  <si>
    <t>6900 Autumnvale Drive Orlando, FL 32822</t>
  </si>
  <si>
    <t>The ZCTA is in the HUD 2023 database for Orange County.</t>
  </si>
  <si>
    <t xml:space="preserve">Site Work only; No off-site Work </t>
  </si>
  <si>
    <t>FF&amp;E $125,000; Organizational Costs $5,000</t>
  </si>
  <si>
    <t>Orange County</t>
  </si>
  <si>
    <t>ACH Payment - Trace Number 063116500607703-705</t>
  </si>
  <si>
    <t>2024-153C</t>
  </si>
  <si>
    <t>0.01 mi</t>
  </si>
  <si>
    <t>0.02 mi</t>
  </si>
  <si>
    <t>0.37 mi</t>
  </si>
  <si>
    <t>0.370 mi</t>
  </si>
  <si>
    <t>Palm Lake Urban Santuary, LLLP</t>
  </si>
  <si>
    <t>PCHA Development, LLC</t>
  </si>
  <si>
    <t>PLCC Developer, LLC</t>
  </si>
  <si>
    <t>Largo, Florida</t>
  </si>
  <si>
    <t>1707 E. Beltline Rd. Suite 102</t>
  </si>
  <si>
    <t>(214) 496-0600</t>
  </si>
  <si>
    <t xml:space="preserve">Venetian Walk </t>
  </si>
  <si>
    <t>Venice, FL</t>
  </si>
  <si>
    <t>4144 N Armenia Ave, Suite 220</t>
  </si>
  <si>
    <t>813-608-4144</t>
  </si>
  <si>
    <t>Brian@newstar-development.com</t>
  </si>
  <si>
    <t>Justin@newstar-development.com</t>
  </si>
  <si>
    <t>Palm Lake Urban Sanctuary</t>
  </si>
  <si>
    <t>22nd Avenue N, NW of the intersection of 22nd Ave N and 53rd Street N. St. ... [More In Detail]</t>
  </si>
  <si>
    <t>1050 58th St N, St. Petersburg, FL 33710</t>
  </si>
  <si>
    <t>900 49th St N, St. Petersburg, FL 33710</t>
  </si>
  <si>
    <t>Northwest Elementary School</t>
  </si>
  <si>
    <t>5601 22nd Ave N, St. Petersburg, FL 33710</t>
  </si>
  <si>
    <t>The given Census Tract Number and Pinellas County are in the GAO listing, b... [More In Detail]</t>
  </si>
  <si>
    <t>Pinellas County is in the GAO Listing, but the given QCT is NOT.</t>
  </si>
  <si>
    <t>Pinellas County Housing Authority</t>
  </si>
  <si>
    <t>Marketing - $100,000</t>
  </si>
  <si>
    <t>City of St. Petersburg</t>
  </si>
  <si>
    <t>FRB Confirmation: 20230908B1B7SM1F001484 Originating Reference Number:  230... [More In Detail]</t>
  </si>
  <si>
    <t>2024-145C</t>
  </si>
  <si>
    <t xml:space="preserve">Gavin Point, Ltd. </t>
  </si>
  <si>
    <t>1649 Atlantic Blvd.</t>
  </si>
  <si>
    <t xml:space="preserve">Gavin Point </t>
  </si>
  <si>
    <t>Duval</t>
  </si>
  <si>
    <t>Charing Street, SE of the intersection of Charing Street and Salisbury Road</t>
  </si>
  <si>
    <t>The given Census Tract Number is a GAO Census Tract in Duval County.</t>
  </si>
  <si>
    <t>Duval County is in the GAO Listing, but the given QCT is NOT.</t>
  </si>
  <si>
    <t>FF&amp;E - $500,000; Land Extension Fee - $250,000</t>
  </si>
  <si>
    <t>City of Jacksonville</t>
  </si>
  <si>
    <t>TRN # 230905016844</t>
  </si>
  <si>
    <t>2024-146C</t>
  </si>
  <si>
    <t>0.220 mi</t>
  </si>
  <si>
    <t>Grand Oaks Apartments, LLLP</t>
  </si>
  <si>
    <t>Venetian Walk</t>
  </si>
  <si>
    <t>(813) 608-4144</t>
  </si>
  <si>
    <t>Grand Oaks</t>
  </si>
  <si>
    <t>134th Ave N, SE of the intersection of 134th Ave N and 125th St N a/k/a Jac... [More In Detail]</t>
  </si>
  <si>
    <t>unincorporated Pinellas County</t>
  </si>
  <si>
    <t>SS1:  27.893700, -82.811470; SS2:  27.894510, -82.810120; SS3:  27.893237, ... [More In Detail]</t>
  </si>
  <si>
    <t>13031 Walsingham Rd., Largo, FL  33774</t>
  </si>
  <si>
    <t>Ridgecrest Elementary School</t>
  </si>
  <si>
    <t>1901 119th St N, Largo, FL  33778</t>
  </si>
  <si>
    <t>No Off-Site Work.</t>
  </si>
  <si>
    <t>Marketing $75,000</t>
  </si>
  <si>
    <t>a. Local Government Revitalization Plan Goal</t>
  </si>
  <si>
    <t>FRB Confirmation: 20230908B1B7SM1F001487 and Originating Reference Number: ... [More In Detail]</t>
  </si>
  <si>
    <t>2024-140C</t>
  </si>
  <si>
    <t>Cathedral Apartments, LLC</t>
  </si>
  <si>
    <t>SHAG Cathedral Developer, LLC</t>
  </si>
  <si>
    <t>913 South Parsons Avenue, Suite A</t>
  </si>
  <si>
    <t>(205) 639-5192</t>
  </si>
  <si>
    <t>Charee.Russell@spm.net</t>
  </si>
  <si>
    <t>Morris Manor</t>
  </si>
  <si>
    <t>SHAG Cathedral, LLC</t>
  </si>
  <si>
    <t>Cathedral Apartments</t>
  </si>
  <si>
    <t>East Union Street, 100 ft southwest of the intersection of East Union Stree... [More In Detail]</t>
  </si>
  <si>
    <t>777 N Market Street, Jacksonville, FL 32202</t>
  </si>
  <si>
    <t>Harvey's Pharmacy</t>
  </si>
  <si>
    <t>John E. Ford Pre K-8 School</t>
  </si>
  <si>
    <t>1137 Cleveland Street, Jacksonville, FL 32202</t>
  </si>
  <si>
    <t>The QCT is in the Duval County HUD 2023 Metro QCT database.</t>
  </si>
  <si>
    <t>Interest Cost: $1,208,836, Title: $127,400, FF&amp;E: $250,000, Marketing: $80,... [More In Detail]</t>
  </si>
  <si>
    <t>Transaction Number:0911B1QGC01C016512; Reference Number:8014332981</t>
  </si>
  <si>
    <t>2024-158C</t>
  </si>
  <si>
    <t>0.06 mi</t>
  </si>
  <si>
    <t>0.060 mi</t>
  </si>
  <si>
    <t>Ridgecrest Oaks, LLLP</t>
  </si>
  <si>
    <t>Ridgecrest Oaks</t>
  </si>
  <si>
    <t>130th Ave N, NE of the intersection of 130th Ave N and Washington Dr.; Insi... [More In Detail]</t>
  </si>
  <si>
    <t>SS1: 27.891849, -82.810232;  SS2: 27.892005, -82.810439; SS3: 27.892730, -8... [More In Detail]</t>
  </si>
  <si>
    <t>13031 Walsingham Rd, Largo, FL 33774</t>
  </si>
  <si>
    <t>1901 119th St N, Largo, FL 33778</t>
  </si>
  <si>
    <t>Minimum number of units of 50 is met. Maximum number of units of 160 is met... [More In Detail]</t>
  </si>
  <si>
    <t>FRB Confirmation: 20230908B1B7SM1F001485 and Originating Reference Number: ... [More In Detail]</t>
  </si>
  <si>
    <t>2024-142C</t>
  </si>
  <si>
    <t>MHP Broward III, LLC</t>
  </si>
  <si>
    <t>MHP Broward III Developer, LLC</t>
  </si>
  <si>
    <t xml:space="preserve">MHP Broward III Developer, LLC </t>
  </si>
  <si>
    <t>Ekos at Progresso Village</t>
  </si>
  <si>
    <t>1344 NE 4th Ave, Ft. Lauderdale, Southeast of the intersection of NE 14th S... [More In Detail]</t>
  </si>
  <si>
    <t>Ft. Lauderdale</t>
  </si>
  <si>
    <t>Aldi Supermarket</t>
  </si>
  <si>
    <t>100 W Sunrise Blvd,Ft. Lauderdale, Fl 33311</t>
  </si>
  <si>
    <t>1 W Sunrise Blvd, Ft. Lauderdale FL 33311</t>
  </si>
  <si>
    <t>Ft. Lauderdale High School</t>
  </si>
  <si>
    <t>1600 NE 4th Ave, Ft. Lauderdale, FL 33305</t>
  </si>
  <si>
    <t>Legal Fees - Partnership &amp; Organizational Structure, Title Insurance and Re... [More In Detail]</t>
  </si>
  <si>
    <t xml:space="preserve">Broward County Grant </t>
  </si>
  <si>
    <t>Fed Ref: 20230908MMQFMPRN005495</t>
  </si>
  <si>
    <t>COO of MHP Broward III Manager, LLC, Manager of the Applicant</t>
  </si>
  <si>
    <t>2024-155C</t>
  </si>
  <si>
    <t>Arbor Ridge Housing Partners, LP</t>
  </si>
  <si>
    <t>Residences at Crystal Lake</t>
  </si>
  <si>
    <t>Pompano Beach, FL</t>
  </si>
  <si>
    <t>770-552-8070</t>
  </si>
  <si>
    <t>800 N. Point Parkway, Suite 125</t>
  </si>
  <si>
    <t>Residences at Foxcroft Cove</t>
  </si>
  <si>
    <t>on Foxcroft Road, approximately 575 feet south of the intersection of Miram... [More In Detail]</t>
  </si>
  <si>
    <t>Miramar</t>
  </si>
  <si>
    <t>9951 Miramar Pkwy, Miramar, FL 33025</t>
  </si>
  <si>
    <t>8901 Miramar Pkwy, Miarmar, FL 33025</t>
  </si>
  <si>
    <t>Miramar High School</t>
  </si>
  <si>
    <t>3601 SW 89th Avenue, Miramar, FL 33025</t>
  </si>
  <si>
    <t>F, F &amp; E</t>
  </si>
  <si>
    <t>Broward County LGC</t>
  </si>
  <si>
    <t>Broward County Housing Finance Authority</t>
  </si>
  <si>
    <t>Wire Confirmation Number TRN# 0907F2QCZ00C003474, processed on 09/07/2023 f... [More In Detail]</t>
  </si>
  <si>
    <t>2024-149C</t>
  </si>
  <si>
    <t>Madison Highlands II, LLC</t>
  </si>
  <si>
    <t>Madison Highlands II</t>
  </si>
  <si>
    <t>Hillsborough</t>
  </si>
  <si>
    <t>3727 E Hillsborough Ave, Unit Rear</t>
  </si>
  <si>
    <t>1720 E Hillsborough Ave, Tampa, FL 33610</t>
  </si>
  <si>
    <t>2115 E Hillsborough Ave, Tampa, FL 33610</t>
  </si>
  <si>
    <t>Potter Elementary School</t>
  </si>
  <si>
    <t>3224 E Cayuga St, Tampa, FL 33610</t>
  </si>
  <si>
    <t>2020-366C</t>
  </si>
  <si>
    <t>The QCT is in the Hillsborough County HUD 2023 Metro QCT database.</t>
  </si>
  <si>
    <t>City of Tampa</t>
  </si>
  <si>
    <t>Reference Number 0905B1QGC06C010110, Transaction Number 8014016951</t>
  </si>
  <si>
    <t>2024-160C</t>
  </si>
  <si>
    <t>Tallman Pines Villas, Ltd.</t>
  </si>
  <si>
    <t>HTG Tallman Villas Developer, LLC</t>
  </si>
  <si>
    <t>Building Better Communities, Inc.</t>
  </si>
  <si>
    <t>Princenton Park</t>
  </si>
  <si>
    <t>Tallman Pines - Phase I</t>
  </si>
  <si>
    <t>NE 38th Ct; intersection of NE 38th Ct and NE 5th Avenue; and NE 38th Ct; i... [More In Detail]</t>
  </si>
  <si>
    <t>26.277925, -80.116231</t>
  </si>
  <si>
    <t xml:space="preserve">Broward Health  North Hospital </t>
  </si>
  <si>
    <t xml:space="preserve">201 E Sample Rd,  Deerfield Beach, FL 33064 </t>
  </si>
  <si>
    <t>Generic Pharmacy</t>
  </si>
  <si>
    <t>930 E Sample Rd,  Pompano Beach, FL 33064</t>
  </si>
  <si>
    <t>Crystal Lake Middle School</t>
  </si>
  <si>
    <t>3551 NE 3rd Ave,  Pompano Beach, FL 33064</t>
  </si>
  <si>
    <t>Broward County Housing Authority</t>
  </si>
  <si>
    <t>City of Deerfield Beach</t>
  </si>
  <si>
    <t>2023-108C</t>
  </si>
  <si>
    <t>Bank Ref:3317600249JO0000  FED Ref:0906B1QGC07C006190</t>
  </si>
  <si>
    <t>2024-150C</t>
  </si>
  <si>
    <t>Madison Terrace, LLC</t>
  </si>
  <si>
    <t>The indicated units meet the minimum RFA requirement of 46 units (50% x 91)... [More In Detail]</t>
  </si>
  <si>
    <t>The indicated units meet the minimum requirement (50% x 91 = 46). The minim... [More In Detail]</t>
  </si>
  <si>
    <t>Madison Terrace</t>
  </si>
  <si>
    <t>821 S Dixie Hwy, Lake Worth Beach, FL 33460</t>
  </si>
  <si>
    <t>Lake Worth Beach</t>
  </si>
  <si>
    <t>The QCT is in the Palm Beach County HUD 2023 Metro QCT database.</t>
  </si>
  <si>
    <t>City of Lake Worth Beach</t>
  </si>
  <si>
    <t>Reference Number 0905B1QGC02C010302, Transaction Number 8014016445</t>
  </si>
  <si>
    <t>2024-151C</t>
  </si>
  <si>
    <t>0.10 mi</t>
  </si>
  <si>
    <t>0.190 mi</t>
  </si>
  <si>
    <t>Madison Trails, LLC</t>
  </si>
  <si>
    <t>The indicated units meet the minimum RFA requirement of 55 units (50% x 110... [More In Detail]</t>
  </si>
  <si>
    <t>The indicated units meet the minimum requirement (50% x 110 = 55). The mini... [More In Detail]</t>
  </si>
  <si>
    <t>Madison Trails</t>
  </si>
  <si>
    <t>4800 S Orange Blossom Trail, Orlando, FL 32839</t>
  </si>
  <si>
    <t>Aldi</t>
  </si>
  <si>
    <t>4607 S Orange Blossom Trail, Orlando, FL 32839</t>
  </si>
  <si>
    <t>4502 S Orange Blossom Trail, Orlando, FL 32839</t>
  </si>
  <si>
    <t>Palmetto Elementary School</t>
  </si>
  <si>
    <t>2015 Duskin Ave, Orlando, FL 32839</t>
  </si>
  <si>
    <t>The QCT is in the Orange County HUD 2023 Metro QCT database.</t>
  </si>
  <si>
    <t>Reference Number 0905B1QGC08C025488, Transaction Number 8014016275</t>
  </si>
  <si>
    <t>2024-157C</t>
  </si>
  <si>
    <t>0.110 mi</t>
  </si>
  <si>
    <t>Pinellas MT Housing Partners, LP</t>
  </si>
  <si>
    <t>Residences at Mirror Tower</t>
  </si>
  <si>
    <t>747 4th Avenue North</t>
  </si>
  <si>
    <t>725 1st Avenue South,       St. Petersburg, FL 33701</t>
  </si>
  <si>
    <t>Bay Care Medical Group</t>
  </si>
  <si>
    <t>560 Jackson Street North, St. Petersburg, FL 33705</t>
  </si>
  <si>
    <t>845 4th Street North,         St. Petersburg, FL 33701</t>
  </si>
  <si>
    <t>City of St Pete LGC</t>
  </si>
  <si>
    <t>Wire Confirmation Number TRN# 0907F2QCZ00C003473, processed on 09/08/2023 f... [More In Detail]</t>
  </si>
  <si>
    <t>Section 4.a.10 "Funding" a. 1.(v) GAO. The proposed project is located in G... [More In Detail]</t>
  </si>
  <si>
    <t>2024-166C</t>
  </si>
  <si>
    <t>0.240 mi</t>
  </si>
  <si>
    <t>Zion Village, LLLP</t>
  </si>
  <si>
    <t>Zion Village Developer, LLC</t>
  </si>
  <si>
    <t>The indicated units meet the minimum RFA requirement of 38 units (50% x 75)... [More In Detail]</t>
  </si>
  <si>
    <t>The indicated units meet the minimum requirement (50% x 75 = 38). The minim... [More In Detail]</t>
  </si>
  <si>
    <t>SHAG Zion Village, LLC</t>
  </si>
  <si>
    <t>561859-8520</t>
  </si>
  <si>
    <t xml:space="preserve">Jacob </t>
  </si>
  <si>
    <t>Zion Village</t>
  </si>
  <si>
    <t>5920 Robert Tolle Drive, Riverview</t>
  </si>
  <si>
    <t>Unincorporated Hillsborough County</t>
  </si>
  <si>
    <t>Target Grocery Store</t>
  </si>
  <si>
    <t>10150 Bloomingdale Ave, Riverview, FL 33578</t>
  </si>
  <si>
    <t>AdventHealth Centra Care</t>
  </si>
  <si>
    <t>10222 Bloomindale Ave, Riverview, FL 33578</t>
  </si>
  <si>
    <t>5905 US-301, Riverview, FL 33578</t>
  </si>
  <si>
    <t>The ZCTA is in the HUD 2023 database for Hillsborough County.</t>
  </si>
  <si>
    <t>FFE: $250,000; Plan &amp; Cost Report: $7,500</t>
  </si>
  <si>
    <t>Hillsborough County</t>
  </si>
  <si>
    <t>Wire reference #: 0911B1QGC03C005995; Transaction Number: 8014333173</t>
  </si>
  <si>
    <t>2024-141C</t>
  </si>
  <si>
    <t>0.030 mi</t>
  </si>
  <si>
    <t>District House Partners, LLLP</t>
  </si>
  <si>
    <t>District House Developer, LLC</t>
  </si>
  <si>
    <t>THA Developer, LLC</t>
  </si>
  <si>
    <t>Signature Property Services of Florida, LLC</t>
  </si>
  <si>
    <t>Arborside Preserve Phase 2 F.K.A Weldon Crossings</t>
  </si>
  <si>
    <t>Stark, FL</t>
  </si>
  <si>
    <t>Arborside Preserve Phase 1 f.k.a Welford Place</t>
  </si>
  <si>
    <t>Starke, FL</t>
  </si>
  <si>
    <t>Springfield, FL</t>
  </si>
  <si>
    <t>4% Tax Credits, Tax Exempt Bonds, HOME</t>
  </si>
  <si>
    <t>904-260-6200</t>
  </si>
  <si>
    <t>7575 Dr. Phillips Blvd., Suite 390</t>
  </si>
  <si>
    <t>District House</t>
  </si>
  <si>
    <t>4900 E Broadway Ave., Tampa</t>
  </si>
  <si>
    <t xml:space="preserve"> Hillsborough County</t>
  </si>
  <si>
    <t>5002 E Broadway Ave., Tampa, FL 33619</t>
  </si>
  <si>
    <t>Health Matters Pharmacy</t>
  </si>
  <si>
    <t>1702 N 50th St., Tampa, FL 33619</t>
  </si>
  <si>
    <t>Oak Park Elementary School</t>
  </si>
  <si>
    <t>2716 N 46th St, Tampa, FL 33605</t>
  </si>
  <si>
    <t>The QCT and Hillsborough County are in the HUD 2023 Metro QCT database, but... [More In Detail]</t>
  </si>
  <si>
    <t>Housing Authority of the City of Tampa, Florida</t>
  </si>
  <si>
    <t>Sewer and water main extension</t>
  </si>
  <si>
    <t>P&amp;P Bonds: $115,000 FF&amp;E: $200,000</t>
  </si>
  <si>
    <t>0912MMQFMPWQ001470    2023091200003167</t>
  </si>
  <si>
    <t>2024-147C</t>
  </si>
  <si>
    <t>HTG Vista, Ltd.</t>
  </si>
  <si>
    <t>HTG Vista Developer, LLC</t>
  </si>
  <si>
    <t>Eustis, FL</t>
  </si>
  <si>
    <t>Hollywood Vista</t>
  </si>
  <si>
    <t>801 N. Federal Highway, 1718 Lincoln St., and 1735 Lincoln St.</t>
  </si>
  <si>
    <t>Hollywood</t>
  </si>
  <si>
    <t>Publix Supermarket</t>
  </si>
  <si>
    <t>1740 Polk St., Hollywood FL 33020</t>
  </si>
  <si>
    <t>901 N. Federal Hwy. Hollywood, FL 33020</t>
  </si>
  <si>
    <t>South Broward High School</t>
  </si>
  <si>
    <t>1901 N. Federal Hwy. Hollywood, FL 33020</t>
  </si>
  <si>
    <t>Minimum number of units of 75 is met. Maximum number of units of 200 is met... [More In Detail]</t>
  </si>
  <si>
    <t>The QCT is in the Broward County HUD 2023 Metro QCT database.</t>
  </si>
  <si>
    <t>Hollywood Housing Authority</t>
  </si>
  <si>
    <t>Housing Finance Authority of Broward</t>
  </si>
  <si>
    <t>Wire Bank Reference: 3422400249JO0000; FED Ref: 0906B1QGC08C017627</t>
  </si>
  <si>
    <t>2024-162C</t>
  </si>
  <si>
    <t>The Pantry Lofts, Ltd.</t>
  </si>
  <si>
    <t xml:space="preserve">The Pantry Lofts GM Dev, LLC </t>
  </si>
  <si>
    <t>The Pantry Lofts NP Dev, LLC</t>
  </si>
  <si>
    <t>The Pantry Lofts GM Dev, LLC</t>
  </si>
  <si>
    <t>Maureen</t>
  </si>
  <si>
    <t>Luna</t>
  </si>
  <si>
    <t>The Pantry of Broward</t>
  </si>
  <si>
    <t>610 NW 3rd Ave</t>
  </si>
  <si>
    <t>(954)358-1481</t>
  </si>
  <si>
    <t>maureen@thepantryofbroward.org</t>
  </si>
  <si>
    <t>The Pantry Lofts</t>
  </si>
  <si>
    <t>On NW 6th St., Northeast of the intersection of NW 6th. St. and NW 3rd Ave,... [More In Detail]</t>
  </si>
  <si>
    <t>680 N Federal Hwy, Fort Lauderdale, FL 33304</t>
  </si>
  <si>
    <t>Cora E. Brayon Family Health Center</t>
  </si>
  <si>
    <t>200 NW 7th Avenue, Fort Lauderdale, FL 33311</t>
  </si>
  <si>
    <t>1 W Sunrise Blvd., Fort Lauderdale, FL 33311</t>
  </si>
  <si>
    <t>Owner, Recreational, Solar Items</t>
  </si>
  <si>
    <t>City of Fort Lauderdale</t>
  </si>
  <si>
    <t>2023-105C</t>
  </si>
  <si>
    <t>Sender Reference:3791163   FED REFERENCE: 20230907F1QCZ70C001217</t>
  </si>
  <si>
    <t>Local Government Area of Opportunity Designation Goal - This application qu... [More In Detail]</t>
  </si>
  <si>
    <t>Maureen E Luna</t>
  </si>
  <si>
    <t>2024-152C</t>
  </si>
  <si>
    <t>HTG Oasis II, LLC</t>
  </si>
  <si>
    <t>HTG Oasis II Developer, LLC</t>
  </si>
  <si>
    <t>Oasis at Hollywood</t>
  </si>
  <si>
    <t>1109 N Federal Highway, Hollywood</t>
  </si>
  <si>
    <t>City of Hollywood</t>
  </si>
  <si>
    <t>Publix Super Market at Hollywood Circle</t>
  </si>
  <si>
    <t>1740 Polk St, Hollywood, FL 33020</t>
  </si>
  <si>
    <t>1901 N Federal Hwy, Hollywood, FL 33020</t>
  </si>
  <si>
    <t>Housing Finance Authority of Broward County</t>
  </si>
  <si>
    <t>Bank Ref:3586900249JO0000  FED Ref:0906B1QGC05C008680</t>
  </si>
  <si>
    <t>2024-165C</t>
  </si>
  <si>
    <t>0.49 mi</t>
  </si>
  <si>
    <t>ND Flex Partners, LP</t>
  </si>
  <si>
    <t>McCurdy Waterview, LLC</t>
  </si>
  <si>
    <t>Richbody Inc.</t>
  </si>
  <si>
    <t>Mark Schuster</t>
  </si>
  <si>
    <t>City Lights Seniors</t>
  </si>
  <si>
    <t>Atlanta Ga</t>
  </si>
  <si>
    <t>The indicated units meet the minimum RFA requirement of 57 units (50% x 113... [More In Detail]</t>
  </si>
  <si>
    <t>City Lights II</t>
  </si>
  <si>
    <t>Atlanta, Ga</t>
  </si>
  <si>
    <t>City Lights II-A</t>
  </si>
  <si>
    <t>Terry</t>
  </si>
  <si>
    <t>Maguire</t>
  </si>
  <si>
    <t>Wingate Management Company, Inc.</t>
  </si>
  <si>
    <t>100 Wells Avenue</t>
  </si>
  <si>
    <t>Newton</t>
  </si>
  <si>
    <t>MA</t>
  </si>
  <si>
    <t>617-558-4061</t>
  </si>
  <si>
    <t>tmaguire@wingatecompanies.com</t>
  </si>
  <si>
    <t>Rindge Tower</t>
  </si>
  <si>
    <t>Cambridge, MA</t>
  </si>
  <si>
    <t>The indicated units meet the minimum requirement (50% x 113 = 57). The mini... [More In Detail]</t>
  </si>
  <si>
    <t>Emerald Palms</t>
  </si>
  <si>
    <t>Dania Beach, FL</t>
  </si>
  <si>
    <t>Glucksman</t>
  </si>
  <si>
    <t>McCurdy Senior Housing Corporation</t>
  </si>
  <si>
    <t>306 SW 10th Street</t>
  </si>
  <si>
    <t>Belle Glade</t>
  </si>
  <si>
    <t>561-722-6083</t>
  </si>
  <si>
    <t>joe.glucksmanqw@gmail.com</t>
  </si>
  <si>
    <t>Nathan</t>
  </si>
  <si>
    <t>Rich</t>
  </si>
  <si>
    <t>Richbody, Inc</t>
  </si>
  <si>
    <t>6250 North Military Trail, Suite 204</t>
  </si>
  <si>
    <t>800844-6554</t>
  </si>
  <si>
    <t>nathanrich@sheerenterprises.com</t>
  </si>
  <si>
    <t>Waterview Appartments</t>
  </si>
  <si>
    <t>West Tiffany Drive at Intersection with South Tiffany Drive</t>
  </si>
  <si>
    <t>Mangonia Park</t>
  </si>
  <si>
    <t>Presidente Supermarket</t>
  </si>
  <si>
    <t>1222 45th St, West Palm Beach, FL 33407</t>
  </si>
  <si>
    <t>MedFlorida - Doctor Offices</t>
  </si>
  <si>
    <t>4477 Medical Center Way #A, West Palm Beach, 33407</t>
  </si>
  <si>
    <t>2050 45th St, West Palm Beach, FL 33407</t>
  </si>
  <si>
    <t>No off site work</t>
  </si>
  <si>
    <t>FFE -Furniture, Fixtures and Equipment, (Tables, Chairs, Furniture for comm... [More In Detail]</t>
  </si>
  <si>
    <t>Marketing Costs</t>
  </si>
  <si>
    <t>Palm Beach County</t>
  </si>
  <si>
    <t>Wire Transfer - Confirmation Numbers 203553 &amp; 230912008830 were provided by... [More In Detail]</t>
  </si>
  <si>
    <t>Exhibit 12 - Principle of Developer General Development Experience Certific... [More In Detail]</t>
  </si>
  <si>
    <t>Joseph Glucksman</t>
  </si>
  <si>
    <t>President McCurdy Senior Housing, as Managing Member of McCurdy Waterview L... [More In Detail]</t>
  </si>
  <si>
    <t>2024-137C</t>
  </si>
  <si>
    <t>0.77 mi</t>
  </si>
  <si>
    <t>0.771 mi</t>
  </si>
  <si>
    <t>Avalon Apartments, Ltd.</t>
  </si>
  <si>
    <t>Cornerstone Group Partners, LLC</t>
  </si>
  <si>
    <t>Jorge Lopez</t>
  </si>
  <si>
    <t>Regatta Place</t>
  </si>
  <si>
    <t>Coquina Place</t>
  </si>
  <si>
    <t>FHFC bonds, 4% LIHTC, FHFC SAIL and SAIL ELI, Miami-Dade County Surtax and ... [More In Detail]</t>
  </si>
  <si>
    <t>Pelican Cove</t>
  </si>
  <si>
    <t>Miami Gardens, FL</t>
  </si>
  <si>
    <t>FHFC bonds, 4% LIHTC, FHFC HOME, Miami-Dade County Surtax</t>
  </si>
  <si>
    <t>Nola</t>
  </si>
  <si>
    <t>Castillo</t>
  </si>
  <si>
    <t>Cornerstone Residential Management, LLC</t>
  </si>
  <si>
    <t>2100 Hollywood Boulevard</t>
  </si>
  <si>
    <t>(305) 443-8288</t>
  </si>
  <si>
    <t>Nola.Castillo@Cornerstonegrp.com</t>
  </si>
  <si>
    <t>Valencia Pointe</t>
  </si>
  <si>
    <t>Alhambra Cove</t>
  </si>
  <si>
    <t>Mara</t>
  </si>
  <si>
    <t>Mades</t>
  </si>
  <si>
    <t>(305)-443-8288</t>
  </si>
  <si>
    <t>mara.mades@cornerstonegrp.com</t>
  </si>
  <si>
    <t>Avalon Apartments</t>
  </si>
  <si>
    <t>4614 N. Hubert Ave, Tampa, Florida</t>
  </si>
  <si>
    <t>4340 W Hillsborough Ave, Tampa, FL 33614</t>
  </si>
  <si>
    <t>4141 W Hillsborough Ave, Tampa, FL 33614</t>
  </si>
  <si>
    <t xml:space="preserve">Alexander Elementary School </t>
  </si>
  <si>
    <t>5602 N Lois Ave, Tampa, FL 33614</t>
  </si>
  <si>
    <t>FF&amp;E and P&amp;P bond</t>
  </si>
  <si>
    <t>Bank Reference: 7093700250JO0000 FED Ref: 0907B1QGC08C038781</t>
  </si>
  <si>
    <t>Mara S. Mades</t>
  </si>
  <si>
    <t>2024-148C</t>
  </si>
  <si>
    <t xml:space="preserve">Las Brisas Associates, Ltd. </t>
  </si>
  <si>
    <t>Las Brisas Associates, Ltd.</t>
  </si>
  <si>
    <t>Las Brisas</t>
  </si>
  <si>
    <t>W Oak Ridge Rd, W Oak Ridge Rd and Lake Ellenor Dr, Unincorporated Orange C... [More In Detail]</t>
  </si>
  <si>
    <t>5734 S Orange Blossom Trl, Orlando, FL 32839</t>
  </si>
  <si>
    <t>FF&amp;E and P&amp;P Bond</t>
  </si>
  <si>
    <t xml:space="preserve">Unincorporated Orange County </t>
  </si>
  <si>
    <t>Bank Reference: 7073000250JO0000 FED Ref:0907B1QGC02C009043</t>
  </si>
  <si>
    <t>2024-163C</t>
  </si>
  <si>
    <t>Thornton Place, Ltd.</t>
  </si>
  <si>
    <t>Thornton Place Developer, LLC</t>
  </si>
  <si>
    <t>Julie</t>
  </si>
  <si>
    <t>Berkeley Housing Initiative, Inc.</t>
  </si>
  <si>
    <t>1090 Kensington Park Dr. Suite 200</t>
  </si>
  <si>
    <t>(407) 571-9496</t>
  </si>
  <si>
    <t>berkeleyhousinginitiative@gmail.com</t>
  </si>
  <si>
    <t>Thornton Place</t>
  </si>
  <si>
    <t>2020 Old Dixie Highway, Apopka, FL 32712</t>
  </si>
  <si>
    <t>Apopka</t>
  </si>
  <si>
    <t>1565 W Orange Blossom Trail, Apopka, FL 32712</t>
  </si>
  <si>
    <t>Advent Health Centracare Apopka</t>
  </si>
  <si>
    <t>1520 W Orange Blossom Trail, Apopka, FL 32712</t>
  </si>
  <si>
    <t>Orange County Grant</t>
  </si>
  <si>
    <t>Bank Ref. #20232500007700; Fed Ref. #20230907I1B7033R01285809071242FT03 /  ... [More In Detail]</t>
  </si>
  <si>
    <t>Julie von Weller</t>
  </si>
  <si>
    <t>Executive Director of Berkeley Housing Initiative, Inc., Manager of Berkele... [More In Detail]</t>
  </si>
  <si>
    <t>2024-161C</t>
  </si>
  <si>
    <t>The Flats On Main Street, LLC</t>
  </si>
  <si>
    <t>The Flats on Main Street Developer, LLC</t>
  </si>
  <si>
    <t>The Flats On Main Street Developer, LLC</t>
  </si>
  <si>
    <t xml:space="preserve">Principal of the Applicant </t>
  </si>
  <si>
    <t>The Flats on Main Street</t>
  </si>
  <si>
    <t>1422 Carnation Drive</t>
  </si>
  <si>
    <t>Dunedin</t>
  </si>
  <si>
    <t>1296 County Rd 1, Dunedin, FL 34698</t>
  </si>
  <si>
    <t>1298 County Rd 1, Dunedin, FL 34698</t>
  </si>
  <si>
    <t>Dunedin High School</t>
  </si>
  <si>
    <t>1651 Pinehurst Rd., Dunedin, FL 34698</t>
  </si>
  <si>
    <t>The ZCTA is in the HUD 2023 database for Pinellas County.</t>
  </si>
  <si>
    <t>The QCT is in the Pinellas County HUD 2023 Metro QCT database.</t>
  </si>
  <si>
    <t>Local Government Grant</t>
  </si>
  <si>
    <t>City of Dunedin</t>
  </si>
  <si>
    <t>Reference Number: 0911B1QGC08C032091  - Fed Wire Transfer Number: 801433073... [More In Detail]</t>
  </si>
  <si>
    <t>2024-138C</t>
  </si>
  <si>
    <t>0.98 mi</t>
  </si>
  <si>
    <t>0.99 mi</t>
  </si>
  <si>
    <t>0.990 mi</t>
  </si>
  <si>
    <t>Berkshire Square, Ltd.</t>
  </si>
  <si>
    <t>Berkshire Square Developer, LLC</t>
  </si>
  <si>
    <t>The indicated units meet the minimum RFA requirement of 36 units (50% x 71)... [More In Detail]</t>
  </si>
  <si>
    <t>The indicated units meet the minimum requirement (50% x 71 = 36). The minim... [More In Detail]</t>
  </si>
  <si>
    <t>Berkshire Square</t>
  </si>
  <si>
    <t>1180 and 1280 Union Street, Dunedin, Pinellas County, Florida</t>
  </si>
  <si>
    <t>Bay Medical Center</t>
  </si>
  <si>
    <t>180 Patricia Ave., Dunedin, FL 34698</t>
  </si>
  <si>
    <t>5 Patricia Ave., Dunedin, FL 34698</t>
  </si>
  <si>
    <t>Dunedin Elementary</t>
  </si>
  <si>
    <t>900 Union St., Dunedin, FL 34698</t>
  </si>
  <si>
    <t>Dunedin Grant</t>
  </si>
  <si>
    <t>Bank Ref. #20232500007600; Fed Ref. #20230907I1B7032R01255609071237FT03 /  ... [More In Detail]</t>
  </si>
  <si>
    <t>Manager of Berkshire Square GP, LLC, General Partner of Berkshire Square, L... [More In Detail]</t>
  </si>
  <si>
    <t>2024-164C</t>
  </si>
  <si>
    <t>0.050 mi</t>
  </si>
  <si>
    <t>HTG Union Baptist, Ltd.</t>
  </si>
  <si>
    <t>HTG Union Baptist Developer, LLC</t>
  </si>
  <si>
    <t>Priority II</t>
  </si>
  <si>
    <t>3225 Aviation Ave, 6th Floor</t>
  </si>
  <si>
    <t xml:space="preserve">Glenda </t>
  </si>
  <si>
    <t>Union Senior Apartments</t>
  </si>
  <si>
    <t>39th Street, 39th Street and Broadway</t>
  </si>
  <si>
    <t>Bravo Supermarket</t>
  </si>
  <si>
    <t>5011 Broadway, West Palm Beach, FL 33407</t>
  </si>
  <si>
    <t>St. Mary's Medical Center Emergency Room</t>
  </si>
  <si>
    <t>901 45th St, West Palm Beach, FL 33407</t>
  </si>
  <si>
    <t>Northboro Elementary</t>
  </si>
  <si>
    <t>400 40th St, West Palm Beach, FL 33407</t>
  </si>
  <si>
    <t>City of West Palm Beach</t>
  </si>
  <si>
    <t>Fee Waiver</t>
  </si>
  <si>
    <t xml:space="preserve">Bank Reference: 6590300255JO0000 | FED Reference: 0912B1QGC07C012349 </t>
  </si>
  <si>
    <t>Manager of Non-Investor LP</t>
  </si>
  <si>
    <t>Not-Broward</t>
  </si>
  <si>
    <t>PBRA Units Future</t>
  </si>
  <si>
    <t>Other Federal assist units future identified</t>
  </si>
  <si>
    <t>Pres def</t>
  </si>
  <si>
    <t>UrbanCenter</t>
  </si>
  <si>
    <t>UrbanCenter Name</t>
  </si>
  <si>
    <t>MetroRail</t>
  </si>
  <si>
    <t>MetroRail Name</t>
  </si>
  <si>
    <t>MetroRail Tier</t>
  </si>
  <si>
    <t>occupancy status</t>
  </si>
  <si>
    <t>UrbanCenter indication</t>
  </si>
  <si>
    <t>UrbanCenter identified</t>
  </si>
  <si>
    <t>Urban Center Area of Opp boost</t>
  </si>
  <si>
    <t>2024-215C</t>
  </si>
  <si>
    <t>RFA 2023-203</t>
  </si>
  <si>
    <t>675 Ali Baba, LLC</t>
  </si>
  <si>
    <t>Opa-locka Community Development Corporation, Inc. d/b/a Ten North Group</t>
  </si>
  <si>
    <t>Willie Logan</t>
  </si>
  <si>
    <t>Town Center</t>
  </si>
  <si>
    <t>Opa-locka, Florida</t>
  </si>
  <si>
    <t>The indicated units meet the minimum RFA requirement of 73 units (50% x 145... [More In Detail]</t>
  </si>
  <si>
    <t>Solabella</t>
  </si>
  <si>
    <t>Miami Gardens, Florida</t>
  </si>
  <si>
    <t>Villa Capri</t>
  </si>
  <si>
    <t>Miami-Dade County, Florida</t>
  </si>
  <si>
    <t>(850) 914-3253</t>
  </si>
  <si>
    <t>The indicated units meet the minimum requirement (50% x 145 = 73). The mini... [More In Detail]</t>
  </si>
  <si>
    <t>City Heights</t>
  </si>
  <si>
    <t>Willie</t>
  </si>
  <si>
    <t>Logan</t>
  </si>
  <si>
    <t>490 Opa-locka Blvd.</t>
  </si>
  <si>
    <t>Opa-locka</t>
  </si>
  <si>
    <t>(305)796-0834</t>
  </si>
  <si>
    <t>logan@tennorthgroup.com</t>
  </si>
  <si>
    <t>Agustin</t>
  </si>
  <si>
    <t>Dominguez</t>
  </si>
  <si>
    <t>490 Opa-locka Blvd. , Suite 20</t>
  </si>
  <si>
    <t xml:space="preserve">Opa-locka, </t>
  </si>
  <si>
    <t>(786)205-8686</t>
  </si>
  <si>
    <t>gus@tennorthgroup.com</t>
  </si>
  <si>
    <t>David M. Pemberton Senior Residences</t>
  </si>
  <si>
    <t>Miami-Dade</t>
  </si>
  <si>
    <t>551 Fisherman St. and 141 Sharazad Blvd.</t>
  </si>
  <si>
    <t>25.900590; -80.253398</t>
  </si>
  <si>
    <t>La Granja Supermarket</t>
  </si>
  <si>
    <t>150 Opa-locka Blvd.</t>
  </si>
  <si>
    <t>Med One Medical Center</t>
  </si>
  <si>
    <t>480 Fisherman St.</t>
  </si>
  <si>
    <t>Robert Ingram Elementary</t>
  </si>
  <si>
    <t>Tri-Rail</t>
  </si>
  <si>
    <t>Tier 1</t>
  </si>
  <si>
    <t>The QCT is in the Miami-Dade County HUD 2023 Metro QCT database.</t>
  </si>
  <si>
    <t>A response of "Yes" was provided.</t>
  </si>
  <si>
    <t>The Tri-Rail MetorRail Station was identifed.</t>
  </si>
  <si>
    <t>Marketing</t>
  </si>
  <si>
    <t>Syndication Fee</t>
  </si>
  <si>
    <t>Miami'Dade County</t>
  </si>
  <si>
    <t>Confirmation #2396F3959CFD0438</t>
  </si>
  <si>
    <t>President of Opa-locka CDC. Inc, Sole Member of Manager of 675 Ali Baba, LL... [More In Detail]</t>
  </si>
  <si>
    <t>2024-203C</t>
  </si>
  <si>
    <t>Serenity Grove, LLC</t>
  </si>
  <si>
    <t>Serenity Grove Developers, LLC</t>
  </si>
  <si>
    <t>Oliver L. Gross</t>
  </si>
  <si>
    <t>New Urban Development LLC</t>
  </si>
  <si>
    <t>Superior Manor, Phase I</t>
  </si>
  <si>
    <t>The indicated units meet the minimum RFA requirement of 75 units (50% x 150... [More In Detail]</t>
  </si>
  <si>
    <t>Villages Miami Apartments, Phase I</t>
  </si>
  <si>
    <t>Renaissance at Sugar Hill</t>
  </si>
  <si>
    <t>T.</t>
  </si>
  <si>
    <t>Gates</t>
  </si>
  <si>
    <t>Bryten Real Estate Partners, LLC</t>
  </si>
  <si>
    <t>150 2nd Avenue N. Suite 710</t>
  </si>
  <si>
    <t>(407) 790-0200</t>
  </si>
  <si>
    <t xml:space="preserve">dgates@liveweller.com  </t>
  </si>
  <si>
    <t>Maplewood Park</t>
  </si>
  <si>
    <t>Union City, GA</t>
  </si>
  <si>
    <t>The indicated units meet the minimum requirement (50% x 150 = 75). The mini... [More In Detail]</t>
  </si>
  <si>
    <t>Wild Pines</t>
  </si>
  <si>
    <t>Naples, FL</t>
  </si>
  <si>
    <t>Oliver</t>
  </si>
  <si>
    <t>Gross</t>
  </si>
  <si>
    <t>8500 NW 25th Avenue</t>
  </si>
  <si>
    <t>(305) 696-4450</t>
  </si>
  <si>
    <t>oliverg@nudllc.org</t>
  </si>
  <si>
    <t>Keith</t>
  </si>
  <si>
    <t>Franklin</t>
  </si>
  <si>
    <t>Kfranklin@nudllc.org</t>
  </si>
  <si>
    <t>Serenity Grove</t>
  </si>
  <si>
    <t>18330 NW 12th Avenue, Miami Gardens, FL</t>
  </si>
  <si>
    <t>Miami Gardens</t>
  </si>
  <si>
    <t>18350 NW 7th Avenue, Miami, FL 33169</t>
  </si>
  <si>
    <t>Jackson North Medical Center</t>
  </si>
  <si>
    <t>160 NW 170th Street, N. Miami Beach, FL 33169</t>
  </si>
  <si>
    <t>A response of "No" was provided.</t>
  </si>
  <si>
    <t>Furniture, Fixtures, and Equipment</t>
  </si>
  <si>
    <t>Construction Bridge Loan</t>
  </si>
  <si>
    <t>Miami-Dade County</t>
  </si>
  <si>
    <t>Check #42289</t>
  </si>
  <si>
    <t>2024-195C</t>
  </si>
  <si>
    <t>0.60 mi</t>
  </si>
  <si>
    <t>Princeton Manor LLC</t>
  </si>
  <si>
    <t>The indicated units meet the minimum RFA requirement of 66 units (50% x 132... [More In Detail]</t>
  </si>
  <si>
    <t>The indicated units meet the minimum requirement (50% x 132 = 66). The mini... [More In Detail]</t>
  </si>
  <si>
    <t>Princeton Manor</t>
  </si>
  <si>
    <t>About 400 Feet Northwest of the Intersection of SW 252 St and S Dixie Hwy</t>
  </si>
  <si>
    <t>14325 SW 268 Street, Miami-Dade, FL 33032</t>
  </si>
  <si>
    <t>Somerset Academy</t>
  </si>
  <si>
    <t>Princeton</t>
  </si>
  <si>
    <t>Minimum number of units of 100 is met. Maximum number of units of 200 is me... [More In Detail]</t>
  </si>
  <si>
    <t>The given Census Tract Number is a GAO Census Tract in Miami-Dade County.</t>
  </si>
  <si>
    <t>Miami-Dade County is in the GAO Listing, but the given QCT is NOT.</t>
  </si>
  <si>
    <t>The Tier 1 Urban Center of Princeton was identifed.</t>
  </si>
  <si>
    <t>Pmt and Performance Bond $198,000 and Other Insurance $52,800</t>
  </si>
  <si>
    <t>Syndication Fee $40,000</t>
  </si>
  <si>
    <t>Check #5667</t>
  </si>
  <si>
    <t>2024-202C</t>
  </si>
  <si>
    <t>Santa Cruz Isles LLC</t>
  </si>
  <si>
    <t>Santa Cruz Isles</t>
  </si>
  <si>
    <t>At the NW Corner of SW 282 St and SW 150 Ave</t>
  </si>
  <si>
    <t>Fresco Y Mas</t>
  </si>
  <si>
    <t>27359 S Dixie Hwy, Miami-Dade, FL 33032</t>
  </si>
  <si>
    <t>Leisure City Elementary</t>
  </si>
  <si>
    <t>Leisure City</t>
  </si>
  <si>
    <t>Tier 2</t>
  </si>
  <si>
    <t>The Tier 2 Urban Center of Leisure City was identifed.</t>
  </si>
  <si>
    <t>Check #5669</t>
  </si>
  <si>
    <t>2024-206C</t>
  </si>
  <si>
    <t>0.43 mi</t>
  </si>
  <si>
    <t>0.430 mi</t>
  </si>
  <si>
    <t>MHP FL IX LLLP</t>
  </si>
  <si>
    <t>MHP FL IX Developer, LLC</t>
  </si>
  <si>
    <t>Miami,FL</t>
  </si>
  <si>
    <t xml:space="preserve">Sean </t>
  </si>
  <si>
    <t>Southpointe Vista II</t>
  </si>
  <si>
    <t>East side of SW 117th CT, Northeast of the intersection of SW 214th St &amp; SW... [More In Detail]</t>
  </si>
  <si>
    <t>21151 S Dixie Hwy, Miami, FL 33189</t>
  </si>
  <si>
    <t>Pine Villa Elementary</t>
  </si>
  <si>
    <t>Goulds</t>
  </si>
  <si>
    <t>The Tier 1 Urban Center of Goulds was identifed.</t>
  </si>
  <si>
    <t xml:space="preserve">FF&amp;E &amp; Owner recreational items </t>
  </si>
  <si>
    <t>Property taxes during construction, Printing, shipping and travel, Legal Fe... [More In Detail]</t>
  </si>
  <si>
    <t>First Construction Loan Interest, Pre-development Loan Interest</t>
  </si>
  <si>
    <t>20230908MMQFMPRN005496</t>
  </si>
  <si>
    <t xml:space="preserve">COO of MHP FL IX GP, LLC , General Partner of Applicant </t>
  </si>
  <si>
    <t>2024-213C</t>
  </si>
  <si>
    <t>Villa Valencia Apartments LLC</t>
  </si>
  <si>
    <t>Villa Valencia</t>
  </si>
  <si>
    <t>On the North Side of SW 268 St, about 450 Feet West of SW 139 Ave</t>
  </si>
  <si>
    <t>Naranja</t>
  </si>
  <si>
    <t>The Tier 1 Urban Center of Naranja was identifed.</t>
  </si>
  <si>
    <t>Check #5666</t>
  </si>
  <si>
    <t>2024-185C</t>
  </si>
  <si>
    <t>Coco Plum Housing Partners, LP</t>
  </si>
  <si>
    <t>The indicated units meet the minimum RFA requirement of 65 units (50% x 130... [More In Detail]</t>
  </si>
  <si>
    <t>The indicated units meet the minimum requirement (50% x 130 = 65). The mini... [More In Detail]</t>
  </si>
  <si>
    <t>Heritage at Midtown Crossing</t>
  </si>
  <si>
    <t>665 NW 151st Street</t>
  </si>
  <si>
    <t>Unincorporated Miami Dade County</t>
  </si>
  <si>
    <t>25.913396, -80.211458</t>
  </si>
  <si>
    <t>14900 NW 7th Avenue, Miami, FL 33168</t>
  </si>
  <si>
    <t>Glades Medical Centers</t>
  </si>
  <si>
    <t>1 NE 167th Street, N Miami Beach, FL 33162</t>
  </si>
  <si>
    <t>Thomas Jefferson Biscayne Gardens K-8 Academy</t>
  </si>
  <si>
    <t>North Central</t>
  </si>
  <si>
    <t>There are no existing units</t>
  </si>
  <si>
    <t>The Tier 2 Urban Center of North Central was identifed.</t>
  </si>
  <si>
    <t>Miami Dade County</t>
  </si>
  <si>
    <t>Wire Confirmation Number TRN# 230907010440, processed on 09/08/2023 from We... [More In Detail]</t>
  </si>
  <si>
    <t>its manager</t>
  </si>
  <si>
    <t>2024-200C</t>
  </si>
  <si>
    <t>0.66 mi</t>
  </si>
  <si>
    <t>Marlin Housing Partners, LP</t>
  </si>
  <si>
    <t>Residences at Westview Landing</t>
  </si>
  <si>
    <t>on NW 27th Avenue, southeast of the intersection of NW 27th Avenue and NW 1... [More In Detail]</t>
  </si>
  <si>
    <t>Med One Medical</t>
  </si>
  <si>
    <t>486 Fisherman St., Opa-Locka, FL 33054</t>
  </si>
  <si>
    <t>Henry ES Reeves Elem. School</t>
  </si>
  <si>
    <t>Wire Confirmation Number TRN# 230907010106, processed on 09/08/2023 from We... [More In Detail]</t>
  </si>
  <si>
    <t>2024-176C</t>
  </si>
  <si>
    <t>0.97 mi</t>
  </si>
  <si>
    <t>CM Senior LLLP</t>
  </si>
  <si>
    <t>Preservation of Affordable Housing LLC</t>
  </si>
  <si>
    <t>Aaron Gornstein</t>
  </si>
  <si>
    <t>Preservation of Affordable Housing, LLC</t>
  </si>
  <si>
    <t>Flat 9 at Whittier</t>
  </si>
  <si>
    <t>Boston, MA</t>
  </si>
  <si>
    <t>The Loop at Mattapan Station</t>
  </si>
  <si>
    <t>Woodlawn Station</t>
  </si>
  <si>
    <t>Chicago, IL</t>
  </si>
  <si>
    <t>Rochelle</t>
  </si>
  <si>
    <t>Beeks</t>
  </si>
  <si>
    <t>POAH Communities, LLC</t>
  </si>
  <si>
    <t>920 Main Street, Suite 115</t>
  </si>
  <si>
    <t>Kansas City</t>
  </si>
  <si>
    <t>816531-1920</t>
  </si>
  <si>
    <t>rbeeks@poahcommunities.com</t>
  </si>
  <si>
    <t>Trinity Towers West</t>
  </si>
  <si>
    <t>Gornstein</t>
  </si>
  <si>
    <t>2 Oliver Street, Suite 500</t>
  </si>
  <si>
    <t>Boston</t>
  </si>
  <si>
    <t>(617)261-9898</t>
  </si>
  <si>
    <t>agornstein@poah.org</t>
  </si>
  <si>
    <t>Hana</t>
  </si>
  <si>
    <t>Eskra</t>
  </si>
  <si>
    <t>617261-9898</t>
  </si>
  <si>
    <t>heskra@poah.org</t>
  </si>
  <si>
    <t>CM Redevelopment Senior</t>
  </si>
  <si>
    <t>On SW 216th St, northeast of the intersection of SW 216th St and SW 109th A... [More In Detail]</t>
  </si>
  <si>
    <t>21151 S. Dixie Hwy., Miami, FL</t>
  </si>
  <si>
    <t>Coral Reef Montessori Academy</t>
  </si>
  <si>
    <t>No off-site work is contemplated</t>
  </si>
  <si>
    <t>FF&amp;E - $160,000; Marketing/Lease up - $35,000; IT Setup - $25,000</t>
  </si>
  <si>
    <t>Check #2544</t>
  </si>
  <si>
    <t>2024-175C</t>
  </si>
  <si>
    <t>0.93 mi</t>
  </si>
  <si>
    <t>POAH CM Redevelopment, LLC</t>
  </si>
  <si>
    <t>CM Redevelopment II</t>
  </si>
  <si>
    <t>IT Costs/Setup - $33,250; Marketing/lease-up - $35,000; FF&amp;E - $226,000</t>
  </si>
  <si>
    <t>Check #2576</t>
  </si>
  <si>
    <t>2024-184C</t>
  </si>
  <si>
    <t>MJHS FL North Parcel, LTD</t>
  </si>
  <si>
    <t>MHP FL North Parcel Developer, LLC</t>
  </si>
  <si>
    <t xml:space="preserve">MJHS FL North Parcel Developer, LLC </t>
  </si>
  <si>
    <t xml:space="preserve">MHP FL North Parcel Developer, LLC </t>
  </si>
  <si>
    <t>The indicated units meet the minimum RFA requirement of 63 units (50% x 126... [More In Detail]</t>
  </si>
  <si>
    <t xml:space="preserve">Bonnie </t>
  </si>
  <si>
    <t>The indicated units meet the minimum requirement (50% x 126 = 63). The mini... [More In Detail]</t>
  </si>
  <si>
    <t xml:space="preserve">Nik </t>
  </si>
  <si>
    <t>Echeverria</t>
  </si>
  <si>
    <t>necheverria@mcdhousing.com</t>
  </si>
  <si>
    <t>Garden House II</t>
  </si>
  <si>
    <t>East side of N. Miami Ave, Southeast corner of the intersection of N. Miami... [More In Detail]</t>
  </si>
  <si>
    <t>4870 Biscayne Blvd, Miami, FL 33137</t>
  </si>
  <si>
    <t>Walgreen Pharmacy</t>
  </si>
  <si>
    <t>Shadowlawn Elementary</t>
  </si>
  <si>
    <t xml:space="preserve">Owner FF&amp;E </t>
  </si>
  <si>
    <t>Property taxes during construction, Printing and Shipping, Legal Fees - Par... [More In Detail]</t>
  </si>
  <si>
    <t>Fed Reference # : 20230908MMQFMPRN005497</t>
  </si>
  <si>
    <t>COO of MHP FL North Parcel SLP, LLC, the Applicant's Non-Investor Limited ... [More In Detail]</t>
  </si>
  <si>
    <t>2024-210C</t>
  </si>
  <si>
    <t>1.13 mi</t>
  </si>
  <si>
    <t>Tropical Terrace Ventures, LP</t>
  </si>
  <si>
    <t>Tropical Terrace Developer, LLC</t>
  </si>
  <si>
    <t>Paulo Melo</t>
  </si>
  <si>
    <t>Steve Protulis Towers (f/k/a "Las Brisas Trace")</t>
  </si>
  <si>
    <t>Mosaico</t>
  </si>
  <si>
    <t>Wrecker's Cay</t>
  </si>
  <si>
    <t>Unincorporated Monroe County, Florida</t>
  </si>
  <si>
    <t>Monroe County impact fee exemption and corresponding Monroe County Planning... [More In Detail]</t>
  </si>
  <si>
    <t xml:space="preserve">Professional Management, Inc. </t>
  </si>
  <si>
    <t>305-270-0870</t>
  </si>
  <si>
    <t>Los Suenos</t>
  </si>
  <si>
    <t>Brickell View Terrace</t>
  </si>
  <si>
    <t>Morrow</t>
  </si>
  <si>
    <t>150 SE 2nd Avenue, Suite 800</t>
  </si>
  <si>
    <t>305-401-6002</t>
  </si>
  <si>
    <t>jmorrow@integrafl.com</t>
  </si>
  <si>
    <t>Natalie</t>
  </si>
  <si>
    <t>Nieto</t>
  </si>
  <si>
    <t>Interurban, LLC</t>
  </si>
  <si>
    <t>305-774-0110</t>
  </si>
  <si>
    <t xml:space="preserve">nnieto@integrafl.com </t>
  </si>
  <si>
    <t>Tropical Terrace</t>
  </si>
  <si>
    <t>8801 NW 22nd Avenue</t>
  </si>
  <si>
    <t>unincorporated Miami-Dade County</t>
  </si>
  <si>
    <t>8370 NW 27th Avenue, Miami, Florida 33147</t>
  </si>
  <si>
    <t>Walgreen's Pharmacy</t>
  </si>
  <si>
    <t>Miami Central Senior High School</t>
  </si>
  <si>
    <t>Fed Reference Number: 0908B1QGC03C005366</t>
  </si>
  <si>
    <t>Jacob Morrow</t>
  </si>
  <si>
    <t>2024-181C</t>
  </si>
  <si>
    <t>0.79 mi</t>
  </si>
  <si>
    <t>0.96 mi</t>
  </si>
  <si>
    <t>0.960 mi</t>
  </si>
  <si>
    <t>MHP Miami I, LLC</t>
  </si>
  <si>
    <t>MHP Miami I Developer, LLC</t>
  </si>
  <si>
    <t>Ekos Kendall</t>
  </si>
  <si>
    <t>East side of SW 147th Ave, Southeast of the intersection of SW 147th Ave an... [More In Detail]</t>
  </si>
  <si>
    <t>13801 SW 120th St, Miami, FL 33186</t>
  </si>
  <si>
    <t>Country Walk Family Medicine</t>
  </si>
  <si>
    <t>14261 SW 120th St., Ste 110, Miami, FL 33186</t>
  </si>
  <si>
    <t>Lifesaver Pharmacy</t>
  </si>
  <si>
    <t>The ZCTA is in the HUD 2023 database for Miami-Dade County.</t>
  </si>
  <si>
    <t>First Construction Loan Interest, Lend / Investor Inspection Fees</t>
  </si>
  <si>
    <t>Fed #: 20230908MMQFMPRN005493</t>
  </si>
  <si>
    <t>COO of MHP Miami I Manager, LLC , Manager of Applicant</t>
  </si>
  <si>
    <t>2024-199C</t>
  </si>
  <si>
    <t>Everglades Housing Partners, LP</t>
  </si>
  <si>
    <t>Residences at Goulds Park</t>
  </si>
  <si>
    <t>On S. Dixie Hwy., southeast of the intersection of S Dixie Hwy and SW 214th... [More In Detail]</t>
  </si>
  <si>
    <t>21151 S Dixie Hwy., Miami, FL 33189</t>
  </si>
  <si>
    <t>Pine Villa Elementary School</t>
  </si>
  <si>
    <t>Wire Confirmation Number TRN# 230907010434, processed on 09/08/2023 from We... [More In Detail]</t>
  </si>
  <si>
    <t>2024-177C</t>
  </si>
  <si>
    <t>Coco Palm Ventures, LP</t>
  </si>
  <si>
    <t>Coco Palm Place Developer, LLC</t>
  </si>
  <si>
    <t>Coco Palm Place</t>
  </si>
  <si>
    <t>14270 Henderson Street</t>
  </si>
  <si>
    <t>14325 SW 268th Street, Naranja, FL 33032</t>
  </si>
  <si>
    <t>Doctor's Medical Center</t>
  </si>
  <si>
    <t>26085 S Dixie Hwy, Homestead, FL 33032</t>
  </si>
  <si>
    <t>Fed Reference Number: 0908B1QGC01C008029</t>
  </si>
  <si>
    <t>2024-196C</t>
  </si>
  <si>
    <t>Ambar Club, Ltd.</t>
  </si>
  <si>
    <t>Ambar3, LLC</t>
  </si>
  <si>
    <t>Lofts at Monroe</t>
  </si>
  <si>
    <t>Ambar Key</t>
  </si>
  <si>
    <t>Florida City, FL</t>
  </si>
  <si>
    <t>Workforce</t>
  </si>
  <si>
    <t>1022 W 23rd Street, Suite 300</t>
  </si>
  <si>
    <t>850.914.8472</t>
  </si>
  <si>
    <t>Malibu Gardens</t>
  </si>
  <si>
    <t>Homestead, FL</t>
  </si>
  <si>
    <t>Woodside Oaks</t>
  </si>
  <si>
    <t>Elena</t>
  </si>
  <si>
    <t>Adames</t>
  </si>
  <si>
    <t>305216-1894</t>
  </si>
  <si>
    <t>eadames@ambarco.com</t>
  </si>
  <si>
    <t>O.</t>
  </si>
  <si>
    <t>Floyd</t>
  </si>
  <si>
    <t>904260-3030</t>
  </si>
  <si>
    <t>jfloyd@vestcor.com</t>
  </si>
  <si>
    <t>Promenade on Palm</t>
  </si>
  <si>
    <t>East side of S Dixie Hwy, 400 feet north of the intersection of S Dixie Hwy... [More In Detail]</t>
  </si>
  <si>
    <t>Community Medical Group of Florida City</t>
  </si>
  <si>
    <t>751 W Palm Dr, Florida City, FL 33034</t>
  </si>
  <si>
    <t>Florida City Elementary</t>
  </si>
  <si>
    <t>Minimum number of units of 100 is met. There is no maximum unit limit.</t>
  </si>
  <si>
    <t>Title insurance, recording fees, property liability insurance, marketing/ad... [More In Detail]</t>
  </si>
  <si>
    <t>Freddie/Fannie fees</t>
  </si>
  <si>
    <t>TRN #230913009739</t>
  </si>
  <si>
    <t>Elena M. Adames</t>
  </si>
  <si>
    <t>Managing Member of the GP of the Applicant</t>
  </si>
  <si>
    <t>2024-190C</t>
  </si>
  <si>
    <t>0.36 mi</t>
  </si>
  <si>
    <t>North Bay Senior Apartments Limited Partnership</t>
  </si>
  <si>
    <t>North Bay Senior Apartments</t>
  </si>
  <si>
    <t>321 NE 79th St., Miami, Florida</t>
  </si>
  <si>
    <t>Sabor Tropical Supermarket</t>
  </si>
  <si>
    <t>8000 NE 5th Ave., Miami, FL 33138</t>
  </si>
  <si>
    <t>Medi-Station Urgent Care</t>
  </si>
  <si>
    <t>9600 Ne 2nd Ave., Miami Shores, FL 33138</t>
  </si>
  <si>
    <t xml:space="preserve">Miami-Dade County </t>
  </si>
  <si>
    <t>2024-183C</t>
  </si>
  <si>
    <t>RA Level 5</t>
  </si>
  <si>
    <t>Freedom Pointe VOA Affordable Housing, LP</t>
  </si>
  <si>
    <t>Volunteers of America National Services Corporation</t>
  </si>
  <si>
    <t>Josheph Budzynski</t>
  </si>
  <si>
    <t>Volunteer of America National Services</t>
  </si>
  <si>
    <t>Las Palmas Plaza Apartments</t>
  </si>
  <si>
    <t>Meadows at Montbello</t>
  </si>
  <si>
    <t>Denver, Colorado</t>
  </si>
  <si>
    <t>Hope Manor Veteran's Housing</t>
  </si>
  <si>
    <t>Joliet, Illinois</t>
  </si>
  <si>
    <t>Janet</t>
  </si>
  <si>
    <t>Stringfellow</t>
  </si>
  <si>
    <t>Volunteers of America Florida, Inc</t>
  </si>
  <si>
    <t>405 Central Avenue, Suite 100</t>
  </si>
  <si>
    <t>33701-3866</t>
  </si>
  <si>
    <t>(727) 369-8486</t>
  </si>
  <si>
    <t>jstringfellow@voa-fla.org</t>
  </si>
  <si>
    <t>Las Palmas Plaza</t>
  </si>
  <si>
    <t>Hialeah Residences</t>
  </si>
  <si>
    <t>Hialeah , FL</t>
  </si>
  <si>
    <t>Kimberly</t>
  </si>
  <si>
    <t>Black King</t>
  </si>
  <si>
    <t>Volunteers of America National Service</t>
  </si>
  <si>
    <t>1660 Duke Street</t>
  </si>
  <si>
    <t xml:space="preserve">Alexandria </t>
  </si>
  <si>
    <t>VA</t>
  </si>
  <si>
    <t>(703) 341-5081</t>
  </si>
  <si>
    <t>KKing3@voa.org</t>
  </si>
  <si>
    <t>Rodrigo</t>
  </si>
  <si>
    <t>Galavis</t>
  </si>
  <si>
    <t>Alexandria</t>
  </si>
  <si>
    <t>(703) 781-2682</t>
  </si>
  <si>
    <t>RGalavis@voa.org</t>
  </si>
  <si>
    <t>Freedom Pointe (f.k.a. Little Havana Senior)</t>
  </si>
  <si>
    <t>Section 202</t>
  </si>
  <si>
    <t>The 25 units entered to receive Rental Assistance represents 33.33% of Tota... [More In Detail]</t>
  </si>
  <si>
    <t>300/318 N.W. 12 Avenue</t>
  </si>
  <si>
    <t>Sedano's Supermarket</t>
  </si>
  <si>
    <t>1263 W. Flagler St., Miami, FL 33135</t>
  </si>
  <si>
    <t>Slam! Miami</t>
  </si>
  <si>
    <t>$374,492-Builders Risk ; $429,588-Builder's Bond &amp; Cost Cert</t>
  </si>
  <si>
    <t>$200,000 Title and recording fee for property acquistion</t>
  </si>
  <si>
    <t>Deferred Development Costs</t>
  </si>
  <si>
    <t>Capital Magnet Funds</t>
  </si>
  <si>
    <t>Capitol One</t>
  </si>
  <si>
    <t>Capital One</t>
  </si>
  <si>
    <t>Freedom Pointe - CapitalOne Payment ID: 5689, Wire Transfer $3,000, Federal... [More In Detail]</t>
  </si>
  <si>
    <t>Rental Assistance Classification: A Section 202 Supportive Housing for the ... [More In Detail]</t>
  </si>
  <si>
    <t>Kimberly Black King</t>
  </si>
  <si>
    <t>Assistant Treasurer/Assistant Secretary</t>
  </si>
  <si>
    <t>2024-182C</t>
  </si>
  <si>
    <t>0.53 mi</t>
  </si>
  <si>
    <t>0.530 mi</t>
  </si>
  <si>
    <t>Everglades Vista, LLC</t>
  </si>
  <si>
    <t>Next Development Group, LLC</t>
  </si>
  <si>
    <t>Calston LLC</t>
  </si>
  <si>
    <t>Joseph Chambers</t>
  </si>
  <si>
    <t>Amaryllis Park Place</t>
  </si>
  <si>
    <t>Sarasota, Florida</t>
  </si>
  <si>
    <t>Lofts on Lemon</t>
  </si>
  <si>
    <t>McIntosh Homes</t>
  </si>
  <si>
    <t>Leakesville, Mississippi</t>
  </si>
  <si>
    <t>The indicated units do NOT meet the minimum RFA requirement (50% x 110 = 55... [More In Detail]</t>
  </si>
  <si>
    <t>5900 NW 7th Ave.</t>
  </si>
  <si>
    <t>305.757.3737</t>
  </si>
  <si>
    <t>Edison Towers</t>
  </si>
  <si>
    <t>Jennifer</t>
  </si>
  <si>
    <t>Sanz</t>
  </si>
  <si>
    <t>6815 Biscayne Blvd., Suite 103, #370</t>
  </si>
  <si>
    <t>850.443.1316</t>
  </si>
  <si>
    <t>jennifer@nextdevelopmentgroup.com</t>
  </si>
  <si>
    <t>Ben</t>
  </si>
  <si>
    <t>Hoffman</t>
  </si>
  <si>
    <t>651.269.7066</t>
  </si>
  <si>
    <t>ben@nextdevelopmentgroup.com</t>
  </si>
  <si>
    <t>Everglades Vista</t>
  </si>
  <si>
    <t>On SW 127th Avenue, east of the intersection of SW 197th Terrace and SW 127... [More In Detail]</t>
  </si>
  <si>
    <t>20201 SW 127th Ave. Miami, FL 33177</t>
  </si>
  <si>
    <t>Caribbean K-8 Center</t>
  </si>
  <si>
    <t>$300,000 for furniture, fixtures and equipment $209,000 for washers/dryers</t>
  </si>
  <si>
    <t>Jennifer Sanz</t>
  </si>
  <si>
    <t>2024-178C</t>
  </si>
  <si>
    <t>Coral Breeze Estates, LLLP</t>
  </si>
  <si>
    <t>The indicated units meet the minimum RFA requirement of 54 units (50% x 108... [More In Detail]</t>
  </si>
  <si>
    <t>The indicated units meet the minimum requirement (50% x 108 = 54). The mini... [More In Detail]</t>
  </si>
  <si>
    <t>Coral Breeze Estates</t>
  </si>
  <si>
    <t>On NW 27th Ave., northeast of the intersection of NW 27th Ave. and NW 66th ... [More In Detail]</t>
  </si>
  <si>
    <t>3200 NW 79th St. Miami, FL 33147</t>
  </si>
  <si>
    <t>Poinciana Park Elementary</t>
  </si>
  <si>
    <t>Dr. Martin Luther King, Jr. Plaza</t>
  </si>
  <si>
    <t>$510,000 for furniture, fixtures and equipment $205,200 for washers/dryers</t>
  </si>
  <si>
    <t>Please note that for purposes of funding selection, although the site is lo... [More In Detail]</t>
  </si>
  <si>
    <t>2024-186C</t>
  </si>
  <si>
    <t>Metro Grande I Associates, Ltd.</t>
  </si>
  <si>
    <t>Captiva Cove II</t>
  </si>
  <si>
    <t>Sunset Pointe</t>
  </si>
  <si>
    <t>Mara.Mades@Cornerstonegrp.com</t>
  </si>
  <si>
    <t>Metro Grande I</t>
  </si>
  <si>
    <t>W 19th Street, NW Corner of W 19th Street and W 9th Avenue, Hialeah</t>
  </si>
  <si>
    <t>Hialeah</t>
  </si>
  <si>
    <t>1060  W. 29th Street Hialeah, FL 33012</t>
  </si>
  <si>
    <t>James H. Bright Elementary School</t>
  </si>
  <si>
    <t>The Okeechobee MetorRail Station was identifed.</t>
  </si>
  <si>
    <t>No Off-site Work</t>
  </si>
  <si>
    <t>FF&amp;E, P&amp;P Bond, Art in Public Places,syndicator fee, local subsidy underwri... [More In Detail]</t>
  </si>
  <si>
    <t>Bank Reference: 7162500250jO0000  Fed Ref:  0907B1QGC07C016024</t>
  </si>
  <si>
    <t>2024-174C</t>
  </si>
  <si>
    <t>Citrus Haven Residences, LLLP</t>
  </si>
  <si>
    <t>Calston Developer, LLC</t>
  </si>
  <si>
    <t>Aconcagua Developers, LLC</t>
  </si>
  <si>
    <t>The indicated units do NOT meet the minimum RFA requirement (50% x 108 = 54... [More In Detail]</t>
  </si>
  <si>
    <t>Citrus Haven Residences</t>
  </si>
  <si>
    <t>On Parker Avenue (aka SW 143rd Ave), northeast of the intersection of Harri... [More In Detail]</t>
  </si>
  <si>
    <t>14325 SW 268th St. Naranja, FL 33032</t>
  </si>
  <si>
    <t>26085 S. Dixie Hwy Homestead, FL 33032</t>
  </si>
  <si>
    <t>$300,000 for furniture, fixtures and equipment $205,200 for washers/dryers</t>
  </si>
  <si>
    <t>Application fee was sent from Wells Fargo to Wells Fargo (FHFC account), so... [More In Detail]</t>
  </si>
  <si>
    <t>2024-207C</t>
  </si>
  <si>
    <t>Terrace Place Apartments, LLLP</t>
  </si>
  <si>
    <t>CORE Miami Dade Developer, LLC</t>
  </si>
  <si>
    <t>Mission COVE I</t>
  </si>
  <si>
    <t>Oceanside, CA</t>
  </si>
  <si>
    <t>The indicated units meet the minimum RFA requirement of 56 units (50% x 111... [More In Detail]</t>
  </si>
  <si>
    <t>Yorba Linda, CA</t>
  </si>
  <si>
    <t>San Bernadino, CA</t>
  </si>
  <si>
    <t>The indicated units meet the minimum requirement (50% x 111 = 56). The mini... [More In Detail]</t>
  </si>
  <si>
    <t>Abrendle@NationalCORE.org</t>
  </si>
  <si>
    <t>The Arbors at Naranja</t>
  </si>
  <si>
    <t>26500 South Dixie Highway</t>
  </si>
  <si>
    <t>CHI Naranja Health Center</t>
  </si>
  <si>
    <t>13805 SW 264th St, Naranja, FL 33032</t>
  </si>
  <si>
    <t>Syndication costs</t>
  </si>
  <si>
    <t>20230908MMQFMPYZ016559</t>
  </si>
  <si>
    <t>2024-191C</t>
  </si>
  <si>
    <t>0.65 mi</t>
  </si>
  <si>
    <t>Osprey at ACRUVA Communities, LLLP</t>
  </si>
  <si>
    <t>CORE Osprey Landing Developer, LLC</t>
  </si>
  <si>
    <t>San Bernadina, CA</t>
  </si>
  <si>
    <t>Osprey Landing</t>
  </si>
  <si>
    <t>3501 NW 27th. Avenue</t>
  </si>
  <si>
    <t>2199 NW 36th St., Miami, FL 33142</t>
  </si>
  <si>
    <t xml:space="preserve">WeDO Medical Center </t>
  </si>
  <si>
    <t>2215 NW 36th St., Miami, FL 33142</t>
  </si>
  <si>
    <t>Melrose Elementary School</t>
  </si>
  <si>
    <t>Syndication Costs</t>
  </si>
  <si>
    <t>Mimi-Dade County</t>
  </si>
  <si>
    <t>20230908B1Q8021C015596</t>
  </si>
  <si>
    <t>2024-187C</t>
  </si>
  <si>
    <t>Metro Grande II Associates, Ltd.</t>
  </si>
  <si>
    <t>Captiva Cove Ii</t>
  </si>
  <si>
    <t>Mara.Mades@CornerstoneGrp.com</t>
  </si>
  <si>
    <t>Metro Grande II</t>
  </si>
  <si>
    <t>W 19th Street, NE Corner of W 19th Street and Okeechobee Road, Hialeah</t>
  </si>
  <si>
    <t>FF&amp;E and P&amp;P Bond, local subsidy underwriting fee, Art in Public Places</t>
  </si>
  <si>
    <t>Bank Ref:  7130000250jO0000 Fed Ref: 0907B1QGC07C015929</t>
  </si>
  <si>
    <t>2024-167C</t>
  </si>
  <si>
    <t>4440 Apartments, LLC</t>
  </si>
  <si>
    <t>Unified Development LLC</t>
  </si>
  <si>
    <t>Calston, LLC</t>
  </si>
  <si>
    <t>Chambers, Joseph, J</t>
  </si>
  <si>
    <t>Alex</t>
  </si>
  <si>
    <t>Moore</t>
  </si>
  <si>
    <t>Stephenson &amp; Moore, Inc.</t>
  </si>
  <si>
    <t>706 Turnbull Ave, Ste 103</t>
  </si>
  <si>
    <t>(407)331-1372</t>
  </si>
  <si>
    <t>alex@stephensonandmoore.com</t>
  </si>
  <si>
    <t>Citrus Square Apartments</t>
  </si>
  <si>
    <t>Gardens at South Bay</t>
  </si>
  <si>
    <t>Tampa, Florida</t>
  </si>
  <si>
    <t>Sims</t>
  </si>
  <si>
    <t>5432 NW 193 Lane</t>
  </si>
  <si>
    <t>305467-2579</t>
  </si>
  <si>
    <t>charlessims1@gmail.com</t>
  </si>
  <si>
    <t>J</t>
  </si>
  <si>
    <t>Chambers</t>
  </si>
  <si>
    <t>5852 Dora Drive</t>
  </si>
  <si>
    <t>Mount Dora</t>
  </si>
  <si>
    <t>(407) 341-4550</t>
  </si>
  <si>
    <t>joechambers352@gmail.com</t>
  </si>
  <si>
    <t>4440 Apartments</t>
  </si>
  <si>
    <t>NW 27th Avenue, NW 27th Avenue and NW 45th Street, Miami-Dade County</t>
  </si>
  <si>
    <t>2199 NW 36th Street, Miami, FL 33142</t>
  </si>
  <si>
    <t>Jessie Trice Community Health Center</t>
  </si>
  <si>
    <t>5361 NW 22nd Avenue, Miami, FL 33142</t>
  </si>
  <si>
    <t>Brownsville Middle School</t>
  </si>
  <si>
    <t>Model City</t>
  </si>
  <si>
    <t>Brownsville</t>
  </si>
  <si>
    <t>The Tier 2 Urban Center of Model City was identifed.</t>
  </si>
  <si>
    <t>Wire Bank Reference #: 239CH22415JF39CA; FED Ref: 0912MMQFMPNB007683</t>
  </si>
  <si>
    <t>Charles F Sims</t>
  </si>
  <si>
    <t>2024-209C</t>
  </si>
  <si>
    <t>The Station Senior Apartments Limited Partnership</t>
  </si>
  <si>
    <t>The indicated units meet the minimum RFA requirement of 51 units (50% x 102... [More In Detail]</t>
  </si>
  <si>
    <t>The indicated units meet the minimum requirement (50% x 102 = 51). The mini... [More In Detail]</t>
  </si>
  <si>
    <t>The Station Senior Apartments</t>
  </si>
  <si>
    <t>NW Corner of NW 36th St, and NW 20th Ave., Miami, Florida</t>
  </si>
  <si>
    <t>Miami Jackson Senior High School</t>
  </si>
  <si>
    <t>Earlington Heights</t>
  </si>
  <si>
    <t>The Earlington Heights MetorRail Station was identifed.</t>
  </si>
  <si>
    <t>2024-211C</t>
  </si>
  <si>
    <t>Villa Esperanza II Associates, Ltd.</t>
  </si>
  <si>
    <t>The indicated units meet the minimum RFA requirement of 56 units (50% x 112... [More In Detail]</t>
  </si>
  <si>
    <t>Cornerstone Residential Mangement, LLC</t>
  </si>
  <si>
    <t>2100 Hollywood Blvd.</t>
  </si>
  <si>
    <t>305443-8288</t>
  </si>
  <si>
    <t>Nola.Castillo@cornerstonegrp.com</t>
  </si>
  <si>
    <t>The indicated units meet the minimum requirement (50% x 112 = 56). The mini... [More In Detail]</t>
  </si>
  <si>
    <t>Villa Esperanza II</t>
  </si>
  <si>
    <t>NW 186th St, SW of NW 186th St and NW 62nd Ave, Miami-Dade County</t>
  </si>
  <si>
    <t>6430 NW 186th St., Miami Gardens, FL 33015</t>
  </si>
  <si>
    <t>Navarro Discount Pharmacy</t>
  </si>
  <si>
    <t>Joella C Good Elementary School</t>
  </si>
  <si>
    <t>Bank Ref: 7203700250JO0000 Fed Ref: 0907B1QGC08C039517</t>
  </si>
  <si>
    <t>2024-194C</t>
  </si>
  <si>
    <t>Pinnacle at Tropical Crossings, LLLP</t>
  </si>
  <si>
    <t>Pinnacle Communities, LLC</t>
  </si>
  <si>
    <t>David O. Deutch</t>
  </si>
  <si>
    <t>Verbena</t>
  </si>
  <si>
    <t>Pinnacle at Peacefield</t>
  </si>
  <si>
    <t>Hollywood, FL</t>
  </si>
  <si>
    <t>Caribbean Village</t>
  </si>
  <si>
    <t xml:space="preserve">Carrie </t>
  </si>
  <si>
    <t>9095 SW 87th Ave., Suite 777</t>
  </si>
  <si>
    <t>(305) 270-0870</t>
  </si>
  <si>
    <t>CarrieB@pmiflorida.com</t>
  </si>
  <si>
    <t xml:space="preserve">Pinnacle Heights </t>
  </si>
  <si>
    <t>Deutch</t>
  </si>
  <si>
    <t>9400 S. Dadeland Blvd., Suite 100</t>
  </si>
  <si>
    <t>(305) 854-7100</t>
  </si>
  <si>
    <t>david@pinnaclehousing.com</t>
  </si>
  <si>
    <t>Wheat</t>
  </si>
  <si>
    <t>twheat@pinnaclehousing.com</t>
  </si>
  <si>
    <t>Pinnacle at Tropical Crossings</t>
  </si>
  <si>
    <t>On SW 250th St. (aka Tropical Ave.) southeast of the intersection of SW 250... [More In Detail]</t>
  </si>
  <si>
    <t>14325 SW 268th St., Naranja, FL</t>
  </si>
  <si>
    <t>Somerset Academy Silver Palms at Princeton</t>
  </si>
  <si>
    <t>$475,000 for Furniture, Fixtures and Equipment. $183,600 for washer/dryer p... [More In Detail]</t>
  </si>
  <si>
    <t>20230825F6B7021C000764; 20230825I1B7033R01387208251245FT03</t>
  </si>
  <si>
    <t>President and Manager of a Managing Member of the General Partner of the Ap... [More In Detail]</t>
  </si>
  <si>
    <t>2024-180C</t>
  </si>
  <si>
    <t>Edison Towers II, LLC</t>
  </si>
  <si>
    <t>TEDC Affordable Communities, Inc.</t>
  </si>
  <si>
    <t>305757-3737</t>
  </si>
  <si>
    <t>cgardner@TEDcBuilds.org</t>
  </si>
  <si>
    <t>5700 NW 7th Avenue, Suite 102</t>
  </si>
  <si>
    <t>Edison Towers II</t>
  </si>
  <si>
    <t>NW Corner of NW 58th Street and NW 6th Court</t>
  </si>
  <si>
    <t>621 NW 62nd Street, Miami, FL 33150</t>
  </si>
  <si>
    <t>Conviva Medical Center</t>
  </si>
  <si>
    <t>6269 NW 7th Avenue, Miami, FL 33150</t>
  </si>
  <si>
    <t>2022-529C</t>
  </si>
  <si>
    <t>FF&amp;E, Leae Up Costs, Organizational Costs</t>
  </si>
  <si>
    <t>IMAD: 0905F2QCZ00C004906 Ref: 2023090500010478</t>
  </si>
  <si>
    <t>President of the sole member of the managing member</t>
  </si>
  <si>
    <t>2024-205C</t>
  </si>
  <si>
    <t>0.29 mi</t>
  </si>
  <si>
    <t>HTG Skyview, Ltd.</t>
  </si>
  <si>
    <t>HTG Skyview Developer, LLC</t>
  </si>
  <si>
    <t>The indicated units meet the minimum RFA requirement of 53 units (50% x 106... [More In Detail]</t>
  </si>
  <si>
    <t>The indicated units meet the minimum requirement (50% x 106 = 53). The mini... [More In Detail]</t>
  </si>
  <si>
    <t>Skyview Lofts</t>
  </si>
  <si>
    <t>SW 115th Rd, SW 115th Rd and SW 117th Ave</t>
  </si>
  <si>
    <t xml:space="preserve">Unincorporated Miami-Dade County </t>
  </si>
  <si>
    <t>$100,000 for Roadway improvements</t>
  </si>
  <si>
    <t>Wire Bank Ref:3868400256JO0000; FED Ref:0913B1QGC03C004382</t>
  </si>
  <si>
    <t>2024-208C</t>
  </si>
  <si>
    <t>0.51 mi</t>
  </si>
  <si>
    <t>0.510 mi</t>
  </si>
  <si>
    <t>The Enclave at Rio, LP</t>
  </si>
  <si>
    <t>The indicated units meet the minimum RFA requirement of 50 units (50% x 100... [More In Detail]</t>
  </si>
  <si>
    <t>1022 West 23rd Street Suite 300</t>
  </si>
  <si>
    <t>The indicated units meet the minimum requirement (50% x 100 = 50). The mini... [More In Detail]</t>
  </si>
  <si>
    <t>Royal American Development</t>
  </si>
  <si>
    <t>The Enclave at Rio</t>
  </si>
  <si>
    <t>745 W. Flagler St., 737 W. Flagler St., and 742 NW 1st Street</t>
  </si>
  <si>
    <t>Fox Medical Centers</t>
  </si>
  <si>
    <t>606 W Flagler Street, Miami, FL 33130</t>
  </si>
  <si>
    <t>VH Pharmacy</t>
  </si>
  <si>
    <t>Mater Academy East Charter School</t>
  </si>
  <si>
    <t>20230824MMQFMPF1000405</t>
  </si>
  <si>
    <t>2024-171C</t>
  </si>
  <si>
    <t>Catalyst at Goulds, Ltd.</t>
  </si>
  <si>
    <t>Catalyst at Goulds Dev, LLC</t>
  </si>
  <si>
    <t>1022 W 23rd St, Ste 300</t>
  </si>
  <si>
    <t>Catalyst at Goulds</t>
  </si>
  <si>
    <t>On SW 216th St., approximately 270 feet East of the intersection of the SW ... [More In Detail]</t>
  </si>
  <si>
    <t>Solar, Recreational Owner Items</t>
  </si>
  <si>
    <t>Sender Reference: 3791723  FED REFERENCE: 20230907F1QCZ70C001457</t>
  </si>
  <si>
    <t>2024-170C</t>
  </si>
  <si>
    <t>Cannery Row at Redlands Crossing Phase II, LLLP</t>
  </si>
  <si>
    <t>Pinnacle Heights</t>
  </si>
  <si>
    <t xml:space="preserve">9400 S. Dadeland Blvd., Suite 100 </t>
  </si>
  <si>
    <t>Cannery Row at Redlands Crossing Phase II</t>
  </si>
  <si>
    <t>On SW 261st Street, southwest of the intersection of SW 261st Street and SW... [More In Detail]</t>
  </si>
  <si>
    <t>14325 SW 268th Street, Naranja, FL</t>
  </si>
  <si>
    <t>26085 S Dixie Hwy, Homestead, FL</t>
  </si>
  <si>
    <t>$475,000 for Furniture, Fixtures &amp; Equipment; $180,200 for Washer/Dryer pur... [More In Detail]</t>
  </si>
  <si>
    <t>20230825F6B7021C000753; 20230825I1B7032R01362008251241FT03</t>
  </si>
  <si>
    <t>President and Manager of a Managing Member of the Co-General Partner of the... [More In Detail]</t>
  </si>
  <si>
    <t>2024-198C</t>
  </si>
  <si>
    <t>Quail Roost Transit Village V, Ltd.</t>
  </si>
  <si>
    <t>Quail Roost V Development, LLC</t>
  </si>
  <si>
    <t>Howard D. Cohen</t>
  </si>
  <si>
    <t>Northside Transit Village IV</t>
  </si>
  <si>
    <t>Northside Transit Village II</t>
  </si>
  <si>
    <t>Saratoga Crossings</t>
  </si>
  <si>
    <t>Del Sol</t>
  </si>
  <si>
    <t>Atlantic Pacific Community Management, LLC</t>
  </si>
  <si>
    <t>8609 S Dixie Hwy</t>
  </si>
  <si>
    <t>Pinecrest</t>
  </si>
  <si>
    <t>305357-4703</t>
  </si>
  <si>
    <t>jdelsol@apmanagement.net</t>
  </si>
  <si>
    <t>Kenneth</t>
  </si>
  <si>
    <t>Naylor</t>
  </si>
  <si>
    <t>APCHD MM II Inc.</t>
  </si>
  <si>
    <t>161 NW 6th Street, Suite 1020</t>
  </si>
  <si>
    <t>305357-4700</t>
  </si>
  <si>
    <t>knaylor@apcompanies.com</t>
  </si>
  <si>
    <t>Liz</t>
  </si>
  <si>
    <t>Wong</t>
  </si>
  <si>
    <t>Atlantic Pacific Communities, LLC</t>
  </si>
  <si>
    <t>305357-4725</t>
  </si>
  <si>
    <t>lwong@apcompanies.com</t>
  </si>
  <si>
    <t>Quail Roost Transit Village V</t>
  </si>
  <si>
    <t>On Homestead Ave, northwest of the intersection of Homestead Ave and SW 186... [More In Detail]</t>
  </si>
  <si>
    <t>18485 S Dixie Hwy Cutler Bay, FL 33157</t>
  </si>
  <si>
    <t>RR Moton Elementary School</t>
  </si>
  <si>
    <t>Perrine</t>
  </si>
  <si>
    <t>The Tier 1 Urban Center of Perrine was identifed.</t>
  </si>
  <si>
    <t>No off-site work needed</t>
  </si>
  <si>
    <t>TRN Confirmation No. 230911452388</t>
  </si>
  <si>
    <t>Due to construction of the new Bus Rapid Transit stations on the South Dade... [More In Detail]</t>
  </si>
  <si>
    <t>Kenneth Naylor</t>
  </si>
  <si>
    <t>Vice President</t>
  </si>
  <si>
    <t>2024-192C</t>
  </si>
  <si>
    <t>HTG Palm Grove, Ltd.</t>
  </si>
  <si>
    <t>HTG Palm Grove Developer, LLC</t>
  </si>
  <si>
    <t>The indicated units meet the minimum RFA requirement of 52 units (50% x 104... [More In Detail]</t>
  </si>
  <si>
    <t xml:space="preserve">Valencia Grove II </t>
  </si>
  <si>
    <t xml:space="preserve">A. </t>
  </si>
  <si>
    <t>The indicated units meet the minimum requirement (50% x 104 = 52). The mini... [More In Detail]</t>
  </si>
  <si>
    <t>Palm Grove</t>
  </si>
  <si>
    <t>21500 S Dixie Hwy</t>
  </si>
  <si>
    <t>Wire Bank Reference: 3447700249JO0000; FED Ref: 0906B1QGC06C007905</t>
  </si>
  <si>
    <t>2024-168C</t>
  </si>
  <si>
    <t>1.03 mi</t>
  </si>
  <si>
    <t xml:space="preserve">Broadway Rising, Ltd. </t>
  </si>
  <si>
    <t>Broadway Rising Dev, LLC</t>
  </si>
  <si>
    <t>SFCLT Broadway Rising Dev, LLC</t>
  </si>
  <si>
    <t xml:space="preserve">St. Petersburg, FL </t>
  </si>
  <si>
    <t xml:space="preserve">Burlington Post </t>
  </si>
  <si>
    <t>Amanda</t>
  </si>
  <si>
    <t>Bartle</t>
  </si>
  <si>
    <t>BHP Community Land Trust, Inc.</t>
  </si>
  <si>
    <t>690 NE 13th St., Suite #105</t>
  </si>
  <si>
    <t xml:space="preserve">Fort Lauderdale </t>
  </si>
  <si>
    <t>(954)769-1731</t>
  </si>
  <si>
    <t>mandy@southfloridaclt.org</t>
  </si>
  <si>
    <t>Broadway Rising</t>
  </si>
  <si>
    <t>On NW 17th Ave, NE of the intersection of NW 17th Ave and NW 62 St, Miami</t>
  </si>
  <si>
    <t>1150 NW 54th St, Miami, FL 33127</t>
  </si>
  <si>
    <t>Poinciana Park Elementary School</t>
  </si>
  <si>
    <t>Solar, Recreational/Owner Items</t>
  </si>
  <si>
    <t>Sender Reference: 3824679  FED REFERENCE: 20230913F1QCZ70C001415</t>
  </si>
  <si>
    <t>Amanda Bartle</t>
  </si>
  <si>
    <t>Executive Director of the Manager of the co-General Partner</t>
  </si>
  <si>
    <t>2024-193C</t>
  </si>
  <si>
    <t>Perrine Apartments IV, Ltd.</t>
  </si>
  <si>
    <t>Perrine Development IV, LLC</t>
  </si>
  <si>
    <t>The indicated units meet the minimum RFA requirement of 49 units (50% x 98)... [More In Detail]</t>
  </si>
  <si>
    <t>The indicated units meet the minimum requirement (50% x 98 = 49). The minim... [More In Detail]</t>
  </si>
  <si>
    <t>Perrine Village IV</t>
  </si>
  <si>
    <t>On Homestead Ave, northwest of the intersection of Kumquat St and Homestead... [More In Detail]</t>
  </si>
  <si>
    <t>18485 S Dixie Hwy, Cutler Bay, FL 33157</t>
  </si>
  <si>
    <t>2023-136SN</t>
  </si>
  <si>
    <t>Miami-Dade County Public Housing and Community Development</t>
  </si>
  <si>
    <t>There is no off-site work</t>
  </si>
  <si>
    <t>TRN Confirm No 230911452299</t>
  </si>
  <si>
    <t>2024-179C</t>
  </si>
  <si>
    <t>Culmer Apartments II, Ltd.</t>
  </si>
  <si>
    <t>APC Culmer Development II, LLC</t>
  </si>
  <si>
    <t>Culmer Apartments II</t>
  </si>
  <si>
    <t>On NW 5th Avenue, west of the intersection of NW 5th Avenue and NW 9th Stre... [More In Detail]</t>
  </si>
  <si>
    <t>Winn Dixie Supermarket</t>
  </si>
  <si>
    <t>1155 NW 11th Street, Miami, FL 33136</t>
  </si>
  <si>
    <t>Winn Dixie Pharmacy</t>
  </si>
  <si>
    <t>Booker T. Washington SHS</t>
  </si>
  <si>
    <t>Culmer</t>
  </si>
  <si>
    <t>2020-435BSN</t>
  </si>
  <si>
    <t>The Culmer MetorRail Station was identifed.</t>
  </si>
  <si>
    <t>#230911452320</t>
  </si>
  <si>
    <t>2024-212C</t>
  </si>
  <si>
    <t>HTG Villa Mallorca, LLC</t>
  </si>
  <si>
    <t>HTG Villa Mallorca Developer, LLC</t>
  </si>
  <si>
    <t>The indicated units meet the minimum RFA requirement of 46 units (50% x 92)... [More In Detail]</t>
  </si>
  <si>
    <t>The indicated units meet the minimum requirement (50% x 92 = 46). The minim... [More In Detail]</t>
  </si>
  <si>
    <t>Villa Mallorca</t>
  </si>
  <si>
    <t>11912 SW 217 St</t>
  </si>
  <si>
    <t>Wire Bank Reference: 3389100249JO0000; FED Ref: 0906B1QGC05C007010</t>
  </si>
  <si>
    <t>Manager of the Manager</t>
  </si>
  <si>
    <t>2024-172C</t>
  </si>
  <si>
    <t>0.780 mi</t>
  </si>
  <si>
    <t>Catherine Flon Estates, LLC</t>
  </si>
  <si>
    <t>Catherine Flon Estates Developer, LLC</t>
  </si>
  <si>
    <t>Nikul A. Inamdar</t>
  </si>
  <si>
    <t>Esmeralda Bay</t>
  </si>
  <si>
    <t>Magnolia Landing</t>
  </si>
  <si>
    <t>Kerri.Toth@Royalamerican.com</t>
  </si>
  <si>
    <t>Circle Creek</t>
  </si>
  <si>
    <t>Homestead, Florida</t>
  </si>
  <si>
    <t>Labre Place</t>
  </si>
  <si>
    <t>Nikul</t>
  </si>
  <si>
    <t>Inamdar</t>
  </si>
  <si>
    <t>2100 Coral Way, Suite 405</t>
  </si>
  <si>
    <t>(305) 528-0166</t>
  </si>
  <si>
    <t>Nick.Inamdar@MagellanDev.com</t>
  </si>
  <si>
    <t>Catherine Flon Estates</t>
  </si>
  <si>
    <t>On the North side of NE 137th Street, approximately 500 feet West of the in... [More In Detail]</t>
  </si>
  <si>
    <t>North Miami</t>
  </si>
  <si>
    <t>Publix Super Market at North Miami</t>
  </si>
  <si>
    <t>12855 NE 6th Ave, North Miami, FL 33161</t>
  </si>
  <si>
    <t>Clinical Care Medical Centers</t>
  </si>
  <si>
    <t>12700 W Dixie Hwy, North Miami, FL 33161</t>
  </si>
  <si>
    <t>Publix Pharmacy at North Miami</t>
  </si>
  <si>
    <t>DWR-01583995; 20230911MMQFMPF1000809</t>
  </si>
  <si>
    <t>Member of Manager of Manager of Applicant</t>
  </si>
  <si>
    <t>2024-214C</t>
  </si>
  <si>
    <t>Vineyard Villas, Ltd.</t>
  </si>
  <si>
    <t>The Gatehouse Group, LLC</t>
  </si>
  <si>
    <t>Magellan Housing, LLC</t>
  </si>
  <si>
    <t>Marc S. Plonskier</t>
  </si>
  <si>
    <t>The Pearl</t>
  </si>
  <si>
    <t>The indicated units meet the minimum RFA requirement of 49 units (50% x 97)... [More In Detail]</t>
  </si>
  <si>
    <t>Madison View</t>
  </si>
  <si>
    <t>Canepari</t>
  </si>
  <si>
    <t>Gatehouse Management, Inc.</t>
  </si>
  <si>
    <t>120 Forbes Blvd, Suite #180</t>
  </si>
  <si>
    <t>Mansfield</t>
  </si>
  <si>
    <t>(508) 337-2550</t>
  </si>
  <si>
    <t>canepari1@gatehousemgt.com</t>
  </si>
  <si>
    <t>The indicated units meet the minimum requirement (50% x 97 = 49). The minim... [More In Detail]</t>
  </si>
  <si>
    <t>Marc</t>
  </si>
  <si>
    <t>Plonskier</t>
  </si>
  <si>
    <t>plonskierm@gatehousemgt.com</t>
  </si>
  <si>
    <t xml:space="preserve">Vineyard Villas </t>
  </si>
  <si>
    <t>3372 NW 17 Ave, Miami and 1733 NW 33 St, Miami</t>
  </si>
  <si>
    <t>City of Miami</t>
  </si>
  <si>
    <t>1733 NW 33 St, Miami; Lattitude: 25.806992 Longitude: -80.225078.          ... [More In Detail]</t>
  </si>
  <si>
    <t>3401 NW 18th Ave Miami, FL 33142</t>
  </si>
  <si>
    <t>2901 NW 17th Ave Miami, FL 33142</t>
  </si>
  <si>
    <t>Live &amp; Let Live Pharmacy</t>
  </si>
  <si>
    <t>$1,125,000 for Parking Rights</t>
  </si>
  <si>
    <t>239BF1611NE11M32; 20230911B6B7HU2R012740</t>
  </si>
  <si>
    <t>Member of GP of Applicant</t>
  </si>
  <si>
    <t>2024-201C</t>
  </si>
  <si>
    <t>Sage Pointe, LLC</t>
  </si>
  <si>
    <t>Sage Pointe Developer, LLC</t>
  </si>
  <si>
    <t>Sage Pointe</t>
  </si>
  <si>
    <t>5355 NW 22nd Avenue, Unincorporated Miami-Dade County</t>
  </si>
  <si>
    <t>1152 NW 53rd St Miami, FL 33127</t>
  </si>
  <si>
    <t>Great Care Pharmacy</t>
  </si>
  <si>
    <t>006498; 2023091100521987</t>
  </si>
  <si>
    <t>2024-204C</t>
  </si>
  <si>
    <t xml:space="preserve">Silver Creek 2, Ltd. </t>
  </si>
  <si>
    <t>Silver Creek 2 Dev, LLC</t>
  </si>
  <si>
    <t xml:space="preserve">Royal American Management </t>
  </si>
  <si>
    <t>1022 W 23rd St., Ste 300</t>
  </si>
  <si>
    <t xml:space="preserve">Diana </t>
  </si>
  <si>
    <t>Silver Creek Phase 2</t>
  </si>
  <si>
    <t>On SW 214 St, southwest of the intersection of SW 214 st &amp; SW 118 Ct, Miami... [More In Detail]</t>
  </si>
  <si>
    <t>Recreational, Owner Items, Solar</t>
  </si>
  <si>
    <t>Sender Reference: 3791737.    FED REFERENCE: 20230907F1QCZ70C001456</t>
  </si>
  <si>
    <t>2024-188C</t>
  </si>
  <si>
    <t>Metro Vista, LLLP</t>
  </si>
  <si>
    <t>Metro Vista Developer, LLC</t>
  </si>
  <si>
    <t xml:space="preserve">Charee </t>
  </si>
  <si>
    <t>913 South Parsons Ave., Suite A</t>
  </si>
  <si>
    <t>charee.russell@spm.net</t>
  </si>
  <si>
    <t>Arbors by The Bay</t>
  </si>
  <si>
    <t>1100 NW 4th Avenue</t>
  </si>
  <si>
    <t>Smith &amp; Henzy Affordable Group, Inc</t>
  </si>
  <si>
    <t xml:space="preserve">1100 NW 4th Avenue </t>
  </si>
  <si>
    <t>Metro Vista</t>
  </si>
  <si>
    <t>NW 54th Street, NE of the intersection of NW 54th Street and NW 29th Avenue... [More In Detail]</t>
  </si>
  <si>
    <t>Acevedo Medical Group</t>
  </si>
  <si>
    <t>2400 NW 54th Street, Miami, FL 33142</t>
  </si>
  <si>
    <t>Lorah Park Elementary School</t>
  </si>
  <si>
    <t>Wire Reference #: 0913B1QGC08C017639; Transaction Number: 8014423680</t>
  </si>
  <si>
    <t>2024-173C</t>
  </si>
  <si>
    <t>Blue Cauley, LLC</t>
  </si>
  <si>
    <t>Blue CP Developer, LLC</t>
  </si>
  <si>
    <t xml:space="preserve">     Cauley Point</t>
  </si>
  <si>
    <t>22190 SW 122 AVE and approx. 100 ft. north of  intersection SW 122 AVE and ... [More In Detail]</t>
  </si>
  <si>
    <t>Unincorp Miami-Dade</t>
  </si>
  <si>
    <t xml:space="preserve"> 25.560955, -80.389071</t>
  </si>
  <si>
    <t>21151 S Dixie Hwy Miami, FL 33189</t>
  </si>
  <si>
    <t>Off Site Estimate $250,000</t>
  </si>
  <si>
    <t>FF&amp;E $285,600 Marketing $25,000</t>
  </si>
  <si>
    <t>IMAD:20230912GMQFMP01009036  OMAD: 20230912I1B7033R00822909121150FT03</t>
  </si>
  <si>
    <t>2024-169C</t>
  </si>
  <si>
    <t>Brownsville 54, LLC</t>
  </si>
  <si>
    <t>Brownsville 54 Developers, LLC</t>
  </si>
  <si>
    <t>Brownsville 54</t>
  </si>
  <si>
    <t>NW 54th Street, southeast of the intersection of NW 54th Street and NW 26th... [More In Detail]</t>
  </si>
  <si>
    <t>unincorporated area of Miami-Dade</t>
  </si>
  <si>
    <t>2400 NW 54th Street Miami, FL 33142</t>
  </si>
  <si>
    <t>Check #42290</t>
  </si>
  <si>
    <t>2024-197C</t>
  </si>
  <si>
    <t>Quail Roost Transit Village III, Ltd.</t>
  </si>
  <si>
    <t>Quail Roost III Development, LLC</t>
  </si>
  <si>
    <t>Quail Roost Transit Village III</t>
  </si>
  <si>
    <t>On SW 186th St, northwest of the intersection of SW 186th St and South Miam... [More In Detail]</t>
  </si>
  <si>
    <t>2020-461S</t>
  </si>
  <si>
    <t>No offsite work needed</t>
  </si>
  <si>
    <t>TRN Confirmation No 230911452345</t>
  </si>
  <si>
    <t>2024-189C</t>
  </si>
  <si>
    <t>Moody Village I, Ltd.</t>
  </si>
  <si>
    <t>Moody Village I Development, LLC</t>
  </si>
  <si>
    <t>Moody Village</t>
  </si>
  <si>
    <t>On SW 135th Ave, southwest of the intersection of SW 135th Ave and SW 268th... [More In Detail]</t>
  </si>
  <si>
    <t>Unincorporated Miami-Dade</t>
  </si>
  <si>
    <t>25.517220, -80.419130</t>
  </si>
  <si>
    <t>Walmart Naranja Neighborhood Market</t>
  </si>
  <si>
    <t>14325 SW 268th St, Naranja, FL 33032</t>
  </si>
  <si>
    <t>Walmart Pharmacy at Naranja Neighborhood Market</t>
  </si>
  <si>
    <t>William A Chapman Elementary School</t>
  </si>
  <si>
    <t>2023-143SN/ 2022-540C</t>
  </si>
  <si>
    <t>TRN Confirm No. 230911452477</t>
  </si>
  <si>
    <t>Total Eligible SAIL Request Amount</t>
  </si>
  <si>
    <t>TB QFA Pref Met</t>
  </si>
  <si>
    <t>Veteran Elderly Pref</t>
  </si>
  <si>
    <t>Self Sourced Applicant</t>
  </si>
  <si>
    <t>year built</t>
  </si>
  <si>
    <t>Other NonESS NC units</t>
  </si>
  <si>
    <t>Garden ESS Rehab units</t>
  </si>
  <si>
    <t>Garden non ESS Rehab units</t>
  </si>
  <si>
    <t>All Rehab Units</t>
  </si>
  <si>
    <t>twenty AMI Avg Income Units</t>
  </si>
  <si>
    <t>thirtythree AMI SAIL</t>
  </si>
  <si>
    <t>thirtyfive AMI SAIL</t>
  </si>
  <si>
    <t>forty AMI SAIL</t>
  </si>
  <si>
    <t>fifty AMI SAIL</t>
  </si>
  <si>
    <t>sixty AMI SAIL</t>
  </si>
  <si>
    <t>SAIL SA Percent</t>
  </si>
  <si>
    <t>Four Bed Two Bath Total Units</t>
  </si>
  <si>
    <t>SS Compliance Commitment</t>
  </si>
  <si>
    <t>SAIL Request Amount</t>
  </si>
  <si>
    <t>ELI Request Amount</t>
  </si>
  <si>
    <t>NHTF Indicator</t>
  </si>
  <si>
    <t>LocalHFA App Year</t>
  </si>
  <si>
    <t>MMRB Request Amount</t>
  </si>
  <si>
    <t>HUD CNI Goal</t>
  </si>
  <si>
    <t>Actual RehabAct eligible</t>
  </si>
  <si>
    <t>Actual RehabAct total</t>
  </si>
  <si>
    <t>Building Acq total</t>
  </si>
  <si>
    <t>Other total</t>
  </si>
  <si>
    <t>Acquisition eligible</t>
  </si>
  <si>
    <t>Acquisition ineligible</t>
  </si>
  <si>
    <t>Acquisition total</t>
  </si>
  <si>
    <t>LGC FW1 Face</t>
  </si>
  <si>
    <t>Occupancy status URA</t>
  </si>
  <si>
    <t>Total Existing Units</t>
  </si>
  <si>
    <t>Occupied units</t>
  </si>
  <si>
    <t>perm relocation</t>
  </si>
  <si>
    <t>perm relocated units</t>
  </si>
  <si>
    <t>temp relocated</t>
  </si>
  <si>
    <t>temp relocated units</t>
  </si>
  <si>
    <t>Basis Boost</t>
  </si>
  <si>
    <t>Quintiles</t>
  </si>
  <si>
    <t>2024-035S</t>
  </si>
  <si>
    <t>RFA 2023-205</t>
  </si>
  <si>
    <t>Ambar Station, Ltd.</t>
  </si>
  <si>
    <t>Gregory Cove</t>
  </si>
  <si>
    <t>The indicated units meet the minimum RFA requirement of 288 units (50% x 57... [More In Detail]</t>
  </si>
  <si>
    <t>The year meets the date requirement for the MF rental housing experience. T... [More In Detail]</t>
  </si>
  <si>
    <t>All required data fields have entries. The minimum number of 1 development ... [More In Detail]</t>
  </si>
  <si>
    <t xml:space="preserve">Kerri </t>
  </si>
  <si>
    <t>1022 W. 23rd Street, #300</t>
  </si>
  <si>
    <t>Mill Creek Apartments</t>
  </si>
  <si>
    <t>The indicated units meet the minimum requirement (50% x 576 = 288). The min... [More In Detail]</t>
  </si>
  <si>
    <t>San Juan Apartments</t>
  </si>
  <si>
    <t>The indicated units do NOT meet the minimum requirement (50% x 576 = 288). ... [More In Detail]</t>
  </si>
  <si>
    <t>Ambar Station</t>
  </si>
  <si>
    <t>27742 S. Dixie Highway</t>
  </si>
  <si>
    <t>South Dade Senior High School</t>
  </si>
  <si>
    <t>Local HFA Bonds</t>
  </si>
  <si>
    <t>Self-Sourced: Bond-Financing</t>
  </si>
  <si>
    <t>2024-012SN</t>
  </si>
  <si>
    <t>Yaeger Plaza Partners, LLC</t>
  </si>
  <si>
    <t>Integral Florida, LLC</t>
  </si>
  <si>
    <t>Kareem T. Brantley</t>
  </si>
  <si>
    <t>Liberty Square Phase 3</t>
  </si>
  <si>
    <t>The indicated units meet the minimum RFA requirement of 68 units (50% x 135... [More In Detail]</t>
  </si>
  <si>
    <t>Shannon</t>
  </si>
  <si>
    <t>Judd</t>
  </si>
  <si>
    <t>Integral Property Management</t>
  </si>
  <si>
    <t>191 Peachtree Street, NE Suite 4100</t>
  </si>
  <si>
    <t>404-224-5181</t>
  </si>
  <si>
    <t>sjudd@integral-online.com</t>
  </si>
  <si>
    <t>Integral Property Management, LLC</t>
  </si>
  <si>
    <t>Square at Peoplestown</t>
  </si>
  <si>
    <t>Atlanta, Georgia</t>
  </si>
  <si>
    <t>The indicated units meet the minimum requirement (50% x 135 = 68). The mini... [More In Detail]</t>
  </si>
  <si>
    <t>Veranda at Auburn Pointe III</t>
  </si>
  <si>
    <t>Kareem</t>
  </si>
  <si>
    <t>Brantley</t>
  </si>
  <si>
    <t>Integral Florida</t>
  </si>
  <si>
    <t>960 West 41 Street, Suite 212</t>
  </si>
  <si>
    <t>305-206-7018</t>
  </si>
  <si>
    <t>kbrantley@integral-online.com</t>
  </si>
  <si>
    <t>Yaeger Plaza</t>
  </si>
  <si>
    <t>1177 NW 62 ST</t>
  </si>
  <si>
    <t>Latitude: 25.83315194, Longitude: -80.21636389</t>
  </si>
  <si>
    <t>Holmes Elementary</t>
  </si>
  <si>
    <t>Principal</t>
  </si>
  <si>
    <t>2024-057SN</t>
  </si>
  <si>
    <t>296 Legacy, LLC</t>
  </si>
  <si>
    <t>GTM Developers, LLC</t>
  </si>
  <si>
    <t>Jose L Guillen</t>
  </si>
  <si>
    <t>The indicated units meet the minimum RFA requirement of 200 units (50% x 40... [More In Detail]</t>
  </si>
  <si>
    <t>1022 W. 23rd St., Ste. 300</t>
  </si>
  <si>
    <t>850914-8472</t>
  </si>
  <si>
    <t>Amy.Ausley@royalamerican.com</t>
  </si>
  <si>
    <t>Coral Bay Cove</t>
  </si>
  <si>
    <t>The indicated units meet the minimum requirement (50% x 400 = 200). The min... [More In Detail]</t>
  </si>
  <si>
    <t>Malibu Gardens Apartments</t>
  </si>
  <si>
    <t>Jose</t>
  </si>
  <si>
    <t>Guillen</t>
  </si>
  <si>
    <t>7600 SW 57th Avenue, Suite 110</t>
  </si>
  <si>
    <t>South Miami</t>
  </si>
  <si>
    <t>305274-7467</t>
  </si>
  <si>
    <t>joseguillen@absolutfinancial.com</t>
  </si>
  <si>
    <t>Celia</t>
  </si>
  <si>
    <t>celia@absolutfinancial.com</t>
  </si>
  <si>
    <t>Magnolia Point</t>
  </si>
  <si>
    <t>SW 296th Street, NW of the intersection of Old Dixie Highway and SW 296th S... [More In Detail]</t>
  </si>
  <si>
    <t>Unicorporated Miami-Dade County</t>
  </si>
  <si>
    <t>Avocado Elementary School </t>
  </si>
  <si>
    <t>Jose L. Guillen</t>
  </si>
  <si>
    <t>Manager of Manager of Applicant</t>
  </si>
  <si>
    <t>2024-011BSN</t>
  </si>
  <si>
    <t>Liberty Square Phase Five, LLC</t>
  </si>
  <si>
    <t>Liberty Square Phase Five Developer, LLC</t>
  </si>
  <si>
    <t>The indicated units meet the minimum RFA requirement of 138 units (50% x 27... [More In Detail]</t>
  </si>
  <si>
    <t xml:space="preserve">Marilyn </t>
  </si>
  <si>
    <t>TRG Management Company, LLP</t>
  </si>
  <si>
    <t>2200 North Commerce Parkway, Suite 100</t>
  </si>
  <si>
    <t>305442-8628</t>
  </si>
  <si>
    <t>The indicated units meet the minimum requirement (50% x 276 = 138). The min... [More In Detail]</t>
  </si>
  <si>
    <t>(305)460-9900</t>
  </si>
  <si>
    <t>Guillermo</t>
  </si>
  <si>
    <t>Mazon</t>
  </si>
  <si>
    <t xml:space="preserve">MIami  </t>
  </si>
  <si>
    <t>gmazon@relatedgroup.com</t>
  </si>
  <si>
    <t>Liberty Square Phase Five</t>
  </si>
  <si>
    <t>1441 NW 62nd Street, Miami, FL, 33147</t>
  </si>
  <si>
    <t>American Care Medical Center</t>
  </si>
  <si>
    <t>Requesting Corporation-issued MMRB in this Application</t>
  </si>
  <si>
    <t>Liberty Square Phase One: 2016-377S</t>
  </si>
  <si>
    <t>Miami-Dade County Department of Public Housing and Community Development</t>
  </si>
  <si>
    <t>FHFC - MMRB</t>
  </si>
  <si>
    <t>Vice President of the Applicant</t>
  </si>
  <si>
    <t>2024-015SN</t>
  </si>
  <si>
    <t>Hibiscus Grove, LP</t>
  </si>
  <si>
    <t>Hibiscus Grove Developer, LLC</t>
  </si>
  <si>
    <t>The indicated units meet the minimum RFA requirement of 135 units (50% x 27... [More In Detail]</t>
  </si>
  <si>
    <t>The indicated units meet the minimum requirement (50% x 270 = 135). The min... [More In Detail]</t>
  </si>
  <si>
    <t>Hibiscus Grove</t>
  </si>
  <si>
    <t>9948 W Hibiscus Street</t>
  </si>
  <si>
    <t>Robert Russa Moton Elementary School</t>
  </si>
  <si>
    <t>2024-026SN</t>
  </si>
  <si>
    <t>Cornerstone Group Management, LLC</t>
  </si>
  <si>
    <t>Nola.Castillo@CornerstoneGrp.com</t>
  </si>
  <si>
    <t>Metro Grande II Associates, LLC</t>
  </si>
  <si>
    <t>2100 Hollywood Blvd</t>
  </si>
  <si>
    <t>The QCT is in the Miami-Dade County HUD 2022 Metro QCT database.</t>
  </si>
  <si>
    <t>2024-030BSN</t>
  </si>
  <si>
    <t>Liberty Renaissance Apartments LLC</t>
  </si>
  <si>
    <t>7735 NW 146 Street, Ste 306</t>
  </si>
  <si>
    <t>(305)720-3350</t>
  </si>
  <si>
    <t>Liberty Renaissance</t>
  </si>
  <si>
    <t>1305-1361 and 1320-1370 NW 61 Street</t>
  </si>
  <si>
    <t>Latitude:  25.830933  Longitude:  -80.219650</t>
  </si>
  <si>
    <t>Orchard Villa Elementary</t>
  </si>
  <si>
    <t>2024-042SN</t>
  </si>
  <si>
    <t>Royal Pointe Associates, Ltd.</t>
  </si>
  <si>
    <t>Anvil Community Development Land Trust, LLC</t>
  </si>
  <si>
    <t>Corrnerstone Group Partners, LLC</t>
  </si>
  <si>
    <t>305-443-8288</t>
  </si>
  <si>
    <t>Royal Pointe</t>
  </si>
  <si>
    <t>Dunbar Drive, Northeast corner of Booker T. Washington Boulevard and Dunbar... [More In Detail]</t>
  </si>
  <si>
    <t>Colonial Drive Elementary</t>
  </si>
  <si>
    <t>2024-019S</t>
  </si>
  <si>
    <t>0.196 mi</t>
  </si>
  <si>
    <t>The indicated units meet the minimum RFA requirement of 45 units (50% x 89)... [More In Detail]</t>
  </si>
  <si>
    <t>Beach Village at Palm Coast I</t>
  </si>
  <si>
    <t>The indicated units meet the minimum requirement (50% x 89 = 45). The minim... [More In Detail]</t>
  </si>
  <si>
    <t>335 N. Knowles Ave. Suite 101</t>
  </si>
  <si>
    <t>2024-036S</t>
  </si>
  <si>
    <t xml:space="preserve">MHP FL IX Developer, LLC </t>
  </si>
  <si>
    <t>Magnolia Oaks (2020-074BR /2019-546C)</t>
  </si>
  <si>
    <t xml:space="preserve">Tallahassee, FL </t>
  </si>
  <si>
    <t>The indicated units meet the minimum RFA requirement of 104 units (50% x 20... [More In Detail]</t>
  </si>
  <si>
    <t xml:space="preserve">David </t>
  </si>
  <si>
    <t xml:space="preserve">Bryten Real Estate Partners, LLC </t>
  </si>
  <si>
    <t>11201 N. Tatum Blvd., Suite 260</t>
  </si>
  <si>
    <t>Phoenix</t>
  </si>
  <si>
    <t>AZ</t>
  </si>
  <si>
    <t>407790-0200</t>
  </si>
  <si>
    <t>dgates@liveweller.com</t>
  </si>
  <si>
    <t>Joe Emerson</t>
  </si>
  <si>
    <t>The indicated units meet the minimum requirement (50% x 208 = 104). The min... [More In Detail]</t>
  </si>
  <si>
    <t>Wild Pines of Naples</t>
  </si>
  <si>
    <t>786-604-0475</t>
  </si>
  <si>
    <t>East side of SW 117th Ct, northeast of the intersection of SW 214th St &amp; SW... [More In Detail]</t>
  </si>
  <si>
    <t>2021-163C</t>
  </si>
  <si>
    <t>COO of  MHP FL IX GP, LLC, Applicant's General Partner</t>
  </si>
  <si>
    <t>2024-006S</t>
  </si>
  <si>
    <t>0.290 mi</t>
  </si>
  <si>
    <t>MJHS FL South Parcel, LTD.</t>
  </si>
  <si>
    <t xml:space="preserve">MHP FL South Parcel Developer, LLC </t>
  </si>
  <si>
    <t xml:space="preserve">MJHS South Parcel Developer, LLC </t>
  </si>
  <si>
    <t>MHP FL South Parcel Developer, LLC</t>
  </si>
  <si>
    <t xml:space="preserve">Magnolia Oaks (2020-074BR / 2019-546C) </t>
  </si>
  <si>
    <t>(407)790-0200</t>
  </si>
  <si>
    <t>Nik</t>
  </si>
  <si>
    <t>Garden House</t>
  </si>
  <si>
    <t>Northeast Corner of NE 52nd ST and N Miami Ave, Miami, FL</t>
  </si>
  <si>
    <t>The ZCTA is in the HUD 2022 database for Miami-Dade County.</t>
  </si>
  <si>
    <t>COO of MHP FL South Parcel SLP, LLC, the Applicant's Non-Investor Limited ... [More In Detail]</t>
  </si>
  <si>
    <t>2024-033BSN</t>
  </si>
  <si>
    <t>On South Side of NW 44 St, about 350 feet east of NW 92 Way</t>
  </si>
  <si>
    <t>Sunset Strip Medical Center</t>
  </si>
  <si>
    <t>Banyan Elementary</t>
  </si>
  <si>
    <t>2024-058SN</t>
  </si>
  <si>
    <t>0.520 mi</t>
  </si>
  <si>
    <t>Tampa 47th Street Apartments, LLC</t>
  </si>
  <si>
    <t>Tampa 47th Street Apartments Developer, LLC</t>
  </si>
  <si>
    <t>The indicated units meet the minimum RFA requirement of 88 units (50% x 175... [More In Detail]</t>
  </si>
  <si>
    <t>The indicated units meet the minimum requirement (50% x 175 = 88). The mini... [More In Detail]</t>
  </si>
  <si>
    <t>Peter</t>
  </si>
  <si>
    <t>Van Warner</t>
  </si>
  <si>
    <t>(813) 244-1928</t>
  </si>
  <si>
    <t>peter.vanwarner@relatedgroup.com</t>
  </si>
  <si>
    <t>Tampa 47th Street Apartments</t>
  </si>
  <si>
    <t>5709 North 47th Street, Tampa, Hillsborough County, Florida 33610</t>
  </si>
  <si>
    <t>TGH Family Care Center Healthpark</t>
  </si>
  <si>
    <t>Hillsboro Specialty Pharmacy</t>
  </si>
  <si>
    <t>Williams Middle Magnet School</t>
  </si>
  <si>
    <t>2024-048BSN</t>
  </si>
  <si>
    <t xml:space="preserve">DeSoto Workforce Housing LLC </t>
  </si>
  <si>
    <t xml:space="preserve">NRP Holdings LLC </t>
  </si>
  <si>
    <t xml:space="preserve">J. David Heller </t>
  </si>
  <si>
    <t xml:space="preserve">Sorrento at Miramar </t>
  </si>
  <si>
    <t>Miramar, Florida</t>
  </si>
  <si>
    <t>The indicated units meet the minimum RFA requirement of 108 units (50% x 21... [More In Detail]</t>
  </si>
  <si>
    <t xml:space="preserve">Erick </t>
  </si>
  <si>
    <t>Waller</t>
  </si>
  <si>
    <t xml:space="preserve">NRP Management LLC </t>
  </si>
  <si>
    <t>1228 Euclid Avenue, 4th Floor</t>
  </si>
  <si>
    <t>Cleveland</t>
  </si>
  <si>
    <t>(216)475-8900</t>
  </si>
  <si>
    <t xml:space="preserve">ewaller@nrpgroup.com </t>
  </si>
  <si>
    <t xml:space="preserve">Erick Waller </t>
  </si>
  <si>
    <t>Chatham Pointe</t>
  </si>
  <si>
    <t>Wauchula, FL</t>
  </si>
  <si>
    <t>The indicated units do NOT meet the minimum requirement (50% x 216 = 108). ... [More In Detail]</t>
  </si>
  <si>
    <t xml:space="preserve">Platform Lofts </t>
  </si>
  <si>
    <t>The indicated units meet the minimum requirement (50% x 216 = 108). The min... [More In Detail]</t>
  </si>
  <si>
    <t>J. David</t>
  </si>
  <si>
    <t>Heller</t>
  </si>
  <si>
    <t xml:space="preserve">1228 Euclid Avenue, 4th Floor </t>
  </si>
  <si>
    <t>dheller@nrpgroup.com</t>
  </si>
  <si>
    <t>Pechota</t>
  </si>
  <si>
    <t>apechota@nrpgroup.com</t>
  </si>
  <si>
    <t xml:space="preserve">DeSoto Workforce Housing </t>
  </si>
  <si>
    <t>Manatee</t>
  </si>
  <si>
    <t>On 9th St West, 600 feet Southeast of the intersection of 36th Ave West and... [More In Detail]</t>
  </si>
  <si>
    <t xml:space="preserve">Manatee County, Unincorporated </t>
  </si>
  <si>
    <t>Acapulco Tropical Supermarket</t>
  </si>
  <si>
    <t>Southeast High School</t>
  </si>
  <si>
    <t>The QCT is in the Manatee County HUD 2023 Metro QCT database.</t>
  </si>
  <si>
    <t xml:space="preserve">Manatee County </t>
  </si>
  <si>
    <t>J. David Heller</t>
  </si>
  <si>
    <t xml:space="preserve">Authorized Principal Representative </t>
  </si>
  <si>
    <t>2024-014SN</t>
  </si>
  <si>
    <t>SP Pinellas III LLC</t>
  </si>
  <si>
    <t>The indicated units meet the minimum RFA requirement of 112 units (50% x 22... [More In Detail]</t>
  </si>
  <si>
    <t>The indicated units meet the minimum requirement (50% x 224 = 112). The min... [More In Detail]</t>
  </si>
  <si>
    <t>Oakhurst Trace</t>
  </si>
  <si>
    <t>West side of US Hwy 19 N approximately 500 feet west of the intersection of... [More In Detail]</t>
  </si>
  <si>
    <t>Pinellas Park</t>
  </si>
  <si>
    <t>9021 US Hwy 19 N Pinellas Park, FL 33782</t>
  </si>
  <si>
    <t>Walgreen's</t>
  </si>
  <si>
    <t>7751 49th St N Pinellas Park, FL 33781</t>
  </si>
  <si>
    <t>Skyview Elementary</t>
  </si>
  <si>
    <t>8601 60th St, Pinellas Park, FL 33782</t>
  </si>
  <si>
    <t>The ZCTA is in the HUD 2022 database for Pinellas County.</t>
  </si>
  <si>
    <t>2024-028S</t>
  </si>
  <si>
    <t>0.300 mi</t>
  </si>
  <si>
    <t>ECG Lake Bradford, LP</t>
  </si>
  <si>
    <t>ECG Lake Bradford Developer, LLC</t>
  </si>
  <si>
    <t>Oakwood</t>
  </si>
  <si>
    <t>The indicated units meet the minimum RFA requirement of 78 units (50% x 156... [More In Detail]</t>
  </si>
  <si>
    <t xml:space="preserve">C. </t>
  </si>
  <si>
    <t>1030 16th Avenue South, Ste 500</t>
  </si>
  <si>
    <t>(615)490-6700</t>
  </si>
  <si>
    <t>Hermitage Flats</t>
  </si>
  <si>
    <t>The indicated units meet the minimum requirement (50% x 156 = 78). The mini... [More In Detail]</t>
  </si>
  <si>
    <t>Southside Flats</t>
  </si>
  <si>
    <t>Knoxville, TN</t>
  </si>
  <si>
    <t>Shepard</t>
  </si>
  <si>
    <t>Lake Bradford Apartments</t>
  </si>
  <si>
    <t xml:space="preserve">      Kissimmee St, SE of the intersection of Kissimmee St and Lake Bradford Rd</t>
  </si>
  <si>
    <t>Publix Greenwise Market</t>
  </si>
  <si>
    <t>Pineview Elementary School</t>
  </si>
  <si>
    <t>Self-Sourced: Non-Bond-Financing</t>
  </si>
  <si>
    <t>City of Tallahasee</t>
  </si>
  <si>
    <t xml:space="preserve">Managing Member of GP of Applicant </t>
  </si>
  <si>
    <t>2024-007BS</t>
  </si>
  <si>
    <t>SP Marsh LLC</t>
  </si>
  <si>
    <t>The indicated units meet the minimum RFA requirement of 90 units (50% x 180... [More In Detail]</t>
  </si>
  <si>
    <t>The indicated units meet the minimum requirement (50% x 180 = 90). The mini... [More In Detail]</t>
  </si>
  <si>
    <t>Sound Meadows</t>
  </si>
  <si>
    <t>The east side of S US Highway 1, approximately 940 feet north of the inters... [More In Detail]</t>
  </si>
  <si>
    <t>Weatherbee Elementary School</t>
  </si>
  <si>
    <t>Saint Lucie County</t>
  </si>
  <si>
    <t>2024-049SN</t>
  </si>
  <si>
    <t>The indicated units meet the minimum RFA requirement of 72 units (50% x 144... [More In Detail]</t>
  </si>
  <si>
    <t>214) 496-0600</t>
  </si>
  <si>
    <t>The indicated units meet the minimum requirement (50% x 144 = 72). The mini... [More In Detail]</t>
  </si>
  <si>
    <t>4144 N Armenia Avenue, Ste 220</t>
  </si>
  <si>
    <t>Woodland Park II</t>
  </si>
  <si>
    <t>SE 19th Pl, SE of the intersection of SE 19th Pl and SE 1st Terr, Gainesvil... [More In Detail]</t>
  </si>
  <si>
    <t>SS1: 29.633096, -82.318438 SS2: 29.631935, -82.317333</t>
  </si>
  <si>
    <t>The Applicant did not indicate if it provided qualified documentation as an... [More In Detail]</t>
  </si>
  <si>
    <t>2024-038SN</t>
  </si>
  <si>
    <t>kfranklin@nudllc.org</t>
  </si>
  <si>
    <t>2024-005SN</t>
  </si>
  <si>
    <t>SP Field LLC</t>
  </si>
  <si>
    <t>The indicated units meet the minimum RFA requirement of 84 units (50% x 168... [More In Detail]</t>
  </si>
  <si>
    <t>The indicated units meet the minimum requirement (50% x 168 = 84). The mini... [More In Detail]</t>
  </si>
  <si>
    <t>Calusa Pointe II</t>
  </si>
  <si>
    <t xml:space="preserve">At the Southeast intersection of SR 80 and CR 827A, Belle Glade, Florida </t>
  </si>
  <si>
    <t>Bowling Supermarket</t>
  </si>
  <si>
    <t>Pioneer Park Elementary</t>
  </si>
  <si>
    <t>2024-032BSN</t>
  </si>
  <si>
    <t>Hermosa NFTM 41 II, Ltd.</t>
  </si>
  <si>
    <t>Palos Verde Apartments</t>
  </si>
  <si>
    <t>Marcus</t>
  </si>
  <si>
    <t>Goodson</t>
  </si>
  <si>
    <t>3750 Gunn Highway, Suite 104</t>
  </si>
  <si>
    <t>239360-8040</t>
  </si>
  <si>
    <t>marcus@lchauthority.org</t>
  </si>
  <si>
    <t xml:space="preserve">Michael </t>
  </si>
  <si>
    <t>Hermosa North Fort Myers II</t>
  </si>
  <si>
    <t>West side of N. Cleveland Avenue, approximately 1,500 feet north of the int... [More In Detail]</t>
  </si>
  <si>
    <t>Walmart Supercenter #623</t>
  </si>
  <si>
    <t>16000 N. Cleveland Ave., North Fort Myers, FL 33903</t>
  </si>
  <si>
    <t>Dr. Carrie Robinson Littleton Elementary</t>
  </si>
  <si>
    <t>700 Hutto Road, North Fort Myers, FL 33903</t>
  </si>
  <si>
    <t>Lee - Hermosa North Fort Myers</t>
  </si>
  <si>
    <t>2023-040C</t>
  </si>
  <si>
    <t>Lee County</t>
  </si>
  <si>
    <t>President of the Applicant's General Partner</t>
  </si>
  <si>
    <t>2024-010BSN</t>
  </si>
  <si>
    <t>MHP Collier II, LLC.</t>
  </si>
  <si>
    <t>MHP Collier II Developer, LLC.</t>
  </si>
  <si>
    <t xml:space="preserve">Christopher L. Shear </t>
  </si>
  <si>
    <t>MHP Collier II Developer,LLC</t>
  </si>
  <si>
    <t>The indicated units meet the minimum RFA requirement of 80 units (50% x 160... [More In Detail]</t>
  </si>
  <si>
    <t>The indicated units meet the minimum requirement (50% x 160 = 80). The mini... [More In Detail]</t>
  </si>
  <si>
    <t>Naples,FL</t>
  </si>
  <si>
    <t>786-584-2486</t>
  </si>
  <si>
    <t>Ekos on Collier</t>
  </si>
  <si>
    <t>East side of Collier Blvd., southeast of the Intersection of Henderson Cree... [More In Detail]</t>
  </si>
  <si>
    <t>Manatee Elementary School</t>
  </si>
  <si>
    <t>The QCT is in the Collier County HUD 2023 Metro QCT database.</t>
  </si>
  <si>
    <t>Collier County Contribution</t>
  </si>
  <si>
    <t>COO of MHP Collier II Manager, LLC., manager of the Applicant</t>
  </si>
  <si>
    <t>2024-037BSN</t>
  </si>
  <si>
    <t>West End at City Walk</t>
  </si>
  <si>
    <t>The indicated units meet the minimum RFA requirement of 64 units (50% x 128... [More In Detail]</t>
  </si>
  <si>
    <t>King Terrace</t>
  </si>
  <si>
    <t>The indicated units meet the minimum requirement (50% x 128 = 64). The mini... [More In Detail]</t>
  </si>
  <si>
    <t>Michael R. Allan</t>
  </si>
  <si>
    <t>Manager of Manager of Manager</t>
  </si>
  <si>
    <t>2024-051SN</t>
  </si>
  <si>
    <t>0.600 mi</t>
  </si>
  <si>
    <t>Cypress Grove Apartments, LLC</t>
  </si>
  <si>
    <t>Cypress Grove Developer, LLC</t>
  </si>
  <si>
    <t>Pinellas County Housing and Economic Development Corporation</t>
  </si>
  <si>
    <t xml:space="preserve">Springfield Crossings </t>
  </si>
  <si>
    <t>Cypress Grove Apartments</t>
  </si>
  <si>
    <t>555 16th Ave SE</t>
  </si>
  <si>
    <t>Largo</t>
  </si>
  <si>
    <t xml:space="preserve">Publix Super Market </t>
  </si>
  <si>
    <t xml:space="preserve">Publix Pharmacy </t>
  </si>
  <si>
    <t xml:space="preserve">Largo Middle School </t>
  </si>
  <si>
    <t>City of Largo</t>
  </si>
  <si>
    <t>2024-008BSN</t>
  </si>
  <si>
    <t>0.58 mi</t>
  </si>
  <si>
    <t>0.56 mi</t>
  </si>
  <si>
    <t>Southward Village Phase 3, LP</t>
  </si>
  <si>
    <t>Wheatley Park Senior Living</t>
  </si>
  <si>
    <t>San Antonio, TX</t>
  </si>
  <si>
    <t>Senior Living at Legends Park (Legends Park Phase IV)</t>
  </si>
  <si>
    <t>Senior Living at Cambridge Heights</t>
  </si>
  <si>
    <t>Southward Village CNI Phase 3</t>
  </si>
  <si>
    <t>Pauldo St., SE of the intersection of Pauldo St. and Willard St., Fort Myer... [More In Detail]</t>
  </si>
  <si>
    <t>SS1: 26.632060, -81.851478; SS2: 26.632756, -81.851841</t>
  </si>
  <si>
    <t>3257 Cleveland Ave, Fort Myers, FL 33901</t>
  </si>
  <si>
    <t>Sozo Wellness Pharmacy</t>
  </si>
  <si>
    <t xml:space="preserve">Dunbar High School </t>
  </si>
  <si>
    <t>ED of Manager of GP of Applicant</t>
  </si>
  <si>
    <t>2024-003BSN</t>
  </si>
  <si>
    <t>Arbors at The Ridge, LLLP</t>
  </si>
  <si>
    <t>Arbors at The Ridge</t>
  </si>
  <si>
    <t>939, 959, 975 Ridge Road</t>
  </si>
  <si>
    <t>Cape Coral</t>
  </si>
  <si>
    <t>ALDI Supermarket</t>
  </si>
  <si>
    <t>1481 SW Pine Island Rd, Cape Coral, FL 33991</t>
  </si>
  <si>
    <t>Roberto Lopez, Complete Medical Center</t>
  </si>
  <si>
    <t>949 Chiquita Blvd. Cape Coral FL 33991</t>
  </si>
  <si>
    <t xml:space="preserve">Trafalgar Middle School </t>
  </si>
  <si>
    <t>2120 Trafalgar Parkway Cape Coral FL 33991</t>
  </si>
  <si>
    <t>The ZCTA is in the HUD 2023 database for Lee County.</t>
  </si>
  <si>
    <t>City of Cape Coral</t>
  </si>
  <si>
    <t>2024-052SN</t>
  </si>
  <si>
    <t>0.100 mi</t>
  </si>
  <si>
    <t>Orange on 14th Street, LLC</t>
  </si>
  <si>
    <t>Gorman &amp; Company, LLC</t>
  </si>
  <si>
    <t>Brian Swanton</t>
  </si>
  <si>
    <t>Soluna I, LLC</t>
  </si>
  <si>
    <t xml:space="preserve">Pheonix, AZ </t>
  </si>
  <si>
    <t>The indicated units meet the minimum RFA requirement of 87 units (50% x 174... [More In Detail]</t>
  </si>
  <si>
    <t>Laura</t>
  </si>
  <si>
    <t>Narduzzi</t>
  </si>
  <si>
    <t>200 N. Main Street</t>
  </si>
  <si>
    <t>Oregon</t>
  </si>
  <si>
    <t>WI</t>
  </si>
  <si>
    <t>(608) 835-6334</t>
  </si>
  <si>
    <t>lnarduzzi@gormanusa.com</t>
  </si>
  <si>
    <t>Soluna 1, LLC</t>
  </si>
  <si>
    <t>Pheonix, AZ</t>
  </si>
  <si>
    <t>The indicated units meet the minimum requirement (50% x 174 = 87). The mini... [More In Detail]</t>
  </si>
  <si>
    <t>Cumberland Towers</t>
  </si>
  <si>
    <t>Little Rock, AR</t>
  </si>
  <si>
    <t>Swanton</t>
  </si>
  <si>
    <t>bswanton@gormanusa.com</t>
  </si>
  <si>
    <t>Joel</t>
  </si>
  <si>
    <t>Reed</t>
  </si>
  <si>
    <t>Gorman &amp; Company LLC</t>
  </si>
  <si>
    <t>460 Edgewood Ave. Suite A</t>
  </si>
  <si>
    <t>(404) 403.2925</t>
  </si>
  <si>
    <t>jreed@gormanusa.com</t>
  </si>
  <si>
    <t>Orange on 14th</t>
  </si>
  <si>
    <t>3700 &amp; 3710 14th Street West, Bradenton FL 34205</t>
  </si>
  <si>
    <t>Manatee County (Unincorporated)</t>
  </si>
  <si>
    <t>Sprouts Farmers Market</t>
  </si>
  <si>
    <t>Bradenton Family Medical Center</t>
  </si>
  <si>
    <t>Walgerens</t>
  </si>
  <si>
    <t>Prine Elementary</t>
  </si>
  <si>
    <t>Impact Fee Reimbursement - Manatee County</t>
  </si>
  <si>
    <t>Manatee County</t>
  </si>
  <si>
    <t>President &amp; CEO</t>
  </si>
  <si>
    <t>2024-039BSN</t>
  </si>
  <si>
    <t xml:space="preserve">Fort Myers, FL </t>
  </si>
  <si>
    <t>2024-009BSN</t>
  </si>
  <si>
    <t>0.560 mi</t>
  </si>
  <si>
    <t>Northpark at Scott Carver Phase IIA/IIB</t>
  </si>
  <si>
    <t>The indicated units meet the minimum RFA requirement of 76 units (50% x 151... [More In Detail]</t>
  </si>
  <si>
    <t>The indicated units meet the minimum requirement (50% x 151 = 76). The mini... [More In Detail]</t>
  </si>
  <si>
    <t>Edison Ave, SW of the intersection of Edison Ave and Wright St; Willard St,... [More In Detail]</t>
  </si>
  <si>
    <t>SS1: 26.632738, -81.849761; SS2: 26.631932, -81.849769; SS3: 26.631191, -81... [More In Detail]</t>
  </si>
  <si>
    <t>2024-054SN</t>
  </si>
  <si>
    <t>Archway Flats on 4th, LLLP</t>
  </si>
  <si>
    <t>Flats on 4th Developer, LLC</t>
  </si>
  <si>
    <t>Flats on 4th</t>
  </si>
  <si>
    <t>106th Ave N, Intersection of 106th Ave N and 4th Street N</t>
  </si>
  <si>
    <t>10496 Roosevelt Blvd N, St. Petersburg, FL 33716</t>
  </si>
  <si>
    <t>Docs Outside The Box</t>
  </si>
  <si>
    <t>8950 Dr M.L.K. Jr St N #102, St. Petersburg, FL 33702</t>
  </si>
  <si>
    <t>2024-017BSN</t>
  </si>
  <si>
    <t>The indicated units meet the minimum RFA requirement of 66 units (50% x 131... [More In Detail]</t>
  </si>
  <si>
    <t>The indicated units meet the minimum requirement (50% x 131 = 66). The mini... [More In Detail]</t>
  </si>
  <si>
    <t>National Community Renaissance</t>
  </si>
  <si>
    <t>9692 Haven Avenue, Suite 100</t>
  </si>
  <si>
    <t>(909) 204-3451</t>
  </si>
  <si>
    <t>mruane@nationalcore.org</t>
  </si>
  <si>
    <t xml:space="preserve">Ariana </t>
  </si>
  <si>
    <t xml:space="preserve">National Community Renaissance </t>
  </si>
  <si>
    <t>(410) 227-9540</t>
  </si>
  <si>
    <t>abrendle@nationalcore.org</t>
  </si>
  <si>
    <t>2024-034BSN</t>
  </si>
  <si>
    <t>Naranja at ACRUVA Communities, LLLP</t>
  </si>
  <si>
    <t>2024-023SN</t>
  </si>
  <si>
    <t>0.299 mi</t>
  </si>
  <si>
    <t>Barrett Park Apartments, LLC</t>
  </si>
  <si>
    <t>SHAG Barrett Park Developer, LLC</t>
  </si>
  <si>
    <t xml:space="preserve">Morris Manor </t>
  </si>
  <si>
    <t>SHAG Barrett Park, LLC</t>
  </si>
  <si>
    <t>G</t>
  </si>
  <si>
    <t>198 NE 6th Avenue</t>
  </si>
  <si>
    <t>(850) 628-0618</t>
  </si>
  <si>
    <t>Barrett Park Apartments</t>
  </si>
  <si>
    <t>Barrett Road, 1050' west of the intersection of Barrett Road and Lansdale ... [More In Detail]</t>
  </si>
  <si>
    <t>North Fort Myers, Unincorporated Lee County</t>
  </si>
  <si>
    <t>Tropic Isles Elementary School</t>
  </si>
  <si>
    <t xml:space="preserve">Lee County Housing Authority </t>
  </si>
  <si>
    <t>2024-047BSN</t>
  </si>
  <si>
    <t>BDG Mariposa Grove, LLC</t>
  </si>
  <si>
    <t>BDG Mariposa Grove Developer, LLC</t>
  </si>
  <si>
    <t>The indicated units meet the minimum RFA requirement of 69 units (50% x 138... [More In Detail]</t>
  </si>
  <si>
    <t>The indicated units meet the minimum requirement (50% x 138 = 69). The mini... [More In Detail]</t>
  </si>
  <si>
    <t>Banyan Development Group, LLC</t>
  </si>
  <si>
    <t>szimmerman@agpmanager.com</t>
  </si>
  <si>
    <t>Mariposa Grove</t>
  </si>
  <si>
    <t>417 East Jackson St, Orlando, Florida 32801</t>
  </si>
  <si>
    <t>Publix Super Market at The Paramount on Lake Eola</t>
  </si>
  <si>
    <t>Howard Middle School</t>
  </si>
  <si>
    <t>City of Orlando</t>
  </si>
  <si>
    <t>2024-055BSN</t>
  </si>
  <si>
    <t>Casa San Juan Diego, Ltd.</t>
  </si>
  <si>
    <t>CSJD Developer, Inc.</t>
  </si>
  <si>
    <t>CCHA Developer, LLC</t>
  </si>
  <si>
    <t>1001 Thurd Avenue West, Suite 200</t>
  </si>
  <si>
    <t>941907-4109</t>
  </si>
  <si>
    <t>Pueblo Bonito, Phase I</t>
  </si>
  <si>
    <t>239850-1729</t>
  </si>
  <si>
    <t>239691-5559</t>
  </si>
  <si>
    <t>Casa San Juan Diego</t>
  </si>
  <si>
    <t>Hancock St., SW of the intersection of Hancock St. and West Main Street</t>
  </si>
  <si>
    <t>Best Care Community and Family Health Center</t>
  </si>
  <si>
    <t>Pinecrest Elementary</t>
  </si>
  <si>
    <t>Collier County Housing Authority</t>
  </si>
  <si>
    <t>Local Grant</t>
  </si>
  <si>
    <t>Manager of GP of Applicant</t>
  </si>
  <si>
    <t>2024-002SN</t>
  </si>
  <si>
    <t>0.210 mi</t>
  </si>
  <si>
    <t>Avery Place Apartments, LLC</t>
  </si>
  <si>
    <t>Mark du Mas</t>
  </si>
  <si>
    <t>7334 Blanco Rd. Ste 300</t>
  </si>
  <si>
    <t xml:space="preserve">2730 Cumberland Blvd SE </t>
  </si>
  <si>
    <t>Soho Housing Partners, LLC</t>
  </si>
  <si>
    <t>1408 North Westshore Blvd Ste. 804</t>
  </si>
  <si>
    <t>Avery Place Apartments</t>
  </si>
  <si>
    <t>SW corner of N. H Street and W. Avery Street</t>
  </si>
  <si>
    <t>The City of Pensacola</t>
  </si>
  <si>
    <t xml:space="preserve">Vice President/COO </t>
  </si>
  <si>
    <t>2024-053BSN</t>
  </si>
  <si>
    <t>Pendana at West Lakes (Phase I)</t>
  </si>
  <si>
    <t xml:space="preserve">Aaron </t>
  </si>
  <si>
    <t>Sebring Ct, NE of the interesection of Sebring Ct and Country Club Dr</t>
  </si>
  <si>
    <t>2024-022BSN</t>
  </si>
  <si>
    <t>HTG Legacy I, Ltd.</t>
  </si>
  <si>
    <t>HTG Legacy I Developer, LLC</t>
  </si>
  <si>
    <t xml:space="preserve">HTG Management, LLC </t>
  </si>
  <si>
    <t>Legacy Park I</t>
  </si>
  <si>
    <t>4200 Evans Avenue</t>
  </si>
  <si>
    <t>3853 Cleveland Ave, Fort Myers, FL 33901</t>
  </si>
  <si>
    <t>Sante Plus Medical Center</t>
  </si>
  <si>
    <t>3822 Broadway Cir A, Fort Myers, FL 33901</t>
  </si>
  <si>
    <t>Orangewood Elementary School</t>
  </si>
  <si>
    <t>4001 Deleon St., Fort Myers, FL 33901</t>
  </si>
  <si>
    <t>City of Fort Myers Grant</t>
  </si>
  <si>
    <t xml:space="preserve">Manager of Special Limited Partner </t>
  </si>
  <si>
    <t>2024-001BSN</t>
  </si>
  <si>
    <t>CORE Hawthorne Heights LLLP</t>
  </si>
  <si>
    <t>CORE Hawthorne Heights Developer LLC</t>
  </si>
  <si>
    <t>909-204-3451</t>
  </si>
  <si>
    <t>Hawthorne Heights</t>
  </si>
  <si>
    <t>2420 SE Hawthorne Road</t>
  </si>
  <si>
    <t>Isaac Gill, Florida Department of Health in Alachua - Main Site - Gainesvil... [More In Detail]</t>
  </si>
  <si>
    <t xml:space="preserve">Joseph Williams Elementary </t>
  </si>
  <si>
    <t>The QCT is in the Alachua County HUD 2023 Metro QCT database.</t>
  </si>
  <si>
    <t>City of Gainesville Grant</t>
  </si>
  <si>
    <t>2024-025SN</t>
  </si>
  <si>
    <t>Perrine Apartments, Ltd.</t>
  </si>
  <si>
    <t>Perrine Development, LLC</t>
  </si>
  <si>
    <t>The indicated units meet the minimum RFA requirement of 58 units (50% x 116... [More In Detail]</t>
  </si>
  <si>
    <t>The indicated units meet the minimum requirement (50% x 116 = 58). The mini... [More In Detail]</t>
  </si>
  <si>
    <t>Perrine Village I</t>
  </si>
  <si>
    <t>On Duval Ave, southeast of the intersection of Duval Ave and W Evergreen St</t>
  </si>
  <si>
    <t>2024-040SN</t>
  </si>
  <si>
    <t>Perrine Apartments III, Ltd.</t>
  </si>
  <si>
    <t>Perrine Development III, LLC</t>
  </si>
  <si>
    <t>Perrine Village III</t>
  </si>
  <si>
    <t>On Homestead Ave, southwest of the intersection of W Jessamine St and Homes... [More In Detail]</t>
  </si>
  <si>
    <t>2024-021BSN</t>
  </si>
  <si>
    <t>HTG Nautilus, Ltd.</t>
  </si>
  <si>
    <t>HTG Nautilus Developer, LLC</t>
  </si>
  <si>
    <t>3225 Aviation Ave. 6th Floor</t>
  </si>
  <si>
    <t>The Nautilus</t>
  </si>
  <si>
    <t>2745 Swamp Cabbage Court</t>
  </si>
  <si>
    <t>3853 Cleveland Ave., Fort Myers, FL 33901</t>
  </si>
  <si>
    <t>4001 Deleon St, Fort Myers, FL 33901</t>
  </si>
  <si>
    <t>Manager of Special Limited Partner</t>
  </si>
  <si>
    <t>2024-041SN</t>
  </si>
  <si>
    <t>2024-029SN</t>
  </si>
  <si>
    <t>Carol A. Gardner</t>
  </si>
  <si>
    <t xml:space="preserve">Crystal </t>
  </si>
  <si>
    <t>Carol A Gardner</t>
  </si>
  <si>
    <t>Executive Director of the manager of the sole general partner</t>
  </si>
  <si>
    <t>2024-043BSN</t>
  </si>
  <si>
    <t>Volunteers of America National Services</t>
  </si>
  <si>
    <t>Meadows at Montebello II</t>
  </si>
  <si>
    <t>Volunteers of America Florida, Inc.</t>
  </si>
  <si>
    <t>Las Palmas LLC</t>
  </si>
  <si>
    <t xml:space="preserve">1660 Duke Street </t>
  </si>
  <si>
    <t xml:space="preserve">Walgreens </t>
  </si>
  <si>
    <t>SLAM! Miami</t>
  </si>
  <si>
    <t>Capital One-Predevelopment Grant</t>
  </si>
  <si>
    <t>Capital One Predevelopment Grant</t>
  </si>
  <si>
    <t>capital Magnet Fund</t>
  </si>
  <si>
    <t>2024-059BSN</t>
  </si>
  <si>
    <t>2024-004SN</t>
  </si>
  <si>
    <t>Morris Manor II, LLLP</t>
  </si>
  <si>
    <t>SHAG Morris Manor II Developer, LLC</t>
  </si>
  <si>
    <t>SHAG Morris Manor II, LLC</t>
  </si>
  <si>
    <t>Morris Manor Phase II</t>
  </si>
  <si>
    <t>Norfolk Blvd., northwest of the intersection of Norfolk Blvd., and Soutel D... [More In Detail]</t>
  </si>
  <si>
    <t>Overflow Health Alliance Inc.</t>
  </si>
  <si>
    <t>All People's Pharmacy</t>
  </si>
  <si>
    <t>Rutledge H Pearson Elementary School</t>
  </si>
  <si>
    <t>2024-027BSN</t>
  </si>
  <si>
    <t>BDG Fern Grove Phase Two, LP</t>
  </si>
  <si>
    <t>BDG Fern Grove Phase Two Developer, LLC</t>
  </si>
  <si>
    <t>The indicated units meet the minimum RFA requirement of 67 units (50% x 133... [More In Detail]</t>
  </si>
  <si>
    <t>The indicated units meet the minimum requirement (50% x 133 = 67). The mini... [More In Detail]</t>
  </si>
  <si>
    <t>Fern Grove Phase Two</t>
  </si>
  <si>
    <t>3750 WD Judge Drive</t>
  </si>
  <si>
    <t>Lotte Plaza Market at Orlando</t>
  </si>
  <si>
    <t>3191 W Colonial Dr, Orlando, FL 32808</t>
  </si>
  <si>
    <t>Community Health Centers</t>
  </si>
  <si>
    <t>840 Mercy Dr, Orlando, FL 32808</t>
  </si>
  <si>
    <t>Orlando Science Elementary School</t>
  </si>
  <si>
    <t>2611 Technology Dr, Orlando, FL 32804</t>
  </si>
  <si>
    <t>Manager of General Partner of Applicant</t>
  </si>
  <si>
    <t>2024-056BSN</t>
  </si>
  <si>
    <t>Bucks Run Dr., SE of the intersection of Bucks Run Dr. and Collier Blvd.</t>
  </si>
  <si>
    <t xml:space="preserve">Big Cypress Elementary </t>
  </si>
  <si>
    <t>2024-061BSN</t>
  </si>
  <si>
    <t>Professional Managemnet, Inc.</t>
  </si>
  <si>
    <t>2024-044SN</t>
  </si>
  <si>
    <t>2024-050SN</t>
  </si>
  <si>
    <t>0.85 mi</t>
  </si>
  <si>
    <t>0.83 mi</t>
  </si>
  <si>
    <t>0.850 mi</t>
  </si>
  <si>
    <t>Mayfield Place, Ltd.</t>
  </si>
  <si>
    <t>Mayfield Place Developer, LLC</t>
  </si>
  <si>
    <t>Mayfield Place</t>
  </si>
  <si>
    <t>Old Middleburg Rd. N, Approximately 900ft. NW of the intersection of Old Mi... [More In Detail]</t>
  </si>
  <si>
    <t>Edward H. White High School</t>
  </si>
  <si>
    <t>2024-031BSN</t>
  </si>
  <si>
    <t>CORE Hibiscus Pointe LLC</t>
  </si>
  <si>
    <t>CORE FL Developer VII LLC</t>
  </si>
  <si>
    <t>Hibiscus Pointe</t>
  </si>
  <si>
    <t>Candlelight Boulevard, Southeast of the intersection of Coachlight Lane and... [More In Detail]</t>
  </si>
  <si>
    <t>Brooksville</t>
  </si>
  <si>
    <t>veriMED Health Group Brooksville</t>
  </si>
  <si>
    <t>Hernando County Grant</t>
  </si>
  <si>
    <t>2024-060SN</t>
  </si>
  <si>
    <t>Egret Landing, LLC</t>
  </si>
  <si>
    <t>Egret Landing</t>
  </si>
  <si>
    <t>5804 and 5806 North Main St.</t>
  </si>
  <si>
    <t>Harveys Supermarket</t>
  </si>
  <si>
    <t>North Shore Elementary School</t>
  </si>
  <si>
    <t>2024-062BSN</t>
  </si>
  <si>
    <t>0.360 mi</t>
  </si>
  <si>
    <t>ECG South Ivey, LP</t>
  </si>
  <si>
    <t>ECG South Ivey Developer, LLC</t>
  </si>
  <si>
    <t>S Ivey Lane Apartments</t>
  </si>
  <si>
    <t>10 &amp; 30 South Ivey Lane</t>
  </si>
  <si>
    <t>Walmart Grocery</t>
  </si>
  <si>
    <t>Ivey Lane Elementary School</t>
  </si>
  <si>
    <t>2024-018SN</t>
  </si>
  <si>
    <t>Fort Myers Redevelopment, LLC</t>
  </si>
  <si>
    <t>3611/3621 Cleveland Avenue</t>
  </si>
  <si>
    <t>Cleveland Ave, ESE of the intersection of Cleveland Ave and Golfview Ave</t>
  </si>
  <si>
    <t>Save-A-Lot</t>
  </si>
  <si>
    <t>3593 Cleveland Avenue, Fort Myers, FL 33901</t>
  </si>
  <si>
    <t xml:space="preserve">Orangewood Elementary School </t>
  </si>
  <si>
    <t>4001 DeLeon Street, Fort Myers, 33901</t>
  </si>
  <si>
    <t>ED of the Sole Member of Manager of Applicant</t>
  </si>
  <si>
    <t>2024-063SN</t>
  </si>
  <si>
    <t>Village of Valor LTD</t>
  </si>
  <si>
    <t>Development Partners INC</t>
  </si>
  <si>
    <t>Kathy Makino</t>
  </si>
  <si>
    <t>Cherry Hill Square</t>
  </si>
  <si>
    <t>Inkster, MI</t>
  </si>
  <si>
    <t>The indicated units meet the minimum RFA requirement of 27 units (50% x 54)... [More In Detail]</t>
  </si>
  <si>
    <t>Danielle</t>
  </si>
  <si>
    <t>Stark</t>
  </si>
  <si>
    <t>RPM Living</t>
  </si>
  <si>
    <t>5508 Park.crest Dr 320</t>
  </si>
  <si>
    <t>Austin</t>
  </si>
  <si>
    <t>512-480-9886</t>
  </si>
  <si>
    <t>Danielle.stark@RPMLIVING.com</t>
  </si>
  <si>
    <t>Wellington Place</t>
  </si>
  <si>
    <t>Coppell, TX</t>
  </si>
  <si>
    <t>The indicated units meet the minimum requirement (50% x 54 = 27). The minim... [More In Detail]</t>
  </si>
  <si>
    <t>4 years</t>
  </si>
  <si>
    <t>The # of years indicated is less than the RFA minimum of 2 years. The minim... [More In Detail]</t>
  </si>
  <si>
    <t>The Springs</t>
  </si>
  <si>
    <t>Ft Worth, TX</t>
  </si>
  <si>
    <t>6 years</t>
  </si>
  <si>
    <t xml:space="preserve">A field for the above development is missing. </t>
  </si>
  <si>
    <t>Kathy</t>
  </si>
  <si>
    <t>Makino</t>
  </si>
  <si>
    <t>Development Partners Inc</t>
  </si>
  <si>
    <t>8445 E Jefferson</t>
  </si>
  <si>
    <t>Detroit</t>
  </si>
  <si>
    <t>MI</t>
  </si>
  <si>
    <t>734-905-8323</t>
  </si>
  <si>
    <t>kathy@shelbornedevelopment.net</t>
  </si>
  <si>
    <t>Village of Valor</t>
  </si>
  <si>
    <t>5.4 acres on Second Ave adjacent to 2652 Second Ave N</t>
  </si>
  <si>
    <t>Palm Springs</t>
  </si>
  <si>
    <t>Palm Springs Medical Offices</t>
  </si>
  <si>
    <t>Pharmoco RX</t>
  </si>
  <si>
    <t>Palm Beach Preparatory Charter Academy</t>
  </si>
  <si>
    <t>2022-008O-09</t>
  </si>
  <si>
    <t>NSP</t>
  </si>
  <si>
    <t>Waiver of Fees</t>
  </si>
  <si>
    <t>Member</t>
  </si>
  <si>
    <t>2024-013BSN</t>
  </si>
  <si>
    <t>0.088 mi</t>
  </si>
  <si>
    <t>Beacon Bayside Redevelopment, LLLP</t>
  </si>
  <si>
    <t>TEDC Affordable Communities Inc</t>
  </si>
  <si>
    <t xml:space="preserve">Carol </t>
  </si>
  <si>
    <t>Cutler Bay, Florida</t>
  </si>
  <si>
    <t>Bayside Breeze</t>
  </si>
  <si>
    <t>2024-046BSN</t>
  </si>
  <si>
    <t>2024-024BSN</t>
  </si>
  <si>
    <t>MCP Owner I, LLC</t>
  </si>
  <si>
    <t>MCP Developer I, LLC</t>
  </si>
  <si>
    <t>AFFORDABLE HOUSING PRESERVATION ADVISORS LLC</t>
  </si>
  <si>
    <t>Stephen D. Roger, Sr.</t>
  </si>
  <si>
    <t>Mission Del Rio</t>
  </si>
  <si>
    <t>San Antonio, Texas</t>
  </si>
  <si>
    <t>Lopez</t>
  </si>
  <si>
    <t>MCP Residential Developers, LLC</t>
  </si>
  <si>
    <t>2101 W Commercial Blvd, Suite 4800</t>
  </si>
  <si>
    <t>305.951.4745</t>
  </si>
  <si>
    <t>daniel@mcpropertypartners.com</t>
  </si>
  <si>
    <t>Promenade on Embers Lake (Phase I)</t>
  </si>
  <si>
    <t>West side of Nelson Rd N, 300 ft north of the intersection of Nelson Rd N &amp;... [More In Detail]</t>
  </si>
  <si>
    <t>Mariner Middle School</t>
  </si>
  <si>
    <t>Daniel M. Lopez</t>
  </si>
  <si>
    <t>MGR of DML Companies, LLC, MGR of MCP Manager, LLC, MGR of Applicant</t>
  </si>
  <si>
    <t>2024-020BSN</t>
  </si>
  <si>
    <t>Arbours at Emerald Springs, LLC</t>
  </si>
  <si>
    <t>Arbour Valley Development, LLC</t>
  </si>
  <si>
    <t>John O. Moore Jr.</t>
  </si>
  <si>
    <t>Arbours at Tumblin Creek</t>
  </si>
  <si>
    <t>Tinney</t>
  </si>
  <si>
    <t>Arbour Valley Mangement, LLC</t>
  </si>
  <si>
    <t>242 Inverness Center Drive</t>
  </si>
  <si>
    <t>205-909-0060</t>
  </si>
  <si>
    <t>Stephanie@arbourvalley.com</t>
  </si>
  <si>
    <t>Arbour Valley Management, LLC</t>
  </si>
  <si>
    <t>Arbours at Fort King</t>
  </si>
  <si>
    <t>Dade City, FL</t>
  </si>
  <si>
    <t>Sam</t>
  </si>
  <si>
    <t>Johnston</t>
  </si>
  <si>
    <t>Emerald Springs GP, LLC</t>
  </si>
  <si>
    <t>205-981-3300</t>
  </si>
  <si>
    <t>Sam@arbourvalley.com</t>
  </si>
  <si>
    <t>Taylor</t>
  </si>
  <si>
    <t>Price</t>
  </si>
  <si>
    <t>Taylor@arbourvalley.com</t>
  </si>
  <si>
    <t>Arbours at Emerald Springs</t>
  </si>
  <si>
    <t>Walton</t>
  </si>
  <si>
    <t>1000 feet North of the Intersection of South 20th Street and Wabash Avenue,... [More In Detail]</t>
  </si>
  <si>
    <t>DeFuniak Springs</t>
  </si>
  <si>
    <t>Alexander Neiman MD</t>
  </si>
  <si>
    <t>Fisher's Pharmacy</t>
  </si>
  <si>
    <t>Walton High School</t>
  </si>
  <si>
    <t>The QCT is in the Walton County HUD 2023 Metro QCT database.</t>
  </si>
  <si>
    <t>City of DeFuniak Springs</t>
  </si>
  <si>
    <t>Sam Johnston</t>
  </si>
  <si>
    <t>Managing Member, Emerald Springs GP, LLC, Manager</t>
  </si>
  <si>
    <t>2024-045BSN</t>
  </si>
  <si>
    <t>Driftwood Terrace, LLLP</t>
  </si>
  <si>
    <t>HHA Developer, LLC</t>
  </si>
  <si>
    <t>NDC Asset Management LLC</t>
  </si>
  <si>
    <t>1001 3rd Ave W, Suite 200</t>
  </si>
  <si>
    <t>Campbell Landings</t>
  </si>
  <si>
    <t>Driftwood Terrace</t>
  </si>
  <si>
    <t>Acquisition and Rehabilitation</t>
  </si>
  <si>
    <t>7300 Davie Road Extension</t>
  </si>
  <si>
    <t>Publix Super Market at Paradise Prominade</t>
  </si>
  <si>
    <t>Sole Health Medical Center</t>
  </si>
  <si>
    <t>Publix Pharmacy at Paradise Promenade</t>
  </si>
  <si>
    <t>Existing Units are currently occupied</t>
  </si>
  <si>
    <t>10 Points</t>
  </si>
  <si>
    <t>2024-016BSN</t>
  </si>
  <si>
    <t>Walden Senior Apartments, Ltd.</t>
  </si>
  <si>
    <t>Walden Senior Apartments Developer, LLC</t>
  </si>
  <si>
    <t>Jeffrey Sharkey</t>
  </si>
  <si>
    <t>Banyan Grove</t>
  </si>
  <si>
    <t>Key West,  FL</t>
  </si>
  <si>
    <t>Sharkey</t>
  </si>
  <si>
    <t>106 E. College Avenue, Suite 1110</t>
  </si>
  <si>
    <t>850-224-1660</t>
  </si>
  <si>
    <t>jeff@capitolalliancegroup.com</t>
  </si>
  <si>
    <t>Walden Senior Apartments</t>
  </si>
  <si>
    <t>3080 Walden Road</t>
  </si>
  <si>
    <t>Existing Units are not currently occupied</t>
  </si>
  <si>
    <t>Total</t>
  </si>
  <si>
    <t>Average</t>
  </si>
  <si>
    <t>NC-GA-ESS</t>
  </si>
  <si>
    <t>NC-GA-Non</t>
  </si>
  <si>
    <t>NC-MR-ESS</t>
  </si>
  <si>
    <t>NC-MR-Non</t>
  </si>
  <si>
    <t>NC-HR-ESS</t>
  </si>
  <si>
    <t>AR-GA-ESS</t>
  </si>
  <si>
    <t>AR-GA-Non</t>
  </si>
  <si>
    <t>NC-GA</t>
  </si>
  <si>
    <t>NC-MR</t>
  </si>
  <si>
    <t>NC-HR</t>
  </si>
  <si>
    <t>AR-GA</t>
  </si>
  <si>
    <t>NC-ESS</t>
  </si>
  <si>
    <t>NC-Non</t>
  </si>
  <si>
    <t>Boost</t>
  </si>
  <si>
    <t>No Boost</t>
  </si>
  <si>
    <t>Demolition Required</t>
  </si>
  <si>
    <t>Demolition Units</t>
  </si>
  <si>
    <t>Demolition LargeIncrease</t>
  </si>
  <si>
    <t>Demolition SubstantialDamage</t>
  </si>
  <si>
    <t>County Classification</t>
  </si>
  <si>
    <t>twentyeight AMI HC</t>
  </si>
  <si>
    <t>twentyeight AMI non avg inc</t>
  </si>
  <si>
    <t>twentyeight non avg inc</t>
  </si>
  <si>
    <t>RRLP Base Request Amount</t>
  </si>
  <si>
    <t>RRLP ELI Request Amount</t>
  </si>
  <si>
    <t>Qualifies For PHA Goal</t>
  </si>
  <si>
    <t>Actual Accessory eligible</t>
  </si>
  <si>
    <t>Actual Accessory total</t>
  </si>
  <si>
    <t>Actual NewUnits eligible</t>
  </si>
  <si>
    <t>Actual NewUnits ineligible</t>
  </si>
  <si>
    <t>Actual NewUnits total</t>
  </si>
  <si>
    <t>Actual Offsite ineligible</t>
  </si>
  <si>
    <t>Actual Offsite total</t>
  </si>
  <si>
    <t>Actual recreational eligible</t>
  </si>
  <si>
    <t>Actual recreational total</t>
  </si>
  <si>
    <t>Actual sitework eligible</t>
  </si>
  <si>
    <t>Actual sitework ineligible</t>
  </si>
  <si>
    <t>Actual sitework total</t>
  </si>
  <si>
    <t>General Accounting eligible</t>
  </si>
  <si>
    <t>General Accounting ineligible</t>
  </si>
  <si>
    <t>General Accounting total</t>
  </si>
  <si>
    <t>General Appraisal eligible</t>
  </si>
  <si>
    <t>General Appraisal total</t>
  </si>
  <si>
    <t>General Architectfeedesign eligible</t>
  </si>
  <si>
    <t>General Architectfeedesign total</t>
  </si>
  <si>
    <t>General Architectfeesupervision eligible</t>
  </si>
  <si>
    <t>General Architectfeesupervision total</t>
  </si>
  <si>
    <t>General builder ins eligible</t>
  </si>
  <si>
    <t>General builder ins ineligible</t>
  </si>
  <si>
    <t>General builder ins total</t>
  </si>
  <si>
    <t>General permit eligible</t>
  </si>
  <si>
    <t>General permit total</t>
  </si>
  <si>
    <t>General capitalneeds eligible</t>
  </si>
  <si>
    <t>General capitalneeds total</t>
  </si>
  <si>
    <t>General engineering eligible</t>
  </si>
  <si>
    <t>General engineering ineligible</t>
  </si>
  <si>
    <t>General engineering total</t>
  </si>
  <si>
    <t>General environmental eligible</t>
  </si>
  <si>
    <t>General environmental total</t>
  </si>
  <si>
    <t>General adminfee ineligible</t>
  </si>
  <si>
    <t>General adminfee total</t>
  </si>
  <si>
    <t>General applicationfee ineligible</t>
  </si>
  <si>
    <t>General applicationfee total</t>
  </si>
  <si>
    <t>General compliancefee ineligible</t>
  </si>
  <si>
    <t>General compliancefee total</t>
  </si>
  <si>
    <t>General cu fee ineligible</t>
  </si>
  <si>
    <t>General cu fee total</t>
  </si>
  <si>
    <t>General HERS eligible</t>
  </si>
  <si>
    <t>General HERS total</t>
  </si>
  <si>
    <t>General Impact eligible</t>
  </si>
  <si>
    <t>General Impact total</t>
  </si>
  <si>
    <t>General inspectionfee eligible</t>
  </si>
  <si>
    <t>General inspectionfee ineligible</t>
  </si>
  <si>
    <t>General inspectionfee total</t>
  </si>
  <si>
    <t>General insurance eligible</t>
  </si>
  <si>
    <t>General insurance ineligible</t>
  </si>
  <si>
    <t>General insurance total</t>
  </si>
  <si>
    <t>General legalfee eligible</t>
  </si>
  <si>
    <t>General legalfee ineligible</t>
  </si>
  <si>
    <t>General legalfee total</t>
  </si>
  <si>
    <t>General marketstudy eligible</t>
  </si>
  <si>
    <t>General marketstudy ineligible</t>
  </si>
  <si>
    <t>General marketstudy total</t>
  </si>
  <si>
    <t>General marketing ineligible</t>
  </si>
  <si>
    <t>General marketing total</t>
  </si>
  <si>
    <t>General propertytaxes eligible</t>
  </si>
  <si>
    <t>General propertytaxes ineligible</t>
  </si>
  <si>
    <t>General propertytaxes total</t>
  </si>
  <si>
    <t>General soiltest eligible</t>
  </si>
  <si>
    <t>General soiltest total</t>
  </si>
  <si>
    <t>General survey eligible</t>
  </si>
  <si>
    <t>General survey ineligible</t>
  </si>
  <si>
    <t>General survey total</t>
  </si>
  <si>
    <t>General titleinsurance eligible</t>
  </si>
  <si>
    <t>General titleinsurance ineligible</t>
  </si>
  <si>
    <t>General titleinsurance total</t>
  </si>
  <si>
    <t>General utilityconnection eligible</t>
  </si>
  <si>
    <t>General utilityconnection total</t>
  </si>
  <si>
    <t>Financial constr enhancement total</t>
  </si>
  <si>
    <t>Financial constr interest eligible</t>
  </si>
  <si>
    <t>Financial constr interest ineligible</t>
  </si>
  <si>
    <t>Financial constr interest total</t>
  </si>
  <si>
    <t>Financial nonperm closing eligible</t>
  </si>
  <si>
    <t>Financial nonperm closing ineligible</t>
  </si>
  <si>
    <t>Financial nonperm closing total</t>
  </si>
  <si>
    <t>Financial perm enhancement total</t>
  </si>
  <si>
    <t>Financial perm closing ineligible</t>
  </si>
  <si>
    <t>Financial perm closing total</t>
  </si>
  <si>
    <t>Financial bridge commitment total</t>
  </si>
  <si>
    <t>ConstrAnalysis  8th Mtg</t>
  </si>
  <si>
    <t>PermAnalysis  8th Mtg</t>
  </si>
  <si>
    <t>TDC Base Limit</t>
  </si>
  <si>
    <t>FO TDC PU Limit</t>
  </si>
  <si>
    <t>TDC PU Actual</t>
  </si>
  <si>
    <t>TDC PU Met</t>
  </si>
  <si>
    <t>2023-217R</t>
  </si>
  <si>
    <t>RFA 2023-304</t>
  </si>
  <si>
    <t>SP Pinelles III LLC</t>
  </si>
  <si>
    <t>Belle Glade, FL</t>
  </si>
  <si>
    <t>Steve</t>
  </si>
  <si>
    <t>2023-227BR</t>
  </si>
  <si>
    <t>0.71 mi</t>
  </si>
  <si>
    <t xml:space="preserve">Arbor Ridge Housing Partners, LP </t>
  </si>
  <si>
    <t>NuRock Development Partners, Inc.</t>
  </si>
  <si>
    <t>The indicated units meet the minimum RFA requirement of 70 units (50% x 140... [More In Detail]</t>
  </si>
  <si>
    <t>Residences at Barnett Park</t>
  </si>
  <si>
    <t>1605 Mercy Drive</t>
  </si>
  <si>
    <t>Wal-Mart Supercenter</t>
  </si>
  <si>
    <t>3101 W Princeton St, Orlando, FL 32808</t>
  </si>
  <si>
    <t>Wal-Mart Supercenter/Pharmacy</t>
  </si>
  <si>
    <t>Lucious &amp; Emma Nixon Academy Charter School</t>
  </si>
  <si>
    <t>1780 Mercy Drive, Orlando 32808</t>
  </si>
  <si>
    <t>2023-222BR</t>
  </si>
  <si>
    <t>Renaissance Hall Senior Living, LLLP</t>
  </si>
  <si>
    <t>Naranja, Florida</t>
  </si>
  <si>
    <t>Renaissance Hall Senior Living</t>
  </si>
  <si>
    <t>On Collier Boulevard (State Road 951), approximately 4,000 Feet South of th... [More In Detail]</t>
  </si>
  <si>
    <t>4849 Golden Gate Pkwy, Naples, FL 34116</t>
  </si>
  <si>
    <t>Gulf Shore Apothecary Pharmacy</t>
  </si>
  <si>
    <t xml:space="preserve">11669 Collier Blvd., Naples, FL 34116 </t>
  </si>
  <si>
    <t>Lavern Gaynor Elementary School</t>
  </si>
  <si>
    <t>2965 44th Terrace SW Naples, FL 34116</t>
  </si>
  <si>
    <t>The Applicant did not enter the name of a local government in the Local Gov... [More In Detail]</t>
  </si>
  <si>
    <t>FHFC ELI</t>
  </si>
  <si>
    <t xml:space="preserve">President </t>
  </si>
  <si>
    <t>2023-207BR</t>
  </si>
  <si>
    <t>Daniel F. Acosta</t>
  </si>
  <si>
    <t>Royal American Management Company, Inc</t>
  </si>
  <si>
    <t>939, 959, 975 Ridge Rd.</t>
  </si>
  <si>
    <t>2023-202BR</t>
  </si>
  <si>
    <t>CORE Oak Park LLLP</t>
  </si>
  <si>
    <t>CORE Oak Park Developer LLC</t>
  </si>
  <si>
    <t>Oak Park</t>
  </si>
  <si>
    <t>3875/3885 E. Michigan Avenue</t>
  </si>
  <si>
    <t>La Mexicana</t>
  </si>
  <si>
    <t>1441 Ortiz Ave., Fort Myers, FL 33905</t>
  </si>
  <si>
    <t>4204 Palm Beach Blvd, Fort Myers, FL 33905</t>
  </si>
  <si>
    <t>James Stephen Elementary School</t>
  </si>
  <si>
    <t>1333 Marsh Ave., Fort Myers, FL 33905</t>
  </si>
  <si>
    <t>Executive Vice President</t>
  </si>
  <si>
    <t>2023-214BR</t>
  </si>
  <si>
    <t>CORE-3RD WAVE LLLP</t>
  </si>
  <si>
    <t>3rd Wave Affordable Developer LLC</t>
  </si>
  <si>
    <t>Avid @ Coral Shores</t>
  </si>
  <si>
    <t>3020 Ceitus Parkway</t>
  </si>
  <si>
    <t>Publix Super Market at Coral Shores</t>
  </si>
  <si>
    <t>3015 SW Pine Island Rd Cape Coral, FL 33991</t>
  </si>
  <si>
    <t>Trafalgar Middle School</t>
  </si>
  <si>
    <t>2120 Trafalgar Pkwy Cape Coral, FL 33991</t>
  </si>
  <si>
    <t>2023-201R</t>
  </si>
  <si>
    <t>0.38 mi</t>
  </si>
  <si>
    <t>Lofts on Lemon II, LLC</t>
  </si>
  <si>
    <t>Lofts II Fortis Developer, LLC</t>
  </si>
  <si>
    <t>SHA Affordable Development, LLC</t>
  </si>
  <si>
    <t>The indicated units meet the minimum RFA requirement of 47 units (50% x 93)... [More In Detail]</t>
  </si>
  <si>
    <t>Lofts on Lemon Phase II</t>
  </si>
  <si>
    <t>N Lemon Ave., Southwest of the intersection of N Lemon Ave. and 9th St., Sa... [More In Detail]</t>
  </si>
  <si>
    <t>Publix Supermarket at Broadway Promenade</t>
  </si>
  <si>
    <t>1044 N Tamiami Trail, Sarasota, FL 34236</t>
  </si>
  <si>
    <t>Sarasota School of Arts &amp; Sciences</t>
  </si>
  <si>
    <t>717 Central Ave, Sarasota, FL 34236</t>
  </si>
  <si>
    <t>Sarasota Housing Authority</t>
  </si>
  <si>
    <t>Authorized Representative</t>
  </si>
  <si>
    <t>2023-221BR</t>
  </si>
  <si>
    <t>The Enclave at Canopy Partners, LLC</t>
  </si>
  <si>
    <t>The Enclave at Canopy Park Developer, LLC</t>
  </si>
  <si>
    <t>The Enclave at Canopy Park</t>
  </si>
  <si>
    <t xml:space="preserve"> 45th Street, Intersection of Rio Grande Ave and 45th Street</t>
  </si>
  <si>
    <t>4624 S. Orange Blossom Trail Orlando, FL 32839</t>
  </si>
  <si>
    <t>5265 S John Young Pkwy, Orlando, FL 32839</t>
  </si>
  <si>
    <t>Pineloch Elementary School</t>
  </si>
  <si>
    <t>3101 Woods Ave Orlando, FL 32805</t>
  </si>
  <si>
    <t>2023-205BR</t>
  </si>
  <si>
    <t>3510 Dr Martin Luther King Jr Blvd #1, Fort Myers, FL 33916</t>
  </si>
  <si>
    <t>Franklin Park Elementary School</t>
  </si>
  <si>
    <t>2323 Ford St, Fort Myers, FL 33916</t>
  </si>
  <si>
    <t>2023-200BR</t>
  </si>
  <si>
    <t>3750 WD Judge Dr</t>
  </si>
  <si>
    <t>2023-210BR</t>
  </si>
  <si>
    <t>0.39 mi</t>
  </si>
  <si>
    <t>0.400 mi</t>
  </si>
  <si>
    <t>St. Peter Claver Place II, Ltd.</t>
  </si>
  <si>
    <t xml:space="preserve">St. Peter Claver Developer, Inc. </t>
  </si>
  <si>
    <t>Oakwood Terrace Subdivision</t>
  </si>
  <si>
    <t xml:space="preserve">Richard </t>
  </si>
  <si>
    <t>St. Peter Claver Place II</t>
  </si>
  <si>
    <t>Michigan Ave, 1285 ft NNE of the intersection of Michigan Ave and Zapato Av... [More In Detail]</t>
  </si>
  <si>
    <t>SS1 26.650610, -81.832270; SS2 26.649487, -81.831903; SS3 26.650509, -81.83... [More In Detail]</t>
  </si>
  <si>
    <t>Bravo</t>
  </si>
  <si>
    <t>4031 Palm Beach Blvd.    Fort Myers, Florida 33916</t>
  </si>
  <si>
    <t>4204 Palm Beach Blvd.   Fort Myers, Florida 33916</t>
  </si>
  <si>
    <t>James Stephens</t>
  </si>
  <si>
    <t>1333 Marsh Avenue       Fort Myers, Florida 33905</t>
  </si>
  <si>
    <t>2021-222BS</t>
  </si>
  <si>
    <t>Manager of the GP of Applicant</t>
  </si>
  <si>
    <t>2023-209BR</t>
  </si>
  <si>
    <t>Hancock St, SW of the intersection of Hancock St and West Main St.</t>
  </si>
  <si>
    <t>214 South 1st St, Ste A &amp; B Immokalee, FL 34142</t>
  </si>
  <si>
    <t>1450 Immokalee Drive Immokalee, FL 34142</t>
  </si>
  <si>
    <t>313 S. 9th Street   Immokalee, FL 34142</t>
  </si>
  <si>
    <t>Manager of the GP of the Applicant</t>
  </si>
  <si>
    <t>2023-198BR</t>
  </si>
  <si>
    <t>The indicated units meet the minimum RFA requirement of 48 units (50% x 95)... [More In Detail]</t>
  </si>
  <si>
    <t>AdventHealth Partin Settlement ER</t>
  </si>
  <si>
    <t>2500 E Irlo Bronson Memorial Highway, Kissimmee, FL 34744</t>
  </si>
  <si>
    <t>2023-208BR</t>
  </si>
  <si>
    <t>Manager of the Managing Member of the Applicant's Manager</t>
  </si>
  <si>
    <t>2023-229BR</t>
  </si>
  <si>
    <t>1.15 mi</t>
  </si>
  <si>
    <t>MHP Lee I, LLC</t>
  </si>
  <si>
    <t>MHP Lee I Developer, LLC</t>
  </si>
  <si>
    <t>Magnolia Oaks</t>
  </si>
  <si>
    <t>Ekos on Evans</t>
  </si>
  <si>
    <t>3501 Evans Avenue, Fort Myers</t>
  </si>
  <si>
    <t>3257 Cleveland Ave., Fort Myers, FL 33901</t>
  </si>
  <si>
    <t>3593 Cleveland Ave, Fort Myers, FL 33901</t>
  </si>
  <si>
    <t>Fort Myers Middle Academy</t>
  </si>
  <si>
    <t>3050 Central Ave, Fort Myers, FL 33901</t>
  </si>
  <si>
    <t>Manager of Shear Holdings, LLC, the Manager of MHP Lee I Manager, LLC, the ... [More In Detail]</t>
  </si>
  <si>
    <t>2023-206BR</t>
  </si>
  <si>
    <t>Lakewood Senior Housing, LLLP</t>
  </si>
  <si>
    <t>Lakewood Senior Housing</t>
  </si>
  <si>
    <t>On Jimmy Ann Dr., approximately 230 feet west of the intersection of Jimmy ... [More In Detail]</t>
  </si>
  <si>
    <t>Century Clinical Family Medicine</t>
  </si>
  <si>
    <t>1410 LPG Blvd. #136 Daytona Beach, FL 32117</t>
  </si>
  <si>
    <t>1891 LPGA Blvd, Daytona Beach, FL 32117</t>
  </si>
  <si>
    <t>Westside Elementary School</t>
  </si>
  <si>
    <t>1700 5th St, Daytona Beach, FL 32117</t>
  </si>
  <si>
    <t>2023-211R</t>
  </si>
  <si>
    <t>1.20 mi</t>
  </si>
  <si>
    <t>Amaryllis Park Place III, LLC</t>
  </si>
  <si>
    <t>Amaryllis III Fortis Developer, LLC</t>
  </si>
  <si>
    <t>Amaryllis Park Place III</t>
  </si>
  <si>
    <t>21st Street, Approximately 500 feet southeast of the intersection of 21st S... [More In Detail]</t>
  </si>
  <si>
    <t>717 Central Avenue, Sarasota, FL 34236</t>
  </si>
  <si>
    <t>The QCT is in the Sarasota County HUD 2023 Metro QCT database.</t>
  </si>
  <si>
    <t>2023-223BR</t>
  </si>
  <si>
    <t>11201 N Tatum Blvd., Suite 260</t>
  </si>
  <si>
    <t>EKOS on Pine</t>
  </si>
  <si>
    <t>West side of Pine Street, northwest of the intersection of Pine St. and Mor... [More In Detail]</t>
  </si>
  <si>
    <t>Unincorporated Sarasota County, FL</t>
  </si>
  <si>
    <t>Sunflower Market Discount Grocery</t>
  </si>
  <si>
    <t>431 S Indiana Ave Englewood, FL 34223</t>
  </si>
  <si>
    <t>HCA Florida Englewood Hospital</t>
  </si>
  <si>
    <t>700 Medical Blvd Englewood, FL 34223</t>
  </si>
  <si>
    <t>Englewood Sky Academy- a Public Charter Middle School</t>
  </si>
  <si>
    <t>871 S River Rd Englewood, FL 34223</t>
  </si>
  <si>
    <t>COO of MHP Sarasota I SLP, LLC, the Special Limited Partner of the Applican... [More In Detail]</t>
  </si>
  <si>
    <t>2023-212BR</t>
  </si>
  <si>
    <t>West side of N. Cleveland Avenue, approximately 1,400 feet north of the int... [More In Detail]</t>
  </si>
  <si>
    <t>545 Pine Island Rd., North Fort Myers, FL 33903</t>
  </si>
  <si>
    <t>Manager of the Manager of the Applicant's Special Limited Partner</t>
  </si>
  <si>
    <t>2023-196BR</t>
  </si>
  <si>
    <t>0.50 mi</t>
  </si>
  <si>
    <t>ECG Town Oaks, LP</t>
  </si>
  <si>
    <t>ECG Town Oaks Developer, LLC</t>
  </si>
  <si>
    <t>118 16th Ave S.</t>
  </si>
  <si>
    <t>Town Oaks Apartments</t>
  </si>
  <si>
    <t>1140 S Parramore Ave.</t>
  </si>
  <si>
    <t>Care Spot</t>
  </si>
  <si>
    <t>2323 S Orange Ave, Orlando, FL 32806</t>
  </si>
  <si>
    <t>1200 Kuhl Ave, Orlando, FL 32806</t>
  </si>
  <si>
    <t>Jones High School</t>
  </si>
  <si>
    <t>801 Rio Grande Ave, Orlando, FL 32805</t>
  </si>
  <si>
    <t>2023-230BR</t>
  </si>
  <si>
    <t>MHP Lee II, LLC</t>
  </si>
  <si>
    <t>MHP Lee II Developer, LLC</t>
  </si>
  <si>
    <t>Ekos Del Prado</t>
  </si>
  <si>
    <t>16220 North Cleveland Ave., Lee County, FL 33903</t>
  </si>
  <si>
    <t>Dr. Carrie D. Robinson Littleton Elementary School</t>
  </si>
  <si>
    <t>Manager of Shear Holdings, LLC, the Manager of MHP Lee II Manager, LLC the ... [More In Detail]</t>
  </si>
  <si>
    <t>2023-197BR</t>
  </si>
  <si>
    <t>Archway Princeton Oaks, LLC</t>
  </si>
  <si>
    <t>Archway Princeton Oaks Developer, LLC</t>
  </si>
  <si>
    <t>Princeton Oaks</t>
  </si>
  <si>
    <t>3931 West New Hampshire Street</t>
  </si>
  <si>
    <t>3101 W Princeton St., Orlando, FL 32808</t>
  </si>
  <si>
    <t>Mollie Ray Elementary School</t>
  </si>
  <si>
    <t>2000 Beecher St., Orlando, FL 32808</t>
  </si>
  <si>
    <t>2023-216BR</t>
  </si>
  <si>
    <t>SP Palms LLC</t>
  </si>
  <si>
    <t>Palms Landing</t>
  </si>
  <si>
    <t>3851 E Michigan Avenue, Fort Myers, FL 33905</t>
  </si>
  <si>
    <t>1441 Ortiz Ave Fort Myers, FL 33905</t>
  </si>
  <si>
    <t>James Stephens Elementary</t>
  </si>
  <si>
    <t>1333 Marsh Ave, Fort Myers, FL 33905</t>
  </si>
  <si>
    <t>2023-195BR</t>
  </si>
  <si>
    <t>Matthew A Rieger</t>
  </si>
  <si>
    <t xml:space="preserve">A </t>
  </si>
  <si>
    <t>Manager of SLP</t>
  </si>
  <si>
    <t>2023-199BR</t>
  </si>
  <si>
    <t xml:space="preserve">2745 Swamp Cabbage Court </t>
  </si>
  <si>
    <t>2023-220BR</t>
  </si>
  <si>
    <t>HTG Legacy II, Ltd.</t>
  </si>
  <si>
    <t>HTG Legacy II Developer, LLC</t>
  </si>
  <si>
    <t>Legacy Park II</t>
  </si>
  <si>
    <t>Oak Ridge Ct., at the intersection of Oak Ridge Ct. and Evans Ave.</t>
  </si>
  <si>
    <t>2023-226BR</t>
  </si>
  <si>
    <t>Blue Ian, LLC</t>
  </si>
  <si>
    <t xml:space="preserve">Blue Ian Developer, LLC </t>
  </si>
  <si>
    <t xml:space="preserve">Laurel </t>
  </si>
  <si>
    <t>180 Fountain Parkway N, Suite 100</t>
  </si>
  <si>
    <t>New York Avenue Apartments</t>
  </si>
  <si>
    <t>225 W New York Ave</t>
  </si>
  <si>
    <t>DeLand</t>
  </si>
  <si>
    <t>1050 New York Ave W DeLand, FL 32720</t>
  </si>
  <si>
    <t>300 E New York Ave DeLand, FL 32724</t>
  </si>
  <si>
    <t>George Marks Elementary School</t>
  </si>
  <si>
    <t>1000 N Garfield Ave Deland, FL 32724</t>
  </si>
  <si>
    <t>2023-225BR</t>
  </si>
  <si>
    <t>0.590 mi</t>
  </si>
  <si>
    <t>SP North LLC</t>
  </si>
  <si>
    <t>Orange Grove</t>
  </si>
  <si>
    <t>East side of Ortiz Avenue approx. 100 feet South of the intersection of Ort... [More In Detail]</t>
  </si>
  <si>
    <t xml:space="preserve">Maxx Foods </t>
  </si>
  <si>
    <t>4610 Palm Beach Blvd, Fort Myers, FL 33905</t>
  </si>
  <si>
    <t>4710 Palm Beach Blvd, Fort Myers, FL 33905</t>
  </si>
  <si>
    <t>Tice Elementary</t>
  </si>
  <si>
    <t>4524 Tice St, Fort Myers, FL 33905</t>
  </si>
  <si>
    <t>2023-203R</t>
  </si>
  <si>
    <t>2023-204BR</t>
  </si>
  <si>
    <t xml:space="preserve">Holly Point Apartments </t>
  </si>
  <si>
    <t>Enclave at Endeavor</t>
  </si>
  <si>
    <t>16380 N Cleveland Ave, North Fort Myers, FL 33903</t>
  </si>
  <si>
    <t>Unicorporated Lee County</t>
  </si>
  <si>
    <t>545 Pine Island Rd, North Fort Myers, FL 33903</t>
  </si>
  <si>
    <t>16000 N Cleveland Ave, North Fort Myers, FL 33903</t>
  </si>
  <si>
    <t>700 Hutto Rd, North Fort Myers, FL 33903</t>
  </si>
  <si>
    <t>Vice President of Waddell Plantation Inc</t>
  </si>
  <si>
    <t>2023-228R</t>
  </si>
  <si>
    <t>Vesta Esperanza Village Owner, LLC</t>
  </si>
  <si>
    <t>Middleburg Development, LLC</t>
  </si>
  <si>
    <t>Vesta Esperanza Village</t>
  </si>
  <si>
    <t>27750 Bermont Road, unincorporated Charlotte County, FL</t>
  </si>
  <si>
    <t>27680 Bermont Rd, Punta Gorda, FL 33982</t>
  </si>
  <si>
    <t>East Elementary School</t>
  </si>
  <si>
    <t>27050 Fairway Dr., Punta Gorda, FL 33982</t>
  </si>
  <si>
    <t>Kory Geans</t>
  </si>
  <si>
    <t>President of the Manager of the Applicant</t>
  </si>
  <si>
    <t>2023-213BR</t>
  </si>
  <si>
    <t>Emerson Place, LLC</t>
  </si>
  <si>
    <t>UAD Emerson Place, LLC</t>
  </si>
  <si>
    <t>The indicated units meet the minimum RFA requirement of 32 units (50% x 64)... [More In Detail]</t>
  </si>
  <si>
    <t>JMG Realty, LLC ( wholly owned by Asset Plus USA, LLC and operating under b... [More In Detail]</t>
  </si>
  <si>
    <t>4840 Dairy Road; Ste. 103</t>
  </si>
  <si>
    <t>Emerson Place</t>
  </si>
  <si>
    <t>East Alsobrook Street, Northwest of the intersection of South Morgan Street... [More In Detail]</t>
  </si>
  <si>
    <t>Plant City</t>
  </si>
  <si>
    <t>1401 S. Collins Street Plant City, FL 33563</t>
  </si>
  <si>
    <t>Super Discount Pharmacy</t>
  </si>
  <si>
    <t>1423 S. Collins Street Plant City, FL 33563</t>
  </si>
  <si>
    <t>Lincoln Elementary Magnet School</t>
  </si>
  <si>
    <t>1207 E. Renfro Street Plant City, FL 33563</t>
  </si>
  <si>
    <t>2023-219BR</t>
  </si>
  <si>
    <t>Flats on 4th, LLC</t>
  </si>
  <si>
    <t>2023-215BR</t>
  </si>
  <si>
    <t>Herschell St., 150 ft W of Herschell St. &amp; Webster Ave. Intersection, Lakel... [More In Detail]</t>
  </si>
  <si>
    <t>Rosabelle W. Blake Academy</t>
  </si>
  <si>
    <t>Manager of GP</t>
  </si>
  <si>
    <t>2023-224BR</t>
  </si>
  <si>
    <t>0.130 mi</t>
  </si>
  <si>
    <t>MHP Volusia I, LTD</t>
  </si>
  <si>
    <t>MHP Volusia I Developer, LLC</t>
  </si>
  <si>
    <t>Ekos on Vine</t>
  </si>
  <si>
    <t>9th Street, Southwest corner of 9th Street and Vine Street, Daytona Beach</t>
  </si>
  <si>
    <t>1541 N Nova Rd., Daytona Beach, FL 32117</t>
  </si>
  <si>
    <t>1600 Nova Rd. Holly Hill, FL 32117</t>
  </si>
  <si>
    <t>Westside Elementary</t>
  </si>
  <si>
    <t>1700 5th St., Daytona Beach, FL 32117</t>
  </si>
  <si>
    <t>COO of MHP Volusia I SLP, LLC, the special limited partner of the Applicant</t>
  </si>
  <si>
    <t>2023-218BR</t>
  </si>
  <si>
    <t>SP Estates Apartments LLC</t>
  </si>
  <si>
    <t>Ellen Estates</t>
  </si>
  <si>
    <t>10302 Ellen Avenue, Tampa, FL 33610</t>
  </si>
  <si>
    <t>Family Dollar</t>
  </si>
  <si>
    <t>9604 E DR Martin Luther King JR Blvd, Tampa, FL</t>
  </si>
  <si>
    <t>Strive Pharmacy</t>
  </si>
  <si>
    <t>3906 Cragmont Dr Tampa, FL</t>
  </si>
  <si>
    <t>Mango Elementary</t>
  </si>
  <si>
    <t xml:space="preserve">4220 County Rd 579, Seffner, FL </t>
  </si>
  <si>
    <t>Eligible Competitive HC Request Amount
(Max TBD)</t>
  </si>
  <si>
    <t>Eligible Competitive HC Request Amount
(LocalHFA App Year)</t>
  </si>
  <si>
    <t>ConstrAnalysis  7th Mtg (SAIL)</t>
  </si>
  <si>
    <t>PermAnalysis  7th Mtg (SAIL)</t>
  </si>
  <si>
    <t>ConstrAnalysis  7th Mtg (RRLP)</t>
  </si>
  <si>
    <t>Grant/Fee Waiver</t>
  </si>
  <si>
    <t>Loan/Fee Waiver</t>
  </si>
  <si>
    <t>Okaloosa County/City of Fort Walton Beach</t>
  </si>
  <si>
    <t>4420124+366717</t>
  </si>
  <si>
    <t>4290590+144809</t>
  </si>
  <si>
    <t>990435+100</t>
  </si>
  <si>
    <t>2750000+2350000</t>
  </si>
  <si>
    <t>Capital Magnet Funds (Other)</t>
  </si>
  <si>
    <t>100+1150000</t>
  </si>
  <si>
    <t>3662824+223455</t>
  </si>
  <si>
    <t>0+1582270</t>
  </si>
  <si>
    <t>1372263+22737</t>
  </si>
  <si>
    <t>200000+70000</t>
  </si>
  <si>
    <t>10000+5000</t>
  </si>
  <si>
    <t>0+20000</t>
  </si>
  <si>
    <t>0+2500</t>
  </si>
  <si>
    <t>97827+41926</t>
  </si>
  <si>
    <t>148250+77750</t>
  </si>
  <si>
    <t>0+493460</t>
  </si>
  <si>
    <t>148250+152750</t>
  </si>
  <si>
    <t>PermAnalysis  7th Mtg (RRLP)</t>
  </si>
  <si>
    <t>GP Equity (Other)</t>
  </si>
  <si>
    <t>2000000+3000000</t>
  </si>
  <si>
    <t>10500000+5000000</t>
  </si>
  <si>
    <t>TEB (FHFC - MMRB)</t>
  </si>
  <si>
    <t>2000000+3000000+9365275</t>
  </si>
  <si>
    <t>4459+9221</t>
  </si>
  <si>
    <t>3250+9250</t>
  </si>
  <si>
    <t>NC-OT-ESS</t>
  </si>
  <si>
    <t>NC-Other</t>
  </si>
  <si>
    <t>From Column VU</t>
  </si>
  <si>
    <t>From Column VW</t>
  </si>
  <si>
    <t>AR-All</t>
  </si>
  <si>
    <t>&lt;=</t>
  </si>
  <si>
    <t>&gt;</t>
  </si>
  <si>
    <t>#.##</t>
  </si>
  <si>
    <t>Q U I N T I L E     R F A     M O D I F I E D</t>
  </si>
  <si>
    <t>A / B     R F A     M O D I F I E D</t>
  </si>
  <si>
    <t>A / B     R F A     O R I G I N A L</t>
  </si>
  <si>
    <t>Q U I N T I L E     R F A     O R I G I N A L</t>
  </si>
  <si>
    <t>A/B Goal</t>
  </si>
  <si>
    <t>Quintile Goal</t>
  </si>
  <si>
    <t>Original Distribution</t>
  </si>
  <si>
    <t>Avg</t>
  </si>
  <si>
    <t>Elderly non-ALF</t>
  </si>
  <si>
    <t>Combo</t>
  </si>
  <si>
    <t>Eld</t>
  </si>
  <si>
    <t>MR</t>
  </si>
  <si>
    <t>HR</t>
  </si>
  <si>
    <t>Max</t>
  </si>
  <si>
    <t>Min</t>
  </si>
  <si>
    <t>Number of apps in all slices</t>
  </si>
  <si>
    <t>Avg variance per app</t>
  </si>
  <si>
    <t>Avg variance as a % of goal</t>
  </si>
  <si>
    <t>Cat-Type-Demo</t>
  </si>
  <si>
    <t>NC-OT</t>
  </si>
  <si>
    <t>NC-MR-E</t>
  </si>
  <si>
    <t>NC-GA-F</t>
  </si>
  <si>
    <t>NC-MR-F</t>
  </si>
  <si>
    <t>NC-GA-E</t>
  </si>
  <si>
    <t>NC-OT-F</t>
  </si>
  <si>
    <t>NC-HR-E</t>
  </si>
  <si>
    <t>NC-HR-F</t>
  </si>
  <si>
    <t>NC GA</t>
  </si>
  <si>
    <t>Dem-E</t>
  </si>
  <si>
    <t>A/B</t>
  </si>
  <si>
    <t>Q</t>
  </si>
  <si>
    <t>Score</t>
  </si>
  <si>
    <t>Change</t>
  </si>
  <si>
    <t>Total #</t>
  </si>
  <si>
    <t>Q Avg</t>
  </si>
  <si>
    <t>In Use</t>
  </si>
  <si>
    <t>Δ%</t>
  </si>
  <si>
    <t>Quantitative Improvement Score</t>
  </si>
  <si>
    <t>Avg A/B variance as a % of goal</t>
  </si>
  <si>
    <t>Avg Q variance as a % of goal</t>
  </si>
  <si>
    <t>Muliplier</t>
  </si>
  <si>
    <t>Use the Original (=0) or one of the Modified (=1) Multipliers?</t>
  </si>
  <si>
    <t>Workshop</t>
  </si>
  <si>
    <t>% of Total Apps</t>
  </si>
  <si>
    <t>NC-GA-E-ESS</t>
  </si>
  <si>
    <t>NC-GA-E-Non</t>
  </si>
  <si>
    <t>NC-GA-F-ESS</t>
  </si>
  <si>
    <t>NC-GA-F-Non</t>
  </si>
  <si>
    <t>NC-MR-E-Non</t>
  </si>
  <si>
    <t>NC-MR-E-ESS</t>
  </si>
  <si>
    <t>NC-MR-F-ESS</t>
  </si>
  <si>
    <t>NC-MR-F-Non</t>
  </si>
  <si>
    <t>NC-HR-E-ESS</t>
  </si>
  <si>
    <t>NC-HR-F-ESS</t>
  </si>
  <si>
    <t>NC-OT-F-ESS</t>
  </si>
  <si>
    <t>Cat-Type-Demo-Const</t>
  </si>
  <si>
    <t>If using Modified, use each unique set respectively (=0), or use Quintile's in both (=1), or use A/B's in both (=2)</t>
  </si>
  <si>
    <t>Cumulative Variances (EXLCUSIVE OF DEMOGRAPHICS)</t>
  </si>
  <si>
    <t>(or 0.93)</t>
  </si>
  <si>
    <t>Font color when avg score is disadvantaged</t>
  </si>
  <si>
    <t>Font color when avg score is advantaged</t>
  </si>
  <si>
    <t>from the Quintile Goal</t>
  </si>
  <si>
    <t>from the A/B Goal</t>
  </si>
  <si>
    <t>Indicate Original Combo of this (greater) variance</t>
  </si>
  <si>
    <t>Indicate Original Combo of this (lesser) variance</t>
  </si>
  <si>
    <t>Min. # of units needed to indicate above variances</t>
  </si>
  <si>
    <t>Positive (black) = worse; Negative (red) = better</t>
  </si>
  <si>
    <t>Format of resulting average by incorporating Modified multipliers</t>
  </si>
  <si>
    <t>FHFC Suggestion</t>
  </si>
  <si>
    <t>Improvement Score:</t>
  </si>
  <si>
    <t>Resulting A/B Improvement Score</t>
  </si>
  <si>
    <t>Resulting Q Improvement Score</t>
  </si>
  <si>
    <t>Improved Results towards Goal</t>
  </si>
  <si>
    <t>Declining Results away from Goal</t>
  </si>
  <si>
    <t>Slices of Application Data</t>
  </si>
  <si>
    <t>Total # of Multipliers in use</t>
  </si>
  <si>
    <t>Avg # of Multipliers per App</t>
  </si>
  <si>
    <t>Max # of Multipliers per App</t>
  </si>
  <si>
    <t>Min # of Multipliers per App</t>
  </si>
  <si>
    <t>(Negative is better)</t>
  </si>
  <si>
    <t>(Hightlighted when #s do not match Original)</t>
  </si>
  <si>
    <t>Above Demos not evaluated</t>
  </si>
  <si>
    <t>(Above Boost not applicable)</t>
  </si>
  <si>
    <r>
      <t xml:space="preserve">(or </t>
    </r>
    <r>
      <rPr>
        <i/>
        <sz val="10"/>
        <color rgb="FFFF0000"/>
        <rFont val="Calibri"/>
        <family val="2"/>
        <scheme val="minor"/>
      </rPr>
      <t>(14.40)</t>
    </r>
    <r>
      <rPr>
        <i/>
        <sz val="10"/>
        <color theme="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</si>
</sst>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#,##0_);[Red]\(&quot;$&quot;#,##0\)"/>
    <numFmt numFmtId="8" formatCode="&quot;$&quot;#,##0.00_);[Red]\(&quot;$&quot;#,##0.00\)"/>
    <numFmt numFmtId="164" formatCode="0.0%"/>
    <numFmt numFmtId="165" formatCode="0.00&quot; Bds&quot;"/>
    <numFmt numFmtId="166" formatCode="&quot;$&quot;#,##0.00"/>
    <numFmt numFmtId="167" formatCode="&quot;$&quot;#,##0"/>
    <numFmt numFmtId="168" formatCode="0&quot; Δ Apps&quot;"/>
    <numFmt numFmtId="169" formatCode="0.0000"/>
    <numFmt numFmtId="170" formatCode="0.00_);[Red]\(0.00\)"/>
    <numFmt numFmtId="171" formatCode="#,##0.0_);[Red]\(#,##0.0\)"/>
    <numFmt numFmtId="172" formatCode="&quot;&gt;=&quot;0%"/>
    <numFmt numFmtId="173" formatCode="&quot;&gt;=&quot;0.00"/>
    <numFmt numFmtId="174" formatCode="&quot;&lt;=&quot;0.00"/>
    <numFmt numFmtId="175" formatCode="&quot;&gt;&quot;0%"/>
    <numFmt numFmtId="176" formatCode="&quot;&lt;&quot;0%"/>
    <numFmt numFmtId="177" formatCode="0&quot; (A/B)&quot;"/>
    <numFmt numFmtId="178" formatCode="0&quot; (Q)&quot;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EAB2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darkUp">
        <fgColor theme="0" tint="-0.2499465926084170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3FF87"/>
        <bgColor indexed="64"/>
      </patternFill>
    </fill>
    <fill>
      <patternFill patternType="solid">
        <fgColor rgb="FFFFE6FF"/>
        <bgColor indexed="64"/>
      </patternFill>
    </fill>
    <fill>
      <patternFill patternType="solid">
        <fgColor rgb="FFFFC8FF"/>
        <bgColor indexed="64"/>
      </patternFill>
    </fill>
    <fill>
      <patternFill patternType="solid">
        <fgColor rgb="FFFFAAFF"/>
        <bgColor indexed="64"/>
      </patternFill>
    </fill>
    <fill>
      <patternFill patternType="solid">
        <fgColor rgb="FFFF8CFF"/>
        <bgColor indexed="64"/>
      </patternFill>
    </fill>
    <fill>
      <patternFill patternType="solid">
        <fgColor rgb="FF96FF46"/>
        <bgColor indexed="64"/>
      </patternFill>
    </fill>
    <fill>
      <patternFill patternType="solid">
        <fgColor rgb="FF69FF05"/>
        <bgColor indexed="64"/>
      </patternFill>
    </fill>
    <fill>
      <patternFill patternType="solid">
        <fgColor rgb="FF46E600"/>
        <bgColor indexed="64"/>
      </patternFill>
    </fill>
    <fill>
      <patternFill patternType="solid">
        <fgColor rgb="FFFFFFE6"/>
        <bgColor indexed="64"/>
      </patternFill>
    </fill>
    <fill>
      <patternFill patternType="darkUp">
        <fgColor theme="8" tint="0.59996337778862885"/>
        <bgColor indexed="65"/>
      </patternFill>
    </fill>
    <fill>
      <patternFill patternType="darkUp">
        <fgColor theme="8" tint="0.59996337778862885"/>
        <bgColor theme="8" tint="0.59999389629810485"/>
      </patternFill>
    </fill>
    <fill>
      <patternFill patternType="darkUp">
        <fgColor theme="8" tint="0.59996337778862885"/>
        <bgColor theme="0" tint="-4.9989318521683403E-2"/>
      </patternFill>
    </fill>
    <fill>
      <patternFill patternType="solid">
        <fgColor rgb="FFFFFFD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E0C8EE"/>
        <bgColor indexed="64"/>
      </patternFill>
    </fill>
    <fill>
      <patternFill patternType="solid">
        <fgColor rgb="FFAFF0FF"/>
        <bgColor indexed="64"/>
      </patternFill>
    </fill>
    <fill>
      <patternFill patternType="solid">
        <fgColor rgb="FFDCFFFF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dash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ashed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dashed">
        <color auto="1"/>
      </top>
      <bottom/>
      <diagonal/>
    </border>
    <border>
      <left/>
      <right style="medium">
        <color indexed="64"/>
      </right>
      <top style="dashed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/>
      <right style="medium">
        <color indexed="64"/>
      </right>
      <top/>
      <bottom style="dashed">
        <color auto="1"/>
      </bottom>
      <diagonal/>
    </border>
    <border>
      <left/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ashed">
        <color auto="1"/>
      </top>
      <bottom/>
      <diagonal/>
    </border>
    <border>
      <left/>
      <right style="double">
        <color indexed="64"/>
      </right>
      <top style="hair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dashed">
        <color auto="1"/>
      </top>
      <bottom/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 style="dashed">
        <color auto="1"/>
      </top>
      <bottom/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indexed="64"/>
      </top>
      <bottom style="thin">
        <color theme="0" tint="-0.14993743705557422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auto="1"/>
      </top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453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0" fontId="0" fillId="0" borderId="0" xfId="0" applyNumberFormat="1" applyAlignment="1">
      <alignment horizontal="left"/>
    </xf>
    <xf numFmtId="6" fontId="0" fillId="0" borderId="0" xfId="0" applyNumberFormat="1" applyAlignment="1">
      <alignment horizontal="left"/>
    </xf>
    <xf numFmtId="8" fontId="0" fillId="0" borderId="0" xfId="0" applyNumberFormat="1" applyAlignment="1">
      <alignment horizontal="left"/>
    </xf>
    <xf numFmtId="9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0" fontId="0" fillId="0" borderId="0" xfId="0" applyFill="1"/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left"/>
    </xf>
    <xf numFmtId="8" fontId="0" fillId="0" borderId="0" xfId="0" applyNumberFormat="1" applyAlignment="1">
      <alignment vertical="center"/>
    </xf>
    <xf numFmtId="4" fontId="0" fillId="0" borderId="0" xfId="0" applyNumberFormat="1" applyAlignment="1">
      <alignment horizontal="center" vertical="center"/>
    </xf>
    <xf numFmtId="0" fontId="0" fillId="5" borderId="0" xfId="0" applyFill="1" applyAlignment="1">
      <alignment horizontal="left"/>
    </xf>
    <xf numFmtId="8" fontId="0" fillId="5" borderId="0" xfId="0" applyNumberFormat="1" applyFill="1" applyAlignment="1">
      <alignment vertical="center"/>
    </xf>
    <xf numFmtId="164" fontId="0" fillId="0" borderId="0" xfId="1" applyNumberFormat="1" applyFont="1" applyAlignment="1">
      <alignment horizontal="center"/>
    </xf>
    <xf numFmtId="164" fontId="0" fillId="0" borderId="0" xfId="1" applyNumberFormat="1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0" fillId="0" borderId="4" xfId="0" applyBorder="1"/>
    <xf numFmtId="4" fontId="0" fillId="0" borderId="1" xfId="0" applyNumberFormat="1" applyBorder="1" applyAlignment="1">
      <alignment horizontal="center" vertical="center"/>
    </xf>
    <xf numFmtId="166" fontId="0" fillId="0" borderId="0" xfId="0" applyNumberFormat="1" applyAlignment="1">
      <alignment horizontal="right" vertical="center"/>
    </xf>
    <xf numFmtId="166" fontId="0" fillId="5" borderId="0" xfId="0" applyNumberFormat="1" applyFill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4" fontId="0" fillId="0" borderId="7" xfId="0" applyNumberFormat="1" applyBorder="1" applyAlignment="1">
      <alignment horizontal="center" vertical="center"/>
    </xf>
    <xf numFmtId="0" fontId="1" fillId="0" borderId="0" xfId="0" applyFont="1"/>
    <xf numFmtId="165" fontId="1" fillId="0" borderId="0" xfId="0" applyNumberFormat="1" applyFont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0" borderId="1" xfId="0" applyBorder="1" applyAlignment="1">
      <alignment horizontal="left"/>
    </xf>
    <xf numFmtId="4" fontId="0" fillId="0" borderId="9" xfId="0" applyNumberFormat="1" applyBorder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0" fillId="6" borderId="0" xfId="0" applyFill="1" applyAlignment="1">
      <alignment horizontal="left"/>
    </xf>
    <xf numFmtId="164" fontId="0" fillId="0" borderId="0" xfId="1" applyNumberFormat="1" applyFont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4" fontId="0" fillId="0" borderId="1" xfId="1" applyNumberFormat="1" applyFont="1" applyBorder="1" applyAlignment="1">
      <alignment horizontal="center"/>
    </xf>
    <xf numFmtId="2" fontId="0" fillId="11" borderId="0" xfId="0" applyNumberFormat="1" applyFill="1" applyAlignment="1">
      <alignment horizontal="center" vertical="center"/>
    </xf>
    <xf numFmtId="3" fontId="0" fillId="5" borderId="0" xfId="0" applyNumberFormat="1" applyFill="1" applyAlignment="1">
      <alignment horizontal="center" vertical="center"/>
    </xf>
    <xf numFmtId="0" fontId="1" fillId="12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167" fontId="0" fillId="0" borderId="0" xfId="0" applyNumberFormat="1" applyAlignment="1">
      <alignment horizontal="left"/>
    </xf>
    <xf numFmtId="0" fontId="3" fillId="13" borderId="0" xfId="0" applyFont="1" applyFill="1" applyAlignment="1">
      <alignment horizontal="center"/>
    </xf>
    <xf numFmtId="0" fontId="1" fillId="14" borderId="0" xfId="0" applyFont="1" applyFill="1" applyAlignment="1">
      <alignment horizontal="center"/>
    </xf>
    <xf numFmtId="0" fontId="0" fillId="0" borderId="7" xfId="0" applyBorder="1" applyAlignment="1">
      <alignment horizontal="center" vertical="center"/>
    </xf>
    <xf numFmtId="164" fontId="0" fillId="0" borderId="7" xfId="1" applyNumberFormat="1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0" fillId="15" borderId="0" xfId="0" applyFill="1"/>
    <xf numFmtId="0" fontId="0" fillId="15" borderId="0" xfId="0" applyFill="1" applyAlignment="1">
      <alignment horizontal="left"/>
    </xf>
    <xf numFmtId="0" fontId="1" fillId="0" borderId="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0" fillId="0" borderId="11" xfId="1" applyNumberFormat="1" applyFont="1" applyBorder="1" applyAlignment="1">
      <alignment horizontal="center" vertical="center"/>
    </xf>
    <xf numFmtId="164" fontId="0" fillId="0" borderId="11" xfId="1" applyNumberFormat="1" applyFont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4" fontId="0" fillId="0" borderId="11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4" fontId="0" fillId="0" borderId="0" xfId="0" applyNumberFormat="1" applyBorder="1" applyAlignment="1">
      <alignment horizontal="center" vertical="center"/>
    </xf>
    <xf numFmtId="0" fontId="0" fillId="0" borderId="0" xfId="0" applyBorder="1"/>
    <xf numFmtId="164" fontId="0" fillId="0" borderId="0" xfId="1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10" fontId="0" fillId="0" borderId="0" xfId="0" applyNumberFormat="1" applyAlignment="1">
      <alignment horizontal="center"/>
    </xf>
    <xf numFmtId="0" fontId="0" fillId="2" borderId="0" xfId="0" applyFill="1"/>
    <xf numFmtId="164" fontId="0" fillId="2" borderId="0" xfId="1" applyNumberFormat="1" applyFont="1" applyFill="1" applyAlignment="1">
      <alignment horizontal="center"/>
    </xf>
    <xf numFmtId="164" fontId="0" fillId="2" borderId="0" xfId="1" applyNumberFormat="1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/>
    </xf>
    <xf numFmtId="9" fontId="0" fillId="0" borderId="0" xfId="0" applyNumberFormat="1" applyFill="1" applyAlignment="1">
      <alignment horizontal="center" vertical="center"/>
    </xf>
    <xf numFmtId="8" fontId="0" fillId="18" borderId="0" xfId="0" applyNumberFormat="1" applyFill="1" applyAlignment="1">
      <alignment horizontal="center" vertical="center"/>
    </xf>
    <xf numFmtId="8" fontId="0" fillId="20" borderId="0" xfId="0" applyNumberFormat="1" applyFill="1" applyAlignment="1">
      <alignment horizontal="center" vertical="center"/>
    </xf>
    <xf numFmtId="8" fontId="6" fillId="23" borderId="0" xfId="0" applyNumberFormat="1" applyFont="1" applyFill="1" applyAlignment="1">
      <alignment horizontal="center" vertical="center"/>
    </xf>
    <xf numFmtId="8" fontId="7" fillId="24" borderId="0" xfId="0" applyNumberFormat="1" applyFont="1" applyFill="1" applyAlignment="1">
      <alignment horizontal="center" vertical="center"/>
    </xf>
    <xf numFmtId="8" fontId="4" fillId="19" borderId="0" xfId="0" applyNumberFormat="1" applyFont="1" applyFill="1" applyAlignment="1">
      <alignment horizontal="center" vertical="center"/>
    </xf>
    <xf numFmtId="8" fontId="9" fillId="21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 applyBorder="1"/>
    <xf numFmtId="9" fontId="0" fillId="0" borderId="0" xfId="0" applyNumberFormat="1"/>
    <xf numFmtId="2" fontId="0" fillId="0" borderId="0" xfId="0" applyNumberFormat="1"/>
    <xf numFmtId="164" fontId="0" fillId="0" borderId="0" xfId="1" quotePrefix="1" applyNumberFormat="1" applyFont="1" applyAlignment="1">
      <alignment horizontal="center" vertical="center"/>
    </xf>
    <xf numFmtId="0" fontId="11" fillId="0" borderId="0" xfId="0" applyFont="1"/>
    <xf numFmtId="168" fontId="12" fillId="0" borderId="0" xfId="0" applyNumberFormat="1" applyFont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quotePrefix="1" applyBorder="1" applyAlignment="1">
      <alignment horizontal="center"/>
    </xf>
    <xf numFmtId="169" fontId="0" fillId="0" borderId="0" xfId="0" applyNumberFormat="1" applyBorder="1" applyAlignment="1">
      <alignment horizontal="center" vertical="center"/>
    </xf>
    <xf numFmtId="164" fontId="0" fillId="2" borderId="0" xfId="0" applyNumberFormat="1" applyFill="1"/>
    <xf numFmtId="164" fontId="0" fillId="0" borderId="1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4" fontId="0" fillId="0" borderId="6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0" fillId="2" borderId="17" xfId="0" applyNumberFormat="1" applyFill="1" applyBorder="1" applyAlignment="1">
      <alignment horizontal="center"/>
    </xf>
    <xf numFmtId="164" fontId="0" fillId="0" borderId="28" xfId="0" applyNumberFormat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17" xfId="0" applyNumberFormat="1" applyFill="1" applyBorder="1" applyAlignment="1">
      <alignment horizontal="center"/>
    </xf>
    <xf numFmtId="3" fontId="0" fillId="0" borderId="16" xfId="0" applyNumberFormat="1" applyBorder="1" applyAlignment="1">
      <alignment horizontal="center" vertical="center"/>
    </xf>
    <xf numFmtId="3" fontId="0" fillId="0" borderId="25" xfId="0" applyNumberForma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0" fillId="2" borderId="16" xfId="0" applyNumberFormat="1" applyFill="1" applyBorder="1" applyAlignment="1">
      <alignment horizontal="center" vertical="center"/>
    </xf>
    <xf numFmtId="4" fontId="0" fillId="0" borderId="16" xfId="0" applyNumberFormat="1" applyBorder="1" applyAlignment="1">
      <alignment horizontal="center" vertical="center"/>
    </xf>
    <xf numFmtId="4" fontId="0" fillId="0" borderId="17" xfId="0" applyNumberFormat="1" applyBorder="1" applyAlignment="1">
      <alignment horizontal="center" vertical="center"/>
    </xf>
    <xf numFmtId="4" fontId="0" fillId="0" borderId="28" xfId="0" applyNumberFormat="1" applyBorder="1" applyAlignment="1">
      <alignment horizontal="center" vertical="center"/>
    </xf>
    <xf numFmtId="4" fontId="0" fillId="0" borderId="20" xfId="0" applyNumberFormat="1" applyBorder="1" applyAlignment="1">
      <alignment horizontal="center" vertical="center"/>
    </xf>
    <xf numFmtId="0" fontId="0" fillId="2" borderId="17" xfId="0" applyFill="1" applyBorder="1"/>
    <xf numFmtId="164" fontId="0" fillId="2" borderId="17" xfId="1" applyNumberFormat="1" applyFont="1" applyFill="1" applyBorder="1" applyAlignment="1">
      <alignment horizontal="center"/>
    </xf>
    <xf numFmtId="0" fontId="0" fillId="0" borderId="17" xfId="0" applyFill="1" applyBorder="1"/>
    <xf numFmtId="0" fontId="0" fillId="0" borderId="16" xfId="0" applyBorder="1"/>
    <xf numFmtId="170" fontId="0" fillId="0" borderId="0" xfId="1" quotePrefix="1" applyNumberFormat="1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4" fontId="0" fillId="2" borderId="0" xfId="1" applyNumberFormat="1" applyFont="1" applyFill="1" applyBorder="1" applyAlignment="1">
      <alignment horizontal="center"/>
    </xf>
    <xf numFmtId="0" fontId="0" fillId="0" borderId="0" xfId="0" applyFill="1" applyBorder="1"/>
    <xf numFmtId="170" fontId="0" fillId="2" borderId="0" xfId="0" applyNumberFormat="1" applyFill="1" applyAlignment="1">
      <alignment horizontal="center" vertical="center"/>
    </xf>
    <xf numFmtId="38" fontId="0" fillId="0" borderId="0" xfId="0" applyNumberFormat="1" applyAlignment="1">
      <alignment horizontal="center" vertical="center"/>
    </xf>
    <xf numFmtId="38" fontId="0" fillId="0" borderId="11" xfId="0" applyNumberFormat="1" applyBorder="1" applyAlignment="1">
      <alignment horizontal="center" vertical="center"/>
    </xf>
    <xf numFmtId="38" fontId="0" fillId="0" borderId="7" xfId="0" applyNumberFormat="1" applyBorder="1" applyAlignment="1">
      <alignment horizontal="center" vertical="center"/>
    </xf>
    <xf numFmtId="38" fontId="0" fillId="2" borderId="0" xfId="0" applyNumberFormat="1" applyFill="1" applyAlignment="1">
      <alignment horizontal="center" vertical="center"/>
    </xf>
    <xf numFmtId="38" fontId="0" fillId="0" borderId="0" xfId="0" applyNumberFormat="1" applyBorder="1" applyAlignment="1">
      <alignment horizontal="center" vertical="center"/>
    </xf>
    <xf numFmtId="38" fontId="0" fillId="2" borderId="0" xfId="0" applyNumberFormat="1" applyFill="1" applyBorder="1" applyAlignment="1">
      <alignment horizontal="center" vertical="center"/>
    </xf>
    <xf numFmtId="171" fontId="0" fillId="2" borderId="0" xfId="0" applyNumberFormat="1" applyFill="1" applyBorder="1" applyAlignment="1">
      <alignment horizontal="center"/>
    </xf>
    <xf numFmtId="38" fontId="0" fillId="0" borderId="16" xfId="0" applyNumberFormat="1" applyBorder="1" applyAlignment="1">
      <alignment horizontal="center" vertical="center"/>
    </xf>
    <xf numFmtId="38" fontId="0" fillId="0" borderId="25" xfId="0" applyNumberFormat="1" applyBorder="1" applyAlignment="1">
      <alignment horizontal="center" vertical="center"/>
    </xf>
    <xf numFmtId="38" fontId="0" fillId="0" borderId="19" xfId="0" applyNumberFormat="1" applyBorder="1" applyAlignment="1">
      <alignment horizontal="center" vertical="center"/>
    </xf>
    <xf numFmtId="38" fontId="0" fillId="2" borderId="16" xfId="0" applyNumberFormat="1" applyFill="1" applyBorder="1" applyAlignment="1">
      <alignment horizontal="center" vertic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applyNumberFormat="1" applyFill="1" applyBorder="1" applyAlignment="1">
      <alignment horizontal="center" vertical="center"/>
    </xf>
    <xf numFmtId="10" fontId="0" fillId="0" borderId="0" xfId="1" applyNumberFormat="1" applyFont="1" applyAlignment="1">
      <alignment horizontal="center" vertical="center"/>
    </xf>
    <xf numFmtId="0" fontId="0" fillId="16" borderId="0" xfId="0" applyFill="1" applyAlignment="1">
      <alignment horizontal="left"/>
    </xf>
    <xf numFmtId="0" fontId="0" fillId="16" borderId="0" xfId="0" applyFill="1" applyAlignment="1">
      <alignment horizontal="center" vertical="center"/>
    </xf>
    <xf numFmtId="3" fontId="0" fillId="16" borderId="0" xfId="0" applyNumberFormat="1" applyFill="1" applyAlignment="1">
      <alignment horizontal="center" vertical="center"/>
    </xf>
    <xf numFmtId="2" fontId="0" fillId="16" borderId="0" xfId="0" applyNumberFormat="1" applyFill="1" applyAlignment="1">
      <alignment horizontal="center" vertical="center"/>
    </xf>
    <xf numFmtId="164" fontId="0" fillId="16" borderId="0" xfId="1" applyNumberFormat="1" applyFont="1" applyFill="1" applyAlignment="1">
      <alignment horizontal="center"/>
    </xf>
    <xf numFmtId="170" fontId="0" fillId="8" borderId="0" xfId="0" applyNumberFormat="1" applyFill="1" applyAlignment="1">
      <alignment horizontal="center" vertical="center"/>
    </xf>
    <xf numFmtId="164" fontId="0" fillId="8" borderId="0" xfId="1" applyNumberFormat="1" applyFont="1" applyFill="1" applyAlignment="1">
      <alignment horizontal="center"/>
    </xf>
    <xf numFmtId="38" fontId="0" fillId="8" borderId="0" xfId="1" applyNumberFormat="1" applyFont="1" applyFill="1" applyAlignment="1">
      <alignment horizontal="center"/>
    </xf>
    <xf numFmtId="10" fontId="0" fillId="8" borderId="0" xfId="1" applyNumberFormat="1" applyFont="1" applyFill="1" applyAlignment="1">
      <alignment horizontal="center"/>
    </xf>
    <xf numFmtId="38" fontId="0" fillId="8" borderId="0" xfId="0" applyNumberFormat="1" applyFill="1" applyAlignment="1">
      <alignment horizontal="center" vertical="center"/>
    </xf>
    <xf numFmtId="170" fontId="0" fillId="8" borderId="0" xfId="0" quotePrefix="1" applyNumberFormat="1" applyFill="1" applyAlignment="1">
      <alignment horizontal="center" vertical="center"/>
    </xf>
    <xf numFmtId="164" fontId="0" fillId="0" borderId="32" xfId="0" applyNumberFormat="1" applyBorder="1" applyAlignment="1">
      <alignment horizontal="center"/>
    </xf>
    <xf numFmtId="164" fontId="0" fillId="2" borderId="32" xfId="0" applyNumberFormat="1" applyFill="1" applyBorder="1" applyAlignment="1">
      <alignment horizontal="center"/>
    </xf>
    <xf numFmtId="38" fontId="0" fillId="0" borderId="31" xfId="0" applyNumberFormat="1" applyBorder="1" applyAlignment="1">
      <alignment horizontal="center" vertical="center"/>
    </xf>
    <xf numFmtId="0" fontId="0" fillId="27" borderId="0" xfId="0" applyFill="1" applyAlignment="1">
      <alignment horizontal="left"/>
    </xf>
    <xf numFmtId="14" fontId="0" fillId="27" borderId="0" xfId="0" applyNumberFormat="1" applyFill="1" applyAlignment="1">
      <alignment horizontal="left"/>
    </xf>
    <xf numFmtId="10" fontId="0" fillId="27" borderId="0" xfId="0" applyNumberFormat="1" applyFill="1" applyAlignment="1">
      <alignment horizontal="left"/>
    </xf>
    <xf numFmtId="6" fontId="0" fillId="27" borderId="0" xfId="0" applyNumberFormat="1" applyFill="1" applyAlignment="1">
      <alignment horizontal="left"/>
    </xf>
    <xf numFmtId="8" fontId="0" fillId="27" borderId="0" xfId="0" applyNumberFormat="1" applyFill="1" applyAlignment="1">
      <alignment horizontal="left"/>
    </xf>
    <xf numFmtId="0" fontId="0" fillId="28" borderId="0" xfId="0" applyFill="1" applyAlignment="1">
      <alignment horizontal="left"/>
    </xf>
    <xf numFmtId="9" fontId="0" fillId="27" borderId="0" xfId="0" applyNumberFormat="1" applyFill="1" applyAlignment="1">
      <alignment horizontal="left"/>
    </xf>
    <xf numFmtId="4" fontId="0" fillId="27" borderId="0" xfId="0" applyNumberFormat="1" applyFill="1" applyAlignment="1">
      <alignment horizontal="left"/>
    </xf>
    <xf numFmtId="3" fontId="0" fillId="27" borderId="0" xfId="0" applyNumberFormat="1" applyFill="1" applyAlignment="1">
      <alignment horizontal="center" vertical="center"/>
    </xf>
    <xf numFmtId="4" fontId="0" fillId="27" borderId="0" xfId="0" applyNumberFormat="1" applyFill="1" applyAlignment="1">
      <alignment horizontal="center" vertical="center"/>
    </xf>
    <xf numFmtId="0" fontId="0" fillId="27" borderId="0" xfId="0" applyFill="1" applyAlignment="1">
      <alignment horizontal="center" vertical="center"/>
    </xf>
    <xf numFmtId="2" fontId="0" fillId="29" borderId="0" xfId="0" applyNumberFormat="1" applyFill="1" applyAlignment="1">
      <alignment horizontal="center" vertical="center"/>
    </xf>
    <xf numFmtId="2" fontId="0" fillId="27" borderId="0" xfId="0" applyNumberFormat="1" applyFill="1" applyAlignment="1">
      <alignment horizontal="center" vertical="center"/>
    </xf>
    <xf numFmtId="166" fontId="0" fillId="27" borderId="0" xfId="0" applyNumberFormat="1" applyFill="1" applyAlignment="1">
      <alignment horizontal="right" vertical="center"/>
    </xf>
    <xf numFmtId="0" fontId="1" fillId="27" borderId="0" xfId="0" applyFont="1" applyFill="1" applyAlignment="1">
      <alignment horizontal="center" vertical="center"/>
    </xf>
    <xf numFmtId="167" fontId="0" fillId="27" borderId="0" xfId="0" applyNumberFormat="1" applyFill="1" applyAlignment="1">
      <alignment horizontal="left"/>
    </xf>
    <xf numFmtId="164" fontId="0" fillId="0" borderId="32" xfId="0" applyNumberFormat="1" applyFill="1" applyBorder="1" applyAlignment="1">
      <alignment horizontal="center"/>
    </xf>
    <xf numFmtId="0" fontId="1" fillId="0" borderId="30" xfId="0" applyFont="1" applyBorder="1" applyAlignment="1">
      <alignment horizontal="center" vertical="center"/>
    </xf>
    <xf numFmtId="164" fontId="0" fillId="0" borderId="33" xfId="0" applyNumberFormat="1" applyFill="1" applyBorder="1" applyAlignment="1">
      <alignment horizontal="center"/>
    </xf>
    <xf numFmtId="164" fontId="0" fillId="0" borderId="34" xfId="0" applyNumberFormat="1" applyFill="1" applyBorder="1" applyAlignment="1">
      <alignment horizontal="center"/>
    </xf>
    <xf numFmtId="164" fontId="0" fillId="0" borderId="33" xfId="0" applyNumberFormat="1" applyBorder="1" applyAlignment="1">
      <alignment horizontal="center"/>
    </xf>
    <xf numFmtId="164" fontId="0" fillId="0" borderId="34" xfId="0" applyNumberFormat="1" applyBorder="1" applyAlignment="1">
      <alignment horizontal="center"/>
    </xf>
    <xf numFmtId="164" fontId="0" fillId="0" borderId="0" xfId="1" applyNumberFormat="1" applyFont="1" applyFill="1" applyBorder="1" applyAlignment="1">
      <alignment horizontal="center" vertical="center"/>
    </xf>
    <xf numFmtId="40" fontId="0" fillId="0" borderId="0" xfId="0" applyNumberFormat="1" applyFill="1" applyBorder="1" applyAlignment="1">
      <alignment horizontal="center" vertical="center"/>
    </xf>
    <xf numFmtId="38" fontId="0" fillId="0" borderId="29" xfId="0" applyNumberForma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40" fontId="0" fillId="0" borderId="0" xfId="1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38" fontId="0" fillId="0" borderId="12" xfId="0" applyNumberFormat="1" applyBorder="1" applyAlignment="1">
      <alignment horizontal="center" vertical="center"/>
    </xf>
    <xf numFmtId="38" fontId="0" fillId="0" borderId="35" xfId="0" applyNumberFormat="1" applyBorder="1" applyAlignment="1">
      <alignment horizontal="center" vertical="center"/>
    </xf>
    <xf numFmtId="38" fontId="0" fillId="0" borderId="14" xfId="0" applyNumberFormat="1" applyBorder="1" applyAlignment="1">
      <alignment horizontal="center" vertical="center"/>
    </xf>
    <xf numFmtId="0" fontId="0" fillId="0" borderId="13" xfId="0" applyFill="1" applyBorder="1" applyAlignment="1">
      <alignment vertical="center"/>
    </xf>
    <xf numFmtId="38" fontId="0" fillId="0" borderId="13" xfId="0" applyNumberFormat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164" fontId="0" fillId="0" borderId="16" xfId="1" applyNumberFormat="1" applyFont="1" applyBorder="1" applyAlignment="1">
      <alignment horizontal="center" vertical="center"/>
    </xf>
    <xf numFmtId="164" fontId="0" fillId="0" borderId="21" xfId="1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40" fontId="0" fillId="0" borderId="16" xfId="1" applyNumberFormat="1" applyFont="1" applyBorder="1" applyAlignment="1">
      <alignment horizontal="center" vertical="center"/>
    </xf>
    <xf numFmtId="40" fontId="0" fillId="0" borderId="21" xfId="1" applyNumberFormat="1" applyFont="1" applyBorder="1" applyAlignment="1">
      <alignment horizontal="center" vertical="center"/>
    </xf>
    <xf numFmtId="40" fontId="0" fillId="0" borderId="0" xfId="1" applyNumberFormat="1" applyFont="1" applyBorder="1" applyAlignment="1">
      <alignment horizontal="center" vertical="center"/>
    </xf>
    <xf numFmtId="0" fontId="0" fillId="0" borderId="12" xfId="0" applyBorder="1"/>
    <xf numFmtId="40" fontId="0" fillId="0" borderId="0" xfId="0" applyNumberFormat="1" applyAlignment="1">
      <alignment horizontal="center" vertical="center"/>
    </xf>
    <xf numFmtId="38" fontId="0" fillId="0" borderId="14" xfId="0" applyNumberFormat="1" applyFill="1" applyBorder="1" applyAlignment="1">
      <alignment horizontal="center" vertical="center"/>
    </xf>
    <xf numFmtId="38" fontId="0" fillId="0" borderId="37" xfId="0" applyNumberFormat="1" applyBorder="1" applyAlignment="1">
      <alignment horizontal="center" vertical="center"/>
    </xf>
    <xf numFmtId="38" fontId="0" fillId="0" borderId="38" xfId="0" applyNumberFormat="1" applyBorder="1" applyAlignment="1">
      <alignment horizontal="center" vertical="center"/>
    </xf>
    <xf numFmtId="38" fontId="0" fillId="2" borderId="35" xfId="0" applyNumberFormat="1" applyFill="1" applyBorder="1" applyAlignment="1">
      <alignment horizontal="center" vertical="center"/>
    </xf>
    <xf numFmtId="38" fontId="0" fillId="0" borderId="39" xfId="0" applyNumberFormat="1" applyBorder="1" applyAlignment="1">
      <alignment horizontal="center" vertical="center"/>
    </xf>
    <xf numFmtId="38" fontId="0" fillId="0" borderId="35" xfId="0" applyNumberFormat="1" applyFill="1" applyBorder="1" applyAlignment="1">
      <alignment horizontal="center" vertical="center"/>
    </xf>
    <xf numFmtId="0" fontId="0" fillId="16" borderId="0" xfId="0" applyFill="1" applyBorder="1" applyAlignment="1">
      <alignment horizontal="center" vertical="center"/>
    </xf>
    <xf numFmtId="2" fontId="0" fillId="16" borderId="0" xfId="0" applyNumberFormat="1" applyFill="1" applyBorder="1" applyAlignment="1">
      <alignment horizontal="center" vertical="center"/>
    </xf>
    <xf numFmtId="4" fontId="0" fillId="0" borderId="40" xfId="0" applyNumberFormat="1" applyBorder="1" applyAlignment="1">
      <alignment horizontal="center" vertical="center"/>
    </xf>
    <xf numFmtId="4" fontId="0" fillId="0" borderId="41" xfId="0" applyNumberFormat="1" applyBorder="1" applyAlignment="1">
      <alignment horizontal="center" vertical="center"/>
    </xf>
    <xf numFmtId="0" fontId="0" fillId="2" borderId="8" xfId="0" applyFill="1" applyBorder="1"/>
    <xf numFmtId="164" fontId="0" fillId="2" borderId="8" xfId="1" applyNumberFormat="1" applyFont="1" applyFill="1" applyBorder="1" applyAlignment="1">
      <alignment horizontal="center"/>
    </xf>
    <xf numFmtId="0" fontId="0" fillId="0" borderId="8" xfId="0" applyFill="1" applyBorder="1"/>
    <xf numFmtId="0" fontId="1" fillId="0" borderId="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/>
    </xf>
    <xf numFmtId="164" fontId="0" fillId="0" borderId="42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171" fontId="0" fillId="2" borderId="8" xfId="0" applyNumberFormat="1" applyFill="1" applyBorder="1" applyAlignment="1">
      <alignment horizontal="center"/>
    </xf>
    <xf numFmtId="0" fontId="1" fillId="0" borderId="23" xfId="0" applyFont="1" applyBorder="1" applyAlignment="1">
      <alignment horizontal="center" vertical="center"/>
    </xf>
    <xf numFmtId="164" fontId="0" fillId="0" borderId="40" xfId="0" applyNumberFormat="1" applyBorder="1" applyAlignment="1">
      <alignment horizontal="center"/>
    </xf>
    <xf numFmtId="164" fontId="0" fillId="0" borderId="8" xfId="0" applyNumberForma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4" fontId="0" fillId="0" borderId="32" xfId="0" applyNumberFormat="1" applyBorder="1" applyAlignment="1">
      <alignment horizontal="center" vertical="center"/>
    </xf>
    <xf numFmtId="4" fontId="0" fillId="0" borderId="34" xfId="0" applyNumberFormat="1" applyBorder="1" applyAlignment="1">
      <alignment horizontal="center" vertical="center"/>
    </xf>
    <xf numFmtId="4" fontId="0" fillId="0" borderId="33" xfId="0" applyNumberFormat="1" applyBorder="1" applyAlignment="1">
      <alignment horizontal="center" vertical="center"/>
    </xf>
    <xf numFmtId="0" fontId="0" fillId="2" borderId="32" xfId="0" applyFill="1" applyBorder="1"/>
    <xf numFmtId="164" fontId="0" fillId="2" borderId="32" xfId="1" applyNumberFormat="1" applyFont="1" applyFill="1" applyBorder="1" applyAlignment="1">
      <alignment horizontal="center"/>
    </xf>
    <xf numFmtId="0" fontId="0" fillId="0" borderId="32" xfId="0" applyFill="1" applyBorder="1"/>
    <xf numFmtId="38" fontId="0" fillId="0" borderId="16" xfId="0" applyNumberFormat="1" applyFill="1" applyBorder="1" applyAlignment="1">
      <alignment horizontal="center" vertical="center"/>
    </xf>
    <xf numFmtId="3" fontId="0" fillId="16" borderId="0" xfId="0" applyNumberFormat="1" applyFill="1" applyBorder="1" applyAlignment="1">
      <alignment horizontal="center" vertical="center"/>
    </xf>
    <xf numFmtId="164" fontId="0" fillId="16" borderId="0" xfId="1" applyNumberFormat="1" applyFont="1" applyFill="1" applyBorder="1" applyAlignment="1">
      <alignment horizontal="center"/>
    </xf>
    <xf numFmtId="164" fontId="15" fillId="0" borderId="43" xfId="1" applyNumberFormat="1" applyFont="1" applyBorder="1" applyAlignment="1">
      <alignment horizontal="center" vertical="center"/>
    </xf>
    <xf numFmtId="4" fontId="1" fillId="0" borderId="4" xfId="0" applyNumberFormat="1" applyFont="1" applyFill="1" applyBorder="1" applyAlignment="1">
      <alignment horizontal="center" vertical="center"/>
    </xf>
    <xf numFmtId="0" fontId="17" fillId="0" borderId="4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0" fillId="0" borderId="0" xfId="0" applyAlignment="1">
      <alignment horizontal="right" vertical="center"/>
    </xf>
    <xf numFmtId="0" fontId="0" fillId="3" borderId="14" xfId="0" applyFill="1" applyBorder="1"/>
    <xf numFmtId="0" fontId="0" fillId="3" borderId="12" xfId="0" applyFill="1" applyBorder="1"/>
    <xf numFmtId="2" fontId="0" fillId="0" borderId="13" xfId="0" applyNumberFormat="1" applyFill="1" applyBorder="1" applyAlignment="1">
      <alignment horizontal="center" vertical="center"/>
    </xf>
    <xf numFmtId="0" fontId="0" fillId="3" borderId="36" xfId="0" applyFill="1" applyBorder="1"/>
    <xf numFmtId="0" fontId="0" fillId="3" borderId="4" xfId="0" applyFill="1" applyBorder="1"/>
    <xf numFmtId="0" fontId="0" fillId="3" borderId="4" xfId="0" applyFill="1" applyBorder="1" applyAlignment="1">
      <alignment horizontal="right" vertical="center"/>
    </xf>
    <xf numFmtId="10" fontId="0" fillId="0" borderId="10" xfId="1" applyNumberFormat="1" applyFont="1" applyFill="1" applyBorder="1" applyAlignment="1">
      <alignment horizontal="center" vertical="center"/>
    </xf>
    <xf numFmtId="0" fontId="0" fillId="17" borderId="14" xfId="0" applyFill="1" applyBorder="1"/>
    <xf numFmtId="0" fontId="0" fillId="17" borderId="12" xfId="0" applyFill="1" applyBorder="1"/>
    <xf numFmtId="0" fontId="0" fillId="17" borderId="12" xfId="0" applyFill="1" applyBorder="1" applyAlignment="1">
      <alignment horizontal="right" vertical="center"/>
    </xf>
    <xf numFmtId="0" fontId="0" fillId="17" borderId="36" xfId="0" applyFill="1" applyBorder="1"/>
    <xf numFmtId="0" fontId="0" fillId="17" borderId="4" xfId="0" applyFill="1" applyBorder="1"/>
    <xf numFmtId="0" fontId="0" fillId="17" borderId="4" xfId="0" applyFill="1" applyBorder="1" applyAlignment="1">
      <alignment horizontal="right" vertical="center"/>
    </xf>
    <xf numFmtId="10" fontId="0" fillId="0" borderId="10" xfId="1" applyNumberFormat="1" applyFont="1" applyBorder="1" applyAlignment="1">
      <alignment horizontal="center" vertical="center"/>
    </xf>
    <xf numFmtId="10" fontId="0" fillId="8" borderId="0" xfId="0" applyNumberFormat="1" applyFill="1" applyAlignment="1">
      <alignment horizontal="left" vertical="center"/>
    </xf>
    <xf numFmtId="164" fontId="0" fillId="8" borderId="0" xfId="1" applyNumberFormat="1" applyFont="1" applyFill="1" applyAlignment="1">
      <alignment horizontal="left" vertical="center"/>
    </xf>
    <xf numFmtId="164" fontId="0" fillId="0" borderId="0" xfId="1" applyNumberFormat="1" applyFont="1" applyAlignment="1">
      <alignment horizontal="left"/>
    </xf>
    <xf numFmtId="9" fontId="0" fillId="0" borderId="0" xfId="1" applyFont="1" applyFill="1" applyAlignment="1">
      <alignment horizontal="right" vertical="center"/>
    </xf>
    <xf numFmtId="9" fontId="14" fillId="0" borderId="11" xfId="0" applyNumberFormat="1" applyFont="1" applyFill="1" applyBorder="1" applyAlignment="1">
      <alignment horizontal="center" vertical="center"/>
    </xf>
    <xf numFmtId="9" fontId="14" fillId="0" borderId="18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10" fontId="0" fillId="0" borderId="0" xfId="1" applyNumberFormat="1" applyFont="1"/>
    <xf numFmtId="164" fontId="0" fillId="0" borderId="0" xfId="0" applyNumberFormat="1"/>
    <xf numFmtId="169" fontId="0" fillId="0" borderId="0" xfId="0" applyNumberFormat="1" applyFill="1" applyAlignment="1">
      <alignment horizontal="center" vertical="center"/>
    </xf>
    <xf numFmtId="0" fontId="0" fillId="31" borderId="0" xfId="0" applyFill="1"/>
    <xf numFmtId="0" fontId="1" fillId="31" borderId="4" xfId="0" applyFont="1" applyFill="1" applyBorder="1" applyAlignment="1">
      <alignment horizontal="center"/>
    </xf>
    <xf numFmtId="0" fontId="1" fillId="31" borderId="0" xfId="0" applyFont="1" applyFill="1" applyAlignment="1">
      <alignment horizontal="center" vertical="center"/>
    </xf>
    <xf numFmtId="0" fontId="1" fillId="31" borderId="1" xfId="0" applyFont="1" applyFill="1" applyBorder="1" applyAlignment="1">
      <alignment horizontal="center" vertical="center"/>
    </xf>
    <xf numFmtId="0" fontId="1" fillId="31" borderId="10" xfId="0" applyFont="1" applyFill="1" applyBorder="1" applyAlignment="1">
      <alignment horizontal="center"/>
    </xf>
    <xf numFmtId="38" fontId="0" fillId="0" borderId="25" xfId="0" applyNumberFormat="1" applyFill="1" applyBorder="1" applyAlignment="1">
      <alignment horizontal="center" vertical="center"/>
    </xf>
    <xf numFmtId="164" fontId="0" fillId="0" borderId="22" xfId="1" applyNumberFormat="1" applyFont="1" applyBorder="1" applyAlignment="1">
      <alignment horizontal="center" vertical="center"/>
    </xf>
    <xf numFmtId="10" fontId="0" fillId="0" borderId="16" xfId="1" applyNumberFormat="1" applyFont="1" applyBorder="1" applyAlignment="1">
      <alignment horizontal="center" vertical="center"/>
    </xf>
    <xf numFmtId="10" fontId="0" fillId="0" borderId="21" xfId="1" applyNumberFormat="1" applyFont="1" applyBorder="1" applyAlignment="1">
      <alignment horizontal="center" vertical="center"/>
    </xf>
    <xf numFmtId="164" fontId="0" fillId="0" borderId="4" xfId="1" applyNumberFormat="1" applyFont="1" applyBorder="1" applyAlignment="1">
      <alignment horizontal="center" vertical="center"/>
    </xf>
    <xf numFmtId="4" fontId="0" fillId="0" borderId="31" xfId="0" applyNumberFormat="1" applyBorder="1" applyAlignment="1">
      <alignment horizontal="center" vertical="center"/>
    </xf>
    <xf numFmtId="2" fontId="1" fillId="0" borderId="15" xfId="0" applyNumberFormat="1" applyFont="1" applyBorder="1" applyAlignment="1">
      <alignment horizontal="center" vertical="center"/>
    </xf>
    <xf numFmtId="4" fontId="14" fillId="0" borderId="0" xfId="0" applyNumberFormat="1" applyFont="1" applyFill="1" applyAlignment="1">
      <alignment horizontal="center" vertical="center"/>
    </xf>
    <xf numFmtId="4" fontId="14" fillId="0" borderId="45" xfId="0" applyNumberFormat="1" applyFont="1" applyFill="1" applyBorder="1" applyAlignment="1">
      <alignment horizontal="center" vertical="center"/>
    </xf>
    <xf numFmtId="9" fontId="5" fillId="26" borderId="48" xfId="0" applyNumberFormat="1" applyFont="1" applyFill="1" applyBorder="1" applyAlignment="1" applyProtection="1">
      <alignment horizontal="center" vertical="center"/>
      <protection locked="0"/>
    </xf>
    <xf numFmtId="175" fontId="5" fillId="34" borderId="47" xfId="0" applyNumberFormat="1" applyFont="1" applyFill="1" applyBorder="1" applyAlignment="1" applyProtection="1">
      <alignment horizontal="center" vertical="center"/>
      <protection locked="0"/>
    </xf>
    <xf numFmtId="176" fontId="5" fillId="34" borderId="48" xfId="0" applyNumberFormat="1" applyFont="1" applyFill="1" applyBorder="1" applyAlignment="1" applyProtection="1">
      <alignment horizontal="center" vertical="center"/>
      <protection locked="0"/>
    </xf>
    <xf numFmtId="172" fontId="5" fillId="34" borderId="48" xfId="1" applyNumberFormat="1" applyFont="1" applyFill="1" applyBorder="1" applyAlignment="1" applyProtection="1">
      <alignment horizontal="center" vertical="center"/>
      <protection locked="0"/>
    </xf>
    <xf numFmtId="172" fontId="5" fillId="34" borderId="48" xfId="0" applyNumberFormat="1" applyFont="1" applyFill="1" applyBorder="1" applyAlignment="1" applyProtection="1">
      <alignment horizontal="center" vertical="center"/>
      <protection locked="0"/>
    </xf>
    <xf numFmtId="0" fontId="5" fillId="30" borderId="49" xfId="0" applyFont="1" applyFill="1" applyBorder="1" applyAlignment="1" applyProtection="1">
      <alignment horizontal="center" vertical="center"/>
      <protection locked="0"/>
    </xf>
    <xf numFmtId="9" fontId="5" fillId="34" borderId="46" xfId="1" applyFont="1" applyFill="1" applyBorder="1" applyAlignment="1" applyProtection="1">
      <alignment horizontal="right" vertical="center"/>
      <protection locked="0"/>
    </xf>
    <xf numFmtId="40" fontId="5" fillId="34" borderId="50" xfId="0" applyNumberFormat="1" applyFont="1" applyFill="1" applyBorder="1" applyAlignment="1" applyProtection="1">
      <alignment horizontal="center" vertical="center"/>
      <protection locked="0"/>
    </xf>
    <xf numFmtId="40" fontId="5" fillId="34" borderId="51" xfId="0" applyNumberFormat="1" applyFont="1" applyFill="1" applyBorder="1" applyAlignment="1" applyProtection="1">
      <alignment horizontal="center" vertical="center"/>
      <protection locked="0"/>
    </xf>
    <xf numFmtId="173" fontId="5" fillId="34" borderId="47" xfId="1" applyNumberFormat="1" applyFont="1" applyFill="1" applyBorder="1" applyAlignment="1" applyProtection="1">
      <alignment horizontal="center" vertical="center"/>
      <protection locked="0"/>
    </xf>
    <xf numFmtId="174" fontId="5" fillId="34" borderId="48" xfId="1" applyNumberFormat="1" applyFont="1" applyFill="1" applyBorder="1" applyAlignment="1" applyProtection="1">
      <alignment horizontal="center" vertical="center"/>
      <protection locked="0"/>
    </xf>
    <xf numFmtId="173" fontId="5" fillId="34" borderId="48" xfId="1" applyNumberFormat="1" applyFont="1" applyFill="1" applyBorder="1" applyAlignment="1" applyProtection="1">
      <alignment horizontal="center" vertical="center"/>
      <protection locked="0"/>
    </xf>
    <xf numFmtId="173" fontId="5" fillId="34" borderId="48" xfId="0" applyNumberFormat="1" applyFont="1" applyFill="1" applyBorder="1" applyAlignment="1" applyProtection="1">
      <alignment horizontal="center" vertical="center"/>
      <protection locked="0"/>
    </xf>
    <xf numFmtId="0" fontId="5" fillId="34" borderId="49" xfId="0" applyFont="1" applyFill="1" applyBorder="1" applyAlignment="1" applyProtection="1">
      <alignment horizontal="center" vertical="center"/>
      <protection locked="0"/>
    </xf>
    <xf numFmtId="2" fontId="0" fillId="35" borderId="0" xfId="0" applyNumberFormat="1" applyFill="1" applyAlignment="1">
      <alignment horizontal="center" vertical="center"/>
    </xf>
    <xf numFmtId="0" fontId="0" fillId="35" borderId="0" xfId="0" applyFill="1" applyAlignment="1">
      <alignment horizontal="right" vertical="center"/>
    </xf>
    <xf numFmtId="0" fontId="0" fillId="36" borderId="0" xfId="0" applyFill="1"/>
    <xf numFmtId="2" fontId="0" fillId="36" borderId="0" xfId="0" applyNumberFormat="1" applyFill="1" applyAlignment="1">
      <alignment horizontal="center" vertical="center"/>
    </xf>
    <xf numFmtId="0" fontId="0" fillId="36" borderId="0" xfId="0" applyFill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164" fontId="21" fillId="0" borderId="0" xfId="0" applyNumberFormat="1" applyFont="1" applyAlignment="1">
      <alignment horizontal="center" vertical="center"/>
    </xf>
    <xf numFmtId="10" fontId="0" fillId="0" borderId="0" xfId="1" applyNumberFormat="1" applyFont="1" applyBorder="1" applyAlignment="1">
      <alignment wrapText="1"/>
    </xf>
    <xf numFmtId="9" fontId="0" fillId="0" borderId="1" xfId="0" applyNumberFormat="1" applyFill="1" applyBorder="1" applyAlignment="1">
      <alignment horizontal="center" vertical="center"/>
    </xf>
    <xf numFmtId="8" fontId="10" fillId="22" borderId="1" xfId="0" applyNumberFormat="1" applyFont="1" applyFill="1" applyBorder="1" applyAlignment="1">
      <alignment horizontal="center" vertical="center"/>
    </xf>
    <xf numFmtId="9" fontId="0" fillId="0" borderId="53" xfId="0" applyNumberFormat="1" applyFill="1" applyBorder="1" applyAlignment="1">
      <alignment horizontal="center" vertical="center"/>
    </xf>
    <xf numFmtId="9" fontId="5" fillId="26" borderId="54" xfId="0" applyNumberFormat="1" applyFont="1" applyFill="1" applyBorder="1" applyAlignment="1" applyProtection="1">
      <alignment horizontal="center" vertical="center"/>
      <protection locked="0"/>
    </xf>
    <xf numFmtId="8" fontId="8" fillId="25" borderId="0" xfId="0" applyNumberFormat="1" applyFont="1" applyFill="1" applyBorder="1" applyAlignment="1">
      <alignment horizontal="center" vertical="center"/>
    </xf>
    <xf numFmtId="9" fontId="0" fillId="0" borderId="0" xfId="0" applyNumberFormat="1" applyFill="1" applyBorder="1" applyAlignment="1">
      <alignment horizontal="center" vertical="center"/>
    </xf>
    <xf numFmtId="164" fontId="15" fillId="0" borderId="0" xfId="1" applyNumberFormat="1" applyFont="1" applyAlignment="1">
      <alignment horizontal="center" vertical="center"/>
    </xf>
    <xf numFmtId="40" fontId="0" fillId="2" borderId="0" xfId="0" applyNumberFormat="1" applyFill="1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  <xf numFmtId="40" fontId="2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5" fillId="10" borderId="44" xfId="0" applyFont="1" applyFill="1" applyBorder="1" applyAlignment="1" applyProtection="1">
      <alignment horizontal="center" vertical="center"/>
      <protection locked="0"/>
    </xf>
    <xf numFmtId="0" fontId="0" fillId="3" borderId="12" xfId="0" applyFont="1" applyFill="1" applyBorder="1" applyAlignment="1">
      <alignment horizontal="right" vertical="center"/>
    </xf>
    <xf numFmtId="3" fontId="1" fillId="0" borderId="2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1" fillId="0" borderId="0" xfId="0" applyFont="1"/>
    <xf numFmtId="0" fontId="1" fillId="0" borderId="55" xfId="0" applyFont="1" applyBorder="1" applyAlignment="1">
      <alignment horizontal="center" vertical="center"/>
    </xf>
    <xf numFmtId="0" fontId="17" fillId="0" borderId="43" xfId="0" applyFont="1" applyFill="1" applyBorder="1" applyAlignment="1">
      <alignment horizontal="center" vertical="center"/>
    </xf>
    <xf numFmtId="164" fontId="21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4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0" xfId="0" applyFont="1" applyFill="1"/>
    <xf numFmtId="0" fontId="1" fillId="2" borderId="1" xfId="0" applyFon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3" fontId="0" fillId="11" borderId="0" xfId="0" applyNumberFormat="1" applyFill="1" applyAlignment="1">
      <alignment horizontal="center" vertical="center"/>
    </xf>
    <xf numFmtId="4" fontId="0" fillId="11" borderId="0" xfId="0" applyNumberFormat="1" applyFill="1" applyAlignment="1">
      <alignment horizontal="center" vertical="center"/>
    </xf>
    <xf numFmtId="3" fontId="0" fillId="11" borderId="11" xfId="0" applyNumberFormat="1" applyFill="1" applyBorder="1" applyAlignment="1">
      <alignment horizontal="center" vertical="center"/>
    </xf>
    <xf numFmtId="4" fontId="0" fillId="11" borderId="11" xfId="0" applyNumberFormat="1" applyFill="1" applyBorder="1" applyAlignment="1">
      <alignment horizontal="center" vertical="center"/>
    </xf>
    <xf numFmtId="3" fontId="0" fillId="11" borderId="1" xfId="0" applyNumberFormat="1" applyFill="1" applyBorder="1" applyAlignment="1">
      <alignment horizontal="center" vertical="center"/>
    </xf>
    <xf numFmtId="4" fontId="0" fillId="11" borderId="1" xfId="0" applyNumberFormat="1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0" xfId="0" applyFill="1"/>
    <xf numFmtId="0" fontId="0" fillId="11" borderId="0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3" fontId="0" fillId="11" borderId="0" xfId="0" applyNumberFormat="1" applyFill="1" applyBorder="1" applyAlignment="1">
      <alignment horizontal="center" vertical="center"/>
    </xf>
    <xf numFmtId="0" fontId="0" fillId="11" borderId="0" xfId="0" applyFill="1" applyBorder="1"/>
    <xf numFmtId="0" fontId="0" fillId="11" borderId="0" xfId="0" applyFill="1" applyAlignment="1">
      <alignment horizontal="left"/>
    </xf>
    <xf numFmtId="4" fontId="0" fillId="11" borderId="0" xfId="0" applyNumberFormat="1" applyFill="1" applyAlignment="1">
      <alignment horizontal="left"/>
    </xf>
    <xf numFmtId="4" fontId="0" fillId="11" borderId="8" xfId="0" applyNumberFormat="1" applyFill="1" applyBorder="1" applyAlignment="1">
      <alignment horizontal="center" vertical="center"/>
    </xf>
    <xf numFmtId="4" fontId="0" fillId="11" borderId="9" xfId="0" applyNumberFormat="1" applyFill="1" applyBorder="1" applyAlignment="1">
      <alignment horizontal="center" vertical="center"/>
    </xf>
    <xf numFmtId="0" fontId="0" fillId="11" borderId="1" xfId="0" applyFill="1" applyBorder="1"/>
    <xf numFmtId="4" fontId="0" fillId="11" borderId="7" xfId="0" applyNumberFormat="1" applyFill="1" applyBorder="1" applyAlignment="1">
      <alignment horizontal="center" vertical="center"/>
    </xf>
    <xf numFmtId="4" fontId="0" fillId="11" borderId="0" xfId="0" applyNumberForma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4" fontId="0" fillId="11" borderId="0" xfId="1" applyNumberFormat="1" applyFont="1" applyFill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164" fontId="0" fillId="11" borderId="6" xfId="1" applyNumberFormat="1" applyFont="1" applyFill="1" applyBorder="1" applyAlignment="1">
      <alignment horizontal="center" vertical="center"/>
    </xf>
    <xf numFmtId="3" fontId="0" fillId="11" borderId="6" xfId="0" applyNumberFormat="1" applyFill="1" applyBorder="1" applyAlignment="1">
      <alignment horizontal="center" vertical="center"/>
    </xf>
    <xf numFmtId="164" fontId="0" fillId="11" borderId="1" xfId="1" applyNumberFormat="1" applyFont="1" applyFill="1" applyBorder="1" applyAlignment="1">
      <alignment horizontal="center" vertical="center"/>
    </xf>
    <xf numFmtId="3" fontId="0" fillId="11" borderId="7" xfId="0" applyNumberFormat="1" applyFill="1" applyBorder="1" applyAlignment="1">
      <alignment horizontal="center" vertical="center"/>
    </xf>
    <xf numFmtId="164" fontId="0" fillId="11" borderId="0" xfId="1" applyNumberFormat="1" applyFont="1" applyFill="1" applyBorder="1" applyAlignment="1">
      <alignment horizontal="center" vertical="center"/>
    </xf>
    <xf numFmtId="164" fontId="0" fillId="11" borderId="0" xfId="1" applyNumberFormat="1" applyFont="1" applyFill="1" applyAlignment="1">
      <alignment horizontal="center"/>
    </xf>
    <xf numFmtId="0" fontId="0" fillId="2" borderId="8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4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38" fontId="0" fillId="11" borderId="0" xfId="0" applyNumberFormat="1" applyFill="1" applyAlignment="1">
      <alignment horizontal="center" vertical="center"/>
    </xf>
    <xf numFmtId="38" fontId="0" fillId="11" borderId="14" xfId="0" applyNumberFormat="1" applyFill="1" applyBorder="1" applyAlignment="1">
      <alignment horizontal="center" vertical="center"/>
    </xf>
    <xf numFmtId="164" fontId="0" fillId="11" borderId="11" xfId="1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14" fillId="0" borderId="0" xfId="0" applyFont="1" applyFill="1" applyAlignment="1">
      <alignment horizontal="left"/>
    </xf>
    <xf numFmtId="4" fontId="0" fillId="2" borderId="0" xfId="0" applyNumberFormat="1" applyFont="1" applyFill="1" applyAlignment="1">
      <alignment horizontal="center" vertical="center"/>
    </xf>
    <xf numFmtId="4" fontId="14" fillId="2" borderId="45" xfId="0" applyNumberFormat="1" applyFont="1" applyFill="1" applyBorder="1" applyAlignment="1">
      <alignment horizontal="center" vertical="center"/>
    </xf>
    <xf numFmtId="40" fontId="19" fillId="2" borderId="51" xfId="0" applyNumberFormat="1" applyFont="1" applyFill="1" applyBorder="1" applyAlignment="1">
      <alignment horizontal="center" vertical="center"/>
    </xf>
    <xf numFmtId="177" fontId="14" fillId="0" borderId="7" xfId="0" applyNumberFormat="1" applyFont="1" applyFill="1" applyBorder="1" applyAlignment="1">
      <alignment horizontal="center" vertical="center"/>
    </xf>
    <xf numFmtId="178" fontId="14" fillId="0" borderId="4" xfId="0" applyNumberFormat="1" applyFont="1" applyFill="1" applyBorder="1" applyAlignment="1">
      <alignment horizontal="center" vertical="center"/>
    </xf>
    <xf numFmtId="40" fontId="0" fillId="11" borderId="0" xfId="0" applyNumberFormat="1" applyFill="1" applyAlignment="1">
      <alignment horizontal="center" vertical="center"/>
    </xf>
    <xf numFmtId="38" fontId="0" fillId="11" borderId="35" xfId="0" applyNumberFormat="1" applyFill="1" applyBorder="1" applyAlignment="1">
      <alignment horizontal="center" vertical="center"/>
    </xf>
    <xf numFmtId="164" fontId="0" fillId="11" borderId="16" xfId="1" applyNumberFormat="1" applyFont="1" applyFill="1" applyBorder="1" applyAlignment="1">
      <alignment horizontal="center" vertical="center"/>
    </xf>
    <xf numFmtId="38" fontId="0" fillId="11" borderId="12" xfId="0" applyNumberFormat="1" applyFill="1" applyBorder="1" applyAlignment="1">
      <alignment horizontal="center" vertical="center"/>
    </xf>
    <xf numFmtId="9" fontId="14" fillId="0" borderId="57" xfId="0" applyNumberFormat="1" applyFont="1" applyFill="1" applyBorder="1" applyAlignment="1">
      <alignment horizontal="center" vertical="center"/>
    </xf>
    <xf numFmtId="0" fontId="14" fillId="0" borderId="57" xfId="0" applyFont="1" applyFill="1" applyBorder="1" applyAlignment="1">
      <alignment horizontal="center" vertical="center"/>
    </xf>
    <xf numFmtId="0" fontId="1" fillId="0" borderId="52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56" xfId="0" applyFont="1" applyBorder="1" applyAlignment="1">
      <alignment horizontal="center" vertical="top" wrapText="1"/>
    </xf>
    <xf numFmtId="0" fontId="1" fillId="11" borderId="0" xfId="0" applyFont="1" applyFill="1" applyAlignment="1">
      <alignment horizontal="center" wrapText="1"/>
    </xf>
    <xf numFmtId="0" fontId="1" fillId="11" borderId="4" xfId="0" applyFont="1" applyFill="1" applyBorder="1" applyAlignment="1">
      <alignment horizontal="center" wrapText="1"/>
    </xf>
    <xf numFmtId="0" fontId="13" fillId="0" borderId="7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0" fontId="0" fillId="3" borderId="23" xfId="0" applyNumberFormat="1" applyFill="1" applyBorder="1" applyAlignment="1">
      <alignment horizontal="center" vertical="center"/>
    </xf>
    <xf numFmtId="0" fontId="0" fillId="3" borderId="5" xfId="0" applyNumberFormat="1" applyFill="1" applyBorder="1" applyAlignment="1">
      <alignment horizontal="center" vertical="center"/>
    </xf>
    <xf numFmtId="0" fontId="0" fillId="3" borderId="2" xfId="0" applyNumberFormat="1" applyFill="1" applyBorder="1" applyAlignment="1">
      <alignment horizontal="center" vertical="center"/>
    </xf>
    <xf numFmtId="0" fontId="0" fillId="3" borderId="3" xfId="0" applyNumberFormat="1" applyFill="1" applyBorder="1" applyAlignment="1">
      <alignment horizontal="center" vertical="center"/>
    </xf>
    <xf numFmtId="0" fontId="0" fillId="3" borderId="24" xfId="0" applyNumberFormat="1" applyFill="1" applyBorder="1" applyAlignment="1">
      <alignment horizontal="center" vertical="center"/>
    </xf>
    <xf numFmtId="0" fontId="0" fillId="3" borderId="30" xfId="0" applyNumberFormat="1" applyFill="1" applyBorder="1" applyAlignment="1">
      <alignment horizontal="center" vertical="center"/>
    </xf>
    <xf numFmtId="164" fontId="1" fillId="0" borderId="4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10" fontId="0" fillId="0" borderId="52" xfId="1" applyNumberFormat="1" applyFont="1" applyBorder="1" applyAlignment="1">
      <alignment horizontal="center" wrapText="1"/>
    </xf>
    <xf numFmtId="10" fontId="0" fillId="0" borderId="43" xfId="1" applyNumberFormat="1" applyFont="1" applyBorder="1" applyAlignment="1">
      <alignment horizontal="center" wrapText="1"/>
    </xf>
    <xf numFmtId="10" fontId="0" fillId="0" borderId="44" xfId="1" applyNumberFormat="1" applyFont="1" applyBorder="1" applyAlignment="1">
      <alignment horizontal="center" wrapText="1"/>
    </xf>
    <xf numFmtId="4" fontId="1" fillId="8" borderId="2" xfId="0" applyNumberFormat="1" applyFont="1" applyFill="1" applyBorder="1" applyAlignment="1">
      <alignment horizontal="center" vertical="center"/>
    </xf>
    <xf numFmtId="4" fontId="1" fillId="8" borderId="5" xfId="0" applyNumberFormat="1" applyFont="1" applyFill="1" applyBorder="1" applyAlignment="1">
      <alignment horizontal="center" vertical="center"/>
    </xf>
    <xf numFmtId="4" fontId="1" fillId="8" borderId="3" xfId="0" applyNumberFormat="1" applyFont="1" applyFill="1" applyBorder="1" applyAlignment="1">
      <alignment horizontal="center" vertical="center"/>
    </xf>
    <xf numFmtId="2" fontId="0" fillId="0" borderId="13" xfId="0" applyNumberFormat="1" applyFill="1" applyBorder="1" applyAlignment="1">
      <alignment horizontal="center" wrapText="1"/>
    </xf>
    <xf numFmtId="2" fontId="0" fillId="0" borderId="8" xfId="0" applyNumberFormat="1" applyFill="1" applyBorder="1" applyAlignment="1">
      <alignment horizontal="center" wrapText="1"/>
    </xf>
    <xf numFmtId="2" fontId="0" fillId="0" borderId="10" xfId="0" applyNumberFormat="1" applyFill="1" applyBorder="1" applyAlignment="1">
      <alignment horizontal="center" wrapText="1"/>
    </xf>
    <xf numFmtId="0" fontId="0" fillId="17" borderId="23" xfId="0" applyNumberFormat="1" applyFill="1" applyBorder="1" applyAlignment="1">
      <alignment horizontal="center" vertical="center"/>
    </xf>
    <xf numFmtId="0" fontId="0" fillId="17" borderId="3" xfId="0" applyNumberFormat="1" applyFill="1" applyBorder="1" applyAlignment="1">
      <alignment horizontal="center" vertical="center"/>
    </xf>
    <xf numFmtId="0" fontId="0" fillId="17" borderId="5" xfId="0" applyNumberFormat="1" applyFill="1" applyBorder="1" applyAlignment="1">
      <alignment horizontal="center" vertical="center"/>
    </xf>
    <xf numFmtId="0" fontId="0" fillId="17" borderId="30" xfId="0" applyNumberFormat="1" applyFill="1" applyBorder="1" applyAlignment="1">
      <alignment horizontal="center" vertical="center"/>
    </xf>
    <xf numFmtId="2" fontId="1" fillId="16" borderId="2" xfId="0" applyNumberFormat="1" applyFont="1" applyFill="1" applyBorder="1" applyAlignment="1">
      <alignment horizontal="center" vertical="center"/>
    </xf>
    <xf numFmtId="2" fontId="1" fillId="16" borderId="5" xfId="0" applyNumberFormat="1" applyFont="1" applyFill="1" applyBorder="1" applyAlignment="1">
      <alignment horizontal="center" vertical="center"/>
    </xf>
    <xf numFmtId="2" fontId="1" fillId="16" borderId="3" xfId="0" applyNumberFormat="1" applyFont="1" applyFill="1" applyBorder="1" applyAlignment="1">
      <alignment horizontal="center" vertical="center"/>
    </xf>
    <xf numFmtId="4" fontId="1" fillId="16" borderId="2" xfId="0" applyNumberFormat="1" applyFont="1" applyFill="1" applyBorder="1" applyAlignment="1">
      <alignment horizontal="center" vertical="center"/>
    </xf>
    <xf numFmtId="4" fontId="1" fillId="16" borderId="5" xfId="0" applyNumberFormat="1" applyFont="1" applyFill="1" applyBorder="1" applyAlignment="1">
      <alignment horizontal="center" vertical="center"/>
    </xf>
    <xf numFmtId="4" fontId="1" fillId="16" borderId="3" xfId="0" applyNumberFormat="1" applyFont="1" applyFill="1" applyBorder="1" applyAlignment="1">
      <alignment horizontal="center" vertical="center"/>
    </xf>
    <xf numFmtId="0" fontId="0" fillId="17" borderId="2" xfId="0" applyNumberForma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6" fillId="37" borderId="0" xfId="0" applyFont="1" applyFill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32" borderId="0" xfId="0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2" borderId="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31" borderId="5" xfId="0" applyFill="1" applyBorder="1" applyAlignment="1">
      <alignment horizontal="center"/>
    </xf>
    <xf numFmtId="0" fontId="0" fillId="31" borderId="3" xfId="0" applyFill="1" applyBorder="1" applyAlignment="1">
      <alignment horizontal="center"/>
    </xf>
    <xf numFmtId="0" fontId="0" fillId="31" borderId="2" xfId="0" applyFill="1" applyBorder="1" applyAlignment="1">
      <alignment horizontal="center"/>
    </xf>
  </cellXfs>
  <cellStyles count="2">
    <cellStyle name="Normal" xfId="0" builtinId="0"/>
    <cellStyle name="Percent" xfId="1" builtinId="5"/>
  </cellStyles>
  <dxfs count="351"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CC99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6699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6699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00FF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CC99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6699FF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6699FF"/>
        </patternFill>
      </fill>
    </dxf>
    <dxf>
      <fill>
        <patternFill>
          <bgColor rgb="FF00FF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CC99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6699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6699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00FF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CC99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6699FF"/>
        </patternFill>
      </fill>
    </dxf>
    <dxf>
      <fill>
        <patternFill>
          <bgColor rgb="FF99FF99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6699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00FF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CC99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00FFFF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6699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00FF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ont>
        <color theme="9" tint="0.79998168889431442"/>
      </font>
    </dxf>
    <dxf>
      <font>
        <color theme="9" tint="0.79998168889431442"/>
      </font>
    </dxf>
    <dxf>
      <font>
        <b/>
        <i val="0"/>
        <color rgb="FFFFFF00"/>
      </font>
      <fill>
        <patternFill>
          <bgColor rgb="FF46E600"/>
        </patternFill>
      </fill>
    </dxf>
    <dxf>
      <font>
        <b/>
        <i val="0"/>
        <color rgb="FFC00000"/>
      </font>
      <fill>
        <patternFill>
          <bgColor rgb="FF69FF05"/>
        </patternFill>
      </fill>
    </dxf>
    <dxf>
      <font>
        <b/>
        <i val="0"/>
        <color rgb="FFEAB200"/>
      </font>
      <fill>
        <patternFill>
          <bgColor rgb="FF96FF46"/>
        </patternFill>
      </fill>
    </dxf>
    <dxf>
      <fill>
        <patternFill>
          <bgColor rgb="FFC3FF87"/>
        </patternFill>
      </fill>
    </dxf>
    <dxf>
      <font>
        <b/>
        <i val="0"/>
        <color theme="0" tint="-0.499984740745262"/>
      </font>
      <fill>
        <patternFill>
          <bgColor rgb="FFFF8CFF"/>
        </patternFill>
      </fill>
    </dxf>
    <dxf>
      <font>
        <b/>
        <i val="0"/>
        <color rgb="FF00B0F0"/>
      </font>
      <fill>
        <patternFill>
          <bgColor rgb="FFFFAAFF"/>
        </patternFill>
      </fill>
    </dxf>
    <dxf>
      <font>
        <color auto="1"/>
      </font>
      <fill>
        <patternFill>
          <bgColor rgb="FFFFC8FF"/>
        </patternFill>
      </fill>
    </dxf>
    <dxf>
      <font>
        <color rgb="FFC00000"/>
      </font>
      <fill>
        <patternFill>
          <bgColor rgb="FFFFE6FF"/>
        </patternFill>
      </fill>
    </dxf>
    <dxf>
      <font>
        <b/>
        <i val="0"/>
        <color rgb="FFFFFF00"/>
      </font>
      <fill>
        <patternFill>
          <bgColor rgb="FF46E600"/>
        </patternFill>
      </fill>
    </dxf>
    <dxf>
      <font>
        <b/>
        <i val="0"/>
        <color rgb="FFC00000"/>
      </font>
      <fill>
        <patternFill>
          <bgColor rgb="FF69FF05"/>
        </patternFill>
      </fill>
    </dxf>
    <dxf>
      <font>
        <b/>
        <i val="0"/>
        <color rgb="FFEAB200"/>
      </font>
      <fill>
        <patternFill>
          <bgColor rgb="FF96FF46"/>
        </patternFill>
      </fill>
    </dxf>
    <dxf>
      <fill>
        <patternFill>
          <bgColor rgb="FFC3FF87"/>
        </patternFill>
      </fill>
    </dxf>
    <dxf>
      <font>
        <b/>
        <i val="0"/>
        <color theme="0" tint="-0.499984740745262"/>
      </font>
      <fill>
        <patternFill>
          <bgColor rgb="FFFF8CFF"/>
        </patternFill>
      </fill>
    </dxf>
    <dxf>
      <font>
        <b/>
        <i val="0"/>
        <color rgb="FF00B0F0"/>
      </font>
      <fill>
        <patternFill>
          <bgColor rgb="FFFFAAFF"/>
        </patternFill>
      </fill>
    </dxf>
    <dxf>
      <font>
        <color auto="1"/>
      </font>
      <fill>
        <patternFill>
          <bgColor rgb="FFFFC8FF"/>
        </patternFill>
      </fill>
    </dxf>
    <dxf>
      <font>
        <color rgb="FFC00000"/>
      </font>
      <fill>
        <patternFill>
          <bgColor rgb="FFFFE6FF"/>
        </patternFill>
      </fill>
    </dxf>
    <dxf>
      <fill>
        <patternFill>
          <bgColor rgb="FFC3FF87"/>
        </patternFill>
      </fill>
    </dxf>
    <dxf>
      <font>
        <b/>
        <i val="0"/>
        <color theme="7"/>
      </font>
      <fill>
        <patternFill>
          <bgColor rgb="FF96FF46"/>
        </patternFill>
      </fill>
    </dxf>
    <dxf>
      <font>
        <color rgb="FFC00000"/>
      </font>
      <fill>
        <patternFill>
          <bgColor rgb="FF69FF05"/>
        </patternFill>
      </fill>
    </dxf>
    <dxf>
      <font>
        <b/>
        <i val="0"/>
        <color rgb="FFFFFF00"/>
      </font>
      <fill>
        <patternFill>
          <bgColor rgb="FF46E600"/>
        </patternFill>
      </fill>
    </dxf>
    <dxf>
      <font>
        <color theme="0" tint="-0.499984740745262"/>
      </font>
      <fill>
        <patternFill>
          <bgColor rgb="FFFF8CFF"/>
        </patternFill>
      </fill>
    </dxf>
    <dxf>
      <font>
        <b/>
        <i val="0"/>
        <color rgb="FF00B0F0"/>
      </font>
      <fill>
        <patternFill>
          <bgColor rgb="FFFFAAFF"/>
        </patternFill>
      </fill>
    </dxf>
    <dxf>
      <fill>
        <patternFill>
          <bgColor rgb="FFFFC8FF"/>
        </patternFill>
      </fill>
    </dxf>
    <dxf>
      <font>
        <color rgb="FFC00000"/>
      </font>
      <fill>
        <patternFill>
          <bgColor rgb="FFFFE6FF"/>
        </patternFill>
      </fill>
    </dxf>
    <dxf>
      <fill>
        <patternFill>
          <bgColor rgb="FFC3FF87"/>
        </patternFill>
      </fill>
    </dxf>
    <dxf>
      <font>
        <b/>
        <i val="0"/>
        <color theme="7"/>
      </font>
      <fill>
        <patternFill>
          <bgColor rgb="FF96FF46"/>
        </patternFill>
      </fill>
    </dxf>
    <dxf>
      <font>
        <color rgb="FFC00000"/>
      </font>
      <fill>
        <patternFill>
          <bgColor rgb="FF69FF05"/>
        </patternFill>
      </fill>
    </dxf>
    <dxf>
      <font>
        <b/>
        <i val="0"/>
        <color rgb="FFFFFF00"/>
      </font>
      <fill>
        <patternFill>
          <bgColor rgb="FF46E600"/>
        </patternFill>
      </fill>
    </dxf>
    <dxf>
      <font>
        <b/>
        <i val="0"/>
        <color theme="0" tint="-0.499984740745262"/>
      </font>
      <fill>
        <patternFill>
          <bgColor rgb="FFFF8CFF"/>
        </patternFill>
      </fill>
    </dxf>
    <dxf>
      <font>
        <b/>
        <i val="0"/>
        <color rgb="FF00B0F0"/>
      </font>
      <fill>
        <patternFill>
          <bgColor rgb="FFFFAAFF"/>
        </patternFill>
      </fill>
    </dxf>
    <dxf>
      <fill>
        <patternFill>
          <bgColor rgb="FFFFC8FF"/>
        </patternFill>
      </fill>
    </dxf>
    <dxf>
      <font>
        <color rgb="FFC00000"/>
      </font>
      <fill>
        <patternFill>
          <bgColor rgb="FFFFE6FF"/>
        </patternFill>
      </fill>
    </dxf>
    <dxf>
      <font>
        <b/>
        <i val="0"/>
        <color rgb="FFFFFF00"/>
      </font>
      <fill>
        <patternFill>
          <bgColor rgb="FF46E600"/>
        </patternFill>
      </fill>
    </dxf>
    <dxf>
      <font>
        <b/>
        <i val="0"/>
        <color rgb="FFC00000"/>
      </font>
      <fill>
        <patternFill>
          <bgColor rgb="FF69FF05"/>
        </patternFill>
      </fill>
    </dxf>
    <dxf>
      <font>
        <b/>
        <i val="0"/>
        <color rgb="FFEAB200"/>
      </font>
      <fill>
        <patternFill>
          <bgColor rgb="FF96FF87"/>
        </patternFill>
      </fill>
    </dxf>
    <dxf>
      <fill>
        <patternFill>
          <bgColor rgb="FFC3FF87"/>
        </patternFill>
      </fill>
    </dxf>
    <dxf>
      <font>
        <b/>
        <i val="0"/>
        <color theme="0" tint="-0.499984740745262"/>
      </font>
      <fill>
        <patternFill>
          <bgColor rgb="FFFF8CFF"/>
        </patternFill>
      </fill>
    </dxf>
    <dxf>
      <font>
        <b/>
        <i val="0"/>
        <color rgb="FF00B0F0"/>
      </font>
      <fill>
        <patternFill>
          <bgColor rgb="FFFFAAFF"/>
        </patternFill>
      </fill>
    </dxf>
    <dxf>
      <fill>
        <patternFill>
          <bgColor rgb="FFFFC8FF"/>
        </patternFill>
      </fill>
    </dxf>
    <dxf>
      <font>
        <color rgb="FFC00000"/>
      </font>
      <fill>
        <patternFill>
          <bgColor rgb="FFFFE6FF"/>
        </patternFill>
      </fill>
    </dxf>
    <dxf>
      <font>
        <b/>
        <i val="0"/>
        <color rgb="FF00B050"/>
      </font>
    </dxf>
    <dxf>
      <fill>
        <patternFill>
          <bgColor rgb="FFAFF0FF"/>
        </patternFill>
      </fill>
    </dxf>
    <dxf>
      <font>
        <b/>
        <i val="0"/>
        <color rgb="FFC00000"/>
      </font>
    </dxf>
    <dxf>
      <fill>
        <patternFill>
          <bgColor rgb="FFE0C8EE"/>
        </patternFill>
      </fill>
    </dxf>
    <dxf>
      <font>
        <b/>
        <i val="0"/>
        <color rgb="FF00B050"/>
      </font>
    </dxf>
    <dxf>
      <fill>
        <patternFill>
          <bgColor rgb="FFAFF0FF"/>
        </patternFill>
      </fill>
    </dxf>
    <dxf>
      <font>
        <b/>
        <i val="0"/>
        <color rgb="FFC00000"/>
      </font>
    </dxf>
    <dxf>
      <fill>
        <patternFill>
          <bgColor rgb="FFE0C8EE"/>
        </patternFill>
      </fill>
    </dxf>
    <dxf>
      <fill>
        <patternFill>
          <bgColor rgb="FFDCFFFF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Light16"/>
  <colors>
    <mruColors>
      <color rgb="FFFFFFE1"/>
      <color rgb="FF0000FF"/>
      <color rgb="FFDCFFFF"/>
      <color rgb="FFAFF0FF"/>
      <color rgb="FFE0C8EE"/>
      <color rgb="FF6DD9FF"/>
      <color rgb="FFC8A0E1"/>
      <color rgb="FF78E6FF"/>
      <color rgb="FFC3FFFF"/>
      <color rgb="FFFF8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8312D-58E5-4090-AA4A-AD533E518707}">
  <sheetPr codeName="Sheet1"/>
  <dimension ref="A2:BP106"/>
  <sheetViews>
    <sheetView tabSelected="1" zoomScale="90" zoomScaleNormal="90" workbookViewId="0">
      <pane xSplit="1" topLeftCell="B1" activePane="topRight" state="frozen"/>
      <selection pane="topRight" activeCell="B2" sqref="B2"/>
    </sheetView>
  </sheetViews>
  <sheetFormatPr defaultRowHeight="15" x14ac:dyDescent="0.25"/>
  <cols>
    <col min="1" max="1" width="25.7109375" customWidth="1"/>
    <col min="2" max="9" width="10.28515625" customWidth="1"/>
    <col min="10" max="10" width="3.7109375" customWidth="1"/>
    <col min="11" max="18" width="10.28515625" customWidth="1"/>
    <col min="19" max="19" width="16.7109375" customWidth="1"/>
    <col min="20" max="20" width="3.7109375" customWidth="1"/>
    <col min="21" max="26" width="10.28515625" customWidth="1"/>
    <col min="27" max="27" width="3.7109375" customWidth="1"/>
    <col min="28" max="33" width="10.28515625" customWidth="1"/>
    <col min="34" max="34" width="16.7109375" customWidth="1"/>
    <col min="35" max="37" width="9.7109375" customWidth="1"/>
    <col min="38" max="42" width="9.140625" customWidth="1"/>
    <col min="51" max="51" width="10.5703125" customWidth="1"/>
    <col min="52" max="52" width="9.140625" customWidth="1"/>
    <col min="69" max="69" width="1.7109375" customWidth="1"/>
    <col min="82" max="82" width="1.7109375" customWidth="1"/>
    <col min="95" max="95" width="1.7109375" customWidth="1"/>
    <col min="108" max="108" width="1.7109375" customWidth="1"/>
    <col min="121" max="121" width="1.7109375" customWidth="1"/>
    <col min="134" max="134" width="1.7109375" customWidth="1"/>
    <col min="147" max="147" width="1.7109375" customWidth="1"/>
    <col min="160" max="160" width="1.7109375" customWidth="1"/>
    <col min="161" max="162" width="11.7109375" customWidth="1"/>
  </cols>
  <sheetData>
    <row r="2" spans="1:68" ht="15" customHeight="1" x14ac:dyDescent="0.25">
      <c r="A2" s="400" t="s">
        <v>5429</v>
      </c>
      <c r="B2" s="21"/>
      <c r="C2" s="265"/>
      <c r="D2" s="266"/>
      <c r="E2" s="339" t="s">
        <v>5458</v>
      </c>
      <c r="F2" s="267">
        <f>S81</f>
        <v>-17.600000000000001</v>
      </c>
      <c r="G2" s="342" t="s">
        <v>5467</v>
      </c>
      <c r="H2" s="21"/>
      <c r="I2" s="21"/>
      <c r="U2" s="272"/>
      <c r="V2" s="273"/>
      <c r="W2" s="274" t="s">
        <v>5459</v>
      </c>
      <c r="X2" s="267">
        <f>AH81</f>
        <v>-40.40000000000002</v>
      </c>
      <c r="Y2" s="342" t="s">
        <v>5467</v>
      </c>
    </row>
    <row r="3" spans="1:68" ht="15.75" customHeight="1" x14ac:dyDescent="0.25">
      <c r="A3" s="401"/>
      <c r="B3" s="21"/>
      <c r="C3" s="268"/>
      <c r="D3" s="269"/>
      <c r="E3" s="270" t="s">
        <v>5426</v>
      </c>
      <c r="F3" s="271">
        <f>S84</f>
        <v>-2.1379980563654033E-2</v>
      </c>
      <c r="G3" s="21"/>
      <c r="H3" s="21"/>
      <c r="I3" s="21"/>
      <c r="K3" s="333" t="s">
        <v>5456</v>
      </c>
      <c r="U3" s="275"/>
      <c r="V3" s="276"/>
      <c r="W3" s="277" t="s">
        <v>5427</v>
      </c>
      <c r="X3" s="278">
        <f>AH84</f>
        <v>-1.8058287144645101E-2</v>
      </c>
      <c r="AC3" s="333" t="s">
        <v>5456</v>
      </c>
    </row>
    <row r="4" spans="1:68" x14ac:dyDescent="0.25">
      <c r="A4" s="402"/>
      <c r="B4" s="21"/>
      <c r="C4" s="21"/>
      <c r="D4" s="21"/>
      <c r="E4" s="21"/>
      <c r="F4" s="257" t="s">
        <v>5423</v>
      </c>
      <c r="G4" s="21"/>
      <c r="H4" s="21"/>
      <c r="I4" s="21"/>
      <c r="J4" s="335" t="s">
        <v>5457</v>
      </c>
      <c r="K4" s="222">
        <v>-17.600000000000001</v>
      </c>
      <c r="L4" s="336" t="s">
        <v>5471</v>
      </c>
      <c r="N4" s="403" t="s">
        <v>5455</v>
      </c>
      <c r="O4" s="403"/>
      <c r="P4" s="403"/>
      <c r="X4" s="257" t="s">
        <v>5423</v>
      </c>
      <c r="AB4" s="335" t="s">
        <v>5457</v>
      </c>
      <c r="AC4" s="222">
        <v>-40.40000000000002</v>
      </c>
      <c r="AD4" s="336"/>
    </row>
    <row r="5" spans="1:68" x14ac:dyDescent="0.25">
      <c r="A5" s="338">
        <v>1</v>
      </c>
      <c r="C5" s="21"/>
      <c r="D5" s="21"/>
      <c r="E5" s="21"/>
      <c r="F5" s="344" t="str">
        <f>CHOOSE(Switch+1,E6,G6)</f>
        <v>Modified</v>
      </c>
      <c r="G5" s="21"/>
      <c r="H5" s="21"/>
      <c r="N5" s="404"/>
      <c r="O5" s="404"/>
      <c r="P5" s="404"/>
      <c r="Q5" s="21"/>
      <c r="R5" s="21"/>
      <c r="S5" s="21"/>
      <c r="T5" s="21"/>
      <c r="W5" s="21"/>
      <c r="X5" s="344" t="str">
        <f>CHOOSE(Switch+1,W6,Y6)</f>
        <v>Modified</v>
      </c>
      <c r="Y5" s="21"/>
      <c r="Z5" s="21"/>
      <c r="AA5" s="21"/>
      <c r="AH5" s="21"/>
      <c r="AI5" s="21"/>
      <c r="AJ5" s="21"/>
      <c r="AN5" s="21"/>
      <c r="AO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</row>
    <row r="6" spans="1:68" x14ac:dyDescent="0.25">
      <c r="C6" s="413" t="s">
        <v>5428</v>
      </c>
      <c r="D6" s="413"/>
      <c r="E6" s="258" t="s">
        <v>2638</v>
      </c>
      <c r="F6" s="259" t="str">
        <f>CHOOSE(Same+1,"A/B","Q","A/B")</f>
        <v>A/B</v>
      </c>
      <c r="G6" s="260" t="s">
        <v>2639</v>
      </c>
      <c r="H6" s="261" t="s">
        <v>5424</v>
      </c>
      <c r="J6" s="21"/>
      <c r="K6" s="333" t="s">
        <v>5456</v>
      </c>
      <c r="L6" s="21"/>
      <c r="N6" s="440" t="s">
        <v>5460</v>
      </c>
      <c r="O6" s="441"/>
      <c r="P6" s="442"/>
      <c r="Q6" s="21"/>
      <c r="R6" s="21"/>
      <c r="S6" s="21"/>
      <c r="T6" s="21"/>
      <c r="U6" s="413" t="s">
        <v>5428</v>
      </c>
      <c r="V6" s="413"/>
      <c r="W6" s="258" t="s">
        <v>2638</v>
      </c>
      <c r="X6" s="259" t="str">
        <f>CHOOSE(Same+1,"Q","Q","A/B")</f>
        <v>Q</v>
      </c>
      <c r="Y6" s="260" t="s">
        <v>2639</v>
      </c>
      <c r="Z6" s="261" t="s">
        <v>5424</v>
      </c>
      <c r="AB6" s="21"/>
      <c r="AC6" s="333" t="s">
        <v>5456</v>
      </c>
      <c r="AD6" s="21"/>
      <c r="AI6" s="21"/>
      <c r="AJ6" s="21"/>
      <c r="AN6" s="21"/>
      <c r="AO6" s="21"/>
      <c r="AT6" s="21"/>
      <c r="AU6" s="21"/>
      <c r="AV6" s="21"/>
      <c r="AW6" s="21"/>
      <c r="AX6" s="21"/>
      <c r="AY6" s="21"/>
      <c r="AZ6" s="21"/>
      <c r="BA6" s="21"/>
      <c r="BB6" s="21"/>
    </row>
    <row r="7" spans="1:68" x14ac:dyDescent="0.25">
      <c r="A7" s="400" t="s">
        <v>5444</v>
      </c>
      <c r="D7" s="264" t="s">
        <v>5396</v>
      </c>
      <c r="E7" s="82">
        <v>1</v>
      </c>
      <c r="F7" s="303">
        <f>CHOOSE(Switch+1,E7,CHOOSE(Same+1,G7,Y7,G7))</f>
        <v>1</v>
      </c>
      <c r="G7" s="311">
        <v>1</v>
      </c>
      <c r="H7" s="21">
        <f>(E7-G7)/E7</f>
        <v>0</v>
      </c>
      <c r="J7" s="21"/>
      <c r="K7" s="222">
        <v>1</v>
      </c>
      <c r="L7" s="21"/>
      <c r="N7" s="91" t="s">
        <v>5387</v>
      </c>
      <c r="O7" s="90" t="s">
        <v>5385</v>
      </c>
      <c r="P7" s="330">
        <v>0.25</v>
      </c>
      <c r="Q7" s="21"/>
      <c r="R7" s="21"/>
      <c r="S7" s="21"/>
      <c r="T7" s="21"/>
      <c r="V7" s="264" t="s">
        <v>5396</v>
      </c>
      <c r="W7" s="82">
        <v>1</v>
      </c>
      <c r="X7" s="303">
        <f t="shared" ref="X7:X15" si="0">CHOOSE(Switch+1,W7,CHOOSE(Same+1,Y7,Y7,G7))</f>
        <v>1</v>
      </c>
      <c r="Y7" s="311">
        <v>1</v>
      </c>
      <c r="Z7" s="21">
        <f t="shared" ref="Z7:Z15" si="1">(W7-Y7)/W7</f>
        <v>0</v>
      </c>
      <c r="AB7" s="21"/>
      <c r="AC7" s="222">
        <v>1</v>
      </c>
      <c r="AD7" s="21"/>
      <c r="AI7" s="21"/>
      <c r="AJ7" s="21"/>
      <c r="AN7" s="21"/>
      <c r="AO7" s="21"/>
      <c r="AT7" s="21"/>
      <c r="AU7" s="21"/>
      <c r="AV7" s="21"/>
      <c r="AW7" s="21"/>
      <c r="AX7" s="21"/>
      <c r="AY7" s="21"/>
      <c r="AZ7" s="21"/>
      <c r="BA7" s="21"/>
      <c r="BB7" s="21"/>
    </row>
    <row r="8" spans="1:68" x14ac:dyDescent="0.25">
      <c r="A8" s="401"/>
      <c r="D8" s="337" t="s">
        <v>2627</v>
      </c>
      <c r="E8" s="389"/>
      <c r="F8" s="390"/>
      <c r="G8" s="391">
        <f>Y8</f>
        <v>1.1100000000000001</v>
      </c>
      <c r="H8" s="88"/>
      <c r="K8" s="334"/>
      <c r="L8" s="21"/>
      <c r="N8" s="93" t="s">
        <v>5387</v>
      </c>
      <c r="O8" s="90" t="s">
        <v>5385</v>
      </c>
      <c r="P8" s="304">
        <v>0.5</v>
      </c>
      <c r="Q8" s="21"/>
      <c r="R8" s="21"/>
      <c r="S8" s="21"/>
      <c r="T8" s="21"/>
      <c r="V8" s="264" t="s">
        <v>2627</v>
      </c>
      <c r="W8" s="17">
        <v>1.1499999999999999</v>
      </c>
      <c r="X8" s="303">
        <f t="shared" si="0"/>
        <v>1.1100000000000001</v>
      </c>
      <c r="Y8" s="312">
        <v>1.1100000000000001</v>
      </c>
      <c r="Z8" s="21">
        <f t="shared" si="1"/>
        <v>3.4782608695652015E-2</v>
      </c>
      <c r="AC8" s="222">
        <v>1.1100000000000001</v>
      </c>
      <c r="AD8" s="21"/>
      <c r="AI8" s="21"/>
      <c r="AJ8" s="21"/>
    </row>
    <row r="9" spans="1:68" ht="15" customHeight="1" x14ac:dyDescent="0.25">
      <c r="A9" s="401"/>
      <c r="D9" s="264" t="s">
        <v>2617</v>
      </c>
      <c r="E9" s="17">
        <v>0.88</v>
      </c>
      <c r="F9" s="303">
        <f t="shared" ref="F9:F15" si="2">CHOOSE(Switch+1,E9,CHOOSE(Same+1,G9,Y9,G9))</f>
        <v>0.88</v>
      </c>
      <c r="G9" s="312">
        <v>0.88</v>
      </c>
      <c r="H9" s="21">
        <f t="shared" ref="H9:H13" si="3">(E9-G9)/E9</f>
        <v>0</v>
      </c>
      <c r="K9" s="222">
        <v>0.88</v>
      </c>
      <c r="L9" s="83"/>
      <c r="N9" s="94" t="s">
        <v>5387</v>
      </c>
      <c r="O9" s="90" t="s">
        <v>5385</v>
      </c>
      <c r="P9" s="304">
        <v>1</v>
      </c>
      <c r="V9" s="264" t="s">
        <v>2617</v>
      </c>
      <c r="W9" s="17">
        <v>0.88</v>
      </c>
      <c r="X9" s="303">
        <f t="shared" si="0"/>
        <v>0.88</v>
      </c>
      <c r="Y9" s="312">
        <v>0.88</v>
      </c>
      <c r="Z9" s="21">
        <f t="shared" si="1"/>
        <v>0</v>
      </c>
      <c r="AC9" s="222">
        <v>0.88</v>
      </c>
      <c r="AD9" s="83"/>
      <c r="BB9" s="107"/>
    </row>
    <row r="10" spans="1:68" ht="15" customHeight="1" x14ac:dyDescent="0.25">
      <c r="A10" s="401"/>
      <c r="D10" s="264" t="s">
        <v>2618</v>
      </c>
      <c r="E10" s="17">
        <v>0.93</v>
      </c>
      <c r="F10" s="303">
        <f t="shared" si="2"/>
        <v>0.97</v>
      </c>
      <c r="G10" s="312">
        <v>0.97</v>
      </c>
      <c r="H10" s="21">
        <f t="shared" si="3"/>
        <v>-4.3010752688171956E-2</v>
      </c>
      <c r="K10" s="222">
        <v>0.97</v>
      </c>
      <c r="L10" s="325" t="s">
        <v>5446</v>
      </c>
      <c r="N10" s="331" t="s">
        <v>5387</v>
      </c>
      <c r="O10" s="332" t="s">
        <v>5386</v>
      </c>
      <c r="P10" s="332">
        <f>-P15</f>
        <v>1</v>
      </c>
      <c r="V10" s="264" t="s">
        <v>2618</v>
      </c>
      <c r="W10" s="17">
        <v>0.93</v>
      </c>
      <c r="X10" s="303">
        <f t="shared" si="0"/>
        <v>0.87</v>
      </c>
      <c r="Y10" s="312">
        <v>0.87</v>
      </c>
      <c r="Z10" s="21">
        <f t="shared" si="1"/>
        <v>6.4516129032258118E-2</v>
      </c>
      <c r="AC10" s="222">
        <v>0.87</v>
      </c>
      <c r="AD10" s="325"/>
      <c r="BB10" s="107"/>
    </row>
    <row r="11" spans="1:68" x14ac:dyDescent="0.25">
      <c r="A11" s="402"/>
      <c r="D11" s="264" t="s">
        <v>2622</v>
      </c>
      <c r="E11" s="17">
        <v>0.92</v>
      </c>
      <c r="F11" s="303">
        <f t="shared" si="2"/>
        <v>1</v>
      </c>
      <c r="G11" s="312">
        <v>1</v>
      </c>
      <c r="H11" s="21">
        <f t="shared" si="3"/>
        <v>-8.6956521739130391E-2</v>
      </c>
      <c r="K11" s="222">
        <v>1</v>
      </c>
      <c r="L11" s="289"/>
      <c r="N11" s="440" t="s">
        <v>5461</v>
      </c>
      <c r="O11" s="441"/>
      <c r="P11" s="442"/>
      <c r="V11" s="264" t="s">
        <v>2622</v>
      </c>
      <c r="W11" s="17">
        <v>0.92</v>
      </c>
      <c r="X11" s="303">
        <f t="shared" si="0"/>
        <v>0.89</v>
      </c>
      <c r="Y11" s="312">
        <f>IF(Y$7=1,0.89,1)</f>
        <v>0.89</v>
      </c>
      <c r="Z11" s="21">
        <f t="shared" si="1"/>
        <v>3.260869565217394E-2</v>
      </c>
      <c r="AC11" s="222">
        <v>0.89</v>
      </c>
      <c r="AD11" s="289"/>
      <c r="AI11" s="21"/>
      <c r="AJ11" s="21"/>
      <c r="BB11" s="104"/>
      <c r="BJ11" s="114"/>
      <c r="BP11" s="114"/>
    </row>
    <row r="12" spans="1:68" x14ac:dyDescent="0.25">
      <c r="A12" s="338">
        <v>0</v>
      </c>
      <c r="D12" s="264" t="s">
        <v>2623</v>
      </c>
      <c r="E12" s="17">
        <v>0.85</v>
      </c>
      <c r="F12" s="303">
        <f t="shared" si="2"/>
        <v>0.97</v>
      </c>
      <c r="G12" s="312">
        <f>IF(G$7=1,0.97,0.95)</f>
        <v>0.97</v>
      </c>
      <c r="H12" s="21">
        <f t="shared" si="3"/>
        <v>-0.14117647058823529</v>
      </c>
      <c r="K12" s="222">
        <v>0.97</v>
      </c>
      <c r="L12" s="289"/>
      <c r="N12" s="95" t="s">
        <v>5387</v>
      </c>
      <c r="O12" s="90" t="s">
        <v>5386</v>
      </c>
      <c r="P12" s="283">
        <f>-P7</f>
        <v>-0.25</v>
      </c>
      <c r="Q12" s="263"/>
      <c r="R12" s="78"/>
      <c r="S12" s="262"/>
      <c r="T12" s="262"/>
      <c r="V12" s="264" t="s">
        <v>2623</v>
      </c>
      <c r="W12" s="17">
        <v>0.85</v>
      </c>
      <c r="X12" s="303">
        <f t="shared" si="0"/>
        <v>0.88</v>
      </c>
      <c r="Y12" s="312">
        <f>IF(Y$7=1,0.88,0.95)</f>
        <v>0.88</v>
      </c>
      <c r="Z12" s="21">
        <f t="shared" si="1"/>
        <v>-3.5294117647058858E-2</v>
      </c>
      <c r="AC12" s="222">
        <v>0.88</v>
      </c>
      <c r="AD12" s="289"/>
      <c r="AI12" s="21"/>
      <c r="AJ12" s="21"/>
      <c r="BB12" s="104"/>
      <c r="BJ12" s="114"/>
      <c r="BP12" s="114"/>
    </row>
    <row r="13" spans="1:68" x14ac:dyDescent="0.25">
      <c r="D13" s="264" t="s">
        <v>2621</v>
      </c>
      <c r="E13" s="17">
        <v>0.82</v>
      </c>
      <c r="F13" s="303">
        <f t="shared" si="2"/>
        <v>0.95</v>
      </c>
      <c r="G13" s="312">
        <f>IF(G$7=1,0.95,0.9)</f>
        <v>0.95</v>
      </c>
      <c r="H13" s="21">
        <f t="shared" si="3"/>
        <v>-0.15853658536585366</v>
      </c>
      <c r="K13" s="222">
        <v>0.95</v>
      </c>
      <c r="L13" s="289"/>
      <c r="N13" s="92" t="s">
        <v>5387</v>
      </c>
      <c r="O13" s="90" t="s">
        <v>5386</v>
      </c>
      <c r="P13" s="284">
        <f>-P8</f>
        <v>-0.5</v>
      </c>
      <c r="T13" s="83"/>
      <c r="V13" s="264" t="s">
        <v>2621</v>
      </c>
      <c r="W13" s="17">
        <v>0.82</v>
      </c>
      <c r="X13" s="303">
        <f t="shared" si="0"/>
        <v>0.87</v>
      </c>
      <c r="Y13" s="312">
        <f>IF(Y$7=1,0.87,0.89)</f>
        <v>0.87</v>
      </c>
      <c r="Z13" s="21">
        <f t="shared" si="1"/>
        <v>-6.0975609756097622E-2</v>
      </c>
      <c r="AC13" s="222">
        <v>0.87</v>
      </c>
      <c r="AD13" s="289"/>
      <c r="AI13" s="21"/>
      <c r="AJ13" s="21"/>
      <c r="AN13" s="139"/>
      <c r="AO13" s="21"/>
      <c r="BB13" s="104"/>
      <c r="BP13" s="114"/>
    </row>
    <row r="14" spans="1:68" ht="15" customHeight="1" x14ac:dyDescent="0.25">
      <c r="A14" s="343" t="s">
        <v>5392</v>
      </c>
      <c r="D14" s="264" t="s">
        <v>2625</v>
      </c>
      <c r="E14" s="17">
        <v>1</v>
      </c>
      <c r="F14" s="303">
        <f t="shared" si="2"/>
        <v>1</v>
      </c>
      <c r="G14" s="312">
        <v>1</v>
      </c>
      <c r="H14" s="21">
        <f>(E14-G14)/E14</f>
        <v>0</v>
      </c>
      <c r="K14" s="222">
        <v>1</v>
      </c>
      <c r="L14" s="83"/>
      <c r="N14" s="96" t="s">
        <v>5387</v>
      </c>
      <c r="O14" s="90" t="s">
        <v>5386</v>
      </c>
      <c r="P14" s="284">
        <f>-P9</f>
        <v>-1</v>
      </c>
      <c r="T14" s="83"/>
      <c r="V14" s="264" t="s">
        <v>2625</v>
      </c>
      <c r="W14" s="17">
        <v>1</v>
      </c>
      <c r="X14" s="303">
        <f t="shared" si="0"/>
        <v>1</v>
      </c>
      <c r="Y14" s="312">
        <v>1</v>
      </c>
      <c r="Z14" s="21">
        <f t="shared" si="1"/>
        <v>0</v>
      </c>
      <c r="AC14" s="222">
        <v>1</v>
      </c>
      <c r="AD14" s="83"/>
      <c r="AI14" s="21"/>
      <c r="AJ14" s="102"/>
      <c r="AN14" s="139"/>
      <c r="AO14" s="21"/>
      <c r="BB14" s="104"/>
      <c r="BD14" s="103"/>
      <c r="BP14" s="114"/>
    </row>
    <row r="15" spans="1:68" x14ac:dyDescent="0.25">
      <c r="A15" s="398">
        <v>0.8</v>
      </c>
      <c r="D15" s="264" t="s">
        <v>2628</v>
      </c>
      <c r="E15" s="17">
        <v>0.87</v>
      </c>
      <c r="F15" s="303">
        <f t="shared" si="2"/>
        <v>0.93</v>
      </c>
      <c r="G15" s="312">
        <f>IF(G$7=1,0.93,0.89)</f>
        <v>0.93</v>
      </c>
      <c r="H15" s="21">
        <f>(E15-G15)/E15</f>
        <v>-6.8965517241379379E-2</v>
      </c>
      <c r="K15" s="222">
        <v>0.93</v>
      </c>
      <c r="L15" s="83"/>
      <c r="N15" s="328" t="s">
        <v>5387</v>
      </c>
      <c r="O15" s="327" t="s">
        <v>5385</v>
      </c>
      <c r="P15" s="329">
        <f>P14</f>
        <v>-1</v>
      </c>
      <c r="T15" s="83"/>
      <c r="V15" s="264" t="s">
        <v>2628</v>
      </c>
      <c r="W15" s="17">
        <v>0.87</v>
      </c>
      <c r="X15" s="303">
        <f t="shared" si="0"/>
        <v>0.96</v>
      </c>
      <c r="Y15" s="312">
        <v>0.96</v>
      </c>
      <c r="Z15" s="21">
        <f t="shared" si="1"/>
        <v>-0.10344827586206894</v>
      </c>
      <c r="AC15" s="222">
        <v>0.96</v>
      </c>
      <c r="AD15" s="83"/>
      <c r="AI15" s="21"/>
      <c r="AJ15" s="157"/>
      <c r="AN15" s="139"/>
      <c r="AO15" s="21"/>
      <c r="BB15" s="104"/>
      <c r="BP15" s="114"/>
    </row>
    <row r="16" spans="1:68" x14ac:dyDescent="0.25">
      <c r="E16" s="439" t="s">
        <v>5468</v>
      </c>
      <c r="F16" s="439"/>
      <c r="G16" s="439"/>
      <c r="H16" s="439"/>
      <c r="N16" s="405" t="s">
        <v>5453</v>
      </c>
      <c r="O16" s="405"/>
      <c r="P16" s="392">
        <f>G22</f>
        <v>6</v>
      </c>
      <c r="T16" s="83"/>
      <c r="W16" s="439" t="s">
        <v>5468</v>
      </c>
      <c r="X16" s="439"/>
      <c r="Y16" s="439"/>
      <c r="Z16" s="439"/>
      <c r="AI16" s="21"/>
      <c r="AJ16" s="157"/>
      <c r="AK16" s="199"/>
      <c r="AN16" s="139"/>
      <c r="AO16" s="21"/>
      <c r="BB16" s="104"/>
      <c r="BI16" s="105"/>
      <c r="BJ16" s="114"/>
      <c r="BP16" s="114"/>
    </row>
    <row r="17" spans="1:68" x14ac:dyDescent="0.25">
      <c r="A17" s="343" t="s">
        <v>5393</v>
      </c>
      <c r="F17" s="21"/>
      <c r="N17" s="406"/>
      <c r="O17" s="406"/>
      <c r="P17" s="393">
        <f>Z22</f>
        <v>4</v>
      </c>
      <c r="T17" s="83"/>
      <c r="V17" s="83"/>
      <c r="W17" s="83"/>
      <c r="AI17" s="21"/>
      <c r="AJ17" s="21"/>
      <c r="AK17" s="21"/>
      <c r="AN17" s="139"/>
      <c r="AO17" s="21"/>
      <c r="BB17" s="104"/>
      <c r="BE17" s="105"/>
      <c r="BF17" s="105"/>
      <c r="BG17" s="105"/>
      <c r="BH17" s="105"/>
      <c r="BI17" s="105"/>
      <c r="BJ17" s="105"/>
      <c r="BP17" s="105"/>
    </row>
    <row r="18" spans="1:68" ht="15" customHeight="1" x14ac:dyDescent="0.25">
      <c r="A18" s="399">
        <f>3+0.4*1</f>
        <v>3.4</v>
      </c>
      <c r="C18" s="287"/>
      <c r="D18" s="21"/>
      <c r="E18" s="287"/>
      <c r="F18" s="323" t="s">
        <v>5448</v>
      </c>
      <c r="G18" s="305">
        <v>0.05</v>
      </c>
      <c r="H18" s="285" t="s">
        <v>5450</v>
      </c>
      <c r="L18" s="287"/>
      <c r="N18" s="287"/>
      <c r="O18" s="21"/>
      <c r="P18" s="287"/>
      <c r="R18" s="287"/>
      <c r="S18" s="326"/>
      <c r="T18" s="83"/>
      <c r="V18" s="83"/>
      <c r="W18" s="83"/>
      <c r="Y18" s="323" t="s">
        <v>5448</v>
      </c>
      <c r="Z18" s="314">
        <v>0.5</v>
      </c>
      <c r="AA18" s="285" t="s">
        <v>5449</v>
      </c>
      <c r="AH18" s="21"/>
      <c r="AI18" s="21"/>
      <c r="AJ18" s="21"/>
      <c r="AK18" s="21"/>
      <c r="AN18" s="139"/>
      <c r="AO18" s="21"/>
      <c r="BB18" s="104"/>
      <c r="BE18" s="105"/>
      <c r="BF18" s="105"/>
      <c r="BG18" s="105"/>
      <c r="BH18" s="105"/>
      <c r="BI18" s="105"/>
      <c r="BJ18" s="105"/>
      <c r="BP18" s="105"/>
    </row>
    <row r="19" spans="1:68" ht="15" customHeight="1" x14ac:dyDescent="0.25">
      <c r="D19" s="21"/>
      <c r="F19" s="324" t="s">
        <v>5447</v>
      </c>
      <c r="G19" s="306">
        <v>0.05</v>
      </c>
      <c r="H19" s="285" t="s">
        <v>5450</v>
      </c>
      <c r="K19" s="286"/>
      <c r="O19" s="21"/>
      <c r="T19" s="83"/>
      <c r="V19" s="83"/>
      <c r="W19" s="83"/>
      <c r="Y19" s="324" t="s">
        <v>5447</v>
      </c>
      <c r="Z19" s="313">
        <v>0.5</v>
      </c>
      <c r="AA19" s="285" t="s">
        <v>5449</v>
      </c>
      <c r="AH19" s="21"/>
      <c r="AI19" s="21"/>
      <c r="AJ19" s="21"/>
      <c r="AK19" s="21"/>
      <c r="AN19" s="139"/>
      <c r="AO19" s="21"/>
      <c r="BB19" s="104"/>
      <c r="BE19" s="105"/>
      <c r="BF19" s="105"/>
      <c r="BG19" s="105"/>
      <c r="BH19" s="105"/>
      <c r="BI19" s="105"/>
      <c r="BJ19" s="105"/>
      <c r="BP19" s="105"/>
    </row>
    <row r="20" spans="1:68" x14ac:dyDescent="0.25">
      <c r="C20" s="320"/>
      <c r="D20" s="321"/>
      <c r="E20" s="320"/>
      <c r="F20" s="322" t="s">
        <v>5451</v>
      </c>
      <c r="G20" s="307">
        <v>0.1</v>
      </c>
      <c r="H20" s="285" t="s">
        <v>5450</v>
      </c>
      <c r="S20" s="416" t="s">
        <v>5454</v>
      </c>
      <c r="T20" s="83"/>
      <c r="V20" s="321"/>
      <c r="W20" s="321"/>
      <c r="X20" s="321"/>
      <c r="Y20" s="322" t="s">
        <v>5451</v>
      </c>
      <c r="Z20" s="315">
        <v>0.5</v>
      </c>
      <c r="AA20" s="285" t="s">
        <v>5449</v>
      </c>
      <c r="AH20" s="416" t="s">
        <v>5454</v>
      </c>
      <c r="AI20" s="21"/>
      <c r="AJ20" s="21"/>
      <c r="AK20" s="21"/>
      <c r="AN20" s="139"/>
      <c r="AO20" s="21"/>
      <c r="BB20" s="104"/>
      <c r="BE20" s="105"/>
      <c r="BF20" s="105"/>
      <c r="BG20" s="105"/>
      <c r="BH20" s="105"/>
      <c r="BI20" s="105"/>
      <c r="BJ20" s="108"/>
      <c r="BP20" s="108"/>
    </row>
    <row r="21" spans="1:68" x14ac:dyDescent="0.25">
      <c r="C21" s="318"/>
      <c r="D21" s="318"/>
      <c r="E21" s="318"/>
      <c r="F21" s="319" t="s">
        <v>5452</v>
      </c>
      <c r="G21" s="308">
        <v>0.05</v>
      </c>
      <c r="H21" s="285" t="s">
        <v>5450</v>
      </c>
      <c r="P21" s="288"/>
      <c r="S21" s="417"/>
      <c r="T21" s="83"/>
      <c r="V21" s="318"/>
      <c r="W21" s="318"/>
      <c r="X21" s="318"/>
      <c r="Y21" s="319" t="s">
        <v>5452</v>
      </c>
      <c r="Z21" s="316">
        <f>Z20/2</f>
        <v>0.25</v>
      </c>
      <c r="AA21" s="285" t="s">
        <v>5449</v>
      </c>
      <c r="AF21" s="83"/>
      <c r="AG21" s="115"/>
      <c r="AH21" s="417"/>
      <c r="AI21" s="21"/>
      <c r="AJ21" s="21"/>
      <c r="AK21" s="21"/>
      <c r="AL21" s="21"/>
      <c r="AM21" s="21"/>
      <c r="AN21" s="21"/>
      <c r="AO21" s="21"/>
      <c r="BE21" s="105"/>
      <c r="BF21" s="105"/>
      <c r="BG21" s="105"/>
      <c r="BH21" s="105"/>
      <c r="BI21" s="105"/>
      <c r="BJ21" s="105"/>
    </row>
    <row r="22" spans="1:68" x14ac:dyDescent="0.25">
      <c r="A22" s="81"/>
      <c r="D22" s="83"/>
      <c r="E22" s="83"/>
      <c r="F22" s="264" t="s">
        <v>5453</v>
      </c>
      <c r="G22" s="309">
        <v>6</v>
      </c>
      <c r="H22" s="310">
        <v>0.05</v>
      </c>
      <c r="I22" s="285" t="str">
        <f>"of Total # Combo Units is "&amp;TEXT(H22*$H35,"0.00")&amp;" units"</f>
        <v>of Total # Combo Units is 7.35 units</v>
      </c>
      <c r="J22" s="21"/>
      <c r="O22" s="21"/>
      <c r="P22" s="21"/>
      <c r="Q22" s="194"/>
      <c r="R22" s="194"/>
      <c r="S22" s="418"/>
      <c r="T22" s="83"/>
      <c r="W22" s="83"/>
      <c r="X22" s="83"/>
      <c r="Y22" s="264" t="s">
        <v>5453</v>
      </c>
      <c r="Z22" s="317">
        <v>4</v>
      </c>
      <c r="AB22" s="282">
        <f>H22</f>
        <v>0.05</v>
      </c>
      <c r="AC22" s="285" t="str">
        <f>"of Total # Combo Units is "&amp;TEXT(AB22*$Y35,"0.00")&amp;" units"</f>
        <v>of Total # Combo Units is 4.70 units</v>
      </c>
      <c r="AG22" s="195"/>
      <c r="AH22" s="418"/>
      <c r="AJ22" s="12"/>
      <c r="AN22" s="195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</row>
    <row r="23" spans="1:68" x14ac:dyDescent="0.25">
      <c r="B23" s="419" t="s">
        <v>5390</v>
      </c>
      <c r="C23" s="420"/>
      <c r="D23" s="420"/>
      <c r="E23" s="420"/>
      <c r="F23" s="420"/>
      <c r="G23" s="420"/>
      <c r="H23" s="420"/>
      <c r="I23" s="421"/>
      <c r="K23" s="432" t="s">
        <v>5389</v>
      </c>
      <c r="L23" s="433"/>
      <c r="M23" s="433"/>
      <c r="N23" s="433"/>
      <c r="O23" s="433"/>
      <c r="P23" s="433"/>
      <c r="Q23" s="433"/>
      <c r="R23" s="434"/>
      <c r="S23" s="422" t="s">
        <v>5425</v>
      </c>
      <c r="T23" s="83"/>
      <c r="U23" s="436" t="s">
        <v>5391</v>
      </c>
      <c r="V23" s="437"/>
      <c r="W23" s="437"/>
      <c r="X23" s="437"/>
      <c r="Y23" s="437"/>
      <c r="Z23" s="438"/>
      <c r="AA23" s="83"/>
      <c r="AB23" s="429" t="s">
        <v>5388</v>
      </c>
      <c r="AC23" s="430"/>
      <c r="AD23" s="430"/>
      <c r="AE23" s="430"/>
      <c r="AF23" s="430"/>
      <c r="AG23" s="431"/>
      <c r="AH23" s="422" t="s">
        <v>5425</v>
      </c>
      <c r="AO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</row>
    <row r="24" spans="1:68" ht="5.25" customHeight="1" thickBot="1" x14ac:dyDescent="0.3">
      <c r="S24" s="423"/>
      <c r="AA24" s="9"/>
      <c r="AH24" s="423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</row>
    <row r="25" spans="1:68" ht="15.75" thickBot="1" x14ac:dyDescent="0.3">
      <c r="B25" s="407">
        <v>201</v>
      </c>
      <c r="C25" s="410"/>
      <c r="D25" s="409">
        <v>202</v>
      </c>
      <c r="E25" s="410"/>
      <c r="F25" s="408">
        <v>203</v>
      </c>
      <c r="G25" s="411"/>
      <c r="H25" s="407" t="s">
        <v>5397</v>
      </c>
      <c r="I25" s="412"/>
      <c r="K25" s="407">
        <v>201</v>
      </c>
      <c r="L25" s="408"/>
      <c r="M25" s="409">
        <v>202</v>
      </c>
      <c r="N25" s="410"/>
      <c r="O25" s="408">
        <v>203</v>
      </c>
      <c r="P25" s="411"/>
      <c r="Q25" s="407" t="s">
        <v>5397</v>
      </c>
      <c r="R25" s="412"/>
      <c r="S25" s="423"/>
      <c r="U25" s="427">
        <v>205</v>
      </c>
      <c r="V25" s="426"/>
      <c r="W25" s="435">
        <v>304</v>
      </c>
      <c r="X25" s="427"/>
      <c r="Y25" s="425" t="s">
        <v>5397</v>
      </c>
      <c r="Z25" s="428"/>
      <c r="AA25" s="9"/>
      <c r="AB25" s="425">
        <v>205</v>
      </c>
      <c r="AC25" s="426"/>
      <c r="AD25" s="427">
        <v>304</v>
      </c>
      <c r="AE25" s="427"/>
      <c r="AF25" s="425" t="s">
        <v>5397</v>
      </c>
      <c r="AG25" s="428"/>
      <c r="AH25" s="423"/>
      <c r="AS25" s="78"/>
      <c r="AW25" s="138" t="s">
        <v>2639</v>
      </c>
      <c r="AX25" s="301">
        <f>F2</f>
        <v>-17.600000000000001</v>
      </c>
      <c r="AY25" s="414" t="s">
        <v>5431</v>
      </c>
      <c r="AZ25" s="297" t="s">
        <v>2638</v>
      </c>
      <c r="BA25" s="157"/>
      <c r="BB25" s="157"/>
    </row>
    <row r="26" spans="1:68" x14ac:dyDescent="0.25">
      <c r="A26" s="340" t="s">
        <v>5462</v>
      </c>
      <c r="B26" s="243" t="s">
        <v>5421</v>
      </c>
      <c r="C26" s="237" t="s">
        <v>2630</v>
      </c>
      <c r="D26" s="200" t="s">
        <v>5421</v>
      </c>
      <c r="E26" s="237" t="s">
        <v>2630</v>
      </c>
      <c r="F26" s="201" t="s">
        <v>5421</v>
      </c>
      <c r="G26" s="117" t="s">
        <v>2630</v>
      </c>
      <c r="H26" s="116" t="s">
        <v>5421</v>
      </c>
      <c r="I26" s="189" t="s">
        <v>2630</v>
      </c>
      <c r="K26" s="200" t="s">
        <v>5421</v>
      </c>
      <c r="L26" s="26" t="s">
        <v>2630</v>
      </c>
      <c r="M26" s="200" t="s">
        <v>5421</v>
      </c>
      <c r="N26" s="237" t="s">
        <v>2630</v>
      </c>
      <c r="O26" s="201" t="s">
        <v>5421</v>
      </c>
      <c r="P26" s="117" t="s">
        <v>2630</v>
      </c>
      <c r="Q26" s="116" t="s">
        <v>5421</v>
      </c>
      <c r="R26" s="189" t="s">
        <v>2630</v>
      </c>
      <c r="S26" s="424"/>
      <c r="U26" s="243" t="s">
        <v>5421</v>
      </c>
      <c r="V26" s="236" t="s">
        <v>5422</v>
      </c>
      <c r="W26" s="201" t="s">
        <v>5421</v>
      </c>
      <c r="X26" s="246" t="s">
        <v>5422</v>
      </c>
      <c r="Y26" s="116" t="s">
        <v>5421</v>
      </c>
      <c r="Z26" s="247" t="s">
        <v>5422</v>
      </c>
      <c r="AA26" s="9"/>
      <c r="AB26" s="243" t="s">
        <v>5421</v>
      </c>
      <c r="AC26" s="236" t="s">
        <v>5422</v>
      </c>
      <c r="AD26" s="26" t="s">
        <v>5421</v>
      </c>
      <c r="AE26" s="236" t="s">
        <v>5422</v>
      </c>
      <c r="AF26" s="26" t="s">
        <v>5421</v>
      </c>
      <c r="AG26" s="247" t="s">
        <v>5422</v>
      </c>
      <c r="AH26" s="424"/>
      <c r="AJ26" s="258" t="s">
        <v>5430</v>
      </c>
      <c r="AK26" s="258" t="s">
        <v>2638</v>
      </c>
      <c r="AL26" s="260" t="s">
        <v>2639</v>
      </c>
      <c r="AM26" s="209" t="s">
        <v>5417</v>
      </c>
      <c r="AN26" s="106" t="s">
        <v>5416</v>
      </c>
      <c r="AO26" s="106" t="s">
        <v>2627</v>
      </c>
      <c r="AP26" s="106" t="s">
        <v>2617</v>
      </c>
      <c r="AQ26" s="106" t="s">
        <v>2618</v>
      </c>
      <c r="AR26" s="106" t="s">
        <v>5415</v>
      </c>
      <c r="AS26" s="106" t="s">
        <v>2623</v>
      </c>
      <c r="AT26" s="106" t="s">
        <v>2621</v>
      </c>
      <c r="AU26" s="106" t="s">
        <v>2628</v>
      </c>
      <c r="AV26" s="211" t="s">
        <v>4945</v>
      </c>
      <c r="AW26" s="214" t="s">
        <v>5419</v>
      </c>
      <c r="AX26" s="212" t="s">
        <v>5420</v>
      </c>
      <c r="AY26" s="415"/>
      <c r="AZ26" s="298" t="s">
        <v>5419</v>
      </c>
      <c r="BA26" s="157"/>
      <c r="BB26" s="157"/>
    </row>
    <row r="27" spans="1:68" x14ac:dyDescent="0.25">
      <c r="A27" s="31" t="s">
        <v>4947</v>
      </c>
      <c r="B27" s="127">
        <f>'201'!$VU76</f>
        <v>27</v>
      </c>
      <c r="C27" s="238">
        <f>'201'!$VS76</f>
        <v>0.88888888888888884</v>
      </c>
      <c r="D27" s="205">
        <f>'202'!$VU76</f>
        <v>9</v>
      </c>
      <c r="E27" s="238">
        <f>'202'!$VS76</f>
        <v>0.77777777777777779</v>
      </c>
      <c r="F27" s="148">
        <f>'203'!$VU76</f>
        <v>1</v>
      </c>
      <c r="G27" s="118">
        <f>'203'!$VS76</f>
        <v>0</v>
      </c>
      <c r="H27" s="171">
        <f t="shared" ref="H27:H35" si="4">B27+D27+F27</f>
        <v>37</v>
      </c>
      <c r="I27" s="188">
        <f>IFERROR((C27*B27+E27*D27+G27*F27)/(B27+D27+F27),0)</f>
        <v>0.83783783783783783</v>
      </c>
      <c r="J27" s="86"/>
      <c r="K27" s="151">
        <f>'201'!$VU76</f>
        <v>27</v>
      </c>
      <c r="L27" s="118">
        <f>'201'!$VT76</f>
        <v>0.81481481481481477</v>
      </c>
      <c r="M27" s="205">
        <f>'202'!$VU76</f>
        <v>9</v>
      </c>
      <c r="N27" s="238">
        <f>'202'!$VT76</f>
        <v>0.77777777777777779</v>
      </c>
      <c r="O27" s="148">
        <f>'203'!$VU76</f>
        <v>1</v>
      </c>
      <c r="P27" s="119">
        <f>'203'!$VT76</f>
        <v>1</v>
      </c>
      <c r="Q27" s="171">
        <f t="shared" ref="Q27:Q35" si="5">K27+M27+O27</f>
        <v>37</v>
      </c>
      <c r="R27" s="169">
        <f>IFERROR((L27*K27+N27*M27+P27*O27)/(K27+M27+O27),0)</f>
        <v>0.81081081081081086</v>
      </c>
      <c r="S27" s="163">
        <f t="shared" ref="S27:S34" si="6">IFERROR((K27*ABS(L27-$A$15)+M27*ABS(N27-$A$15)+O27*ABS(P27-$A$15))-(K27*ABS(C27-$A$15)+M27*ABS(E27-$A$15)+O27*ABS(G27-$A$15)),0)</f>
        <v>-2.5999999999999996</v>
      </c>
      <c r="U27" s="151">
        <f>'205'!$VU76</f>
        <v>14</v>
      </c>
      <c r="V27" s="48">
        <f>'205'!$WF76</f>
        <v>4</v>
      </c>
      <c r="W27" s="144">
        <f>'304'!$VU76</f>
        <v>12</v>
      </c>
      <c r="X27" s="77">
        <f>'304'!$WF76</f>
        <v>3.4166666666666665</v>
      </c>
      <c r="Y27" s="151">
        <f>U27+W27</f>
        <v>26</v>
      </c>
      <c r="Z27" s="248">
        <f t="shared" ref="Z27:Z35" si="7">IFERROR((V27*$U27+X27*$W27)/($U27+$W27),0)</f>
        <v>3.7307692307692308</v>
      </c>
      <c r="AA27" s="86"/>
      <c r="AB27" s="151">
        <f>'205'!$VU76</f>
        <v>14</v>
      </c>
      <c r="AC27" s="48">
        <f>'205'!$WE76</f>
        <v>3.8571428571428572</v>
      </c>
      <c r="AD27" s="148">
        <f>'304'!$VU76</f>
        <v>12</v>
      </c>
      <c r="AE27" s="132">
        <f>'304'!$WE76</f>
        <v>3.3333333333333335</v>
      </c>
      <c r="AF27" s="148">
        <f>AB27+AD27</f>
        <v>26</v>
      </c>
      <c r="AG27" s="248">
        <f t="shared" ref="AG27:AG35" si="8">IFERROR((AC27*$U27+AE27*$W27)/($U27+$W27),0)</f>
        <v>3.6153846153846154</v>
      </c>
      <c r="AH27" s="168">
        <f t="shared" ref="AH27:AH34" si="9">IFERROR((AB27*ABS(AC27-$A$18)+AD27*ABS(AE27-$A$18))-(AB27*ABS(V27-$A$18)+AD27*ABS(X27-$A$18)),0)</f>
        <v>-1.4000000000000021</v>
      </c>
      <c r="AJ27" s="222">
        <v>0.96</v>
      </c>
      <c r="AK27" s="222">
        <v>1</v>
      </c>
      <c r="AL27" s="302">
        <f>G7</f>
        <v>1</v>
      </c>
      <c r="AM27" s="203" t="s">
        <v>5416</v>
      </c>
      <c r="AN27" s="384"/>
      <c r="AO27" s="384"/>
      <c r="AP27" s="144">
        <f>'201'!WR2+'202'!WR2+'203'!WR2</f>
        <v>2</v>
      </c>
      <c r="AQ27" s="144">
        <f>'201'!WS2+'202'!WS2+'203'!WS2</f>
        <v>7</v>
      </c>
      <c r="AR27" s="144">
        <f>'201'!WT2+'202'!WT2+'203'!WT2</f>
        <v>13</v>
      </c>
      <c r="AS27" s="144">
        <f>'201'!WU2+'202'!WU2+'203'!WU2</f>
        <v>19</v>
      </c>
      <c r="AT27" s="144">
        <f>'201'!WV2+'202'!WV2+'203'!WV2</f>
        <v>33</v>
      </c>
      <c r="AU27" s="144">
        <f>'201'!WW2+'202'!WW2+'203'!WW2</f>
        <v>48</v>
      </c>
      <c r="AV27" s="205">
        <f>'201'!WX2+'202'!WX2+'203'!WX2</f>
        <v>64</v>
      </c>
      <c r="AW27" s="215">
        <f>$R$57</f>
        <v>0.859375</v>
      </c>
      <c r="AX27" s="213">
        <f>$R$57-I57</f>
        <v>1.5625E-2</v>
      </c>
      <c r="AY27" s="21">
        <f>AV27/AV$35</f>
        <v>0.43537414965986393</v>
      </c>
      <c r="AZ27" s="215">
        <f>$I$57</f>
        <v>0.84375</v>
      </c>
      <c r="BA27" s="157"/>
      <c r="BB27" s="157"/>
    </row>
    <row r="28" spans="1:68" x14ac:dyDescent="0.25">
      <c r="A28" s="197" t="s">
        <v>4948</v>
      </c>
      <c r="B28" s="127">
        <f>'201'!$VU77</f>
        <v>23</v>
      </c>
      <c r="C28" s="238">
        <f>'201'!$VS77</f>
        <v>0.60869565217391308</v>
      </c>
      <c r="D28" s="205">
        <f>'202'!$VU77</f>
        <v>0</v>
      </c>
      <c r="E28" s="238">
        <f>'202'!$VS77</f>
        <v>0</v>
      </c>
      <c r="F28" s="148">
        <f>'203'!$VU77</f>
        <v>0</v>
      </c>
      <c r="G28" s="118">
        <f>'203'!$VS77</f>
        <v>0</v>
      </c>
      <c r="H28" s="254">
        <f t="shared" si="4"/>
        <v>23</v>
      </c>
      <c r="I28" s="188">
        <f t="shared" ref="I28:I35" si="10">IFERROR((C28*B28+E28*D28+G28*F28)/(B28+D28+F28),0)</f>
        <v>0.60869565217391308</v>
      </c>
      <c r="J28" s="86"/>
      <c r="K28" s="151">
        <f>'201'!$VU77</f>
        <v>23</v>
      </c>
      <c r="L28" s="118">
        <f>'201'!$VT77</f>
        <v>0.73913043478260865</v>
      </c>
      <c r="M28" s="205">
        <f>'202'!$VU77</f>
        <v>0</v>
      </c>
      <c r="N28" s="238">
        <f>'202'!$VT77</f>
        <v>0</v>
      </c>
      <c r="O28" s="148">
        <f>'203'!$VU77</f>
        <v>0</v>
      </c>
      <c r="P28" s="119">
        <f>'203'!$VT77</f>
        <v>0</v>
      </c>
      <c r="Q28" s="151">
        <f t="shared" si="5"/>
        <v>23</v>
      </c>
      <c r="R28" s="169">
        <f t="shared" ref="R28:R35" si="11">IFERROR((L28*K28+N28*M28+P28*O28)/(K28+M28+O28),0)</f>
        <v>0.73913043478260865</v>
      </c>
      <c r="S28" s="163">
        <f t="shared" si="6"/>
        <v>-2.9999999999999982</v>
      </c>
      <c r="U28" s="151">
        <f>'205'!$VU77</f>
        <v>10</v>
      </c>
      <c r="V28" s="48">
        <f>'205'!$WF77</f>
        <v>3.9</v>
      </c>
      <c r="W28" s="144">
        <f>'304'!$VU77</f>
        <v>6</v>
      </c>
      <c r="X28" s="77">
        <f>'304'!$WF77</f>
        <v>4.666666666666667</v>
      </c>
      <c r="Y28" s="151">
        <f>U28+W28</f>
        <v>16</v>
      </c>
      <c r="Z28" s="248">
        <f t="shared" si="7"/>
        <v>4.1875</v>
      </c>
      <c r="AA28" s="86"/>
      <c r="AB28" s="151">
        <f>'205'!$VU77</f>
        <v>10</v>
      </c>
      <c r="AC28" s="48">
        <f>'205'!$WE77</f>
        <v>3.8</v>
      </c>
      <c r="AD28" s="148">
        <f>'304'!$VU77</f>
        <v>6</v>
      </c>
      <c r="AE28" s="132">
        <f>'304'!$WE77</f>
        <v>4.166666666666667</v>
      </c>
      <c r="AF28" s="148">
        <f>AB28+AD28</f>
        <v>16</v>
      </c>
      <c r="AG28" s="248">
        <f t="shared" si="8"/>
        <v>3.9375</v>
      </c>
      <c r="AH28" s="168">
        <f t="shared" si="9"/>
        <v>-4</v>
      </c>
      <c r="AJ28" s="394"/>
      <c r="AK28" s="394"/>
      <c r="AL28" s="394"/>
      <c r="AM28" s="203" t="s">
        <v>2627</v>
      </c>
      <c r="AN28" s="384"/>
      <c r="AO28" s="384"/>
      <c r="AP28" s="384"/>
      <c r="AQ28" s="384"/>
      <c r="AR28" s="384"/>
      <c r="AS28" s="384"/>
      <c r="AT28" s="384"/>
      <c r="AU28" s="384"/>
      <c r="AV28" s="395"/>
      <c r="AW28" s="396"/>
      <c r="AX28" s="351"/>
      <c r="AY28" s="372"/>
      <c r="AZ28" s="396"/>
      <c r="BA28" s="157"/>
      <c r="BB28" s="157"/>
    </row>
    <row r="29" spans="1:68" x14ac:dyDescent="0.25">
      <c r="A29" s="197" t="s">
        <v>4949</v>
      </c>
      <c r="B29" s="127">
        <f>'201'!$VU78</f>
        <v>6</v>
      </c>
      <c r="C29" s="238">
        <f>'201'!$VS78</f>
        <v>0.83333333333333337</v>
      </c>
      <c r="D29" s="205">
        <f>'202'!$VU78</f>
        <v>12</v>
      </c>
      <c r="E29" s="238">
        <f>'202'!$VS78</f>
        <v>0.75</v>
      </c>
      <c r="F29" s="148">
        <f>'203'!$VU78</f>
        <v>10</v>
      </c>
      <c r="G29" s="118">
        <f>'203'!$VS78</f>
        <v>0.8</v>
      </c>
      <c r="H29" s="151">
        <f t="shared" si="4"/>
        <v>28</v>
      </c>
      <c r="I29" s="188">
        <f t="shared" si="10"/>
        <v>0.7857142857142857</v>
      </c>
      <c r="J29" s="86"/>
      <c r="K29" s="151">
        <f>'201'!$VU78</f>
        <v>6</v>
      </c>
      <c r="L29" s="118">
        <f>'201'!$VT78</f>
        <v>0.66666666666666663</v>
      </c>
      <c r="M29" s="205">
        <f>'202'!$VU78</f>
        <v>12</v>
      </c>
      <c r="N29" s="238">
        <f>'202'!$VT78</f>
        <v>0.83333333333333337</v>
      </c>
      <c r="O29" s="148">
        <f>'203'!$VU78</f>
        <v>10</v>
      </c>
      <c r="P29" s="119">
        <f>'203'!$VT78</f>
        <v>0.8</v>
      </c>
      <c r="Q29" s="254">
        <f t="shared" si="5"/>
        <v>28</v>
      </c>
      <c r="R29" s="169">
        <f t="shared" si="11"/>
        <v>0.7857142857142857</v>
      </c>
      <c r="S29" s="163">
        <f t="shared" si="6"/>
        <v>0.39999999999999991</v>
      </c>
      <c r="U29" s="151">
        <f>'205'!$VU78</f>
        <v>15</v>
      </c>
      <c r="V29" s="48">
        <f>'205'!$WF78</f>
        <v>3.1333333333333333</v>
      </c>
      <c r="W29" s="144">
        <f>'304'!$VU78</f>
        <v>10</v>
      </c>
      <c r="X29" s="77">
        <f>'304'!$WF78</f>
        <v>3.2</v>
      </c>
      <c r="Y29" s="151">
        <f>U29+W29</f>
        <v>25</v>
      </c>
      <c r="Z29" s="248">
        <f t="shared" si="7"/>
        <v>3.16</v>
      </c>
      <c r="AA29" s="86"/>
      <c r="AB29" s="151">
        <f>'205'!$VU78</f>
        <v>15</v>
      </c>
      <c r="AC29" s="48">
        <f>'205'!$WE78</f>
        <v>3.2</v>
      </c>
      <c r="AD29" s="148">
        <f>'304'!$VU78</f>
        <v>10</v>
      </c>
      <c r="AE29" s="132">
        <f>'304'!$WE78</f>
        <v>3.5</v>
      </c>
      <c r="AF29" s="148">
        <f>AB29+AD29</f>
        <v>25</v>
      </c>
      <c r="AG29" s="248">
        <f t="shared" si="8"/>
        <v>3.32</v>
      </c>
      <c r="AH29" s="168">
        <f t="shared" si="9"/>
        <v>-1.9999999999999996</v>
      </c>
      <c r="AJ29" s="222">
        <v>0.88</v>
      </c>
      <c r="AK29" s="222">
        <v>0.88</v>
      </c>
      <c r="AL29" s="302">
        <f>G9</f>
        <v>0.88</v>
      </c>
      <c r="AM29" s="203" t="s">
        <v>2617</v>
      </c>
      <c r="AN29" s="144">
        <f>'201'!WP4+'202'!WP4+'203'!WP4</f>
        <v>2</v>
      </c>
      <c r="AO29" s="384"/>
      <c r="AP29" s="384"/>
      <c r="AQ29" s="144">
        <f>'201'!WS4+'202'!WS4+'203'!WS4</f>
        <v>2</v>
      </c>
      <c r="AR29" s="144">
        <f>'201'!WT4+'202'!WT4+'203'!WT4</f>
        <v>1</v>
      </c>
      <c r="AS29" s="144">
        <f>'201'!WU4+'202'!WU4+'203'!WU4</f>
        <v>3</v>
      </c>
      <c r="AT29" s="144">
        <f>'201'!WV4+'202'!WV4+'203'!WV4</f>
        <v>4</v>
      </c>
      <c r="AU29" s="144">
        <f>'201'!WW4+'202'!WW4+'203'!WW4</f>
        <v>48</v>
      </c>
      <c r="AV29" s="205">
        <f>'201'!WX4+'202'!WX4+'203'!WX4</f>
        <v>8</v>
      </c>
      <c r="AW29" s="215">
        <f>$R$50</f>
        <v>0.875</v>
      </c>
      <c r="AX29" s="213">
        <f>$R$50-I50</f>
        <v>-0.125</v>
      </c>
      <c r="AY29" s="21">
        <f t="shared" ref="AY29:AY34" si="12">AV29/AV$35</f>
        <v>5.4421768707482991E-2</v>
      </c>
      <c r="AZ29" s="215">
        <f>$I$50</f>
        <v>1</v>
      </c>
      <c r="BA29" s="157"/>
      <c r="BB29" s="157"/>
    </row>
    <row r="30" spans="1:68" x14ac:dyDescent="0.25">
      <c r="A30" s="197" t="s">
        <v>4950</v>
      </c>
      <c r="B30" s="127">
        <f>'201'!$VU79</f>
        <v>14</v>
      </c>
      <c r="C30" s="238">
        <f>'201'!$VS79</f>
        <v>0.9285714285714286</v>
      </c>
      <c r="D30" s="205">
        <f>'202'!$VU79</f>
        <v>2</v>
      </c>
      <c r="E30" s="238">
        <f>'202'!$VS79</f>
        <v>1</v>
      </c>
      <c r="F30" s="148">
        <f>'203'!$VU79</f>
        <v>0</v>
      </c>
      <c r="G30" s="118">
        <f>'203'!$VS79</f>
        <v>0</v>
      </c>
      <c r="H30" s="254">
        <f t="shared" si="4"/>
        <v>16</v>
      </c>
      <c r="I30" s="188">
        <f t="shared" si="10"/>
        <v>0.9375</v>
      </c>
      <c r="J30" s="86"/>
      <c r="K30" s="151">
        <f>'201'!$VU79</f>
        <v>14</v>
      </c>
      <c r="L30" s="118">
        <f>'201'!$VT79</f>
        <v>0.9285714285714286</v>
      </c>
      <c r="M30" s="205">
        <f>'202'!$VU79</f>
        <v>2</v>
      </c>
      <c r="N30" s="238">
        <f>'202'!$VT79</f>
        <v>1</v>
      </c>
      <c r="O30" s="148">
        <f>'203'!$VU79</f>
        <v>0</v>
      </c>
      <c r="P30" s="119">
        <f>'203'!$VT79</f>
        <v>0</v>
      </c>
      <c r="Q30" s="254">
        <f t="shared" si="5"/>
        <v>16</v>
      </c>
      <c r="R30" s="169">
        <f t="shared" si="11"/>
        <v>0.9375</v>
      </c>
      <c r="S30" s="163">
        <f t="shared" si="6"/>
        <v>0</v>
      </c>
      <c r="U30" s="151">
        <f>'205'!$VU79</f>
        <v>7</v>
      </c>
      <c r="V30" s="48">
        <f>'205'!$WF79</f>
        <v>3</v>
      </c>
      <c r="W30" s="144">
        <f>'304'!$VU79</f>
        <v>4</v>
      </c>
      <c r="X30" s="77">
        <f>'304'!$WF79</f>
        <v>1.75</v>
      </c>
      <c r="Y30" s="151">
        <f>U30+W30</f>
        <v>11</v>
      </c>
      <c r="Z30" s="248">
        <f t="shared" si="7"/>
        <v>2.5454545454545454</v>
      </c>
      <c r="AA30" s="86"/>
      <c r="AB30" s="151">
        <f>'205'!$VU79</f>
        <v>7</v>
      </c>
      <c r="AC30" s="48">
        <f>'205'!$WE79</f>
        <v>2.8571428571428572</v>
      </c>
      <c r="AD30" s="148">
        <f>'304'!$VU79</f>
        <v>4</v>
      </c>
      <c r="AE30" s="132">
        <f>'304'!$WE79</f>
        <v>1.75</v>
      </c>
      <c r="AF30" s="148">
        <f>AB30+AD30</f>
        <v>11</v>
      </c>
      <c r="AG30" s="248">
        <f t="shared" si="8"/>
        <v>2.4545454545454546</v>
      </c>
      <c r="AH30" s="168">
        <f t="shared" si="9"/>
        <v>1</v>
      </c>
      <c r="AJ30" s="222">
        <v>0.91</v>
      </c>
      <c r="AK30" s="222">
        <v>0.93</v>
      </c>
      <c r="AL30" s="302">
        <f>G10</f>
        <v>0.97</v>
      </c>
      <c r="AM30" s="203" t="s">
        <v>2618</v>
      </c>
      <c r="AN30" s="144">
        <f>'201'!WP5+'202'!WP5+'203'!WP5</f>
        <v>7</v>
      </c>
      <c r="AO30" s="384"/>
      <c r="AP30" s="144">
        <f>'201'!WR5+'202'!WR5+'203'!WR5</f>
        <v>2</v>
      </c>
      <c r="AQ30" s="384"/>
      <c r="AR30" s="144">
        <f>'201'!WT5+'202'!WT5+'203'!WT5</f>
        <v>14</v>
      </c>
      <c r="AS30" s="144">
        <f>'201'!WU5+'202'!WU5+'203'!WU5</f>
        <v>2</v>
      </c>
      <c r="AT30" s="144">
        <f>'201'!WV5+'202'!WV5+'203'!WV5</f>
        <v>3</v>
      </c>
      <c r="AU30" s="144">
        <f>'201'!WW5+'202'!WW5+'203'!WW5</f>
        <v>13</v>
      </c>
      <c r="AV30" s="205">
        <f>'201'!WX5+'202'!WX5+'203'!WX5</f>
        <v>19</v>
      </c>
      <c r="AW30" s="215">
        <f>$R$47</f>
        <v>0.73684210526315785</v>
      </c>
      <c r="AX30" s="213">
        <f>$R$47-I47</f>
        <v>-0.21052631578947367</v>
      </c>
      <c r="AY30" s="21">
        <f t="shared" si="12"/>
        <v>0.12925170068027211</v>
      </c>
      <c r="AZ30" s="215">
        <f>$I$47</f>
        <v>0.94736842105263153</v>
      </c>
      <c r="BA30" s="157"/>
      <c r="BB30" s="157"/>
    </row>
    <row r="31" spans="1:68" x14ac:dyDescent="0.25">
      <c r="A31" s="31" t="s">
        <v>4951</v>
      </c>
      <c r="B31" s="127">
        <f>'201'!$VU80</f>
        <v>0</v>
      </c>
      <c r="C31" s="238">
        <f>'201'!$VS80</f>
        <v>0</v>
      </c>
      <c r="D31" s="205">
        <f>'202'!$VU80</f>
        <v>6</v>
      </c>
      <c r="E31" s="238">
        <f>'202'!$VS80</f>
        <v>1</v>
      </c>
      <c r="F31" s="148">
        <f>'203'!$VU80</f>
        <v>36</v>
      </c>
      <c r="G31" s="118">
        <f>'203'!$VS80</f>
        <v>0.83333333333333337</v>
      </c>
      <c r="H31" s="151">
        <f t="shared" si="4"/>
        <v>42</v>
      </c>
      <c r="I31" s="188">
        <f t="shared" si="10"/>
        <v>0.8571428571428571</v>
      </c>
      <c r="J31" s="86"/>
      <c r="K31" s="151">
        <f>'201'!$VU80</f>
        <v>0</v>
      </c>
      <c r="L31" s="118">
        <f>'201'!$VT80</f>
        <v>0</v>
      </c>
      <c r="M31" s="205">
        <f>'202'!$VU80</f>
        <v>6</v>
      </c>
      <c r="N31" s="238">
        <f>'202'!$VT80</f>
        <v>0.83333333333333337</v>
      </c>
      <c r="O31" s="148">
        <f>'203'!$VU80</f>
        <v>36</v>
      </c>
      <c r="P31" s="119">
        <f>'203'!$VT80</f>
        <v>0.80555555555555558</v>
      </c>
      <c r="Q31" s="151">
        <f t="shared" si="5"/>
        <v>42</v>
      </c>
      <c r="R31" s="169">
        <f t="shared" si="11"/>
        <v>0.80952380952380953</v>
      </c>
      <c r="S31" s="163">
        <f t="shared" si="6"/>
        <v>-2</v>
      </c>
      <c r="U31" s="151">
        <f>'205'!$VU80</f>
        <v>15</v>
      </c>
      <c r="V31" s="48">
        <f>'205'!$WF80</f>
        <v>2.8</v>
      </c>
      <c r="W31" s="144">
        <f>'304'!$VU80</f>
        <v>1</v>
      </c>
      <c r="X31" s="77">
        <f>'304'!$WF80</f>
        <v>2</v>
      </c>
      <c r="Y31" s="151">
        <f>U31+W31</f>
        <v>16</v>
      </c>
      <c r="Z31" s="248">
        <f t="shared" si="7"/>
        <v>2.75</v>
      </c>
      <c r="AA31" s="86"/>
      <c r="AB31" s="151">
        <f>'205'!$VU80</f>
        <v>15</v>
      </c>
      <c r="AC31" s="48">
        <f>'205'!$WE80</f>
        <v>3</v>
      </c>
      <c r="AD31" s="148">
        <f>'304'!$VU80</f>
        <v>1</v>
      </c>
      <c r="AE31" s="132">
        <f>'304'!$WE80</f>
        <v>3</v>
      </c>
      <c r="AF31" s="148">
        <f>AB31+AD31</f>
        <v>16</v>
      </c>
      <c r="AG31" s="248">
        <f t="shared" si="8"/>
        <v>3</v>
      </c>
      <c r="AH31" s="168">
        <f t="shared" si="9"/>
        <v>-4.0000000000000036</v>
      </c>
      <c r="AJ31" s="222">
        <v>0.89</v>
      </c>
      <c r="AK31" s="222">
        <v>0.92</v>
      </c>
      <c r="AL31" s="302">
        <f>G11</f>
        <v>1</v>
      </c>
      <c r="AM31" s="203" t="s">
        <v>5415</v>
      </c>
      <c r="AN31" s="144">
        <f>'201'!WP6+'202'!WP6+'203'!WP6</f>
        <v>13</v>
      </c>
      <c r="AO31" s="384"/>
      <c r="AP31" s="144">
        <f>'201'!WR6+'202'!WR6+'203'!WR6</f>
        <v>1</v>
      </c>
      <c r="AQ31" s="144">
        <f>'201'!WS6+'202'!WS6+'203'!WS6</f>
        <v>14</v>
      </c>
      <c r="AR31" s="384"/>
      <c r="AS31" s="144">
        <f>'201'!WU6+'202'!WU6+'203'!WU6</f>
        <v>3</v>
      </c>
      <c r="AT31" s="144">
        <f>'201'!WV6+'202'!WV6+'203'!WV6</f>
        <v>0</v>
      </c>
      <c r="AU31" s="144">
        <f>'201'!WW6+'202'!WW6+'203'!WW6</f>
        <v>39</v>
      </c>
      <c r="AV31" s="205">
        <f>'201'!WX6+'202'!WX6+'203'!WX6</f>
        <v>62</v>
      </c>
      <c r="AW31" s="215">
        <f>$R$37</f>
        <v>0.78333333333333333</v>
      </c>
      <c r="AX31" s="213">
        <f>$R$37-I37</f>
        <v>3.3333333333333326E-2</v>
      </c>
      <c r="AY31" s="21">
        <f t="shared" si="12"/>
        <v>0.42176870748299322</v>
      </c>
      <c r="AZ31" s="215">
        <f>$I$37</f>
        <v>0.75</v>
      </c>
      <c r="BA31" s="157"/>
      <c r="BB31" s="157"/>
    </row>
    <row r="32" spans="1:68" x14ac:dyDescent="0.25">
      <c r="A32" s="73" t="s">
        <v>5380</v>
      </c>
      <c r="B32" s="128">
        <f>'201'!$VU81</f>
        <v>1</v>
      </c>
      <c r="C32" s="239">
        <f>'201'!$VS81</f>
        <v>1</v>
      </c>
      <c r="D32" s="224">
        <f>'202'!$VU81</f>
        <v>0</v>
      </c>
      <c r="E32" s="239">
        <f>'202'!$VS81</f>
        <v>0</v>
      </c>
      <c r="F32" s="145">
        <f>'203'!$VU81</f>
        <v>0</v>
      </c>
      <c r="G32" s="110">
        <f>'203'!$VS81</f>
        <v>0</v>
      </c>
      <c r="H32" s="152">
        <f t="shared" si="4"/>
        <v>1</v>
      </c>
      <c r="I32" s="188">
        <f t="shared" si="10"/>
        <v>1</v>
      </c>
      <c r="J32" s="86"/>
      <c r="K32" s="152">
        <f>'201'!$VU81</f>
        <v>1</v>
      </c>
      <c r="L32" s="110">
        <f>'201'!$VT81</f>
        <v>1</v>
      </c>
      <c r="M32" s="224">
        <f>'202'!$VU81</f>
        <v>0</v>
      </c>
      <c r="N32" s="239">
        <f>'202'!$VT81</f>
        <v>0</v>
      </c>
      <c r="O32" s="145">
        <f>'203'!$VU81</f>
        <v>0</v>
      </c>
      <c r="P32" s="120">
        <f>'203'!$VT81</f>
        <v>0</v>
      </c>
      <c r="Q32" s="152">
        <f t="shared" si="5"/>
        <v>1</v>
      </c>
      <c r="R32" s="169">
        <f t="shared" si="11"/>
        <v>1</v>
      </c>
      <c r="S32" s="163">
        <f t="shared" si="6"/>
        <v>0</v>
      </c>
      <c r="U32" s="152">
        <f>'205'!$VU81</f>
        <v>0</v>
      </c>
      <c r="V32" s="48">
        <f>'205'!$WF81</f>
        <v>0</v>
      </c>
      <c r="W32" s="145">
        <f>'304'!$VU81</f>
        <v>0</v>
      </c>
      <c r="X32" s="77">
        <f>'304'!$WF81</f>
        <v>0</v>
      </c>
      <c r="Y32" s="152">
        <f t="shared" ref="Y32:Y35" si="13">U32+W32</f>
        <v>0</v>
      </c>
      <c r="Z32" s="248">
        <f t="shared" si="7"/>
        <v>0</v>
      </c>
      <c r="AA32" s="86"/>
      <c r="AB32" s="152">
        <f>'205'!$VU81</f>
        <v>0</v>
      </c>
      <c r="AC32" s="48">
        <f>'205'!$WE81</f>
        <v>0</v>
      </c>
      <c r="AD32" s="145">
        <f>'304'!$VU81</f>
        <v>0</v>
      </c>
      <c r="AE32" s="132">
        <f>'304'!$WE81</f>
        <v>0</v>
      </c>
      <c r="AF32" s="145">
        <f t="shared" ref="AF32:AF35" si="14">AB32+AD32</f>
        <v>0</v>
      </c>
      <c r="AG32" s="248">
        <f t="shared" si="8"/>
        <v>0</v>
      </c>
      <c r="AH32" s="168">
        <f t="shared" si="9"/>
        <v>0</v>
      </c>
      <c r="AJ32" s="222">
        <v>0.88</v>
      </c>
      <c r="AK32" s="222">
        <v>0.85</v>
      </c>
      <c r="AL32" s="302">
        <f>G12</f>
        <v>0.97</v>
      </c>
      <c r="AM32" s="203" t="s">
        <v>2623</v>
      </c>
      <c r="AN32" s="144">
        <f>'201'!WP7+'202'!WP7+'203'!WP7</f>
        <v>19</v>
      </c>
      <c r="AO32" s="384"/>
      <c r="AP32" s="144">
        <f>'201'!WR7+'202'!WR7+'203'!WR7</f>
        <v>3</v>
      </c>
      <c r="AQ32" s="144">
        <f>'201'!WS7+'202'!WS7+'203'!WS7</f>
        <v>2</v>
      </c>
      <c r="AR32" s="144">
        <f>'201'!WT7+'202'!WT7+'203'!WT7</f>
        <v>3</v>
      </c>
      <c r="AS32" s="384"/>
      <c r="AT32" s="144">
        <f>'201'!WV7+'202'!WV7+'203'!WV7</f>
        <v>0</v>
      </c>
      <c r="AU32" s="144">
        <f>'201'!WW7+'202'!WW7+'203'!WW7</f>
        <v>29</v>
      </c>
      <c r="AV32" s="205">
        <f>'201'!WX7+'202'!WX7+'203'!WX7</f>
        <v>45</v>
      </c>
      <c r="AW32" s="215">
        <f>$R$38</f>
        <v>0.84090909090909094</v>
      </c>
      <c r="AX32" s="213">
        <f>$R$38-I38</f>
        <v>0</v>
      </c>
      <c r="AY32" s="21">
        <f t="shared" si="12"/>
        <v>0.30612244897959184</v>
      </c>
      <c r="AZ32" s="215">
        <f>$I$38</f>
        <v>0.84090909090909094</v>
      </c>
      <c r="BA32" s="157"/>
      <c r="BB32" s="157"/>
    </row>
    <row r="33" spans="1:54" x14ac:dyDescent="0.25">
      <c r="A33" s="31" t="s">
        <v>4952</v>
      </c>
      <c r="B33" s="127">
        <f>'201'!$VU82</f>
        <v>0</v>
      </c>
      <c r="C33" s="238">
        <f>'201'!$VS82</f>
        <v>0</v>
      </c>
      <c r="D33" s="205">
        <f>'202'!$VU82</f>
        <v>0</v>
      </c>
      <c r="E33" s="238">
        <f>'202'!$VS82</f>
        <v>0</v>
      </c>
      <c r="F33" s="148">
        <f>'203'!$VU82</f>
        <v>0</v>
      </c>
      <c r="G33" s="118">
        <f>'203'!$VS82</f>
        <v>0</v>
      </c>
      <c r="H33" s="151">
        <f t="shared" si="4"/>
        <v>0</v>
      </c>
      <c r="I33" s="191">
        <f t="shared" si="10"/>
        <v>0</v>
      </c>
      <c r="J33" s="86"/>
      <c r="K33" s="151">
        <f>'201'!$VU82</f>
        <v>0</v>
      </c>
      <c r="L33" s="118">
        <f>'201'!$VT82</f>
        <v>0</v>
      </c>
      <c r="M33" s="205">
        <f>'202'!$VU82</f>
        <v>0</v>
      </c>
      <c r="N33" s="238">
        <f>'202'!$VT82</f>
        <v>0</v>
      </c>
      <c r="O33" s="148">
        <f>'203'!$VU82</f>
        <v>0</v>
      </c>
      <c r="P33" s="119">
        <f>'203'!$VT82</f>
        <v>0</v>
      </c>
      <c r="Q33" s="151">
        <f t="shared" si="5"/>
        <v>0</v>
      </c>
      <c r="R33" s="193">
        <f t="shared" si="11"/>
        <v>0</v>
      </c>
      <c r="S33" s="163">
        <f t="shared" si="6"/>
        <v>0</v>
      </c>
      <c r="U33" s="151">
        <f>'205'!$VU82</f>
        <v>0</v>
      </c>
      <c r="V33" s="231">
        <f>'205'!$WF82</f>
        <v>0</v>
      </c>
      <c r="W33" s="144">
        <f>'304'!$VU82</f>
        <v>0</v>
      </c>
      <c r="X33" s="113">
        <f>'304'!$WF82</f>
        <v>0</v>
      </c>
      <c r="Y33" s="151">
        <f t="shared" si="13"/>
        <v>0</v>
      </c>
      <c r="Z33" s="249">
        <f t="shared" si="7"/>
        <v>0</v>
      </c>
      <c r="AA33" s="86"/>
      <c r="AB33" s="151">
        <f>'205'!$VU82</f>
        <v>0</v>
      </c>
      <c r="AC33" s="231">
        <f>'205'!$WE82</f>
        <v>0</v>
      </c>
      <c r="AD33" s="148">
        <f>'304'!$VU82</f>
        <v>0</v>
      </c>
      <c r="AE33" s="133">
        <f>'304'!$WE82</f>
        <v>0</v>
      </c>
      <c r="AF33" s="148">
        <f t="shared" si="14"/>
        <v>0</v>
      </c>
      <c r="AG33" s="249">
        <f t="shared" si="8"/>
        <v>0</v>
      </c>
      <c r="AH33" s="168">
        <f t="shared" si="9"/>
        <v>0</v>
      </c>
      <c r="AJ33" s="222">
        <v>0.87</v>
      </c>
      <c r="AK33" s="222">
        <v>0.82</v>
      </c>
      <c r="AL33" s="302">
        <f>G13</f>
        <v>0.95</v>
      </c>
      <c r="AM33" s="203" t="s">
        <v>2621</v>
      </c>
      <c r="AN33" s="144">
        <f>'201'!WP8+'202'!WP8+'203'!WP8</f>
        <v>33</v>
      </c>
      <c r="AO33" s="384"/>
      <c r="AP33" s="144">
        <f>'201'!WR8+'202'!WR8+'203'!WR8</f>
        <v>4</v>
      </c>
      <c r="AQ33" s="144">
        <f>'201'!WS8+'202'!WS8+'203'!WS8</f>
        <v>3</v>
      </c>
      <c r="AR33" s="144">
        <f>'201'!WT8+'202'!WT8+'203'!WT8</f>
        <v>0</v>
      </c>
      <c r="AS33" s="144">
        <f>'201'!WU8+'202'!WU8+'203'!WU8</f>
        <v>0</v>
      </c>
      <c r="AT33" s="384"/>
      <c r="AU33" s="144">
        <f>'201'!WW8+'202'!WW8+'203'!WW8</f>
        <v>42</v>
      </c>
      <c r="AV33" s="205">
        <f>'201'!WX8+'202'!WX8+'203'!WX8</f>
        <v>42</v>
      </c>
      <c r="AW33" s="215">
        <f>$R$39</f>
        <v>0.80952380952380953</v>
      </c>
      <c r="AX33" s="213">
        <f>$R$39-I39</f>
        <v>-4.7619047619047561E-2</v>
      </c>
      <c r="AY33" s="21">
        <f t="shared" si="12"/>
        <v>0.2857142857142857</v>
      </c>
      <c r="AZ33" s="215">
        <f>$I$39</f>
        <v>0.8571428571428571</v>
      </c>
      <c r="BA33" s="157"/>
      <c r="BB33" s="157"/>
    </row>
    <row r="34" spans="1:54" x14ac:dyDescent="0.25">
      <c r="A34" s="31" t="s">
        <v>4953</v>
      </c>
      <c r="B34" s="127">
        <f>'201'!$VU83</f>
        <v>0</v>
      </c>
      <c r="C34" s="240">
        <f>'201'!$VS83</f>
        <v>0</v>
      </c>
      <c r="D34" s="205">
        <f>'202'!$VU83</f>
        <v>0</v>
      </c>
      <c r="E34" s="240">
        <f>'202'!$VS83</f>
        <v>0</v>
      </c>
      <c r="F34" s="148">
        <f>'203'!$VU83</f>
        <v>0</v>
      </c>
      <c r="G34" s="111">
        <f>'203'!$VS83</f>
        <v>0</v>
      </c>
      <c r="H34" s="151">
        <f t="shared" si="4"/>
        <v>0</v>
      </c>
      <c r="I34" s="188">
        <f t="shared" si="10"/>
        <v>0</v>
      </c>
      <c r="J34" s="86"/>
      <c r="K34" s="151">
        <f>'201'!$VU83</f>
        <v>0</v>
      </c>
      <c r="L34" s="111">
        <f>'201'!$VT83</f>
        <v>0</v>
      </c>
      <c r="M34" s="205">
        <f>'202'!$VU83</f>
        <v>0</v>
      </c>
      <c r="N34" s="240">
        <f>'202'!$VT83</f>
        <v>0</v>
      </c>
      <c r="O34" s="148">
        <f>'203'!$VU83</f>
        <v>0</v>
      </c>
      <c r="P34" s="121">
        <f>'203'!$VT83</f>
        <v>0</v>
      </c>
      <c r="Q34" s="151">
        <f t="shared" si="5"/>
        <v>0</v>
      </c>
      <c r="R34" s="169">
        <f t="shared" si="11"/>
        <v>0</v>
      </c>
      <c r="S34" s="163">
        <f t="shared" si="6"/>
        <v>0</v>
      </c>
      <c r="U34" s="151">
        <f>'205'!$VU83</f>
        <v>0</v>
      </c>
      <c r="V34" s="48">
        <f>'205'!$WF83</f>
        <v>0</v>
      </c>
      <c r="W34" s="144">
        <f>'304'!$VU83</f>
        <v>0</v>
      </c>
      <c r="X34" s="77">
        <f>'304'!$WF83</f>
        <v>0</v>
      </c>
      <c r="Y34" s="151">
        <f t="shared" si="13"/>
        <v>0</v>
      </c>
      <c r="Z34" s="248">
        <f t="shared" si="7"/>
        <v>0</v>
      </c>
      <c r="AA34" s="86"/>
      <c r="AB34" s="151">
        <f>'205'!$VU83</f>
        <v>0</v>
      </c>
      <c r="AC34" s="48">
        <f>'205'!$WE83</f>
        <v>0</v>
      </c>
      <c r="AD34" s="148">
        <f>'304'!$VU83</f>
        <v>0</v>
      </c>
      <c r="AE34" s="132">
        <f>'304'!$WE83</f>
        <v>0</v>
      </c>
      <c r="AF34" s="148">
        <f t="shared" si="14"/>
        <v>0</v>
      </c>
      <c r="AG34" s="248">
        <f t="shared" si="8"/>
        <v>0</v>
      </c>
      <c r="AH34" s="168">
        <f t="shared" si="9"/>
        <v>0</v>
      </c>
      <c r="AJ34" s="222">
        <v>0.96</v>
      </c>
      <c r="AK34" s="222">
        <v>0.87</v>
      </c>
      <c r="AL34" s="302">
        <f>G15</f>
        <v>0.93</v>
      </c>
      <c r="AM34" s="203" t="s">
        <v>2628</v>
      </c>
      <c r="AN34" s="144">
        <f>'201'!WP9+'202'!WP9+'203'!WP9</f>
        <v>48</v>
      </c>
      <c r="AO34" s="384"/>
      <c r="AP34" s="144">
        <f>'201'!WR9+'202'!WR9+'203'!WR9</f>
        <v>8</v>
      </c>
      <c r="AQ34" s="144">
        <f>'201'!WS9+'202'!WS9+'203'!WS9</f>
        <v>13</v>
      </c>
      <c r="AR34" s="144">
        <f>'201'!WT9+'202'!WT9+'203'!WT9</f>
        <v>39</v>
      </c>
      <c r="AS34" s="144">
        <f>'201'!WU9+'202'!WU9+'203'!WU9</f>
        <v>29</v>
      </c>
      <c r="AT34" s="144">
        <f>'201'!WV9+'202'!WV9+'203'!WV9</f>
        <v>42</v>
      </c>
      <c r="AU34" s="384"/>
      <c r="AV34" s="205">
        <f>'201'!WX9+'202'!WX9+'203'!WX9</f>
        <v>108</v>
      </c>
      <c r="AW34" s="216">
        <f>$R$43</f>
        <v>0.79629629629629628</v>
      </c>
      <c r="AX34" s="217">
        <f>$R$43-I43</f>
        <v>-2.777777777777779E-2</v>
      </c>
      <c r="AY34" s="296">
        <f t="shared" si="12"/>
        <v>0.73469387755102045</v>
      </c>
      <c r="AZ34" s="216">
        <f>$I$43</f>
        <v>0.82407407407407407</v>
      </c>
      <c r="BA34" s="157"/>
      <c r="BB34" s="157"/>
    </row>
    <row r="35" spans="1:54" ht="15.75" thickBot="1" x14ac:dyDescent="0.3">
      <c r="A35" s="66" t="s">
        <v>2633</v>
      </c>
      <c r="B35" s="129">
        <f>'201'!$VU84</f>
        <v>71</v>
      </c>
      <c r="C35" s="238">
        <f>'201'!$VS84</f>
        <v>0.80281690140845074</v>
      </c>
      <c r="D35" s="225">
        <f>'202'!$VU84</f>
        <v>29</v>
      </c>
      <c r="E35" s="238">
        <f>'202'!$VS84</f>
        <v>0.82758620689655171</v>
      </c>
      <c r="F35" s="146">
        <f>'203'!$VU84</f>
        <v>47</v>
      </c>
      <c r="G35" s="118">
        <f>'203'!$VS84</f>
        <v>0.80851063829787229</v>
      </c>
      <c r="H35" s="153">
        <f t="shared" si="4"/>
        <v>147</v>
      </c>
      <c r="I35" s="190">
        <f t="shared" si="10"/>
        <v>0.80952380952380953</v>
      </c>
      <c r="J35" s="86"/>
      <c r="K35" s="153">
        <f>SUM(K27:K34)</f>
        <v>71</v>
      </c>
      <c r="L35" s="118">
        <f>'201'!$VT84</f>
        <v>0.80281690140845074</v>
      </c>
      <c r="M35" s="225">
        <f>SUM(M27:M34)</f>
        <v>29</v>
      </c>
      <c r="N35" s="238">
        <f>'202'!$VT84</f>
        <v>0.82758620689655171</v>
      </c>
      <c r="O35" s="146">
        <f>SUM(O27:O34)</f>
        <v>47</v>
      </c>
      <c r="P35" s="119">
        <f>'203'!$VT84</f>
        <v>0.80851063829787229</v>
      </c>
      <c r="Q35" s="153">
        <f t="shared" si="5"/>
        <v>147</v>
      </c>
      <c r="R35" s="192">
        <f t="shared" si="11"/>
        <v>0.80952380952380953</v>
      </c>
      <c r="S35" s="109"/>
      <c r="U35" s="153">
        <f>'205'!$VU84</f>
        <v>61</v>
      </c>
      <c r="V35" s="232">
        <f>'205'!$WF84</f>
        <v>3.360655737704918</v>
      </c>
      <c r="W35" s="146">
        <f>'304'!$VU84</f>
        <v>33</v>
      </c>
      <c r="X35" s="45">
        <f>'304'!$WF84</f>
        <v>3.3333333333333335</v>
      </c>
      <c r="Y35" s="153">
        <f t="shared" si="13"/>
        <v>94</v>
      </c>
      <c r="Z35" s="250">
        <f t="shared" si="7"/>
        <v>3.3510638297872339</v>
      </c>
      <c r="AA35" s="86"/>
      <c r="AB35" s="153">
        <f>SUM(AB27:AB34)</f>
        <v>61</v>
      </c>
      <c r="AC35" s="232">
        <f>'205'!$WE84</f>
        <v>3.360655737704918</v>
      </c>
      <c r="AD35" s="146">
        <f>SUM(AD27:AD34)</f>
        <v>33</v>
      </c>
      <c r="AE35" s="134">
        <f>'304'!$WE84</f>
        <v>3.3333333333333335</v>
      </c>
      <c r="AF35" s="146">
        <f t="shared" si="14"/>
        <v>94</v>
      </c>
      <c r="AG35" s="250">
        <f t="shared" si="8"/>
        <v>3.3510638297872339</v>
      </c>
      <c r="AH35" s="143"/>
      <c r="AM35" s="207" t="s">
        <v>4945</v>
      </c>
      <c r="AN35" s="206">
        <f>'201'!WP10+'202'!WP10+'203'!WP10</f>
        <v>64</v>
      </c>
      <c r="AO35" s="397"/>
      <c r="AP35" s="204">
        <f>'201'!WR10+'202'!WR10+'203'!WR10</f>
        <v>8</v>
      </c>
      <c r="AQ35" s="204">
        <f>'201'!WS10+'202'!WS10+'203'!WS10</f>
        <v>19</v>
      </c>
      <c r="AR35" s="204">
        <f>'201'!WT10+'202'!WT10+'203'!WT10</f>
        <v>62</v>
      </c>
      <c r="AS35" s="204">
        <f>'201'!WU10+'202'!WU10+'203'!WU10</f>
        <v>45</v>
      </c>
      <c r="AT35" s="204">
        <f>'201'!WV10+'202'!WV10+'203'!WV10</f>
        <v>42</v>
      </c>
      <c r="AU35" s="208">
        <f>'201'!WW10+'202'!WW10+'203'!WW10</f>
        <v>108</v>
      </c>
      <c r="AV35" s="223">
        <f>'201'!VU84+'202'!VU84+'203'!VU84</f>
        <v>147</v>
      </c>
      <c r="AW35" s="215"/>
      <c r="AZ35" s="157"/>
      <c r="BA35" s="157"/>
      <c r="BB35" s="157"/>
    </row>
    <row r="36" spans="1:54" ht="15" customHeight="1" thickBot="1" x14ac:dyDescent="0.3">
      <c r="A36" s="98"/>
      <c r="B36" s="130"/>
      <c r="C36" s="241"/>
      <c r="D36" s="226"/>
      <c r="E36" s="241"/>
      <c r="F36" s="149"/>
      <c r="G36" s="122"/>
      <c r="H36" s="154"/>
      <c r="I36" s="170"/>
      <c r="J36" s="86"/>
      <c r="K36" s="154"/>
      <c r="L36" s="122"/>
      <c r="M36" s="226"/>
      <c r="N36" s="241"/>
      <c r="O36" s="149"/>
      <c r="P36" s="123"/>
      <c r="Q36" s="154"/>
      <c r="R36" s="170"/>
      <c r="S36" s="109"/>
      <c r="U36" s="154"/>
      <c r="V36" s="233"/>
      <c r="W36" s="147"/>
      <c r="X36" s="99"/>
      <c r="Y36" s="154"/>
      <c r="Z36" s="251"/>
      <c r="AA36" s="86"/>
      <c r="AB36" s="154"/>
      <c r="AC36" s="233"/>
      <c r="AD36" s="149"/>
      <c r="AE36" s="135"/>
      <c r="AF36" s="149"/>
      <c r="AG36" s="251"/>
      <c r="AH36" s="97"/>
      <c r="AS36" s="78"/>
      <c r="AW36" s="138" t="s">
        <v>2639</v>
      </c>
      <c r="AX36" s="301">
        <f>X2</f>
        <v>-40.40000000000002</v>
      </c>
      <c r="AY36" s="414" t="s">
        <v>5431</v>
      </c>
      <c r="AZ36" s="297" t="s">
        <v>2638</v>
      </c>
      <c r="BA36" s="157"/>
      <c r="BB36" s="157"/>
    </row>
    <row r="37" spans="1:54" x14ac:dyDescent="0.25">
      <c r="A37" s="197" t="s">
        <v>4954</v>
      </c>
      <c r="B37" s="127">
        <f>'201'!$VU86</f>
        <v>50</v>
      </c>
      <c r="C37" s="238">
        <f>'201'!$VS86</f>
        <v>0.76</v>
      </c>
      <c r="D37" s="205">
        <f>'202'!$VU86</f>
        <v>9</v>
      </c>
      <c r="E37" s="238">
        <f>'202'!$VS86</f>
        <v>0.77777777777777779</v>
      </c>
      <c r="F37" s="148">
        <f>'203'!$VU86</f>
        <v>1</v>
      </c>
      <c r="G37" s="118">
        <f>'203'!$VS86</f>
        <v>0</v>
      </c>
      <c r="H37" s="151">
        <f>B37+D37+F37</f>
        <v>60</v>
      </c>
      <c r="I37" s="188">
        <f t="shared" ref="I37:I41" si="15">IFERROR((C37*B37+E37*D37+G37*F37)/(B37+D37+F37),0)</f>
        <v>0.75</v>
      </c>
      <c r="J37" s="86"/>
      <c r="K37" s="151">
        <f>'201'!$VU86</f>
        <v>50</v>
      </c>
      <c r="L37" s="118">
        <f>'201'!$VT86</f>
        <v>0.78</v>
      </c>
      <c r="M37" s="205">
        <f>'202'!$VU86</f>
        <v>9</v>
      </c>
      <c r="N37" s="238">
        <f>'202'!$VT86</f>
        <v>0.77777777777777779</v>
      </c>
      <c r="O37" s="148">
        <f>'203'!$VU86</f>
        <v>1</v>
      </c>
      <c r="P37" s="119">
        <f>'203'!$VT86</f>
        <v>1</v>
      </c>
      <c r="Q37" s="151">
        <f>K37+M37+O37</f>
        <v>60</v>
      </c>
      <c r="R37" s="169">
        <f t="shared" ref="R37:R41" si="16">IFERROR((L37*K37+N37*M37+P37*O37)/(K37+M37+O37),0)</f>
        <v>0.78333333333333333</v>
      </c>
      <c r="S37" s="163">
        <f>IFERROR((K37*ABS(L37-$A$15)+M37*ABS(N37-$A$15)+O37*ABS(P37-$A$15))-(K37*ABS(C37-$A$15)+M37*ABS(E37-$A$15)+O37*ABS(G37-$A$15)),0)</f>
        <v>-1.6000000000000008</v>
      </c>
      <c r="U37" s="151">
        <f>'205'!$VU86</f>
        <v>24</v>
      </c>
      <c r="V37" s="48">
        <f>'205'!$WF86</f>
        <v>3.9583333333333335</v>
      </c>
      <c r="W37" s="144">
        <f>'304'!$VU86</f>
        <v>18</v>
      </c>
      <c r="X37" s="77">
        <f>'304'!$WF86</f>
        <v>3.8333333333333335</v>
      </c>
      <c r="Y37" s="151">
        <f t="shared" ref="Y37:Y41" si="17">U37+W37</f>
        <v>42</v>
      </c>
      <c r="Z37" s="248">
        <f>IFERROR((V37*$U37+X37*$W37)/($U37+$W37),0)</f>
        <v>3.9047619047619047</v>
      </c>
      <c r="AA37" s="86"/>
      <c r="AB37" s="151">
        <f>'205'!$VU86</f>
        <v>24</v>
      </c>
      <c r="AC37" s="48">
        <f>'205'!$WE86</f>
        <v>3.8333333333333335</v>
      </c>
      <c r="AD37" s="148">
        <f>'304'!$VU86</f>
        <v>18</v>
      </c>
      <c r="AE37" s="132">
        <f>'304'!$WE86</f>
        <v>3.6111111111111112</v>
      </c>
      <c r="AF37" s="148">
        <f t="shared" ref="AF37:AF41" si="18">AB37+AD37</f>
        <v>42</v>
      </c>
      <c r="AG37" s="248">
        <f>IFERROR((AC37*$U37+AE37*$W37)/($U37+$W37),0)</f>
        <v>3.7380952380952381</v>
      </c>
      <c r="AH37" s="168">
        <f>IFERROR((AB37*ABS(AC37-$A$18)+AD37*ABS(AE37-$A$18))-(AB37*ABS(V37-$A$18)+AD37*ABS(X37-$A$18)),0)</f>
        <v>-7.0000000000000018</v>
      </c>
      <c r="AJ37" s="258" t="s">
        <v>5430</v>
      </c>
      <c r="AK37" s="258" t="s">
        <v>2638</v>
      </c>
      <c r="AL37" s="260" t="s">
        <v>2639</v>
      </c>
      <c r="AM37" s="210" t="s">
        <v>5418</v>
      </c>
      <c r="AN37" s="106" t="s">
        <v>5416</v>
      </c>
      <c r="AO37" s="106" t="s">
        <v>2627</v>
      </c>
      <c r="AP37" s="106" t="s">
        <v>2617</v>
      </c>
      <c r="AQ37" s="106" t="s">
        <v>2618</v>
      </c>
      <c r="AR37" s="106" t="s">
        <v>5415</v>
      </c>
      <c r="AS37" s="106" t="s">
        <v>2623</v>
      </c>
      <c r="AT37" s="106" t="s">
        <v>2621</v>
      </c>
      <c r="AU37" s="106" t="s">
        <v>2628</v>
      </c>
      <c r="AV37" s="211" t="s">
        <v>4945</v>
      </c>
      <c r="AW37" s="214" t="s">
        <v>5419</v>
      </c>
      <c r="AX37" s="212" t="s">
        <v>5420</v>
      </c>
      <c r="AY37" s="415"/>
      <c r="AZ37" s="298" t="s">
        <v>5419</v>
      </c>
      <c r="BA37" s="157"/>
      <c r="BB37" s="157"/>
    </row>
    <row r="38" spans="1:54" x14ac:dyDescent="0.25">
      <c r="A38" s="197" t="s">
        <v>4955</v>
      </c>
      <c r="B38" s="127">
        <f>'201'!$VU87</f>
        <v>20</v>
      </c>
      <c r="C38" s="238">
        <f>'201'!$VS87</f>
        <v>0.9</v>
      </c>
      <c r="D38" s="205">
        <f>'202'!$VU87</f>
        <v>14</v>
      </c>
      <c r="E38" s="238">
        <f>'202'!$VS87</f>
        <v>0.7857142857142857</v>
      </c>
      <c r="F38" s="148">
        <f>'203'!$VU87</f>
        <v>10</v>
      </c>
      <c r="G38" s="118">
        <f>'203'!$VS87</f>
        <v>0.8</v>
      </c>
      <c r="H38" s="151">
        <f>B38+D38+F38</f>
        <v>44</v>
      </c>
      <c r="I38" s="188">
        <f t="shared" si="15"/>
        <v>0.84090909090909094</v>
      </c>
      <c r="J38" s="86"/>
      <c r="K38" s="151">
        <f>'201'!$VU87</f>
        <v>20</v>
      </c>
      <c r="L38" s="118">
        <f>'201'!$VT87</f>
        <v>0.85</v>
      </c>
      <c r="M38" s="205">
        <f>'202'!$VU87</f>
        <v>14</v>
      </c>
      <c r="N38" s="238">
        <f>'202'!$VT87</f>
        <v>0.8571428571428571</v>
      </c>
      <c r="O38" s="148">
        <f>'203'!$VU87</f>
        <v>10</v>
      </c>
      <c r="P38" s="119">
        <f>'203'!$VT87</f>
        <v>0.8</v>
      </c>
      <c r="Q38" s="151">
        <f>K38+M38+O38</f>
        <v>44</v>
      </c>
      <c r="R38" s="169">
        <f t="shared" si="16"/>
        <v>0.84090909090909094</v>
      </c>
      <c r="S38" s="163">
        <f>IFERROR((K38*ABS(L38-$A$15)+M38*ABS(N38-$A$15)+O38*ABS(P38-$A$15))-(K38*ABS(C38-$A$15)+M38*ABS(E38-$A$15)+O38*ABS(G38-$A$15)),0)</f>
        <v>-0.4000000000000028</v>
      </c>
      <c r="U38" s="151">
        <f>'205'!$VU87</f>
        <v>22</v>
      </c>
      <c r="V38" s="48">
        <f>'205'!$WF87</f>
        <v>3.0909090909090908</v>
      </c>
      <c r="W38" s="144">
        <f>'304'!$VU87</f>
        <v>14</v>
      </c>
      <c r="X38" s="77">
        <f>'304'!$WF87</f>
        <v>2.7857142857142856</v>
      </c>
      <c r="Y38" s="151">
        <f t="shared" si="17"/>
        <v>36</v>
      </c>
      <c r="Z38" s="248">
        <f>IFERROR((V38*$U38+X38*$W38)/($U38+$W38),0)</f>
        <v>2.9722222222222223</v>
      </c>
      <c r="AA38" s="86"/>
      <c r="AB38" s="151">
        <f>'205'!$VU87</f>
        <v>22</v>
      </c>
      <c r="AC38" s="48">
        <f>'205'!$WE87</f>
        <v>3.0909090909090908</v>
      </c>
      <c r="AD38" s="148">
        <f>'304'!$VU87</f>
        <v>14</v>
      </c>
      <c r="AE38" s="132">
        <f>'304'!$WE87</f>
        <v>3</v>
      </c>
      <c r="AF38" s="148">
        <f t="shared" si="18"/>
        <v>36</v>
      </c>
      <c r="AG38" s="248">
        <f>IFERROR((AC38*$U38+AE38*$W38)/($U38+$W38),0)</f>
        <v>3.0555555555555554</v>
      </c>
      <c r="AH38" s="168">
        <f>IFERROR((AB38*ABS(AC38-$A$18)+AD38*ABS(AE38-$A$18))-(AB38*ABS(V38-$A$18)+AD38*ABS(X38-$A$18)),0)</f>
        <v>-3.0000000000000036</v>
      </c>
      <c r="AJ38" s="222">
        <v>0.96</v>
      </c>
      <c r="AK38" s="222">
        <v>1</v>
      </c>
      <c r="AL38" s="302">
        <f t="shared" ref="AL38:AL44" si="19">Y7</f>
        <v>1</v>
      </c>
      <c r="AM38" s="203" t="s">
        <v>5416</v>
      </c>
      <c r="AN38" s="384"/>
      <c r="AO38" s="144">
        <f>'205'!WQ2+'304'!WQ2</f>
        <v>33</v>
      </c>
      <c r="AP38" s="144">
        <f>'205'!WR2+'304'!WR2</f>
        <v>0</v>
      </c>
      <c r="AQ38" s="144">
        <f>'205'!WS2+'304'!WS2</f>
        <v>7</v>
      </c>
      <c r="AR38" s="144">
        <f>'205'!WT2+'304'!WT2</f>
        <v>10</v>
      </c>
      <c r="AS38" s="144">
        <f>'205'!WU2+'304'!WU2</f>
        <v>19</v>
      </c>
      <c r="AT38" s="144">
        <f>'205'!WV2+'304'!WV2</f>
        <v>8</v>
      </c>
      <c r="AU38" s="144">
        <f>'205'!WW2+'304'!WW2</f>
        <v>29</v>
      </c>
      <c r="AV38" s="205">
        <f>'205'!WX2+'304'!WX2</f>
        <v>36</v>
      </c>
      <c r="AW38" s="131">
        <f>$AG$57</f>
        <v>3.6666666666666665</v>
      </c>
      <c r="AX38" s="220">
        <f>$AG$57-Z57</f>
        <v>0.11111111111111116</v>
      </c>
      <c r="AY38" s="21">
        <f t="shared" ref="AY38:AY45" si="20">AV38/AV$46</f>
        <v>0.38297872340425532</v>
      </c>
      <c r="AZ38" s="300">
        <f>$Z$57</f>
        <v>3.5555555555555554</v>
      </c>
      <c r="BA38" s="157"/>
      <c r="BB38" s="157"/>
    </row>
    <row r="39" spans="1:54" x14ac:dyDescent="0.25">
      <c r="A39" s="341" t="s">
        <v>4956</v>
      </c>
      <c r="B39" s="127">
        <f>'201'!$VU88</f>
        <v>0</v>
      </c>
      <c r="C39" s="238">
        <f>'201'!$VS88</f>
        <v>0</v>
      </c>
      <c r="D39" s="205">
        <f>'202'!$VU88</f>
        <v>6</v>
      </c>
      <c r="E39" s="238">
        <f>'202'!$VS88</f>
        <v>1</v>
      </c>
      <c r="F39" s="148">
        <f>'203'!$VU88</f>
        <v>36</v>
      </c>
      <c r="G39" s="118">
        <f>'203'!$VS88</f>
        <v>0.83333333333333337</v>
      </c>
      <c r="H39" s="151">
        <f>B39+D39+F39</f>
        <v>42</v>
      </c>
      <c r="I39" s="188">
        <f t="shared" si="15"/>
        <v>0.8571428571428571</v>
      </c>
      <c r="J39" s="86"/>
      <c r="K39" s="151">
        <f>'201'!$VU88</f>
        <v>0</v>
      </c>
      <c r="L39" s="118">
        <f>'201'!$VT88</f>
        <v>0</v>
      </c>
      <c r="M39" s="205">
        <f>'202'!$VU88</f>
        <v>6</v>
      </c>
      <c r="N39" s="238">
        <f>'202'!$VT88</f>
        <v>0.83333333333333337</v>
      </c>
      <c r="O39" s="148">
        <f>'203'!$VU88</f>
        <v>36</v>
      </c>
      <c r="P39" s="119">
        <f>'203'!$VT88</f>
        <v>0.80555555555555558</v>
      </c>
      <c r="Q39" s="151">
        <f>K39+M39+O39</f>
        <v>42</v>
      </c>
      <c r="R39" s="169">
        <f t="shared" si="16"/>
        <v>0.80952380952380953</v>
      </c>
      <c r="S39" s="163">
        <f>IFERROR((K39*ABS(L39-$A$15)+M39*ABS(N39-$A$15)+O39*ABS(P39-$A$15))-(K39*ABS(C39-$A$15)+M39*ABS(E39-$A$15)+O39*ABS(G39-$A$15)),0)</f>
        <v>-2</v>
      </c>
      <c r="U39" s="151">
        <f>'205'!$VU88</f>
        <v>15</v>
      </c>
      <c r="V39" s="48">
        <f>'205'!$WF88</f>
        <v>2.8</v>
      </c>
      <c r="W39" s="148">
        <f>'304'!$VU88</f>
        <v>1</v>
      </c>
      <c r="X39" s="77">
        <f>'304'!$WF88</f>
        <v>2</v>
      </c>
      <c r="Y39" s="151">
        <f t="shared" si="17"/>
        <v>16</v>
      </c>
      <c r="Z39" s="248">
        <f>IFERROR((V39*$U39+X39*$W39)/($U39+$W39),0)</f>
        <v>2.75</v>
      </c>
      <c r="AA39" s="86"/>
      <c r="AB39" s="151">
        <f>'205'!$VU88</f>
        <v>15</v>
      </c>
      <c r="AC39" s="48">
        <f>'205'!$WE88</f>
        <v>3</v>
      </c>
      <c r="AD39" s="148">
        <f>'304'!$VU88</f>
        <v>1</v>
      </c>
      <c r="AE39" s="132">
        <f>'304'!$WE88</f>
        <v>3</v>
      </c>
      <c r="AF39" s="148">
        <f t="shared" si="18"/>
        <v>16</v>
      </c>
      <c r="AG39" s="248">
        <f>IFERROR((AC39*$U39+AE39*$W39)/($U39+$W39),0)</f>
        <v>3</v>
      </c>
      <c r="AH39" s="168">
        <f>IFERROR((AB39*ABS(AC39-$A$18)+AD39*ABS(AE39-$A$18))-(AB39*ABS(V39-$A$18)+AD39*ABS(X39-$A$18)),0)</f>
        <v>-4.0000000000000036</v>
      </c>
      <c r="AJ39" s="222">
        <v>1.1000000000000001</v>
      </c>
      <c r="AK39" s="222">
        <v>1.1499999999999999</v>
      </c>
      <c r="AL39" s="302">
        <f t="shared" si="19"/>
        <v>1.1100000000000001</v>
      </c>
      <c r="AM39" s="203" t="s">
        <v>2627</v>
      </c>
      <c r="AN39" s="144">
        <f>'205'!WP3+'304'!WP3</f>
        <v>33</v>
      </c>
      <c r="AO39" s="384"/>
      <c r="AP39" s="144">
        <f>'205'!WR3+'304'!WR3</f>
        <v>1</v>
      </c>
      <c r="AQ39" s="144">
        <f>'205'!WS3+'304'!WS3</f>
        <v>18</v>
      </c>
      <c r="AR39" s="144">
        <f>'205'!WT3+'304'!WT3</f>
        <v>40</v>
      </c>
      <c r="AS39" s="144">
        <f>'205'!WU3+'304'!WU3</f>
        <v>31</v>
      </c>
      <c r="AT39" s="144">
        <f>'205'!WV3+'304'!WV3</f>
        <v>15</v>
      </c>
      <c r="AU39" s="144">
        <f>'205'!WW3+'304'!WW3</f>
        <v>60</v>
      </c>
      <c r="AV39" s="205">
        <f>'205'!WX3+'304'!WX3</f>
        <v>84</v>
      </c>
      <c r="AW39" s="131">
        <f>$AG$53</f>
        <v>3.4285714285714284</v>
      </c>
      <c r="AX39" s="220">
        <f>$AG$53-Z53</f>
        <v>-1.1904761904762307E-2</v>
      </c>
      <c r="AY39" s="21">
        <f t="shared" si="20"/>
        <v>0.8936170212765957</v>
      </c>
      <c r="AZ39" s="131">
        <f>$Z$53</f>
        <v>3.4404761904761907</v>
      </c>
      <c r="BA39" s="157"/>
      <c r="BB39" s="157"/>
    </row>
    <row r="40" spans="1:54" x14ac:dyDescent="0.25">
      <c r="A40" s="73" t="s">
        <v>5381</v>
      </c>
      <c r="B40" s="128">
        <f>'201'!$VU89</f>
        <v>1</v>
      </c>
      <c r="C40" s="239">
        <f>'201'!$VS89</f>
        <v>1</v>
      </c>
      <c r="D40" s="224">
        <f>'202'!$VU89</f>
        <v>0</v>
      </c>
      <c r="E40" s="239">
        <f>'202'!$VS89</f>
        <v>0</v>
      </c>
      <c r="F40" s="145">
        <f>'203'!$VU89</f>
        <v>0</v>
      </c>
      <c r="G40" s="110">
        <f>'203'!$VS89</f>
        <v>0</v>
      </c>
      <c r="H40" s="152">
        <f>B40+D40+F40</f>
        <v>1</v>
      </c>
      <c r="I40" s="188">
        <f t="shared" si="15"/>
        <v>1</v>
      </c>
      <c r="J40" s="86"/>
      <c r="K40" s="151">
        <f>'201'!$VU89</f>
        <v>1</v>
      </c>
      <c r="L40" s="118">
        <f>'201'!$VT89</f>
        <v>1</v>
      </c>
      <c r="M40" s="205">
        <f>'202'!$VU89</f>
        <v>0</v>
      </c>
      <c r="N40" s="238">
        <f>'202'!$VT89</f>
        <v>0</v>
      </c>
      <c r="O40" s="148">
        <f>'203'!$VU89</f>
        <v>0</v>
      </c>
      <c r="P40" s="119">
        <f>'203'!$VT89</f>
        <v>0</v>
      </c>
      <c r="Q40" s="152">
        <f>K40+M40+O40</f>
        <v>1</v>
      </c>
      <c r="R40" s="169">
        <f t="shared" si="16"/>
        <v>1</v>
      </c>
      <c r="S40" s="163">
        <f>IFERROR((K40*ABS(L40-$A$15)+M40*ABS(N40-$A$15)+O40*ABS(P40-$A$15))-(K40*ABS(C40-$A$15)+M40*ABS(E40-$A$15)+O40*ABS(G40-$A$15)),0)</f>
        <v>0</v>
      </c>
      <c r="U40" s="152">
        <f>'205'!$VU89</f>
        <v>0</v>
      </c>
      <c r="V40" s="48">
        <f>'205'!$WF89</f>
        <v>0</v>
      </c>
      <c r="W40" s="145">
        <f>'304'!$VU89</f>
        <v>0</v>
      </c>
      <c r="X40" s="77">
        <f>'304'!$WF89</f>
        <v>0</v>
      </c>
      <c r="Y40" s="151">
        <f t="shared" si="17"/>
        <v>0</v>
      </c>
      <c r="Z40" s="248">
        <f>IFERROR((V40*$U40+X40*$W40)/($U40+$W40),0)</f>
        <v>0</v>
      </c>
      <c r="AA40" s="86"/>
      <c r="AB40" s="151">
        <f>'205'!$VU89</f>
        <v>0</v>
      </c>
      <c r="AC40" s="48">
        <f>'205'!$WE89</f>
        <v>0</v>
      </c>
      <c r="AD40" s="148">
        <f>'304'!$VU89</f>
        <v>0</v>
      </c>
      <c r="AE40" s="132">
        <f>'304'!$WE89</f>
        <v>0</v>
      </c>
      <c r="AF40" s="148">
        <f t="shared" si="18"/>
        <v>0</v>
      </c>
      <c r="AG40" s="248">
        <f>IFERROR((AC40*$U40+AE40*$W40)/($U40+$W40),0)</f>
        <v>0</v>
      </c>
      <c r="AH40" s="168">
        <f>IFERROR((AB40*ABS(AC40-$A$18)+AD40*ABS(AE40-$A$18))-(AB40*ABS(V40-$A$18)+AD40*ABS(X40-$A$18)),0)</f>
        <v>0</v>
      </c>
      <c r="AJ40" s="222">
        <v>0.88</v>
      </c>
      <c r="AK40" s="222">
        <v>0.88</v>
      </c>
      <c r="AL40" s="302">
        <f t="shared" si="19"/>
        <v>0.88</v>
      </c>
      <c r="AM40" s="203" t="s">
        <v>2617</v>
      </c>
      <c r="AN40" s="144">
        <f>'205'!WP4+'304'!WP4</f>
        <v>0</v>
      </c>
      <c r="AO40" s="144">
        <f>'205'!WQ4+'304'!WQ4</f>
        <v>1</v>
      </c>
      <c r="AP40" s="384"/>
      <c r="AQ40" s="144">
        <f>'205'!WS4+'304'!WS4</f>
        <v>0</v>
      </c>
      <c r="AR40" s="144">
        <f>'205'!WT4+'304'!WT4</f>
        <v>0</v>
      </c>
      <c r="AS40" s="144">
        <f>'205'!WU4+'304'!WU4</f>
        <v>1</v>
      </c>
      <c r="AT40" s="144">
        <f>'205'!WV4+'304'!WV4</f>
        <v>0</v>
      </c>
      <c r="AU40" s="144">
        <f>'205'!WW4+'304'!WW4</f>
        <v>29</v>
      </c>
      <c r="AV40" s="205">
        <f>'205'!WX4+'304'!WX4</f>
        <v>1</v>
      </c>
      <c r="AW40" s="218">
        <f>$AG$50</f>
        <v>2</v>
      </c>
      <c r="AX40" s="220">
        <f>$AG$50-Z50</f>
        <v>0</v>
      </c>
      <c r="AY40" s="21">
        <f t="shared" si="20"/>
        <v>1.0638297872340425E-2</v>
      </c>
      <c r="AZ40" s="218">
        <f>$Z$50</f>
        <v>2</v>
      </c>
      <c r="BA40" s="157"/>
      <c r="BB40" s="157"/>
    </row>
    <row r="41" spans="1:54" x14ac:dyDescent="0.25">
      <c r="A41" s="69" t="s">
        <v>4957</v>
      </c>
      <c r="B41" s="127">
        <f>'201'!$VU90</f>
        <v>0</v>
      </c>
      <c r="C41" s="238">
        <f>'201'!$VS90</f>
        <v>0</v>
      </c>
      <c r="D41" s="205">
        <f>'202'!$VU90</f>
        <v>0</v>
      </c>
      <c r="E41" s="238">
        <f>'202'!$VS90</f>
        <v>0</v>
      </c>
      <c r="F41" s="148">
        <f>'203'!$VU90</f>
        <v>0</v>
      </c>
      <c r="G41" s="118">
        <f>'203'!$VS90</f>
        <v>0</v>
      </c>
      <c r="H41" s="151">
        <f>B41+D41+F41</f>
        <v>0</v>
      </c>
      <c r="I41" s="191">
        <f t="shared" si="15"/>
        <v>0</v>
      </c>
      <c r="J41" s="86"/>
      <c r="K41" s="151">
        <f>'201'!$VU90</f>
        <v>0</v>
      </c>
      <c r="L41" s="112">
        <f>'201'!$VT90</f>
        <v>0</v>
      </c>
      <c r="M41" s="227">
        <f>'202'!$VU90</f>
        <v>0</v>
      </c>
      <c r="N41" s="244">
        <f>'202'!$VT90</f>
        <v>0</v>
      </c>
      <c r="O41" s="155">
        <f>'203'!$VU90</f>
        <v>0</v>
      </c>
      <c r="P41" s="124">
        <f>'203'!$VT90</f>
        <v>0</v>
      </c>
      <c r="Q41" s="151">
        <f>K41+M41+O41</f>
        <v>0</v>
      </c>
      <c r="R41" s="193">
        <f t="shared" si="16"/>
        <v>0</v>
      </c>
      <c r="S41" s="163">
        <f>IFERROR((K41*ABS(L41-$A$15)+M41*ABS(N41-$A$15)+O41*ABS(P41-$A$15))-(K41*ABS(C41-$A$15)+M41*ABS(E41-$A$15)+O41*ABS(G41-$A$15)),0)</f>
        <v>0</v>
      </c>
      <c r="U41" s="151">
        <f>'205'!$VU90</f>
        <v>0</v>
      </c>
      <c r="V41" s="231">
        <f>'205'!$WF90</f>
        <v>0</v>
      </c>
      <c r="W41" s="148">
        <f>'304'!$VU90</f>
        <v>0</v>
      </c>
      <c r="X41" s="113">
        <f>'304'!$WF90</f>
        <v>0</v>
      </c>
      <c r="Y41" s="196">
        <f t="shared" si="17"/>
        <v>0</v>
      </c>
      <c r="Z41" s="249">
        <f>IFERROR((V41*$U41+X41*$W41)/($U41+$W41),0)</f>
        <v>0</v>
      </c>
      <c r="AA41" s="86"/>
      <c r="AB41" s="196">
        <f>'205'!$VU90</f>
        <v>0</v>
      </c>
      <c r="AC41" s="231">
        <f>'205'!$WE90</f>
        <v>0</v>
      </c>
      <c r="AD41" s="155">
        <f>'304'!$VU90</f>
        <v>0</v>
      </c>
      <c r="AE41" s="133">
        <f>'304'!$WE90</f>
        <v>0</v>
      </c>
      <c r="AF41" s="155">
        <f t="shared" si="18"/>
        <v>0</v>
      </c>
      <c r="AG41" s="249">
        <f>IFERROR((AC41*$U41+AE41*$W41)/($U41+$W41),0)</f>
        <v>0</v>
      </c>
      <c r="AH41" s="168">
        <f>IFERROR((AB41*ABS(AC41-$A$18)+AD41*ABS(AE41-$A$18))-(AB41*ABS(V41-$A$18)+AD41*ABS(X41-$A$18)),0)</f>
        <v>0</v>
      </c>
      <c r="AJ41" s="222">
        <v>0.91</v>
      </c>
      <c r="AK41" s="222">
        <v>0.93</v>
      </c>
      <c r="AL41" s="302">
        <f t="shared" si="19"/>
        <v>0.87</v>
      </c>
      <c r="AM41" s="203" t="s">
        <v>2618</v>
      </c>
      <c r="AN41" s="144">
        <f>'205'!WP5+'304'!WP5</f>
        <v>7</v>
      </c>
      <c r="AO41" s="144">
        <f>'205'!WQ5+'304'!WQ5</f>
        <v>18</v>
      </c>
      <c r="AP41" s="144">
        <f>'205'!WR5+'304'!WR5</f>
        <v>0</v>
      </c>
      <c r="AQ41" s="384"/>
      <c r="AR41" s="144">
        <f>'205'!WT5+'304'!WT5</f>
        <v>14</v>
      </c>
      <c r="AS41" s="144">
        <f>'205'!WU5+'304'!WU5</f>
        <v>4</v>
      </c>
      <c r="AT41" s="144">
        <f>'205'!WV5+'304'!WV5</f>
        <v>4</v>
      </c>
      <c r="AU41" s="144">
        <f>'205'!WW5+'304'!WW5</f>
        <v>17</v>
      </c>
      <c r="AV41" s="205">
        <f>'205'!WX5+'304'!WX5</f>
        <v>22</v>
      </c>
      <c r="AW41" s="218">
        <f>$AG$47</f>
        <v>3.3181818181818183</v>
      </c>
      <c r="AX41" s="220">
        <f>$AG$47-Z47</f>
        <v>-9.0909090909090828E-2</v>
      </c>
      <c r="AY41" s="21">
        <f t="shared" si="20"/>
        <v>0.23404255319148937</v>
      </c>
      <c r="AZ41" s="218">
        <f>$Z$47</f>
        <v>3.4090909090909092</v>
      </c>
      <c r="BA41" s="157"/>
      <c r="BB41" s="157"/>
    </row>
    <row r="42" spans="1:54" x14ac:dyDescent="0.25">
      <c r="A42" s="99"/>
      <c r="B42" s="130"/>
      <c r="C42" s="241"/>
      <c r="D42" s="226"/>
      <c r="E42" s="241"/>
      <c r="F42" s="149"/>
      <c r="G42" s="122"/>
      <c r="H42" s="154"/>
      <c r="I42" s="170"/>
      <c r="J42" s="86"/>
      <c r="K42" s="154"/>
      <c r="L42" s="122"/>
      <c r="M42" s="226"/>
      <c r="N42" s="241"/>
      <c r="O42" s="149"/>
      <c r="P42" s="123"/>
      <c r="Q42" s="154"/>
      <c r="R42" s="170"/>
      <c r="S42" s="109"/>
      <c r="U42" s="154"/>
      <c r="V42" s="233"/>
      <c r="W42" s="149"/>
      <c r="X42" s="99"/>
      <c r="Y42" s="154"/>
      <c r="Z42" s="251"/>
      <c r="AA42" s="86"/>
      <c r="AB42" s="154"/>
      <c r="AC42" s="233"/>
      <c r="AD42" s="149"/>
      <c r="AE42" s="135"/>
      <c r="AF42" s="149"/>
      <c r="AG42" s="251"/>
      <c r="AH42" s="97"/>
      <c r="AJ42" s="222">
        <v>0.89</v>
      </c>
      <c r="AK42" s="222">
        <v>0.92</v>
      </c>
      <c r="AL42" s="302">
        <f t="shared" si="19"/>
        <v>0.89</v>
      </c>
      <c r="AM42" s="203" t="s">
        <v>5415</v>
      </c>
      <c r="AN42" s="144">
        <f>'205'!WP6+'304'!WP6</f>
        <v>10</v>
      </c>
      <c r="AO42" s="144">
        <f>'205'!WQ6+'304'!WQ6</f>
        <v>40</v>
      </c>
      <c r="AP42" s="144">
        <f>'205'!WR6+'304'!WR6</f>
        <v>0</v>
      </c>
      <c r="AQ42" s="144">
        <f>'205'!WS6+'304'!WS6</f>
        <v>14</v>
      </c>
      <c r="AR42" s="384"/>
      <c r="AS42" s="144">
        <f>'205'!WU6+'304'!WU6</f>
        <v>1</v>
      </c>
      <c r="AT42" s="144">
        <f>'205'!WV6+'304'!WV6</f>
        <v>1</v>
      </c>
      <c r="AU42" s="144">
        <f>'205'!WW6+'304'!WW6</f>
        <v>28</v>
      </c>
      <c r="AV42" s="205">
        <f>'205'!WX6+'304'!WX6</f>
        <v>44</v>
      </c>
      <c r="AW42" s="218">
        <f>$AG$37</f>
        <v>3.7380952380952381</v>
      </c>
      <c r="AX42" s="220">
        <f>$AG$37-Z37</f>
        <v>-0.16666666666666652</v>
      </c>
      <c r="AY42" s="21">
        <f t="shared" si="20"/>
        <v>0.46808510638297873</v>
      </c>
      <c r="AZ42" s="218">
        <f>$Z$37</f>
        <v>3.9047619047619047</v>
      </c>
      <c r="BA42" s="157"/>
      <c r="BB42" s="157"/>
    </row>
    <row r="43" spans="1:54" x14ac:dyDescent="0.25">
      <c r="A43" s="197" t="s">
        <v>4958</v>
      </c>
      <c r="B43" s="127">
        <f>'201'!$VU92</f>
        <v>34</v>
      </c>
      <c r="C43" s="238">
        <f>'201'!$VS92</f>
        <v>0.8529411764705882</v>
      </c>
      <c r="D43" s="205">
        <f>'202'!$VU92</f>
        <v>27</v>
      </c>
      <c r="E43" s="238">
        <f>'202'!$VS92</f>
        <v>0.81481481481481477</v>
      </c>
      <c r="F43" s="148">
        <f>'203'!$VU92</f>
        <v>47</v>
      </c>
      <c r="G43" s="118">
        <f>'203'!$VS92</f>
        <v>0.80851063829787229</v>
      </c>
      <c r="H43" s="151">
        <f>B43+D43+F43</f>
        <v>108</v>
      </c>
      <c r="I43" s="188">
        <f t="shared" ref="I43:I45" si="21">IFERROR((C43*B43+E43*D43+G43*F43)/(B43+D43+F43),0)</f>
        <v>0.82407407407407407</v>
      </c>
      <c r="J43" s="86"/>
      <c r="K43" s="151">
        <f>'201'!$VU92</f>
        <v>34</v>
      </c>
      <c r="L43" s="118">
        <f>'201'!$VT92</f>
        <v>0.76470588235294112</v>
      </c>
      <c r="M43" s="205">
        <f>'202'!$VU92</f>
        <v>27</v>
      </c>
      <c r="N43" s="238">
        <f>'202'!$VT92</f>
        <v>0.81481481481481477</v>
      </c>
      <c r="O43" s="148">
        <f>'203'!$VU92</f>
        <v>47</v>
      </c>
      <c r="P43" s="119">
        <f>'203'!$VT92</f>
        <v>0.80851063829787229</v>
      </c>
      <c r="Q43" s="151">
        <f>K43+M43+O43</f>
        <v>108</v>
      </c>
      <c r="R43" s="169">
        <f t="shared" ref="R43:R45" si="22">IFERROR((L43*K43+N43*M43+P43*O43)/(K43+M43+O43),0)</f>
        <v>0.79629629629629628</v>
      </c>
      <c r="S43" s="163">
        <f>IFERROR((K43*ABS(L43-$A$15)+M43*ABS(N43-$A$15)+O43*ABS(P43-$A$15))-(K43*ABS(C43-$A$15)+M43*ABS(E43-$A$15)+O43*ABS(G43-$A$15)),0)</f>
        <v>-0.59999999999999387</v>
      </c>
      <c r="U43" s="151">
        <f>'205'!$VU92</f>
        <v>44</v>
      </c>
      <c r="V43" s="48">
        <f>'205'!$WF92</f>
        <v>3.2954545454545454</v>
      </c>
      <c r="W43" s="144">
        <f>'304'!$VU92</f>
        <v>23</v>
      </c>
      <c r="X43" s="77">
        <f>'304'!$WF92</f>
        <v>3.2608695652173911</v>
      </c>
      <c r="Y43" s="151">
        <f t="shared" ref="Y43:Y45" si="23">U43+W43</f>
        <v>67</v>
      </c>
      <c r="Z43" s="248">
        <f>IFERROR((V43*$U43+X43*$W43)/($U43+$W43),0)</f>
        <v>3.283582089552239</v>
      </c>
      <c r="AA43" s="86"/>
      <c r="AB43" s="151">
        <f>'205'!$VU92</f>
        <v>44</v>
      </c>
      <c r="AC43" s="48">
        <f>'205'!$WE92</f>
        <v>3.3409090909090908</v>
      </c>
      <c r="AD43" s="148">
        <f>'304'!$VU92</f>
        <v>23</v>
      </c>
      <c r="AE43" s="132">
        <f>'304'!$WE92</f>
        <v>3.3913043478260869</v>
      </c>
      <c r="AF43" s="148">
        <f t="shared" ref="AF43:AF45" si="24">AB43+AD43</f>
        <v>67</v>
      </c>
      <c r="AG43" s="248">
        <f>IFERROR((AC43*$U43+AE43*$W43)/($U43+$W43),0)</f>
        <v>3.3582089552238807</v>
      </c>
      <c r="AH43" s="168">
        <f>IFERROR((AB43*ABS(AC43-$A$18)+AD43*ABS(AE43-$A$18))-(AB43*ABS(V43-$A$18)+AD43*ABS(X43-$A$18)),0)</f>
        <v>-5.0000000000000018</v>
      </c>
      <c r="AJ43" s="222">
        <v>0.88</v>
      </c>
      <c r="AK43" s="222">
        <v>0.85</v>
      </c>
      <c r="AL43" s="302">
        <f t="shared" si="19"/>
        <v>0.88</v>
      </c>
      <c r="AM43" s="203" t="s">
        <v>2623</v>
      </c>
      <c r="AN43" s="144">
        <f>'205'!WP7+'304'!WP7</f>
        <v>19</v>
      </c>
      <c r="AO43" s="144">
        <f>'205'!WQ7+'304'!WQ7</f>
        <v>31</v>
      </c>
      <c r="AP43" s="144">
        <f>'205'!WR7+'304'!WR7</f>
        <v>1</v>
      </c>
      <c r="AQ43" s="144">
        <f>'205'!WS7+'304'!WS7</f>
        <v>4</v>
      </c>
      <c r="AR43" s="144">
        <f>'205'!WT7+'304'!WT7</f>
        <v>1</v>
      </c>
      <c r="AS43" s="384"/>
      <c r="AT43" s="144">
        <f>'205'!WV7+'304'!WV7</f>
        <v>0</v>
      </c>
      <c r="AU43" s="144">
        <f>'205'!WW7+'304'!WW7</f>
        <v>25</v>
      </c>
      <c r="AV43" s="205">
        <f>'205'!WX7+'304'!WX7</f>
        <v>36</v>
      </c>
      <c r="AW43" s="218">
        <f>$AG$38</f>
        <v>3.0555555555555554</v>
      </c>
      <c r="AX43" s="220">
        <f>$AG$38-Z38</f>
        <v>8.3333333333333037E-2</v>
      </c>
      <c r="AY43" s="21">
        <f t="shared" si="20"/>
        <v>0.38297872340425532</v>
      </c>
      <c r="AZ43" s="218">
        <f>$Z$38</f>
        <v>2.9722222222222223</v>
      </c>
      <c r="BA43" s="157"/>
      <c r="BB43" s="157"/>
    </row>
    <row r="44" spans="1:54" x14ac:dyDescent="0.25">
      <c r="A44" s="31" t="s">
        <v>4959</v>
      </c>
      <c r="B44" s="128">
        <f>'201'!$VU93</f>
        <v>37</v>
      </c>
      <c r="C44" s="239">
        <f>'201'!$VS93</f>
        <v>0.72972972972972971</v>
      </c>
      <c r="D44" s="224">
        <f>'202'!$VU93</f>
        <v>2</v>
      </c>
      <c r="E44" s="239">
        <f>'202'!$VS93</f>
        <v>1</v>
      </c>
      <c r="F44" s="145">
        <f>'203'!$VU93</f>
        <v>0</v>
      </c>
      <c r="G44" s="110">
        <f>'203'!$VS93</f>
        <v>0</v>
      </c>
      <c r="H44" s="295">
        <f>B44+D44+F44</f>
        <v>39</v>
      </c>
      <c r="I44" s="188">
        <f t="shared" si="21"/>
        <v>0.74358974358974361</v>
      </c>
      <c r="J44" s="86"/>
      <c r="K44" s="151">
        <f>'201'!$VU93</f>
        <v>37</v>
      </c>
      <c r="L44" s="118">
        <f>'201'!$VT93</f>
        <v>0.81081081081081086</v>
      </c>
      <c r="M44" s="205">
        <f>'202'!$VU93</f>
        <v>2</v>
      </c>
      <c r="N44" s="238">
        <f>'202'!$VT93</f>
        <v>1</v>
      </c>
      <c r="O44" s="148">
        <f>'203'!$VU93</f>
        <v>0</v>
      </c>
      <c r="P44" s="119">
        <f>'203'!$VT93</f>
        <v>0</v>
      </c>
      <c r="Q44" s="152">
        <f>K44+M44+O44</f>
        <v>39</v>
      </c>
      <c r="R44" s="169">
        <f t="shared" si="22"/>
        <v>0.82051282051282048</v>
      </c>
      <c r="S44" s="163">
        <f>IFERROR((K44*ABS(L44-$A$15)+M44*ABS(N44-$A$15)+O44*ABS(P44-$A$15))-(K44*ABS(C44-$A$15)+M44*ABS(E44-$A$15)+O44*ABS(G44-$A$15)),0)</f>
        <v>-2.2000000000000024</v>
      </c>
      <c r="U44" s="152">
        <f>'205'!$VU93</f>
        <v>17</v>
      </c>
      <c r="V44" s="48">
        <f>'205'!$WF93</f>
        <v>3.5294117647058822</v>
      </c>
      <c r="W44" s="145">
        <f>'304'!$VU93</f>
        <v>10</v>
      </c>
      <c r="X44" s="77">
        <f>'304'!$WF93</f>
        <v>3.5</v>
      </c>
      <c r="Y44" s="151">
        <f t="shared" si="23"/>
        <v>27</v>
      </c>
      <c r="Z44" s="248">
        <f>IFERROR((V44*$U44+X44*$W44)/($U44+$W44),0)</f>
        <v>3.5185185185185186</v>
      </c>
      <c r="AA44" s="86"/>
      <c r="AB44" s="151">
        <f>'205'!$VU93</f>
        <v>17</v>
      </c>
      <c r="AC44" s="48">
        <f>'205'!$WE93</f>
        <v>3.4117647058823528</v>
      </c>
      <c r="AD44" s="148">
        <f>'304'!$VU93</f>
        <v>10</v>
      </c>
      <c r="AE44" s="132">
        <f>'304'!$WE93</f>
        <v>3.2</v>
      </c>
      <c r="AF44" s="148">
        <f t="shared" si="24"/>
        <v>27</v>
      </c>
      <c r="AG44" s="248">
        <f>IFERROR((AC44*$U44+AE44*$W44)/($U44+$W44),0)</f>
        <v>3.3333333333333335</v>
      </c>
      <c r="AH44" s="168">
        <f>IFERROR((AB44*ABS(AC44-$A$18)+AD44*ABS(AE44-$A$18))-(AB44*ABS(V44-$A$18)+AD44*ABS(X44-$A$18)),0)</f>
        <v>-1.000000000000004</v>
      </c>
      <c r="AJ44" s="222">
        <v>0.87</v>
      </c>
      <c r="AK44" s="222">
        <v>0.82</v>
      </c>
      <c r="AL44" s="302">
        <f t="shared" si="19"/>
        <v>0.87</v>
      </c>
      <c r="AM44" s="203" t="s">
        <v>2621</v>
      </c>
      <c r="AN44" s="144">
        <f>'205'!WP8+'304'!WP8</f>
        <v>8</v>
      </c>
      <c r="AO44" s="144">
        <f>'205'!WQ8+'304'!WQ8</f>
        <v>15</v>
      </c>
      <c r="AP44" s="144">
        <f>'205'!WR8+'304'!WR8</f>
        <v>0</v>
      </c>
      <c r="AQ44" s="144">
        <f>'205'!WS8+'304'!WS8</f>
        <v>4</v>
      </c>
      <c r="AR44" s="144">
        <f>'205'!WT8+'304'!WT8</f>
        <v>1</v>
      </c>
      <c r="AS44" s="144">
        <f>'205'!WU8+'304'!WU8</f>
        <v>0</v>
      </c>
      <c r="AT44" s="384"/>
      <c r="AU44" s="144">
        <f>'205'!WW8+'304'!WW8</f>
        <v>16</v>
      </c>
      <c r="AV44" s="205">
        <f>'205'!WX8+'304'!WX8</f>
        <v>16</v>
      </c>
      <c r="AW44" s="218">
        <f>$AG$39</f>
        <v>3</v>
      </c>
      <c r="AX44" s="220">
        <f>$AG$39-Z39</f>
        <v>0.25</v>
      </c>
      <c r="AY44" s="21">
        <f t="shared" si="20"/>
        <v>0.1702127659574468</v>
      </c>
      <c r="AZ44" s="218">
        <f>$Z$39</f>
        <v>2.75</v>
      </c>
      <c r="BA44" s="157"/>
      <c r="BB44" s="157"/>
    </row>
    <row r="45" spans="1:54" x14ac:dyDescent="0.25">
      <c r="A45" s="31" t="s">
        <v>5384</v>
      </c>
      <c r="B45" s="127">
        <f>'201'!$VU94</f>
        <v>0</v>
      </c>
      <c r="C45" s="238">
        <f>'201'!$VS94</f>
        <v>0</v>
      </c>
      <c r="D45" s="205">
        <f>'202'!$VU94</f>
        <v>0</v>
      </c>
      <c r="E45" s="238">
        <f>'202'!$VS94</f>
        <v>0</v>
      </c>
      <c r="F45" s="148">
        <f>'203'!$VU94</f>
        <v>0</v>
      </c>
      <c r="G45" s="118">
        <f>'203'!$VS94</f>
        <v>0</v>
      </c>
      <c r="H45" s="151">
        <f>B45+D45+F45</f>
        <v>0</v>
      </c>
      <c r="I45" s="191">
        <f t="shared" si="21"/>
        <v>0</v>
      </c>
      <c r="J45" s="86"/>
      <c r="K45" s="151">
        <f>'201'!$VU94</f>
        <v>0</v>
      </c>
      <c r="L45" s="112">
        <f>'201'!$VT94</f>
        <v>0</v>
      </c>
      <c r="M45" s="227">
        <f>'202'!$VU94</f>
        <v>0</v>
      </c>
      <c r="N45" s="244">
        <f>'202'!$VT94</f>
        <v>0</v>
      </c>
      <c r="O45" s="155">
        <f>'203'!$VU94</f>
        <v>0</v>
      </c>
      <c r="P45" s="124">
        <f>'203'!$VT94</f>
        <v>0</v>
      </c>
      <c r="Q45" s="151">
        <f>K45+M45+O45</f>
        <v>0</v>
      </c>
      <c r="R45" s="193">
        <f t="shared" si="22"/>
        <v>0</v>
      </c>
      <c r="S45" s="163">
        <f>IFERROR((K45*ABS(L45-$A$15)+M45*ABS(N45-$A$15)+O45*ABS(P45-$A$15))-(K45*ABS(C45-$A$15)+M45*ABS(E45-$A$15)+O45*ABS(G45-$A$15)),0)</f>
        <v>0</v>
      </c>
      <c r="U45" s="151">
        <f>'205'!$VU94</f>
        <v>0</v>
      </c>
      <c r="V45" s="231">
        <f>'205'!$WF94</f>
        <v>0</v>
      </c>
      <c r="W45" s="144">
        <f>'304'!$VU94</f>
        <v>0</v>
      </c>
      <c r="X45" s="113">
        <f>'304'!$WF94</f>
        <v>0</v>
      </c>
      <c r="Y45" s="196">
        <f t="shared" si="23"/>
        <v>0</v>
      </c>
      <c r="Z45" s="248">
        <f>IFERROR((V45*$U45+X45*$W45)/($U45+$W45),0)</f>
        <v>0</v>
      </c>
      <c r="AA45" s="86"/>
      <c r="AB45" s="196">
        <f>'205'!$VU94</f>
        <v>0</v>
      </c>
      <c r="AC45" s="231">
        <f>'205'!$WE94</f>
        <v>0</v>
      </c>
      <c r="AD45" s="155">
        <f>'304'!$VU94</f>
        <v>0</v>
      </c>
      <c r="AE45" s="133">
        <f>'304'!$WE94</f>
        <v>0</v>
      </c>
      <c r="AF45" s="155">
        <f t="shared" si="24"/>
        <v>0</v>
      </c>
      <c r="AG45" s="249">
        <f>IFERROR((AC45*$U45+AE45*$W45)/($U45+$W45),0)</f>
        <v>0</v>
      </c>
      <c r="AH45" s="168">
        <f>IFERROR((AB45*ABS(AC45-$A$18)+AD45*ABS(AE45-$A$18))-(AB45*ABS(V45-$A$18)+AD45*ABS(X45-$A$18)),0)</f>
        <v>0</v>
      </c>
      <c r="AJ45" s="222">
        <v>0.96</v>
      </c>
      <c r="AK45" s="222">
        <v>0.87</v>
      </c>
      <c r="AL45" s="302">
        <f>Y15</f>
        <v>0.96</v>
      </c>
      <c r="AM45" s="203" t="s">
        <v>2628</v>
      </c>
      <c r="AN45" s="144">
        <f>'205'!WP9+'304'!WP9</f>
        <v>29</v>
      </c>
      <c r="AO45" s="144">
        <f>'205'!WQ9+'304'!WQ9</f>
        <v>60</v>
      </c>
      <c r="AP45" s="144">
        <f>'205'!WR9+'304'!WR9</f>
        <v>1</v>
      </c>
      <c r="AQ45" s="144">
        <f>'205'!WS9+'304'!WS9</f>
        <v>17</v>
      </c>
      <c r="AR45" s="144">
        <f>'205'!WT9+'304'!WT9</f>
        <v>28</v>
      </c>
      <c r="AS45" s="144">
        <f>'205'!WU9+'304'!WU9</f>
        <v>25</v>
      </c>
      <c r="AT45" s="144">
        <f>'205'!WV9+'304'!WV9</f>
        <v>16</v>
      </c>
      <c r="AU45" s="384"/>
      <c r="AV45" s="205">
        <f>'205'!WX9+'304'!WX9</f>
        <v>67</v>
      </c>
      <c r="AW45" s="219">
        <f>$AG$43</f>
        <v>3.3582089552238807</v>
      </c>
      <c r="AX45" s="220">
        <f>$AG$43-Z43</f>
        <v>7.4626865671641784E-2</v>
      </c>
      <c r="AY45" s="299">
        <f t="shared" si="20"/>
        <v>0.71276595744680848</v>
      </c>
      <c r="AZ45" s="219">
        <f>$Z$43</f>
        <v>3.283582089552239</v>
      </c>
      <c r="BA45" s="157"/>
      <c r="BB45" s="157"/>
    </row>
    <row r="46" spans="1:54" x14ac:dyDescent="0.25">
      <c r="A46" s="86"/>
      <c r="B46" s="130"/>
      <c r="C46" s="241"/>
      <c r="D46" s="226"/>
      <c r="E46" s="241"/>
      <c r="F46" s="149"/>
      <c r="G46" s="122"/>
      <c r="H46" s="154"/>
      <c r="I46" s="170"/>
      <c r="J46" s="86"/>
      <c r="K46" s="154"/>
      <c r="L46" s="122"/>
      <c r="M46" s="226"/>
      <c r="N46" s="241"/>
      <c r="O46" s="149"/>
      <c r="P46" s="123"/>
      <c r="Q46" s="154"/>
      <c r="R46" s="170"/>
      <c r="S46" s="109"/>
      <c r="U46" s="154"/>
      <c r="V46" s="233"/>
      <c r="W46" s="147"/>
      <c r="X46" s="99"/>
      <c r="Y46" s="154"/>
      <c r="Z46" s="251"/>
      <c r="AA46" s="86"/>
      <c r="AB46" s="154"/>
      <c r="AC46" s="233"/>
      <c r="AD46" s="149"/>
      <c r="AE46" s="135"/>
      <c r="AF46" s="149"/>
      <c r="AG46" s="251"/>
      <c r="AH46" s="97"/>
      <c r="AM46" s="207" t="s">
        <v>4945</v>
      </c>
      <c r="AN46" s="206">
        <f>'205'!WP10+'304'!WP10</f>
        <v>36</v>
      </c>
      <c r="AO46" s="204">
        <f>'205'!WQ10+'304'!WQ10</f>
        <v>84</v>
      </c>
      <c r="AP46" s="204">
        <f>'205'!WR10+'304'!WR10</f>
        <v>1</v>
      </c>
      <c r="AQ46" s="204">
        <f>'205'!WS10+'304'!WS10</f>
        <v>22</v>
      </c>
      <c r="AR46" s="204">
        <f>'205'!WT10+'304'!WT10</f>
        <v>44</v>
      </c>
      <c r="AS46" s="204">
        <f>'205'!WU10+'304'!WU10</f>
        <v>36</v>
      </c>
      <c r="AT46" s="204">
        <f>'205'!WV10+'304'!WV10</f>
        <v>16</v>
      </c>
      <c r="AU46" s="204">
        <f>'205'!WW10+'304'!WW10</f>
        <v>67</v>
      </c>
      <c r="AV46" s="223">
        <f>'205'!VU84+'304'!VU84</f>
        <v>94</v>
      </c>
      <c r="AW46" s="138"/>
      <c r="AX46" s="221"/>
      <c r="AZ46" s="157"/>
      <c r="BA46" s="157"/>
      <c r="BB46" s="157"/>
    </row>
    <row r="47" spans="1:54" x14ac:dyDescent="0.25">
      <c r="A47" s="197" t="s">
        <v>2631</v>
      </c>
      <c r="B47" s="127">
        <f>'201'!$VU96</f>
        <v>10</v>
      </c>
      <c r="C47" s="238">
        <f>'201'!$VS96</f>
        <v>1</v>
      </c>
      <c r="D47" s="205">
        <f>'202'!$VU96</f>
        <v>7</v>
      </c>
      <c r="E47" s="238">
        <f>'202'!$VS96</f>
        <v>1</v>
      </c>
      <c r="F47" s="148">
        <f>'203'!$VU96</f>
        <v>2</v>
      </c>
      <c r="G47" s="118">
        <f>'203'!$VS96</f>
        <v>0.5</v>
      </c>
      <c r="H47" s="254">
        <f>B47+D47+F47</f>
        <v>19</v>
      </c>
      <c r="I47" s="188">
        <f t="shared" ref="I47:I48" si="25">IFERROR((C47*B47+E47*D47+G47*F47)/(B47+D47+F47),0)</f>
        <v>0.94736842105263153</v>
      </c>
      <c r="J47" s="87"/>
      <c r="K47" s="151">
        <f>'201'!$VU96</f>
        <v>10</v>
      </c>
      <c r="L47" s="118">
        <f>'201'!$VT96</f>
        <v>0.9</v>
      </c>
      <c r="M47" s="205">
        <f>'202'!$VU96</f>
        <v>7</v>
      </c>
      <c r="N47" s="238">
        <f>'202'!$VT96</f>
        <v>0.7142857142857143</v>
      </c>
      <c r="O47" s="148">
        <f>'203'!$VU96</f>
        <v>2</v>
      </c>
      <c r="P47" s="119">
        <f>'203'!$VT96</f>
        <v>0</v>
      </c>
      <c r="Q47" s="254">
        <f>K47+M47+O47</f>
        <v>19</v>
      </c>
      <c r="R47" s="169">
        <f t="shared" ref="R47:R48" si="26">IFERROR((L47*K47+N47*M47+P47*O47)/(K47+M47+O47),0)</f>
        <v>0.73684210526315785</v>
      </c>
      <c r="S47" s="163">
        <f>IFERROR((K47*ABS(L47-$A$15)+M47*ABS(N47-$A$15)+O47*ABS(P47-$A$15))-(K47*ABS(C47-$A$15)+M47*ABS(E47-$A$15)+O47*ABS(G47-$A$15)),0)</f>
        <v>-0.79999999999999938</v>
      </c>
      <c r="U47" s="151">
        <f>'205'!$VU96</f>
        <v>16</v>
      </c>
      <c r="V47" s="48">
        <f>'205'!$WF96</f>
        <v>3.5</v>
      </c>
      <c r="W47" s="144">
        <f>'304'!$VU96</f>
        <v>6</v>
      </c>
      <c r="X47" s="77">
        <f>'304'!$WF96</f>
        <v>3.1666666666666665</v>
      </c>
      <c r="Y47" s="151">
        <f t="shared" ref="Y47:Y48" si="27">U47+W47</f>
        <v>22</v>
      </c>
      <c r="Z47" s="248">
        <f>IFERROR((V47*$U47+X47*$W47)/($U47+$W47),0)</f>
        <v>3.4090909090909092</v>
      </c>
      <c r="AA47" s="87"/>
      <c r="AB47" s="151">
        <f>'205'!$VU96</f>
        <v>16</v>
      </c>
      <c r="AC47" s="48">
        <f>'205'!$WE96</f>
        <v>3.375</v>
      </c>
      <c r="AD47" s="148">
        <f>'304'!$VU96</f>
        <v>6</v>
      </c>
      <c r="AE47" s="132">
        <f>'304'!$WE96</f>
        <v>3.1666666666666665</v>
      </c>
      <c r="AF47" s="148">
        <f t="shared" ref="AF47:AF48" si="28">AB47+AD47</f>
        <v>22</v>
      </c>
      <c r="AG47" s="248">
        <f>IFERROR((AC47*$U47+AE47*$W47)/($U47+$W47),0)</f>
        <v>3.3181818181818183</v>
      </c>
      <c r="AH47" s="168">
        <f>IFERROR((AB47*ABS(AC47-$A$18)+AD47*ABS(AE47-$A$18))-(AB47*ABS(V47-$A$18)+AD47*ABS(X47-$A$18)),0)</f>
        <v>-1.2000000000000028</v>
      </c>
      <c r="AP47" s="78"/>
      <c r="AW47" s="157"/>
      <c r="AX47" s="157"/>
      <c r="AY47" s="157"/>
      <c r="AZ47" s="157"/>
      <c r="BA47" s="157"/>
      <c r="BB47" s="157"/>
    </row>
    <row r="48" spans="1:54" x14ac:dyDescent="0.25">
      <c r="A48" s="31" t="s">
        <v>2632</v>
      </c>
      <c r="B48" s="127">
        <f>'201'!$VU97</f>
        <v>61</v>
      </c>
      <c r="C48" s="238">
        <f>'201'!$VS97</f>
        <v>0.77049180327868849</v>
      </c>
      <c r="D48" s="205">
        <f>'202'!$VU97</f>
        <v>22</v>
      </c>
      <c r="E48" s="238">
        <f>'202'!$VS97</f>
        <v>0.77272727272727271</v>
      </c>
      <c r="F48" s="148">
        <f>'203'!$VU97</f>
        <v>45</v>
      </c>
      <c r="G48" s="118">
        <f>'203'!$VS97</f>
        <v>0.82222222222222219</v>
      </c>
      <c r="H48" s="151">
        <f>B48+D48+F48</f>
        <v>128</v>
      </c>
      <c r="I48" s="188">
        <f t="shared" si="25"/>
        <v>0.7890625</v>
      </c>
      <c r="J48" s="87"/>
      <c r="K48" s="151">
        <f>'201'!$VU97</f>
        <v>61</v>
      </c>
      <c r="L48" s="118">
        <f>'201'!$VT97</f>
        <v>0.78688524590163933</v>
      </c>
      <c r="M48" s="205">
        <f>'202'!$VU97</f>
        <v>22</v>
      </c>
      <c r="N48" s="238">
        <f>'202'!$VT97</f>
        <v>0.86363636363636365</v>
      </c>
      <c r="O48" s="148">
        <f>'203'!$VU97</f>
        <v>45</v>
      </c>
      <c r="P48" s="119">
        <f>'203'!$VT97</f>
        <v>0.84444444444444444</v>
      </c>
      <c r="Q48" s="151">
        <f>K48+M48+O48</f>
        <v>128</v>
      </c>
      <c r="R48" s="169">
        <f t="shared" si="26"/>
        <v>0.8203125</v>
      </c>
      <c r="S48" s="163">
        <f>IFERROR((K48*ABS(L48-$A$15)+M48*ABS(N48-$A$15)+O48*ABS(P48-$A$15))-(K48*ABS(C48-$A$15)+M48*ABS(E48-$A$15)+O48*ABS(G48-$A$15)),0)</f>
        <v>0.79999999999999849</v>
      </c>
      <c r="U48" s="151">
        <f>'205'!$VU97</f>
        <v>45</v>
      </c>
      <c r="V48" s="48">
        <f>'205'!$WF97</f>
        <v>3.3111111111111109</v>
      </c>
      <c r="W48" s="144">
        <f>'304'!$VU97</f>
        <v>27</v>
      </c>
      <c r="X48" s="77">
        <f>'304'!$WF97</f>
        <v>3.3703703703703702</v>
      </c>
      <c r="Y48" s="151">
        <f t="shared" si="27"/>
        <v>72</v>
      </c>
      <c r="Z48" s="248">
        <f>IFERROR((V48*$U48+X48*$W48)/($U48+$W48),0)</f>
        <v>3.3333333333333335</v>
      </c>
      <c r="AA48" s="87"/>
      <c r="AB48" s="151">
        <f>'205'!$VU97</f>
        <v>45</v>
      </c>
      <c r="AC48" s="48">
        <f>'205'!$WE97</f>
        <v>3.3555555555555556</v>
      </c>
      <c r="AD48" s="148">
        <f>'304'!$VU97</f>
        <v>27</v>
      </c>
      <c r="AE48" s="132">
        <f>'304'!$WE97</f>
        <v>3.3703703703703702</v>
      </c>
      <c r="AF48" s="148">
        <f t="shared" si="28"/>
        <v>72</v>
      </c>
      <c r="AG48" s="248">
        <f>IFERROR((AC48*$U48+AE48*$W48)/($U48+$W48),0)</f>
        <v>3.3611111111111112</v>
      </c>
      <c r="AH48" s="168">
        <f>IFERROR((AB48*ABS(AC48-$A$18)+AD48*ABS(AE48-$A$18))-(AB48*ABS(V48-$A$18)+AD48*ABS(X48-$A$18)),0)</f>
        <v>-2.000000000000012</v>
      </c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</row>
    <row r="49" spans="1:54" x14ac:dyDescent="0.25">
      <c r="A49" s="98"/>
      <c r="B49" s="130"/>
      <c r="C49" s="241"/>
      <c r="D49" s="226"/>
      <c r="E49" s="241"/>
      <c r="F49" s="149"/>
      <c r="G49" s="122"/>
      <c r="H49" s="154"/>
      <c r="I49" s="170"/>
      <c r="J49" s="87"/>
      <c r="K49" s="154"/>
      <c r="L49" s="122"/>
      <c r="M49" s="226"/>
      <c r="N49" s="241"/>
      <c r="O49" s="149"/>
      <c r="P49" s="123"/>
      <c r="Q49" s="154"/>
      <c r="R49" s="170"/>
      <c r="S49" s="87"/>
      <c r="U49" s="154"/>
      <c r="V49" s="234"/>
      <c r="W49" s="147"/>
      <c r="X49" s="141"/>
      <c r="Y49" s="154"/>
      <c r="Z49" s="252"/>
      <c r="AA49" s="87"/>
      <c r="AB49" s="154"/>
      <c r="AC49" s="234"/>
      <c r="AD49" s="149"/>
      <c r="AE49" s="136"/>
      <c r="AF49" s="149"/>
      <c r="AG49" s="252"/>
      <c r="AH49" s="9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</row>
    <row r="50" spans="1:54" x14ac:dyDescent="0.25">
      <c r="A50" s="197" t="s">
        <v>2617</v>
      </c>
      <c r="B50" s="127">
        <f>'201'!$VU99</f>
        <v>0</v>
      </c>
      <c r="C50" s="238">
        <f>'201'!$VS99</f>
        <v>0</v>
      </c>
      <c r="D50" s="205">
        <f>'202'!$VU99</f>
        <v>8</v>
      </c>
      <c r="E50" s="238">
        <f>'202'!$VS99</f>
        <v>1</v>
      </c>
      <c r="F50" s="148">
        <f>'203'!$VU99</f>
        <v>0</v>
      </c>
      <c r="G50" s="118">
        <f>'203'!$VS99</f>
        <v>0</v>
      </c>
      <c r="H50" s="254">
        <f>B50+D50+F50</f>
        <v>8</v>
      </c>
      <c r="I50" s="188">
        <f t="shared" ref="I50:I51" si="29">IFERROR((C50*B50+E50*D50+G50*F50)/(B50+D50+F50),0)</f>
        <v>1</v>
      </c>
      <c r="J50" s="87"/>
      <c r="K50" s="151">
        <f>'201'!$VU99</f>
        <v>0</v>
      </c>
      <c r="L50" s="118">
        <f>'201'!$VT99</f>
        <v>0</v>
      </c>
      <c r="M50" s="205">
        <f>'202'!$VU99</f>
        <v>8</v>
      </c>
      <c r="N50" s="238">
        <f>'202'!$VT99</f>
        <v>0.875</v>
      </c>
      <c r="O50" s="148">
        <f>'203'!$VU99</f>
        <v>0</v>
      </c>
      <c r="P50" s="119">
        <f>'203'!$VT99</f>
        <v>0</v>
      </c>
      <c r="Q50" s="151">
        <f>K50+M50+O50</f>
        <v>8</v>
      </c>
      <c r="R50" s="169">
        <f t="shared" ref="R50:R51" si="30">IFERROR((L50*K50+N50*M50+P50*O50)/(K50+M50+O50),0)</f>
        <v>0.875</v>
      </c>
      <c r="S50" s="163">
        <f>IFERROR((K50*ABS(L50-$A$15)+M50*ABS(N50-$A$15)+O50*ABS(P50-$A$15))-(K50*ABS(C50-$A$15)+M50*ABS(E50-$A$15)+O50*ABS(G50-$A$15)),0)</f>
        <v>-1</v>
      </c>
      <c r="U50" s="151">
        <f>'205'!$VU99</f>
        <v>1</v>
      </c>
      <c r="V50" s="48">
        <f>'205'!$WF99</f>
        <v>2</v>
      </c>
      <c r="W50" s="144">
        <f>'304'!$VU99</f>
        <v>0</v>
      </c>
      <c r="X50" s="77">
        <f>'304'!$WF99</f>
        <v>0</v>
      </c>
      <c r="Y50" s="151">
        <f t="shared" ref="Y50:Y51" si="31">U50+W50</f>
        <v>1</v>
      </c>
      <c r="Z50" s="248">
        <f>IFERROR((V50*$U50+X50*$W50)/($U50+$W50),0)</f>
        <v>2</v>
      </c>
      <c r="AA50" s="87"/>
      <c r="AB50" s="151">
        <f>'205'!$VU99</f>
        <v>1</v>
      </c>
      <c r="AC50" s="48">
        <f>'205'!$WE99</f>
        <v>2</v>
      </c>
      <c r="AD50" s="148">
        <f>'304'!$VU99</f>
        <v>0</v>
      </c>
      <c r="AE50" s="132">
        <f>'304'!$WE99</f>
        <v>0</v>
      </c>
      <c r="AF50" s="148">
        <f t="shared" ref="AF50:AF51" si="32">AB50+AD50</f>
        <v>1</v>
      </c>
      <c r="AG50" s="248">
        <f>IFERROR((AC50*$U50+AE50*$W50)/($U50+$W50),0)</f>
        <v>2</v>
      </c>
      <c r="AH50" s="168">
        <f>IFERROR((AB50*ABS(AC50-$A$18)+AD50*ABS(AE50-$A$18))-(AB50*ABS(V50-$A$18)+AD50*ABS(X50-$A$18)),0)</f>
        <v>0</v>
      </c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</row>
    <row r="51" spans="1:54" x14ac:dyDescent="0.25">
      <c r="A51" s="31" t="s">
        <v>3291</v>
      </c>
      <c r="B51" s="127">
        <f>'201'!$VU100</f>
        <v>71</v>
      </c>
      <c r="C51" s="238">
        <f>'201'!$VS100</f>
        <v>0.80281690140845074</v>
      </c>
      <c r="D51" s="205">
        <f>'202'!$VU100</f>
        <v>21</v>
      </c>
      <c r="E51" s="238">
        <f>'202'!$VS100</f>
        <v>0.76190476190476186</v>
      </c>
      <c r="F51" s="148">
        <f>'203'!$VU100</f>
        <v>47</v>
      </c>
      <c r="G51" s="118">
        <f>'203'!$VS100</f>
        <v>0.80851063829787229</v>
      </c>
      <c r="H51" s="151">
        <f>B51+D51+F51</f>
        <v>139</v>
      </c>
      <c r="I51" s="188">
        <f t="shared" si="29"/>
        <v>0.79856115107913672</v>
      </c>
      <c r="J51" s="87"/>
      <c r="K51" s="151">
        <f>'201'!$VU100</f>
        <v>71</v>
      </c>
      <c r="L51" s="118">
        <f>'201'!$VT100</f>
        <v>0.80281690140845074</v>
      </c>
      <c r="M51" s="205">
        <f>'202'!$VU100</f>
        <v>21</v>
      </c>
      <c r="N51" s="238">
        <f>'202'!$VT100</f>
        <v>0.80952380952380953</v>
      </c>
      <c r="O51" s="148">
        <f>'203'!$VU100</f>
        <v>47</v>
      </c>
      <c r="P51" s="119">
        <f>'203'!$VT100</f>
        <v>0.80851063829787229</v>
      </c>
      <c r="Q51" s="151">
        <f>K51+M51+O51</f>
        <v>139</v>
      </c>
      <c r="R51" s="169">
        <f t="shared" si="30"/>
        <v>0.80575539568345322</v>
      </c>
      <c r="S51" s="163">
        <f>IFERROR((K51*ABS(L51-$A$15)+M51*ABS(N51-$A$15)+O51*ABS(P51-$A$15))-(K51*ABS(C51-$A$15)+M51*ABS(E51-$A$15)+O51*ABS(G51-$A$15)),0)</f>
        <v>-0.60000000000000242</v>
      </c>
      <c r="U51" s="151">
        <f>'205'!$VU100</f>
        <v>60</v>
      </c>
      <c r="V51" s="48">
        <f>'205'!$WF100</f>
        <v>3.3833333333333333</v>
      </c>
      <c r="W51" s="144">
        <f>'304'!$VU100</f>
        <v>33</v>
      </c>
      <c r="X51" s="77">
        <f>'304'!$WF100</f>
        <v>3.3333333333333335</v>
      </c>
      <c r="Y51" s="151">
        <f t="shared" si="31"/>
        <v>93</v>
      </c>
      <c r="Z51" s="248">
        <f>IFERROR((V51*$U51+X51*$W51)/($U51+$W51),0)</f>
        <v>3.3655913978494625</v>
      </c>
      <c r="AA51" s="87"/>
      <c r="AB51" s="151">
        <f>'205'!$VU100</f>
        <v>60</v>
      </c>
      <c r="AC51" s="48">
        <f>'205'!$WE100</f>
        <v>3.3833333333333333</v>
      </c>
      <c r="AD51" s="148">
        <f>'304'!$VU100</f>
        <v>33</v>
      </c>
      <c r="AE51" s="132">
        <f>'304'!$WE100</f>
        <v>3.3333333333333335</v>
      </c>
      <c r="AF51" s="148">
        <f t="shared" si="32"/>
        <v>93</v>
      </c>
      <c r="AG51" s="248">
        <f>IFERROR((AC51*$U51+AE51*$W51)/($U51+$W51),0)</f>
        <v>3.3655913978494625</v>
      </c>
      <c r="AH51" s="168">
        <f>IFERROR((AB51*ABS(AC51-$A$18)+AD51*ABS(AE51-$A$18))-(AB51*ABS(V51-$A$18)+AD51*ABS(X51-$A$18)),0)</f>
        <v>0</v>
      </c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</row>
    <row r="52" spans="1:54" x14ac:dyDescent="0.25">
      <c r="A52" s="98"/>
      <c r="B52" s="130"/>
      <c r="C52" s="241"/>
      <c r="D52" s="226"/>
      <c r="E52" s="241"/>
      <c r="F52" s="149"/>
      <c r="G52" s="122"/>
      <c r="H52" s="154"/>
      <c r="I52" s="170"/>
      <c r="J52" s="86"/>
      <c r="K52" s="154"/>
      <c r="L52" s="122"/>
      <c r="M52" s="226"/>
      <c r="N52" s="241"/>
      <c r="O52" s="149"/>
      <c r="P52" s="123"/>
      <c r="Q52" s="154"/>
      <c r="R52" s="170"/>
      <c r="S52" s="109"/>
      <c r="U52" s="154"/>
      <c r="V52" s="233"/>
      <c r="W52" s="147"/>
      <c r="X52" s="99"/>
      <c r="Y52" s="154"/>
      <c r="Z52" s="251"/>
      <c r="AA52" s="86"/>
      <c r="AB52" s="154"/>
      <c r="AC52" s="233"/>
      <c r="AD52" s="149"/>
      <c r="AE52" s="135"/>
      <c r="AF52" s="149"/>
      <c r="AG52" s="251"/>
      <c r="AH52" s="9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</row>
    <row r="53" spans="1:54" x14ac:dyDescent="0.25">
      <c r="A53" s="31" t="s">
        <v>4960</v>
      </c>
      <c r="B53" s="127">
        <f>'201'!$VU102</f>
        <v>0</v>
      </c>
      <c r="C53" s="238">
        <f>'201'!$VS102</f>
        <v>0</v>
      </c>
      <c r="D53" s="205">
        <f>'202'!$VU102</f>
        <v>0</v>
      </c>
      <c r="E53" s="238">
        <f>'202'!$VS102</f>
        <v>0</v>
      </c>
      <c r="F53" s="148">
        <f>'203'!$VU102</f>
        <v>0</v>
      </c>
      <c r="G53" s="118">
        <f>'203'!$VS102</f>
        <v>0</v>
      </c>
      <c r="H53" s="151">
        <f>B53+D53+F53</f>
        <v>0</v>
      </c>
      <c r="I53" s="188">
        <f t="shared" ref="I53:I54" si="33">IFERROR((C53*B53+E53*D53+G53*F53)/(B53+D53+F53),0)</f>
        <v>0</v>
      </c>
      <c r="J53" s="88"/>
      <c r="K53" s="151">
        <f>'201'!$VU102</f>
        <v>0</v>
      </c>
      <c r="L53" s="118">
        <f>'201'!$VT102</f>
        <v>0</v>
      </c>
      <c r="M53" s="205">
        <f>'202'!$VU102</f>
        <v>0</v>
      </c>
      <c r="N53" s="238">
        <f>'202'!$VT102</f>
        <v>0</v>
      </c>
      <c r="O53" s="148">
        <f>'203'!$VU102</f>
        <v>0</v>
      </c>
      <c r="P53" s="119">
        <f>'203'!$VT102</f>
        <v>0</v>
      </c>
      <c r="Q53" s="151">
        <f>K53+M53+O53</f>
        <v>0</v>
      </c>
      <c r="R53" s="169">
        <f t="shared" ref="R53:R54" si="34">IFERROR((L53*K53+N53*M53+P53*O53)/(K53+M53+O53),0)</f>
        <v>0</v>
      </c>
      <c r="S53" s="163">
        <f>IFERROR((K53*ABS(L53-$A$15)+M53*ABS(N53-$A$15)+O53*ABS(P53-$A$15))-(K53*ABS(C53-$A$15)+M53*ABS(E53-$A$15)+O53*ABS(G53-$A$15)),0)</f>
        <v>0</v>
      </c>
      <c r="U53" s="151">
        <f>'205'!$VU102</f>
        <v>55</v>
      </c>
      <c r="V53" s="48">
        <f>'205'!$WF102</f>
        <v>3.4727272727272727</v>
      </c>
      <c r="W53" s="144">
        <f>'304'!$VU102</f>
        <v>29</v>
      </c>
      <c r="X53" s="77">
        <f>'304'!$WF102</f>
        <v>3.3793103448275863</v>
      </c>
      <c r="Y53" s="151">
        <f t="shared" ref="Y53:Y54" si="35">U53+W53</f>
        <v>84</v>
      </c>
      <c r="Z53" s="248">
        <f>IFERROR((V53*$U53+X53*$W53)/($U53+$W53),0)</f>
        <v>3.4404761904761907</v>
      </c>
      <c r="AA53" s="88"/>
      <c r="AB53" s="151">
        <f>'205'!$VU102</f>
        <v>55</v>
      </c>
      <c r="AC53" s="48">
        <f>'205'!$WE102</f>
        <v>3.4727272727272727</v>
      </c>
      <c r="AD53" s="148">
        <f>'304'!$VU102</f>
        <v>29</v>
      </c>
      <c r="AE53" s="132">
        <f>'304'!$WE102</f>
        <v>3.3448275862068964</v>
      </c>
      <c r="AF53" s="148">
        <f t="shared" ref="AF53:AF54" si="36">AB53+AD53</f>
        <v>84</v>
      </c>
      <c r="AG53" s="248">
        <f>IFERROR((AC53*$U53+AE53*$W53)/($U53+$W53),0)</f>
        <v>3.4285714285714284</v>
      </c>
      <c r="AH53" s="168">
        <f>IFERROR((AB53*ABS(AC53-$A$18)+AD53*ABS(AE53-$A$18))-(AB53*ABS(V53-$A$18)+AD53*ABS(X53-$A$18)),0)</f>
        <v>1.0000000000000089</v>
      </c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</row>
    <row r="54" spans="1:54" x14ac:dyDescent="0.25">
      <c r="A54" s="31" t="s">
        <v>4961</v>
      </c>
      <c r="B54" s="127">
        <f>'201'!$VU103</f>
        <v>71</v>
      </c>
      <c r="C54" s="238">
        <f>'201'!$VS103</f>
        <v>0.80281690140845074</v>
      </c>
      <c r="D54" s="205">
        <f>'202'!$VU103</f>
        <v>29</v>
      </c>
      <c r="E54" s="238">
        <f>'202'!$VS103</f>
        <v>0.82758620689655171</v>
      </c>
      <c r="F54" s="148">
        <f>'203'!$VU103</f>
        <v>47</v>
      </c>
      <c r="G54" s="118">
        <f>'203'!$VS103</f>
        <v>0.80851063829787229</v>
      </c>
      <c r="H54" s="151">
        <f>B54+D54+F54</f>
        <v>147</v>
      </c>
      <c r="I54" s="188">
        <f t="shared" si="33"/>
        <v>0.80952380952380953</v>
      </c>
      <c r="J54" s="88"/>
      <c r="K54" s="151">
        <f>'201'!$VU103</f>
        <v>71</v>
      </c>
      <c r="L54" s="118">
        <f>'201'!$VT103</f>
        <v>0.80281690140845074</v>
      </c>
      <c r="M54" s="205">
        <f>'202'!$VU103</f>
        <v>29</v>
      </c>
      <c r="N54" s="238">
        <f>'202'!$VT103</f>
        <v>0.82758620689655171</v>
      </c>
      <c r="O54" s="148">
        <f>'203'!$VU103</f>
        <v>47</v>
      </c>
      <c r="P54" s="119">
        <f>'203'!$VT103</f>
        <v>0.80851063829787229</v>
      </c>
      <c r="Q54" s="151">
        <f>K54+M54+O54</f>
        <v>147</v>
      </c>
      <c r="R54" s="169">
        <f t="shared" si="34"/>
        <v>0.80952380952380953</v>
      </c>
      <c r="S54" s="163">
        <f>IFERROR((K54*ABS(L54-$A$15)+M54*ABS(N54-$A$15)+O54*ABS(P54-$A$15))-(K54*ABS(C54-$A$15)+M54*ABS(E54-$A$15)+O54*ABS(G54-$A$15)),0)</f>
        <v>0</v>
      </c>
      <c r="U54" s="151">
        <f>'205'!$VU103</f>
        <v>6</v>
      </c>
      <c r="V54" s="48">
        <f>'205'!$WF103</f>
        <v>2.3333333333333335</v>
      </c>
      <c r="W54" s="144">
        <f>'304'!$VU103</f>
        <v>4</v>
      </c>
      <c r="X54" s="77">
        <f>'304'!$WF103</f>
        <v>3</v>
      </c>
      <c r="Y54" s="151">
        <f t="shared" si="35"/>
        <v>10</v>
      </c>
      <c r="Z54" s="248">
        <f>IFERROR((V54*$U54+X54*$W54)/($U54+$W54),0)</f>
        <v>2.6</v>
      </c>
      <c r="AA54" s="88"/>
      <c r="AB54" s="151">
        <f>'205'!$VU103</f>
        <v>6</v>
      </c>
      <c r="AC54" s="48">
        <f>'205'!$WE103</f>
        <v>2.3333333333333335</v>
      </c>
      <c r="AD54" s="148">
        <f>'304'!$VU103</f>
        <v>4</v>
      </c>
      <c r="AE54" s="132">
        <f>'304'!$WE103</f>
        <v>3.25</v>
      </c>
      <c r="AF54" s="148">
        <f t="shared" si="36"/>
        <v>10</v>
      </c>
      <c r="AG54" s="248">
        <f>IFERROR((AC54*$U54+AE54*$W54)/($U54+$W54),0)</f>
        <v>2.7</v>
      </c>
      <c r="AH54" s="168">
        <f>IFERROR((AB54*ABS(AC54-$A$18)+AD54*ABS(AE54-$A$18))-(AB54*ABS(V54-$A$18)+AD54*ABS(X54-$A$18)),0)</f>
        <v>-1</v>
      </c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</row>
    <row r="55" spans="1:54" x14ac:dyDescent="0.25">
      <c r="A55" s="98"/>
      <c r="B55" s="130"/>
      <c r="C55" s="241"/>
      <c r="D55" s="226"/>
      <c r="E55" s="241"/>
      <c r="F55" s="149"/>
      <c r="G55" s="122"/>
      <c r="H55" s="154"/>
      <c r="I55" s="170"/>
      <c r="J55" s="86"/>
      <c r="K55" s="154"/>
      <c r="L55" s="122"/>
      <c r="M55" s="226"/>
      <c r="N55" s="241"/>
      <c r="O55" s="149"/>
      <c r="P55" s="123"/>
      <c r="Q55" s="154"/>
      <c r="R55" s="170"/>
      <c r="S55" s="345" t="s">
        <v>5470</v>
      </c>
      <c r="U55" s="154"/>
      <c r="V55" s="233"/>
      <c r="W55" s="147"/>
      <c r="X55" s="99"/>
      <c r="Y55" s="154"/>
      <c r="Z55" s="251"/>
      <c r="AA55" s="86"/>
      <c r="AB55" s="154"/>
      <c r="AC55" s="233"/>
      <c r="AD55" s="149"/>
      <c r="AE55" s="135"/>
      <c r="AF55" s="149"/>
      <c r="AG55" s="251"/>
      <c r="AH55" s="9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</row>
    <row r="56" spans="1:54" x14ac:dyDescent="0.25">
      <c r="A56" s="31" t="s">
        <v>18</v>
      </c>
      <c r="B56" s="127">
        <f>'201'!$VU105</f>
        <v>53</v>
      </c>
      <c r="C56" s="238">
        <f>'201'!$VS105</f>
        <v>0.81132075471698117</v>
      </c>
      <c r="D56" s="205">
        <f>'202'!$VU105</f>
        <v>17</v>
      </c>
      <c r="E56" s="238">
        <f>'202'!$VS105</f>
        <v>0.76470588235294112</v>
      </c>
      <c r="F56" s="148">
        <f>'203'!$VU105</f>
        <v>13</v>
      </c>
      <c r="G56" s="118">
        <f>'203'!$VS105</f>
        <v>0.69230769230769229</v>
      </c>
      <c r="H56" s="151">
        <f>B56+D56+F56</f>
        <v>83</v>
      </c>
      <c r="I56" s="188">
        <f t="shared" ref="I56:I57" si="37">IFERROR((C56*B56+E56*D56+G56*F56)/(B56+D56+F56),0)</f>
        <v>0.7831325301204819</v>
      </c>
      <c r="J56" s="87"/>
      <c r="K56" s="151">
        <f>'201'!$VU105</f>
        <v>53</v>
      </c>
      <c r="L56" s="118">
        <f>'201'!$VT105</f>
        <v>0.77358490566037741</v>
      </c>
      <c r="M56" s="205">
        <f>'202'!$VU105</f>
        <v>17</v>
      </c>
      <c r="N56" s="238">
        <f>'202'!$VT105</f>
        <v>0.82352941176470584</v>
      </c>
      <c r="O56" s="148">
        <f>'203'!$VU105</f>
        <v>13</v>
      </c>
      <c r="P56" s="119">
        <f>'203'!$VT105</f>
        <v>0.69230769230769229</v>
      </c>
      <c r="Q56" s="151">
        <f>K56+M56+O56</f>
        <v>83</v>
      </c>
      <c r="R56" s="169">
        <f t="shared" ref="R56:R57" si="38">IFERROR((L56*K56+N56*M56+P56*O56)/(K56+M56+O56),0)</f>
        <v>0.77108433734939763</v>
      </c>
      <c r="S56" s="163">
        <f>IFERROR((K56*ABS(L56-$A$15)+M56*ABS(N56-$A$15)+O56*ABS(P56-$A$15))-(K56*ABS(C56-$A$15)+M56*ABS(E56-$A$15)+O56*ABS(G56-$A$15)),0)</f>
        <v>0.59999999999999698</v>
      </c>
      <c r="U56" s="151">
        <f>'205'!$VU105</f>
        <v>35</v>
      </c>
      <c r="V56" s="48">
        <f>'205'!$WF105</f>
        <v>2.9714285714285715</v>
      </c>
      <c r="W56" s="144">
        <f>'304'!$VU105</f>
        <v>23</v>
      </c>
      <c r="X56" s="77">
        <f>'304'!$WF105</f>
        <v>3.6086956521739131</v>
      </c>
      <c r="Y56" s="151">
        <f t="shared" ref="Y56:Y57" si="39">U56+W56</f>
        <v>58</v>
      </c>
      <c r="Z56" s="248">
        <f>IFERROR((V56*$U56+X56*$W56)/($U56+$W56),0)</f>
        <v>3.2241379310344827</v>
      </c>
      <c r="AA56" s="87"/>
      <c r="AB56" s="151">
        <f>'205'!$VU105</f>
        <v>35</v>
      </c>
      <c r="AC56" s="48">
        <f>'205'!$WE105</f>
        <v>2.8857142857142857</v>
      </c>
      <c r="AD56" s="148">
        <f>'304'!$VU105</f>
        <v>23</v>
      </c>
      <c r="AE56" s="132">
        <f>'304'!$WE105</f>
        <v>3.5652173913043477</v>
      </c>
      <c r="AF56" s="148">
        <f t="shared" ref="AF56:AF57" si="40">AB56+AD56</f>
        <v>58</v>
      </c>
      <c r="AG56" s="248">
        <f>IFERROR((AC56*$U56+AE56*$W56)/($U56+$W56),0)</f>
        <v>3.1551724137931036</v>
      </c>
      <c r="AH56" s="168">
        <f>IFERROR((AB56*ABS(AC56-$A$18)+AD56*ABS(AE56-$A$18))-(AB56*ABS(V56-$A$18)+AD56*ABS(X56-$A$18)),0)</f>
        <v>2</v>
      </c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</row>
    <row r="57" spans="1:54" x14ac:dyDescent="0.25">
      <c r="A57" s="197" t="s">
        <v>126</v>
      </c>
      <c r="B57" s="127">
        <f>'201'!$VU106</f>
        <v>18</v>
      </c>
      <c r="C57" s="238">
        <f>'201'!$VS106</f>
        <v>0.77777777777777779</v>
      </c>
      <c r="D57" s="205">
        <f>'202'!$VU106</f>
        <v>12</v>
      </c>
      <c r="E57" s="238">
        <f>'202'!$VS106</f>
        <v>0.91666666666666663</v>
      </c>
      <c r="F57" s="148">
        <f>'203'!$VU106</f>
        <v>34</v>
      </c>
      <c r="G57" s="118">
        <f>'203'!$VS106</f>
        <v>0.8529411764705882</v>
      </c>
      <c r="H57" s="151">
        <f>B57+D57+F57</f>
        <v>64</v>
      </c>
      <c r="I57" s="188">
        <f t="shared" si="37"/>
        <v>0.84375</v>
      </c>
      <c r="J57" s="87"/>
      <c r="K57" s="151">
        <f>'201'!$VU106</f>
        <v>18</v>
      </c>
      <c r="L57" s="118">
        <f>'201'!$VT106</f>
        <v>0.88888888888888884</v>
      </c>
      <c r="M57" s="205">
        <f>'202'!$VU106</f>
        <v>12</v>
      </c>
      <c r="N57" s="238">
        <f>'202'!$VT106</f>
        <v>0.83333333333333337</v>
      </c>
      <c r="O57" s="148">
        <f>'203'!$VU106</f>
        <v>34</v>
      </c>
      <c r="P57" s="119">
        <f>'203'!$VT106</f>
        <v>0.8529411764705882</v>
      </c>
      <c r="Q57" s="254">
        <f>K57+M57+O57</f>
        <v>64</v>
      </c>
      <c r="R57" s="169">
        <f t="shared" si="38"/>
        <v>0.859375</v>
      </c>
      <c r="S57" s="163">
        <f>IFERROR((K57*ABS(L57-$A$15)+M57*ABS(N57-$A$15)+O57*ABS(P57-$A$15))-(K57*ABS(C57-$A$15)+M57*ABS(E57-$A$15)+O57*ABS(G57-$A$15)),0)</f>
        <v>0.1999999999999984</v>
      </c>
      <c r="U57" s="151">
        <f>'205'!$VU106</f>
        <v>26</v>
      </c>
      <c r="V57" s="48">
        <f>'205'!$WF106</f>
        <v>3.8846153846153846</v>
      </c>
      <c r="W57" s="144">
        <f>'304'!$VU106</f>
        <v>10</v>
      </c>
      <c r="X57" s="77">
        <f>'304'!$WF106</f>
        <v>2.7</v>
      </c>
      <c r="Y57" s="151">
        <f t="shared" si="39"/>
        <v>36</v>
      </c>
      <c r="Z57" s="248">
        <f>IFERROR((V57*$U57+X57*$W57)/($U57+$W57),0)</f>
        <v>3.5555555555555554</v>
      </c>
      <c r="AA57" s="87"/>
      <c r="AB57" s="151">
        <f>'205'!$VU106</f>
        <v>26</v>
      </c>
      <c r="AC57" s="48">
        <f>'205'!$WE106</f>
        <v>4</v>
      </c>
      <c r="AD57" s="148">
        <f>'304'!$VU106</f>
        <v>10</v>
      </c>
      <c r="AE57" s="132">
        <f>'304'!$WE106</f>
        <v>2.8</v>
      </c>
      <c r="AF57" s="148">
        <f t="shared" si="40"/>
        <v>36</v>
      </c>
      <c r="AG57" s="248">
        <f>IFERROR((AC57*$U57+AE57*$W57)/($U57+$W57),0)</f>
        <v>3.6666666666666665</v>
      </c>
      <c r="AH57" s="168">
        <f>IFERROR((AB57*ABS(AC57-$A$18)+AD57*ABS(AE57-$A$18))-(AB57*ABS(V57-$A$18)+AD57*ABS(X57-$A$18)),0)</f>
        <v>2.0000000000000036</v>
      </c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</row>
    <row r="58" spans="1:54" x14ac:dyDescent="0.25">
      <c r="A58" s="98"/>
      <c r="B58" s="130"/>
      <c r="C58" s="241"/>
      <c r="D58" s="226"/>
      <c r="E58" s="241"/>
      <c r="F58" s="149"/>
      <c r="G58" s="122"/>
      <c r="H58" s="154"/>
      <c r="I58" s="170"/>
      <c r="J58" s="86"/>
      <c r="K58" s="154"/>
      <c r="L58" s="122"/>
      <c r="M58" s="226"/>
      <c r="N58" s="241"/>
      <c r="O58" s="149"/>
      <c r="P58" s="123"/>
      <c r="Q58" s="154"/>
      <c r="R58" s="170"/>
      <c r="S58" s="345" t="s">
        <v>5469</v>
      </c>
      <c r="U58" s="154"/>
      <c r="V58" s="233"/>
      <c r="W58" s="147"/>
      <c r="X58" s="99"/>
      <c r="Y58" s="154"/>
      <c r="Z58" s="251"/>
      <c r="AA58" s="86"/>
      <c r="AB58" s="154"/>
      <c r="AC58" s="233"/>
      <c r="AD58" s="149"/>
      <c r="AE58" s="135"/>
      <c r="AF58" s="149"/>
      <c r="AG58" s="251"/>
      <c r="AH58" s="345" t="s">
        <v>5469</v>
      </c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</row>
    <row r="59" spans="1:54" x14ac:dyDescent="0.25">
      <c r="A59" s="197" t="s">
        <v>5411</v>
      </c>
      <c r="B59" s="127">
        <f>'201'!$VU108</f>
        <v>10</v>
      </c>
      <c r="C59" s="238">
        <f>'201'!$VS108</f>
        <v>0.7</v>
      </c>
      <c r="D59" s="205">
        <f>'202'!$VU108</f>
        <v>2</v>
      </c>
      <c r="E59" s="238">
        <f>'202'!$VS108</f>
        <v>1</v>
      </c>
      <c r="F59" s="148">
        <f>'203'!$VU108</f>
        <v>1</v>
      </c>
      <c r="G59" s="118">
        <f>'203'!$VS108</f>
        <v>0</v>
      </c>
      <c r="H59" s="151">
        <f t="shared" ref="H59:H65" si="41">B59+D59+F59</f>
        <v>13</v>
      </c>
      <c r="I59" s="188">
        <f t="shared" ref="I59:I65" si="42">IFERROR((C59*B59+E59*D59+G59*F59)/(B59+D59+F59),0)</f>
        <v>0.69230769230769229</v>
      </c>
      <c r="J59" s="86"/>
      <c r="K59" s="151">
        <f>'201'!$VU108</f>
        <v>10</v>
      </c>
      <c r="L59" s="118">
        <f>'201'!$VT108</f>
        <v>0.9</v>
      </c>
      <c r="M59" s="205">
        <f>'202'!$VU108</f>
        <v>2</v>
      </c>
      <c r="N59" s="238">
        <f>'202'!$VT108</f>
        <v>1</v>
      </c>
      <c r="O59" s="148">
        <f>'203'!$VU108</f>
        <v>1</v>
      </c>
      <c r="P59" s="119">
        <f>'203'!$VT108</f>
        <v>1</v>
      </c>
      <c r="Q59" s="151">
        <f t="shared" ref="Q59:Q65" si="43">K59+M59+O59</f>
        <v>13</v>
      </c>
      <c r="R59" s="169">
        <f t="shared" ref="R59:R65" si="44">IFERROR((L59*K59+N59*M59+P59*O59)/(K59+M59+O59),0)</f>
        <v>0.92307692307692313</v>
      </c>
      <c r="S59" s="163">
        <f t="shared" ref="S59:S65" si="45">IFERROR((K59*ABS(L59-$A$15)+M59*ABS(N59-$A$15)+O59*ABS(P59-$A$15))-(K59*ABS(C59-$A$15)+M59*ABS(E59-$A$15)+O59*ABS(G59-$A$15)),0)</f>
        <v>-0.60000000000000142</v>
      </c>
      <c r="U59" s="151">
        <f>'205'!$VU108</f>
        <v>7</v>
      </c>
      <c r="V59" s="48">
        <f>'205'!$WF108</f>
        <v>4.5714285714285712</v>
      </c>
      <c r="W59" s="144">
        <f>'304'!$VU108</f>
        <v>2</v>
      </c>
      <c r="X59" s="77">
        <f>'304'!$WF108</f>
        <v>3.5</v>
      </c>
      <c r="Y59" s="151">
        <f t="shared" ref="Y59:Y65" si="46">U59+W59</f>
        <v>9</v>
      </c>
      <c r="Z59" s="248">
        <f t="shared" ref="Z59:Z65" si="47">IFERROR((V59*$U59+X59*$W59)/($U59+$W59),0)</f>
        <v>4.333333333333333</v>
      </c>
      <c r="AA59" s="86"/>
      <c r="AB59" s="151">
        <f>'205'!$VU108</f>
        <v>7</v>
      </c>
      <c r="AC59" s="48">
        <f>'205'!$WE108</f>
        <v>4.5714285714285712</v>
      </c>
      <c r="AD59" s="148">
        <f>'304'!$VU108</f>
        <v>2</v>
      </c>
      <c r="AE59" s="132">
        <f>'304'!$WE108</f>
        <v>3.5</v>
      </c>
      <c r="AF59" s="148">
        <f t="shared" ref="AF59:AF65" si="48">AB59+AD59</f>
        <v>9</v>
      </c>
      <c r="AG59" s="248">
        <f t="shared" ref="AG59:AG65" si="49">IFERROR((AC59*$U59+AE59*$W59)/($U59+$W59),0)</f>
        <v>4.333333333333333</v>
      </c>
      <c r="AH59" s="168">
        <f t="shared" ref="AH59:AH65" si="50">IFERROR((AB59*ABS(AC59-$A$18)+AD59*ABS(AE59-$A$18))-(AB59*ABS(V59-$A$18)+AD59*ABS(X59-$A$18)),0)</f>
        <v>0</v>
      </c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</row>
    <row r="60" spans="1:54" x14ac:dyDescent="0.25">
      <c r="A60" s="197" t="s">
        <v>5409</v>
      </c>
      <c r="B60" s="127">
        <f>'201'!$VU109</f>
        <v>40</v>
      </c>
      <c r="C60" s="238">
        <f>'201'!$VS109</f>
        <v>0.77500000000000002</v>
      </c>
      <c r="D60" s="205">
        <f>'202'!$VU109</f>
        <v>7</v>
      </c>
      <c r="E60" s="238">
        <f>'202'!$VS109</f>
        <v>0.7142857142857143</v>
      </c>
      <c r="F60" s="148">
        <f>'203'!$VU109</f>
        <v>0</v>
      </c>
      <c r="G60" s="118">
        <f>'203'!$VS109</f>
        <v>0</v>
      </c>
      <c r="H60" s="151">
        <f t="shared" si="41"/>
        <v>47</v>
      </c>
      <c r="I60" s="188">
        <f t="shared" si="42"/>
        <v>0.76595744680851063</v>
      </c>
      <c r="J60" s="86"/>
      <c r="K60" s="151">
        <f>'201'!$VU109</f>
        <v>40</v>
      </c>
      <c r="L60" s="118">
        <f>'201'!$VT109</f>
        <v>0.75</v>
      </c>
      <c r="M60" s="205">
        <f>'202'!$VU109</f>
        <v>7</v>
      </c>
      <c r="N60" s="238">
        <f>'202'!$VT109</f>
        <v>0.7142857142857143</v>
      </c>
      <c r="O60" s="148">
        <f>'203'!$VU109</f>
        <v>0</v>
      </c>
      <c r="P60" s="119">
        <f>'203'!$VT109</f>
        <v>0</v>
      </c>
      <c r="Q60" s="151">
        <f t="shared" si="43"/>
        <v>47</v>
      </c>
      <c r="R60" s="169">
        <f t="shared" si="44"/>
        <v>0.74468085106382975</v>
      </c>
      <c r="S60" s="163">
        <f t="shared" si="45"/>
        <v>1.0000000000000009</v>
      </c>
      <c r="U60" s="151">
        <f>'205'!$VU109</f>
        <v>17</v>
      </c>
      <c r="V60" s="48">
        <f>'205'!$WF109</f>
        <v>3.7058823529411766</v>
      </c>
      <c r="W60" s="144">
        <f>'304'!$VU109</f>
        <v>16</v>
      </c>
      <c r="X60" s="77">
        <f>'304'!$WF109</f>
        <v>3.875</v>
      </c>
      <c r="Y60" s="151">
        <f t="shared" si="46"/>
        <v>33</v>
      </c>
      <c r="Z60" s="248">
        <f t="shared" si="47"/>
        <v>3.7878787878787881</v>
      </c>
      <c r="AA60" s="86"/>
      <c r="AB60" s="151">
        <f>'205'!$VU109</f>
        <v>17</v>
      </c>
      <c r="AC60" s="48">
        <f>'205'!$WE109</f>
        <v>3.5294117647058822</v>
      </c>
      <c r="AD60" s="148">
        <f>'304'!$VU109</f>
        <v>16</v>
      </c>
      <c r="AE60" s="132">
        <f>'304'!$WE109</f>
        <v>3.625</v>
      </c>
      <c r="AF60" s="148">
        <f t="shared" si="48"/>
        <v>33</v>
      </c>
      <c r="AG60" s="248">
        <f t="shared" si="49"/>
        <v>3.5757575757575757</v>
      </c>
      <c r="AH60" s="168">
        <f t="shared" si="50"/>
        <v>-7.0000000000000053</v>
      </c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</row>
    <row r="61" spans="1:54" x14ac:dyDescent="0.25">
      <c r="A61" s="197" t="s">
        <v>5408</v>
      </c>
      <c r="B61" s="127">
        <f>'201'!$VU110</f>
        <v>8</v>
      </c>
      <c r="C61" s="238">
        <f>'201'!$VS110</f>
        <v>0.875</v>
      </c>
      <c r="D61" s="205">
        <f>'202'!$VU110</f>
        <v>7</v>
      </c>
      <c r="E61" s="238">
        <f>'202'!$VS110</f>
        <v>0.8571428571428571</v>
      </c>
      <c r="F61" s="148">
        <f>'203'!$VU110</f>
        <v>3</v>
      </c>
      <c r="G61" s="118">
        <f>'203'!$VS110</f>
        <v>1</v>
      </c>
      <c r="H61" s="151">
        <f t="shared" si="41"/>
        <v>18</v>
      </c>
      <c r="I61" s="188">
        <f t="shared" si="42"/>
        <v>0.88888888888888884</v>
      </c>
      <c r="J61" s="86"/>
      <c r="K61" s="151">
        <f>'201'!$VU110</f>
        <v>8</v>
      </c>
      <c r="L61" s="118">
        <f>'201'!$VT110</f>
        <v>0.875</v>
      </c>
      <c r="M61" s="205">
        <f>'202'!$VU110</f>
        <v>7</v>
      </c>
      <c r="N61" s="238">
        <f>'202'!$VT110</f>
        <v>0.8571428571428571</v>
      </c>
      <c r="O61" s="148">
        <f>'203'!$VU110</f>
        <v>3</v>
      </c>
      <c r="P61" s="119">
        <f>'203'!$VT110</f>
        <v>1</v>
      </c>
      <c r="Q61" s="151">
        <f t="shared" si="43"/>
        <v>18</v>
      </c>
      <c r="R61" s="169">
        <f t="shared" si="44"/>
        <v>0.88888888888888884</v>
      </c>
      <c r="S61" s="163">
        <f t="shared" si="45"/>
        <v>0</v>
      </c>
      <c r="U61" s="151">
        <f>'205'!$VU110</f>
        <v>11</v>
      </c>
      <c r="V61" s="48">
        <f>'205'!$WF110</f>
        <v>3.5454545454545454</v>
      </c>
      <c r="W61" s="144">
        <f>'304'!$VU110</f>
        <v>8</v>
      </c>
      <c r="X61" s="77">
        <f>'304'!$WF110</f>
        <v>2.5</v>
      </c>
      <c r="Y61" s="151">
        <f t="shared" si="46"/>
        <v>19</v>
      </c>
      <c r="Z61" s="248">
        <f t="shared" si="47"/>
        <v>3.1052631578947367</v>
      </c>
      <c r="AA61" s="86"/>
      <c r="AB61" s="151">
        <f>'205'!$VU110</f>
        <v>11</v>
      </c>
      <c r="AC61" s="48">
        <f>'205'!$WE110</f>
        <v>3.5454545454545454</v>
      </c>
      <c r="AD61" s="148">
        <f>'304'!$VU110</f>
        <v>8</v>
      </c>
      <c r="AE61" s="132">
        <f>'304'!$WE110</f>
        <v>2.625</v>
      </c>
      <c r="AF61" s="148">
        <f t="shared" si="48"/>
        <v>19</v>
      </c>
      <c r="AG61" s="248">
        <f t="shared" si="49"/>
        <v>3.1578947368421053</v>
      </c>
      <c r="AH61" s="168">
        <f t="shared" si="50"/>
        <v>-1.0000000000000009</v>
      </c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</row>
    <row r="62" spans="1:54" x14ac:dyDescent="0.25">
      <c r="A62" s="197" t="s">
        <v>5410</v>
      </c>
      <c r="B62" s="127">
        <f>'201'!$VU111</f>
        <v>12</v>
      </c>
      <c r="C62" s="238">
        <f>'201'!$VS111</f>
        <v>0.91666666666666663</v>
      </c>
      <c r="D62" s="205">
        <f>'202'!$VU111</f>
        <v>7</v>
      </c>
      <c r="E62" s="238">
        <f>'202'!$VS111</f>
        <v>0.7142857142857143</v>
      </c>
      <c r="F62" s="148">
        <f>'203'!$VU111</f>
        <v>7</v>
      </c>
      <c r="G62" s="118">
        <f>'203'!$VS111</f>
        <v>0.7142857142857143</v>
      </c>
      <c r="H62" s="151">
        <f t="shared" si="41"/>
        <v>26</v>
      </c>
      <c r="I62" s="188">
        <f t="shared" si="42"/>
        <v>0.80769230769230771</v>
      </c>
      <c r="J62" s="86"/>
      <c r="K62" s="151">
        <f>'201'!$VU111</f>
        <v>12</v>
      </c>
      <c r="L62" s="118">
        <f>'201'!$VT111</f>
        <v>0.83333333333333337</v>
      </c>
      <c r="M62" s="205">
        <f>'202'!$VU111</f>
        <v>7</v>
      </c>
      <c r="N62" s="238">
        <f>'202'!$VT111</f>
        <v>0.8571428571428571</v>
      </c>
      <c r="O62" s="148">
        <f>'203'!$VU111</f>
        <v>7</v>
      </c>
      <c r="P62" s="119">
        <f>'203'!$VT111</f>
        <v>0.7142857142857143</v>
      </c>
      <c r="Q62" s="151">
        <f t="shared" si="43"/>
        <v>26</v>
      </c>
      <c r="R62" s="169">
        <f t="shared" si="44"/>
        <v>0.80769230769230771</v>
      </c>
      <c r="S62" s="163">
        <f t="shared" si="45"/>
        <v>-1.1999999999999997</v>
      </c>
      <c r="U62" s="151">
        <f>'205'!$VU111</f>
        <v>11</v>
      </c>
      <c r="V62" s="48">
        <f>'205'!$WF111</f>
        <v>2.6363636363636362</v>
      </c>
      <c r="W62" s="144">
        <f>'304'!$VU111</f>
        <v>6</v>
      </c>
      <c r="X62" s="77">
        <f>'304'!$WF111</f>
        <v>3.1666666666666665</v>
      </c>
      <c r="Y62" s="151">
        <f t="shared" si="46"/>
        <v>17</v>
      </c>
      <c r="Z62" s="248">
        <f t="shared" si="47"/>
        <v>2.8235294117647061</v>
      </c>
      <c r="AA62" s="86"/>
      <c r="AB62" s="151">
        <f>'205'!$VU111</f>
        <v>11</v>
      </c>
      <c r="AC62" s="48">
        <f>'205'!$WE111</f>
        <v>2.6363636363636362</v>
      </c>
      <c r="AD62" s="148">
        <f>'304'!$VU111</f>
        <v>6</v>
      </c>
      <c r="AE62" s="132">
        <f>'304'!$WE111</f>
        <v>3.5</v>
      </c>
      <c r="AF62" s="148">
        <f t="shared" si="48"/>
        <v>17</v>
      </c>
      <c r="AG62" s="248">
        <f t="shared" si="49"/>
        <v>2.9411764705882355</v>
      </c>
      <c r="AH62" s="168">
        <f t="shared" si="50"/>
        <v>-0.80000000000000071</v>
      </c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</row>
    <row r="63" spans="1:54" x14ac:dyDescent="0.25">
      <c r="A63" s="197" t="s">
        <v>5413</v>
      </c>
      <c r="B63" s="127">
        <f>'201'!$VU112</f>
        <v>0</v>
      </c>
      <c r="C63" s="238">
        <f>'201'!$VS112</f>
        <v>0</v>
      </c>
      <c r="D63" s="205">
        <f>'202'!$VU112</f>
        <v>3</v>
      </c>
      <c r="E63" s="238">
        <f>'202'!$VS112</f>
        <v>1</v>
      </c>
      <c r="F63" s="148">
        <f>'203'!$VU112</f>
        <v>30</v>
      </c>
      <c r="G63" s="118">
        <f>'203'!$VS112</f>
        <v>0.8666666666666667</v>
      </c>
      <c r="H63" s="151">
        <f t="shared" si="41"/>
        <v>33</v>
      </c>
      <c r="I63" s="188">
        <f t="shared" si="42"/>
        <v>0.87878787878787878</v>
      </c>
      <c r="J63" s="86"/>
      <c r="K63" s="151">
        <f>'201'!$VU112</f>
        <v>0</v>
      </c>
      <c r="L63" s="118">
        <f>'201'!$VT112</f>
        <v>0</v>
      </c>
      <c r="M63" s="205">
        <f>'202'!$VU112</f>
        <v>3</v>
      </c>
      <c r="N63" s="238">
        <f>'202'!$VT112</f>
        <v>0.66666666666666663</v>
      </c>
      <c r="O63" s="148">
        <f>'203'!$VU112</f>
        <v>30</v>
      </c>
      <c r="P63" s="119">
        <f>'203'!$VT112</f>
        <v>0.83333333333333337</v>
      </c>
      <c r="Q63" s="151">
        <f t="shared" si="43"/>
        <v>33</v>
      </c>
      <c r="R63" s="169">
        <f t="shared" si="44"/>
        <v>0.81818181818181823</v>
      </c>
      <c r="S63" s="163">
        <f t="shared" si="45"/>
        <v>-1.1999999999999997</v>
      </c>
      <c r="U63" s="151">
        <f>'205'!$VU112</f>
        <v>8</v>
      </c>
      <c r="V63" s="48">
        <f>'205'!$WF112</f>
        <v>3.75</v>
      </c>
      <c r="W63" s="144">
        <f>'304'!$VU112</f>
        <v>0</v>
      </c>
      <c r="X63" s="77">
        <f>'304'!$WF112</f>
        <v>0</v>
      </c>
      <c r="Y63" s="151">
        <f t="shared" si="46"/>
        <v>8</v>
      </c>
      <c r="Z63" s="248">
        <f t="shared" si="47"/>
        <v>3.75</v>
      </c>
      <c r="AA63" s="86"/>
      <c r="AB63" s="151">
        <f>'205'!$VU112</f>
        <v>8</v>
      </c>
      <c r="AC63" s="48">
        <f>'205'!$WE112</f>
        <v>4.125</v>
      </c>
      <c r="AD63" s="148">
        <f>'304'!$VU112</f>
        <v>0</v>
      </c>
      <c r="AE63" s="132">
        <f>'304'!$WE112</f>
        <v>0</v>
      </c>
      <c r="AF63" s="148">
        <f t="shared" si="48"/>
        <v>8</v>
      </c>
      <c r="AG63" s="248">
        <f t="shared" si="49"/>
        <v>4.125</v>
      </c>
      <c r="AH63" s="168">
        <f t="shared" si="50"/>
        <v>3</v>
      </c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</row>
    <row r="64" spans="1:54" x14ac:dyDescent="0.25">
      <c r="A64" s="197" t="s">
        <v>5414</v>
      </c>
      <c r="B64" s="127">
        <f>'201'!$VU113</f>
        <v>0</v>
      </c>
      <c r="C64" s="238">
        <f>'201'!$VS113</f>
        <v>0</v>
      </c>
      <c r="D64" s="205">
        <f>'202'!$VU113</f>
        <v>3</v>
      </c>
      <c r="E64" s="238">
        <f>'202'!$VS113</f>
        <v>1</v>
      </c>
      <c r="F64" s="148">
        <f>'203'!$VU113</f>
        <v>6</v>
      </c>
      <c r="G64" s="118">
        <f>'203'!$VS113</f>
        <v>0.66666666666666663</v>
      </c>
      <c r="H64" s="151">
        <f t="shared" si="41"/>
        <v>9</v>
      </c>
      <c r="I64" s="188">
        <f t="shared" si="42"/>
        <v>0.77777777777777779</v>
      </c>
      <c r="J64" s="86"/>
      <c r="K64" s="151">
        <f>'201'!$VU113</f>
        <v>0</v>
      </c>
      <c r="L64" s="118">
        <f>'201'!$VT113</f>
        <v>0</v>
      </c>
      <c r="M64" s="205">
        <f>'202'!$VU113</f>
        <v>3</v>
      </c>
      <c r="N64" s="238">
        <f>'202'!$VT113</f>
        <v>1</v>
      </c>
      <c r="O64" s="148">
        <f>'203'!$VU113</f>
        <v>6</v>
      </c>
      <c r="P64" s="119">
        <f>'203'!$VT113</f>
        <v>0.66666666666666663</v>
      </c>
      <c r="Q64" s="151">
        <f t="shared" si="43"/>
        <v>9</v>
      </c>
      <c r="R64" s="169">
        <f t="shared" si="44"/>
        <v>0.77777777777777779</v>
      </c>
      <c r="S64" s="163">
        <f t="shared" si="45"/>
        <v>0</v>
      </c>
      <c r="U64" s="151">
        <f>'205'!$VU113</f>
        <v>7</v>
      </c>
      <c r="V64" s="48">
        <f>'205'!$WF113</f>
        <v>1.7142857142857142</v>
      </c>
      <c r="W64" s="144">
        <f>'304'!$VU113</f>
        <v>1</v>
      </c>
      <c r="X64" s="77">
        <f>'304'!$WF113</f>
        <v>2</v>
      </c>
      <c r="Y64" s="151">
        <f t="shared" si="46"/>
        <v>8</v>
      </c>
      <c r="Z64" s="248">
        <f t="shared" si="47"/>
        <v>1.75</v>
      </c>
      <c r="AA64" s="86"/>
      <c r="AB64" s="151">
        <f>'205'!$VU113</f>
        <v>7</v>
      </c>
      <c r="AC64" s="48">
        <f>'205'!$WE113</f>
        <v>1.7142857142857142</v>
      </c>
      <c r="AD64" s="148">
        <f>'304'!$VU113</f>
        <v>1</v>
      </c>
      <c r="AE64" s="132">
        <f>'304'!$WE113</f>
        <v>3</v>
      </c>
      <c r="AF64" s="148">
        <f t="shared" si="48"/>
        <v>8</v>
      </c>
      <c r="AG64" s="248">
        <f t="shared" si="49"/>
        <v>1.875</v>
      </c>
      <c r="AH64" s="168">
        <f t="shared" si="50"/>
        <v>-1</v>
      </c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</row>
    <row r="65" spans="1:54" x14ac:dyDescent="0.25">
      <c r="A65" s="197" t="s">
        <v>5412</v>
      </c>
      <c r="B65" s="127">
        <f>'201'!$VU114</f>
        <v>1</v>
      </c>
      <c r="C65" s="238">
        <f>'201'!$VS114</f>
        <v>1</v>
      </c>
      <c r="D65" s="205">
        <f>'202'!$VU114</f>
        <v>0</v>
      </c>
      <c r="E65" s="238">
        <f>'202'!$VS114</f>
        <v>0</v>
      </c>
      <c r="F65" s="148">
        <f>'203'!$VU114</f>
        <v>0</v>
      </c>
      <c r="G65" s="118">
        <f>'203'!$VS114</f>
        <v>0</v>
      </c>
      <c r="H65" s="151">
        <f t="shared" si="41"/>
        <v>1</v>
      </c>
      <c r="I65" s="188">
        <f t="shared" si="42"/>
        <v>1</v>
      </c>
      <c r="J65" s="86"/>
      <c r="K65" s="151">
        <f>'201'!$VU114</f>
        <v>1</v>
      </c>
      <c r="L65" s="118">
        <f>'201'!$VT114</f>
        <v>1</v>
      </c>
      <c r="M65" s="205">
        <f>'202'!$VU114</f>
        <v>0</v>
      </c>
      <c r="N65" s="238">
        <f>'202'!$VT114</f>
        <v>0</v>
      </c>
      <c r="O65" s="148">
        <f>'203'!$VU114</f>
        <v>0</v>
      </c>
      <c r="P65" s="119">
        <f>'203'!$VT114</f>
        <v>0</v>
      </c>
      <c r="Q65" s="151">
        <f t="shared" si="43"/>
        <v>1</v>
      </c>
      <c r="R65" s="169">
        <f t="shared" si="44"/>
        <v>1</v>
      </c>
      <c r="S65" s="163">
        <f t="shared" si="45"/>
        <v>0</v>
      </c>
      <c r="U65" s="151">
        <f>'205'!$VU114</f>
        <v>0</v>
      </c>
      <c r="V65" s="48">
        <f>'205'!$WF114</f>
        <v>0</v>
      </c>
      <c r="W65" s="144">
        <f>'304'!$VU114</f>
        <v>0</v>
      </c>
      <c r="X65" s="77">
        <f>'304'!$WF114</f>
        <v>0</v>
      </c>
      <c r="Y65" s="151">
        <f t="shared" si="46"/>
        <v>0</v>
      </c>
      <c r="Z65" s="248">
        <f t="shared" si="47"/>
        <v>0</v>
      </c>
      <c r="AA65" s="86"/>
      <c r="AB65" s="151">
        <f>'205'!$VU114</f>
        <v>0</v>
      </c>
      <c r="AC65" s="48">
        <f>'205'!$WE114</f>
        <v>0</v>
      </c>
      <c r="AD65" s="148">
        <f>'304'!$VU114</f>
        <v>0</v>
      </c>
      <c r="AE65" s="132">
        <f>'304'!$WE114</f>
        <v>0</v>
      </c>
      <c r="AF65" s="148">
        <f t="shared" si="48"/>
        <v>0</v>
      </c>
      <c r="AG65" s="248">
        <f t="shared" si="49"/>
        <v>0</v>
      </c>
      <c r="AH65" s="168">
        <f t="shared" si="50"/>
        <v>0</v>
      </c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</row>
    <row r="66" spans="1:54" x14ac:dyDescent="0.25">
      <c r="A66" s="98"/>
      <c r="B66" s="130"/>
      <c r="C66" s="242"/>
      <c r="D66" s="226"/>
      <c r="E66" s="242"/>
      <c r="F66" s="149"/>
      <c r="G66" s="150"/>
      <c r="H66" s="154"/>
      <c r="I66" s="170"/>
      <c r="J66" s="86"/>
      <c r="K66" s="154"/>
      <c r="L66" s="150"/>
      <c r="M66" s="226"/>
      <c r="N66" s="242"/>
      <c r="O66" s="149"/>
      <c r="P66" s="150"/>
      <c r="Q66" s="154"/>
      <c r="R66" s="170"/>
      <c r="S66" s="109"/>
      <c r="U66" s="154"/>
      <c r="V66" s="233"/>
      <c r="W66" s="147"/>
      <c r="X66" s="99"/>
      <c r="Y66" s="154"/>
      <c r="Z66" s="251"/>
      <c r="AA66" s="86"/>
      <c r="AB66" s="154"/>
      <c r="AC66" s="233"/>
      <c r="AD66" s="149"/>
      <c r="AE66" s="135"/>
      <c r="AF66" s="149"/>
      <c r="AG66" s="251"/>
      <c r="AH66" s="9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</row>
    <row r="67" spans="1:54" x14ac:dyDescent="0.25">
      <c r="A67" s="31" t="s">
        <v>2636</v>
      </c>
      <c r="B67" s="127"/>
      <c r="C67" s="238"/>
      <c r="D67" s="205"/>
      <c r="E67" s="238"/>
      <c r="F67" s="148"/>
      <c r="G67" s="118"/>
      <c r="H67" s="151"/>
      <c r="I67" s="188"/>
      <c r="J67" s="86"/>
      <c r="K67" s="127"/>
      <c r="L67" s="125"/>
      <c r="M67" s="228"/>
      <c r="N67" s="245"/>
      <c r="O67" s="156"/>
      <c r="P67" s="126"/>
      <c r="Q67" s="151"/>
      <c r="R67" s="188"/>
      <c r="S67" s="109"/>
      <c r="U67" s="151"/>
      <c r="V67" s="235"/>
      <c r="W67" s="144"/>
      <c r="X67" s="142"/>
      <c r="Y67" s="254"/>
      <c r="Z67" s="253"/>
      <c r="AA67" s="86"/>
      <c r="AB67" s="254"/>
      <c r="AC67" s="235"/>
      <c r="AD67" s="156"/>
      <c r="AE67" s="137"/>
      <c r="AF67" s="156"/>
      <c r="AG67" s="253"/>
      <c r="AH67" s="9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</row>
    <row r="68" spans="1:54" x14ac:dyDescent="0.25">
      <c r="A68" s="198">
        <v>1</v>
      </c>
      <c r="B68" s="127">
        <f>'201'!$VU130</f>
        <v>7</v>
      </c>
      <c r="C68" s="238">
        <f>'201'!$VS130</f>
        <v>0.5714285714285714</v>
      </c>
      <c r="D68" s="205">
        <f>'202'!$VU130</f>
        <v>7</v>
      </c>
      <c r="E68" s="238">
        <f>'202'!$VS130</f>
        <v>0.8571428571428571</v>
      </c>
      <c r="F68" s="148">
        <f>'203'!$VU130</f>
        <v>9</v>
      </c>
      <c r="G68" s="118">
        <f>'203'!$VS130</f>
        <v>0.66666666666666663</v>
      </c>
      <c r="H68" s="254">
        <f t="shared" ref="H68:H74" si="51">B68+D68+F68</f>
        <v>23</v>
      </c>
      <c r="I68" s="188">
        <f t="shared" ref="I68:I74" si="52">IFERROR((C68*B68+E68*D68+G68*F68)/(B68+D68+F68),0)</f>
        <v>0.69565217391304346</v>
      </c>
      <c r="J68" s="87"/>
      <c r="K68" s="151">
        <f>'201'!$VU130</f>
        <v>7</v>
      </c>
      <c r="L68" s="118">
        <f>'201'!$VT130</f>
        <v>0.7142857142857143</v>
      </c>
      <c r="M68" s="205">
        <f>'202'!$VU130</f>
        <v>7</v>
      </c>
      <c r="N68" s="238">
        <f>'202'!$VT130</f>
        <v>0.7142857142857143</v>
      </c>
      <c r="O68" s="148">
        <f>'203'!$VU130</f>
        <v>9</v>
      </c>
      <c r="P68" s="119">
        <f>'203'!$VT130</f>
        <v>0.66666666666666663</v>
      </c>
      <c r="Q68" s="254">
        <f t="shared" ref="Q68:Q74" si="53">K68+M68+O68</f>
        <v>23</v>
      </c>
      <c r="R68" s="169">
        <f t="shared" ref="R68:R74" si="54">IFERROR((L68*K68+N68*M68+P68*O68)/(K68+M68+O68),0)</f>
        <v>0.69565217391304346</v>
      </c>
      <c r="S68" s="87"/>
      <c r="U68" s="151">
        <f>'205'!$VU130</f>
        <v>4</v>
      </c>
      <c r="V68" s="48">
        <f>'205'!$WF130</f>
        <v>4</v>
      </c>
      <c r="W68" s="144">
        <f>'304'!$VU130</f>
        <v>2</v>
      </c>
      <c r="X68" s="77">
        <f>'304'!$WF130</f>
        <v>3.5</v>
      </c>
      <c r="Y68" s="151">
        <f t="shared" ref="Y68:Y74" si="55">U68+W68</f>
        <v>6</v>
      </c>
      <c r="Z68" s="248">
        <f t="shared" ref="Z68:Z74" si="56">IFERROR((U68*V68+W68*X68)/(U68+W68),0)</f>
        <v>3.8333333333333335</v>
      </c>
      <c r="AA68" s="87"/>
      <c r="AB68" s="151">
        <f>'205'!$VU130</f>
        <v>4</v>
      </c>
      <c r="AC68" s="48">
        <f>'205'!$WE130</f>
        <v>4.5</v>
      </c>
      <c r="AD68" s="148">
        <f>'304'!$VU130</f>
        <v>2</v>
      </c>
      <c r="AE68" s="132">
        <f>'304'!$WE130</f>
        <v>4</v>
      </c>
      <c r="AF68" s="148">
        <f t="shared" ref="AF68:AF74" si="57">AB68+AD68</f>
        <v>6</v>
      </c>
      <c r="AG68" s="248">
        <f t="shared" ref="AG68:AG74" si="58">IFERROR((AB68*AC68+AD68*AE68)/(AB68+AD68),0)</f>
        <v>4.333333333333333</v>
      </c>
      <c r="AH68" s="9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</row>
    <row r="69" spans="1:54" x14ac:dyDescent="0.25">
      <c r="A69" s="198">
        <f>A68+0.25</f>
        <v>1.25</v>
      </c>
      <c r="B69" s="127">
        <f>'201'!$VU131</f>
        <v>3</v>
      </c>
      <c r="C69" s="238">
        <f>'201'!$VS131</f>
        <v>1</v>
      </c>
      <c r="D69" s="205">
        <f>'202'!$VU131</f>
        <v>5</v>
      </c>
      <c r="E69" s="238">
        <f>'202'!$VS131</f>
        <v>1</v>
      </c>
      <c r="F69" s="148">
        <f>'203'!$VU131</f>
        <v>11</v>
      </c>
      <c r="G69" s="118">
        <f>'203'!$VS131</f>
        <v>0.90909090909090906</v>
      </c>
      <c r="H69" s="254">
        <f t="shared" si="51"/>
        <v>19</v>
      </c>
      <c r="I69" s="188">
        <f t="shared" si="52"/>
        <v>0.94736842105263153</v>
      </c>
      <c r="J69" s="87"/>
      <c r="K69" s="151">
        <f>'201'!$VU131</f>
        <v>3</v>
      </c>
      <c r="L69" s="118">
        <f>'201'!$VT131</f>
        <v>1</v>
      </c>
      <c r="M69" s="205">
        <f>'202'!$VU131</f>
        <v>5</v>
      </c>
      <c r="N69" s="238">
        <f>'202'!$VT131</f>
        <v>1</v>
      </c>
      <c r="O69" s="148">
        <f>'203'!$VU131</f>
        <v>11</v>
      </c>
      <c r="P69" s="119">
        <f>'203'!$VT131</f>
        <v>0.81818181818181823</v>
      </c>
      <c r="Q69" s="254">
        <f t="shared" si="53"/>
        <v>19</v>
      </c>
      <c r="R69" s="169">
        <f t="shared" si="54"/>
        <v>0.89473684210526316</v>
      </c>
      <c r="S69" s="87"/>
      <c r="U69" s="151">
        <f>'205'!$VU131</f>
        <v>12</v>
      </c>
      <c r="V69" s="48">
        <f>'205'!$WF131</f>
        <v>3.4166666666666665</v>
      </c>
      <c r="W69" s="144">
        <f>'304'!$VU131</f>
        <v>6</v>
      </c>
      <c r="X69" s="77">
        <f>'304'!$WF131</f>
        <v>2.5</v>
      </c>
      <c r="Y69" s="151">
        <f t="shared" si="55"/>
        <v>18</v>
      </c>
      <c r="Z69" s="248">
        <f t="shared" si="56"/>
        <v>3.1111111111111112</v>
      </c>
      <c r="AA69" s="87"/>
      <c r="AB69" s="151">
        <f>'205'!$VU131</f>
        <v>12</v>
      </c>
      <c r="AC69" s="48">
        <f>'205'!$WE131</f>
        <v>3.5</v>
      </c>
      <c r="AD69" s="148">
        <f>'304'!$VU131</f>
        <v>6</v>
      </c>
      <c r="AE69" s="132">
        <f>'304'!$WE131</f>
        <v>2.5</v>
      </c>
      <c r="AF69" s="148">
        <f t="shared" si="57"/>
        <v>18</v>
      </c>
      <c r="AG69" s="248">
        <f t="shared" si="58"/>
        <v>3.1666666666666665</v>
      </c>
      <c r="AH69" s="9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</row>
    <row r="70" spans="1:54" x14ac:dyDescent="0.25">
      <c r="A70" s="47">
        <f t="shared" ref="A70:A73" si="59">A69+0.25</f>
        <v>1.5</v>
      </c>
      <c r="B70" s="127">
        <f>'201'!$VU132</f>
        <v>14</v>
      </c>
      <c r="C70" s="238">
        <f>'201'!$VS132</f>
        <v>0.7857142857142857</v>
      </c>
      <c r="D70" s="205">
        <f>'202'!$VU132</f>
        <v>6</v>
      </c>
      <c r="E70" s="238">
        <f>'202'!$VS132</f>
        <v>0.66666666666666663</v>
      </c>
      <c r="F70" s="148">
        <f>'203'!$VU132</f>
        <v>18</v>
      </c>
      <c r="G70" s="118">
        <f>'203'!$VS132</f>
        <v>0.88888888888888884</v>
      </c>
      <c r="H70" s="151">
        <f t="shared" si="51"/>
        <v>38</v>
      </c>
      <c r="I70" s="188">
        <f t="shared" si="52"/>
        <v>0.81578947368421051</v>
      </c>
      <c r="J70" s="87"/>
      <c r="K70" s="151">
        <f>'201'!$VU132</f>
        <v>14</v>
      </c>
      <c r="L70" s="118">
        <f>'201'!$VT132</f>
        <v>0.8571428571428571</v>
      </c>
      <c r="M70" s="205">
        <f>'202'!$VU132</f>
        <v>6</v>
      </c>
      <c r="N70" s="238">
        <f>'202'!$VT132</f>
        <v>0.66666666666666663</v>
      </c>
      <c r="O70" s="148">
        <f>'203'!$VU132</f>
        <v>18</v>
      </c>
      <c r="P70" s="119">
        <f>'203'!$VT132</f>
        <v>0.94444444444444442</v>
      </c>
      <c r="Q70" s="254">
        <f t="shared" si="53"/>
        <v>38</v>
      </c>
      <c r="R70" s="169">
        <f t="shared" si="54"/>
        <v>0.86842105263157898</v>
      </c>
      <c r="S70" s="87"/>
      <c r="U70" s="151">
        <f>'205'!$VU132</f>
        <v>13</v>
      </c>
      <c r="V70" s="48">
        <f>'205'!$WF132</f>
        <v>3.3846153846153846</v>
      </c>
      <c r="W70" s="144">
        <f>'304'!$VU132</f>
        <v>7</v>
      </c>
      <c r="X70" s="77">
        <f>'304'!$WF132</f>
        <v>3.2857142857142856</v>
      </c>
      <c r="Y70" s="151">
        <f t="shared" si="55"/>
        <v>20</v>
      </c>
      <c r="Z70" s="248">
        <f t="shared" si="56"/>
        <v>3.35</v>
      </c>
      <c r="AA70" s="87"/>
      <c r="AB70" s="151">
        <f>'205'!$VU132</f>
        <v>13</v>
      </c>
      <c r="AC70" s="48">
        <f>'205'!$WE132</f>
        <v>3.3076923076923075</v>
      </c>
      <c r="AD70" s="148">
        <f>'304'!$VU132</f>
        <v>7</v>
      </c>
      <c r="AE70" s="132">
        <f>'304'!$WE132</f>
        <v>3.4285714285714284</v>
      </c>
      <c r="AF70" s="148">
        <f t="shared" si="57"/>
        <v>20</v>
      </c>
      <c r="AG70" s="248">
        <f t="shared" si="58"/>
        <v>3.35</v>
      </c>
      <c r="AH70" s="9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</row>
    <row r="71" spans="1:54" x14ac:dyDescent="0.25">
      <c r="A71" s="47">
        <f t="shared" si="59"/>
        <v>1.75</v>
      </c>
      <c r="B71" s="127">
        <f>'201'!$VU133</f>
        <v>10</v>
      </c>
      <c r="C71" s="238">
        <f>'201'!$VS133</f>
        <v>0.8</v>
      </c>
      <c r="D71" s="205">
        <f>'202'!$VU133</f>
        <v>3</v>
      </c>
      <c r="E71" s="238">
        <f>'202'!$VS133</f>
        <v>1</v>
      </c>
      <c r="F71" s="148">
        <f>'203'!$VU133</f>
        <v>4</v>
      </c>
      <c r="G71" s="118">
        <f>'203'!$VS133</f>
        <v>0.75</v>
      </c>
      <c r="H71" s="151">
        <f t="shared" si="51"/>
        <v>17</v>
      </c>
      <c r="I71" s="188">
        <f t="shared" si="52"/>
        <v>0.82352941176470584</v>
      </c>
      <c r="J71" s="87"/>
      <c r="K71" s="151">
        <f>'201'!$VU133</f>
        <v>10</v>
      </c>
      <c r="L71" s="118">
        <f>'201'!$VT133</f>
        <v>0.7</v>
      </c>
      <c r="M71" s="205">
        <f>'202'!$VU133</f>
        <v>3</v>
      </c>
      <c r="N71" s="238">
        <f>'202'!$VT133</f>
        <v>1</v>
      </c>
      <c r="O71" s="148">
        <f>'203'!$VU133</f>
        <v>4</v>
      </c>
      <c r="P71" s="119">
        <f>'203'!$VT133</f>
        <v>0.75</v>
      </c>
      <c r="Q71" s="254">
        <f t="shared" si="53"/>
        <v>17</v>
      </c>
      <c r="R71" s="169">
        <f t="shared" si="54"/>
        <v>0.76470588235294112</v>
      </c>
      <c r="S71" s="87"/>
      <c r="U71" s="151">
        <f>'205'!$VU133</f>
        <v>11</v>
      </c>
      <c r="V71" s="48">
        <f>'205'!$WF133</f>
        <v>3.4545454545454546</v>
      </c>
      <c r="W71" s="144">
        <f>'304'!$VU133</f>
        <v>4</v>
      </c>
      <c r="X71" s="77">
        <f>'304'!$WF133</f>
        <v>4</v>
      </c>
      <c r="Y71" s="151">
        <f t="shared" si="55"/>
        <v>15</v>
      </c>
      <c r="Z71" s="248">
        <f t="shared" si="56"/>
        <v>3.6</v>
      </c>
      <c r="AA71" s="87"/>
      <c r="AB71" s="151">
        <f>'205'!$VU133</f>
        <v>11</v>
      </c>
      <c r="AC71" s="48">
        <f>'205'!$WE133</f>
        <v>3.4545454545454546</v>
      </c>
      <c r="AD71" s="148">
        <f>'304'!$VU133</f>
        <v>4</v>
      </c>
      <c r="AE71" s="132">
        <f>'304'!$WE133</f>
        <v>4.25</v>
      </c>
      <c r="AF71" s="148">
        <f t="shared" si="57"/>
        <v>15</v>
      </c>
      <c r="AG71" s="248">
        <f t="shared" si="58"/>
        <v>3.6666666666666665</v>
      </c>
      <c r="AH71" s="9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</row>
    <row r="72" spans="1:54" x14ac:dyDescent="0.25">
      <c r="A72" s="47">
        <f t="shared" si="59"/>
        <v>2</v>
      </c>
      <c r="B72" s="127">
        <f>'201'!$VU134</f>
        <v>21</v>
      </c>
      <c r="C72" s="238">
        <f>'201'!$VS134</f>
        <v>0.8571428571428571</v>
      </c>
      <c r="D72" s="205">
        <f>'202'!$VU134</f>
        <v>6</v>
      </c>
      <c r="E72" s="238">
        <f>'202'!$VS134</f>
        <v>0.66666666666666663</v>
      </c>
      <c r="F72" s="148">
        <f>'203'!$VU134</f>
        <v>3</v>
      </c>
      <c r="G72" s="118">
        <f>'203'!$VS134</f>
        <v>0.33333333333333331</v>
      </c>
      <c r="H72" s="151">
        <f t="shared" si="51"/>
        <v>30</v>
      </c>
      <c r="I72" s="188">
        <f t="shared" si="52"/>
        <v>0.76666666666666672</v>
      </c>
      <c r="J72" s="87"/>
      <c r="K72" s="151">
        <f>'201'!$VU134</f>
        <v>21</v>
      </c>
      <c r="L72" s="118">
        <f>'201'!$VT134</f>
        <v>0.80952380952380953</v>
      </c>
      <c r="M72" s="205">
        <f>'202'!$VU134</f>
        <v>6</v>
      </c>
      <c r="N72" s="238">
        <f>'202'!$VT134</f>
        <v>0.83333333333333337</v>
      </c>
      <c r="O72" s="148">
        <f>'203'!$VU134</f>
        <v>3</v>
      </c>
      <c r="P72" s="119">
        <f>'203'!$VT134</f>
        <v>0.33333333333333331</v>
      </c>
      <c r="Q72" s="254">
        <f t="shared" si="53"/>
        <v>30</v>
      </c>
      <c r="R72" s="169">
        <f t="shared" si="54"/>
        <v>0.76666666666666672</v>
      </c>
      <c r="S72" s="87"/>
      <c r="U72" s="151">
        <f>'205'!$VU134</f>
        <v>10</v>
      </c>
      <c r="V72" s="48">
        <f>'205'!$WF134</f>
        <v>2.8</v>
      </c>
      <c r="W72" s="144">
        <f>'304'!$VU134</f>
        <v>3</v>
      </c>
      <c r="X72" s="77">
        <f>'304'!$WF134</f>
        <v>3.3333333333333335</v>
      </c>
      <c r="Y72" s="151">
        <f t="shared" si="55"/>
        <v>13</v>
      </c>
      <c r="Z72" s="248">
        <f t="shared" si="56"/>
        <v>2.9230769230769229</v>
      </c>
      <c r="AA72" s="87"/>
      <c r="AB72" s="151">
        <f>'205'!$VU134</f>
        <v>10</v>
      </c>
      <c r="AC72" s="48">
        <f>'205'!$WE134</f>
        <v>2.7</v>
      </c>
      <c r="AD72" s="148">
        <f>'304'!$VU134</f>
        <v>3</v>
      </c>
      <c r="AE72" s="132">
        <f>'304'!$WE134</f>
        <v>3.3333333333333335</v>
      </c>
      <c r="AF72" s="148">
        <f t="shared" si="57"/>
        <v>13</v>
      </c>
      <c r="AG72" s="248">
        <f t="shared" si="58"/>
        <v>2.8461538461538463</v>
      </c>
      <c r="AH72" s="9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</row>
    <row r="73" spans="1:54" x14ac:dyDescent="0.25">
      <c r="A73" s="47">
        <f t="shared" si="59"/>
        <v>2.25</v>
      </c>
      <c r="B73" s="127">
        <f>'201'!$VU135</f>
        <v>4</v>
      </c>
      <c r="C73" s="238">
        <f>'201'!$VS135</f>
        <v>0.75</v>
      </c>
      <c r="D73" s="205">
        <f>'202'!$VU135</f>
        <v>1</v>
      </c>
      <c r="E73" s="238">
        <f>'202'!$VS135</f>
        <v>1</v>
      </c>
      <c r="F73" s="148">
        <f>'203'!$VU135</f>
        <v>2</v>
      </c>
      <c r="G73" s="118">
        <f>'203'!$VS135</f>
        <v>1</v>
      </c>
      <c r="H73" s="151">
        <f t="shared" si="51"/>
        <v>7</v>
      </c>
      <c r="I73" s="188">
        <f t="shared" si="52"/>
        <v>0.8571428571428571</v>
      </c>
      <c r="J73" s="87"/>
      <c r="K73" s="151">
        <f>'201'!$VU135</f>
        <v>4</v>
      </c>
      <c r="L73" s="118">
        <f>'201'!$VT135</f>
        <v>0.75</v>
      </c>
      <c r="M73" s="205">
        <f>'202'!$VU135</f>
        <v>1</v>
      </c>
      <c r="N73" s="238">
        <f>'202'!$VT135</f>
        <v>1</v>
      </c>
      <c r="O73" s="148">
        <f>'203'!$VU135</f>
        <v>2</v>
      </c>
      <c r="P73" s="119">
        <f>'203'!$VT135</f>
        <v>1</v>
      </c>
      <c r="Q73" s="254">
        <f t="shared" si="53"/>
        <v>7</v>
      </c>
      <c r="R73" s="169">
        <f t="shared" si="54"/>
        <v>0.8571428571428571</v>
      </c>
      <c r="S73" s="87"/>
      <c r="U73" s="151">
        <f>'205'!$VU135</f>
        <v>4</v>
      </c>
      <c r="V73" s="48">
        <f>'205'!$WF135</f>
        <v>2.75</v>
      </c>
      <c r="W73" s="144">
        <f>'304'!$VU135</f>
        <v>5</v>
      </c>
      <c r="X73" s="77">
        <f>'304'!$WF135</f>
        <v>3</v>
      </c>
      <c r="Y73" s="151">
        <f t="shared" si="55"/>
        <v>9</v>
      </c>
      <c r="Z73" s="248">
        <f t="shared" si="56"/>
        <v>2.8888888888888888</v>
      </c>
      <c r="AA73" s="87"/>
      <c r="AB73" s="151">
        <f>'205'!$VU135</f>
        <v>4</v>
      </c>
      <c r="AC73" s="48">
        <f>'205'!$WE135</f>
        <v>2.75</v>
      </c>
      <c r="AD73" s="148">
        <f>'304'!$VU135</f>
        <v>5</v>
      </c>
      <c r="AE73" s="132">
        <f>'304'!$WE135</f>
        <v>3.2</v>
      </c>
      <c r="AF73" s="148">
        <f t="shared" si="57"/>
        <v>9</v>
      </c>
      <c r="AG73" s="248">
        <f t="shared" si="58"/>
        <v>3</v>
      </c>
      <c r="AH73" s="9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</row>
    <row r="74" spans="1:54" x14ac:dyDescent="0.25">
      <c r="A74" s="47">
        <v>2.5370370370370372</v>
      </c>
      <c r="B74" s="127">
        <f>'201'!$VU136</f>
        <v>12</v>
      </c>
      <c r="C74" s="238">
        <f>'201'!$VS136</f>
        <v>0.83333333333333337</v>
      </c>
      <c r="D74" s="205">
        <f>'202'!$VU136</f>
        <v>1</v>
      </c>
      <c r="E74" s="238">
        <f>'202'!$VS136</f>
        <v>1</v>
      </c>
      <c r="F74" s="148">
        <f>'203'!$VU136</f>
        <v>0</v>
      </c>
      <c r="G74" s="118">
        <f>'203'!$VS136</f>
        <v>0</v>
      </c>
      <c r="H74" s="151">
        <f t="shared" si="51"/>
        <v>13</v>
      </c>
      <c r="I74" s="188">
        <f t="shared" si="52"/>
        <v>0.84615384615384615</v>
      </c>
      <c r="J74" s="87"/>
      <c r="K74" s="151">
        <f>'201'!$VU136</f>
        <v>12</v>
      </c>
      <c r="L74" s="118">
        <f>'201'!$VT136</f>
        <v>0.83333333333333337</v>
      </c>
      <c r="M74" s="205">
        <f>'202'!$VU136</f>
        <v>1</v>
      </c>
      <c r="N74" s="238">
        <f>'202'!$VT136</f>
        <v>1</v>
      </c>
      <c r="O74" s="148">
        <f>'203'!$VU136</f>
        <v>0</v>
      </c>
      <c r="P74" s="119">
        <f>'203'!$VT136</f>
        <v>0</v>
      </c>
      <c r="Q74" s="254">
        <f t="shared" si="53"/>
        <v>13</v>
      </c>
      <c r="R74" s="169">
        <f t="shared" si="54"/>
        <v>0.84615384615384615</v>
      </c>
      <c r="S74" s="87"/>
      <c r="U74" s="151">
        <f>'205'!$VU136</f>
        <v>7</v>
      </c>
      <c r="V74" s="48">
        <f>'205'!$WF136</f>
        <v>3.8571428571428572</v>
      </c>
      <c r="W74" s="144">
        <f>'304'!$VU136</f>
        <v>6</v>
      </c>
      <c r="X74" s="77">
        <f>'304'!$WF136</f>
        <v>4</v>
      </c>
      <c r="Y74" s="151">
        <f t="shared" si="55"/>
        <v>13</v>
      </c>
      <c r="Z74" s="248">
        <f t="shared" si="56"/>
        <v>3.9230769230769229</v>
      </c>
      <c r="AA74" s="87"/>
      <c r="AB74" s="151">
        <f>'205'!$VU136</f>
        <v>7</v>
      </c>
      <c r="AC74" s="48">
        <f>'205'!$WE136</f>
        <v>3.7142857142857144</v>
      </c>
      <c r="AD74" s="148">
        <f>'304'!$VU136</f>
        <v>6</v>
      </c>
      <c r="AE74" s="132">
        <f>'304'!$WE136</f>
        <v>3.3333333333333335</v>
      </c>
      <c r="AF74" s="148">
        <f t="shared" si="57"/>
        <v>13</v>
      </c>
      <c r="AG74" s="248">
        <f t="shared" si="58"/>
        <v>3.5384615384615383</v>
      </c>
      <c r="AH74" s="9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</row>
    <row r="75" spans="1:54" x14ac:dyDescent="0.25">
      <c r="A75" s="46"/>
      <c r="B75" s="23"/>
      <c r="C75" s="85"/>
      <c r="D75" s="23"/>
      <c r="E75" s="85"/>
      <c r="F75" s="23"/>
      <c r="G75" s="85"/>
      <c r="H75" s="85"/>
      <c r="J75" s="87"/>
      <c r="K75" s="23"/>
      <c r="L75" s="85"/>
      <c r="M75" s="23"/>
      <c r="N75" s="85"/>
      <c r="O75" s="23"/>
      <c r="P75" s="85"/>
      <c r="Q75" s="85"/>
      <c r="R75" s="85"/>
      <c r="S75" s="87"/>
      <c r="U75" s="157"/>
      <c r="W75" s="157"/>
      <c r="AA75" s="87"/>
      <c r="AB75" s="76"/>
      <c r="AC75" s="140"/>
      <c r="AD75" s="76"/>
      <c r="AE75" s="140"/>
      <c r="AF75" s="76"/>
      <c r="AG75" s="140"/>
      <c r="AH75" s="9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</row>
    <row r="76" spans="1:54" x14ac:dyDescent="0.25">
      <c r="A76" s="158" t="s">
        <v>5463</v>
      </c>
      <c r="B76" s="23"/>
      <c r="C76" s="12"/>
      <c r="D76" s="23"/>
      <c r="J76" s="87"/>
      <c r="K76" s="160"/>
      <c r="L76" s="159">
        <f>'201'!$WO69</f>
        <v>132</v>
      </c>
      <c r="M76" s="160"/>
      <c r="N76" s="159">
        <f>'202'!$WO69</f>
        <v>83</v>
      </c>
      <c r="O76" s="160"/>
      <c r="P76" s="159">
        <f>'203'!$WO69</f>
        <v>133</v>
      </c>
      <c r="Q76" s="159"/>
      <c r="R76" s="159">
        <f>L76+N76+P76</f>
        <v>348</v>
      </c>
      <c r="S76" s="87"/>
      <c r="AA76" s="87"/>
      <c r="AB76" s="255"/>
      <c r="AC76" s="229">
        <f>'205'!$WO69</f>
        <v>205</v>
      </c>
      <c r="AD76" s="255"/>
      <c r="AE76" s="229">
        <f>'304'!$WO69</f>
        <v>101</v>
      </c>
      <c r="AF76" s="255"/>
      <c r="AG76" s="229">
        <f>AC76+AE76</f>
        <v>306</v>
      </c>
      <c r="AH76" s="9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</row>
    <row r="77" spans="1:54" x14ac:dyDescent="0.25">
      <c r="A77" s="158" t="s">
        <v>5464</v>
      </c>
      <c r="C77" s="14"/>
      <c r="D77" s="20"/>
      <c r="J77" s="87"/>
      <c r="K77" s="162"/>
      <c r="L77" s="161">
        <f>'201'!$WO70</f>
        <v>1.8591549295774648</v>
      </c>
      <c r="M77" s="162"/>
      <c r="N77" s="161">
        <f>'202'!$WO70</f>
        <v>2.8620689655172415</v>
      </c>
      <c r="O77" s="162"/>
      <c r="P77" s="161">
        <f>'203'!$WO70</f>
        <v>2.8297872340425534</v>
      </c>
      <c r="Q77" s="161"/>
      <c r="R77" s="161">
        <f>R76/('201'!VU84+'202'!VU84+'203'!VU84)</f>
        <v>2.3673469387755102</v>
      </c>
      <c r="S77" s="87"/>
      <c r="AA77" s="87"/>
      <c r="AB77" s="256"/>
      <c r="AC77" s="230">
        <f>'205'!$WO70</f>
        <v>3.360655737704918</v>
      </c>
      <c r="AD77" s="256"/>
      <c r="AE77" s="230">
        <f>'304'!$WO70</f>
        <v>3.0606060606060606</v>
      </c>
      <c r="AF77" s="256"/>
      <c r="AG77" s="230">
        <f>AG76/('205'!VU84+'304'!VU84)</f>
        <v>3.2553191489361701</v>
      </c>
      <c r="AH77" s="9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</row>
    <row r="78" spans="1:54" x14ac:dyDescent="0.25">
      <c r="A78" s="158" t="s">
        <v>5465</v>
      </c>
      <c r="C78" s="12"/>
      <c r="D78" s="20"/>
      <c r="J78" s="87"/>
      <c r="K78" s="162"/>
      <c r="L78" s="159">
        <f>'201'!$WO71</f>
        <v>4</v>
      </c>
      <c r="M78" s="162"/>
      <c r="N78" s="159">
        <f>'202'!$WO71</f>
        <v>5</v>
      </c>
      <c r="O78" s="162"/>
      <c r="P78" s="159">
        <f>'203'!$WO71</f>
        <v>4</v>
      </c>
      <c r="Q78" s="159"/>
      <c r="R78" s="159">
        <f>MAX(L78:P78)</f>
        <v>5</v>
      </c>
      <c r="S78" s="87"/>
      <c r="AA78" s="87"/>
      <c r="AB78" s="256"/>
      <c r="AC78" s="229">
        <f>'205'!$WO71</f>
        <v>5</v>
      </c>
      <c r="AD78" s="256"/>
      <c r="AE78" s="229">
        <f>'304'!$WO71</f>
        <v>5</v>
      </c>
      <c r="AF78" s="256"/>
      <c r="AG78" s="159">
        <f>MAX(AC78:AE78)</f>
        <v>5</v>
      </c>
      <c r="AH78" s="9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</row>
    <row r="79" spans="1:54" x14ac:dyDescent="0.25">
      <c r="A79" s="158" t="s">
        <v>5466</v>
      </c>
      <c r="C79" s="12"/>
      <c r="D79" s="20"/>
      <c r="J79" s="87"/>
      <c r="K79" s="162"/>
      <c r="L79" s="159">
        <f>'201'!$WO72</f>
        <v>1</v>
      </c>
      <c r="M79" s="162"/>
      <c r="N79" s="159">
        <f>'202'!$WO72</f>
        <v>1</v>
      </c>
      <c r="O79" s="162"/>
      <c r="P79" s="159">
        <f>'203'!$WO72</f>
        <v>0</v>
      </c>
      <c r="Q79" s="159"/>
      <c r="R79" s="159">
        <f>MIN(L79:P79)</f>
        <v>0</v>
      </c>
      <c r="S79" s="87"/>
      <c r="AA79" s="87"/>
      <c r="AB79" s="256"/>
      <c r="AC79" s="229">
        <f>'205'!$WO72</f>
        <v>1</v>
      </c>
      <c r="AD79" s="256"/>
      <c r="AE79" s="229">
        <f>'304'!$WO72</f>
        <v>1</v>
      </c>
      <c r="AF79" s="256"/>
      <c r="AG79" s="159">
        <f>MIN(AC79:AE79)</f>
        <v>1</v>
      </c>
      <c r="AH79" s="9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</row>
    <row r="80" spans="1:54" x14ac:dyDescent="0.25">
      <c r="D80" s="20"/>
      <c r="E80" s="20"/>
      <c r="F80" s="20"/>
      <c r="K80" s="20"/>
      <c r="L80" s="20"/>
      <c r="M80" s="20"/>
      <c r="N80" s="20"/>
      <c r="O80" s="20"/>
      <c r="P80" s="20"/>
      <c r="Q80" s="20"/>
      <c r="R80" s="20"/>
      <c r="S80" s="87"/>
      <c r="U80" s="281"/>
      <c r="V80" s="281"/>
      <c r="W80" s="281"/>
      <c r="AH80" s="9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</row>
    <row r="81" spans="1:54" x14ac:dyDescent="0.25">
      <c r="A81" s="279" t="s">
        <v>5445</v>
      </c>
      <c r="D81" s="20"/>
      <c r="E81" s="20"/>
      <c r="F81" s="20"/>
      <c r="G81" s="20"/>
      <c r="H81" s="20"/>
      <c r="I81" s="20"/>
      <c r="K81" s="20"/>
      <c r="L81" s="20"/>
      <c r="M81" s="20"/>
      <c r="N81" s="20"/>
      <c r="O81" s="20"/>
      <c r="P81" s="20"/>
      <c r="Q81" s="20"/>
      <c r="R81" s="20"/>
      <c r="S81" s="163">
        <f>SUM(S27:S65)-S56-S57</f>
        <v>-17.600000000000001</v>
      </c>
      <c r="U81" s="157"/>
      <c r="V81" s="157"/>
      <c r="W81" s="157"/>
      <c r="AH81" s="163">
        <f>SUM(AH27:AH65)-AH56-AH57</f>
        <v>-40.40000000000002</v>
      </c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</row>
    <row r="82" spans="1:54" x14ac:dyDescent="0.25">
      <c r="A82" s="279" t="s">
        <v>5403</v>
      </c>
      <c r="S82" s="165">
        <f>SUM(B35:B65)-B56-B57+SUM(D35:D65)-D56-D57+SUM(F35:F65)-F56-F57</f>
        <v>1029</v>
      </c>
      <c r="U82" s="157"/>
      <c r="V82" s="157"/>
      <c r="W82" s="157"/>
      <c r="AB82" s="157"/>
      <c r="AC82" s="157"/>
      <c r="AD82" s="157"/>
      <c r="AH82" s="167">
        <f>SUM(U35:U65)-U56-U57+SUM(W35:W65)-W56-W57</f>
        <v>658</v>
      </c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</row>
    <row r="83" spans="1:54" x14ac:dyDescent="0.25">
      <c r="A83" s="280" t="s">
        <v>5404</v>
      </c>
      <c r="S83" s="164">
        <f>S81/S82</f>
        <v>-1.7103984450923228E-2</v>
      </c>
      <c r="AB83" s="157"/>
      <c r="AC83" s="157"/>
      <c r="AD83" s="157"/>
      <c r="AH83" s="164">
        <f>AH81/AH82</f>
        <v>-6.1398176291793345E-2</v>
      </c>
      <c r="AI83" s="157"/>
      <c r="AJ83" s="157"/>
      <c r="AK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</row>
    <row r="84" spans="1:54" x14ac:dyDescent="0.25">
      <c r="A84" s="280" t="s">
        <v>5405</v>
      </c>
      <c r="S84" s="166">
        <f>S83/A15</f>
        <v>-2.1379980563654033E-2</v>
      </c>
      <c r="AB84" s="157"/>
      <c r="AC84" s="157"/>
      <c r="AD84" s="157"/>
      <c r="AH84" s="166">
        <f>AH83/A18</f>
        <v>-1.8058287144645101E-2</v>
      </c>
      <c r="AI84" s="157"/>
      <c r="AJ84" s="157"/>
      <c r="AK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</row>
    <row r="85" spans="1:54" x14ac:dyDescent="0.25">
      <c r="AB85" s="157"/>
      <c r="AC85" s="157"/>
      <c r="AD85" s="157"/>
      <c r="AI85" s="157"/>
      <c r="AJ85" s="157"/>
      <c r="AK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</row>
    <row r="86" spans="1:54" x14ac:dyDescent="0.25">
      <c r="AB86" s="157"/>
      <c r="AC86" s="157"/>
      <c r="AD86" s="157"/>
      <c r="AI86" s="157"/>
      <c r="AJ86" s="157"/>
      <c r="AK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</row>
    <row r="87" spans="1:54" x14ac:dyDescent="0.25">
      <c r="AB87" s="157"/>
      <c r="AC87" s="157"/>
      <c r="AD87" s="157"/>
      <c r="AI87" s="157"/>
      <c r="AJ87" s="157"/>
      <c r="AK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</row>
    <row r="88" spans="1:54" x14ac:dyDescent="0.25">
      <c r="AB88" s="157"/>
      <c r="AC88" s="157"/>
      <c r="AD88" s="157"/>
      <c r="AI88" s="157"/>
      <c r="AJ88" s="157"/>
      <c r="AK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</row>
    <row r="89" spans="1:54" x14ac:dyDescent="0.25">
      <c r="AB89" s="157"/>
      <c r="AC89" s="157"/>
      <c r="AD89" s="157"/>
      <c r="AI89" s="157"/>
      <c r="AJ89" s="157"/>
      <c r="AK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</row>
    <row r="90" spans="1:54" x14ac:dyDescent="0.25">
      <c r="AB90" s="157"/>
      <c r="AC90" s="157"/>
      <c r="AD90" s="157"/>
      <c r="AI90" s="157"/>
      <c r="AJ90" s="157"/>
      <c r="AK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</row>
    <row r="91" spans="1:54" x14ac:dyDescent="0.25">
      <c r="AB91" s="157"/>
      <c r="AC91" s="157"/>
      <c r="AD91" s="157"/>
      <c r="AI91" s="157"/>
      <c r="AJ91" s="157"/>
      <c r="AK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</row>
    <row r="92" spans="1:54" x14ac:dyDescent="0.25">
      <c r="AB92" s="157"/>
      <c r="AC92" s="157"/>
      <c r="AD92" s="157"/>
      <c r="AI92" s="157"/>
      <c r="AJ92" s="157"/>
      <c r="AK92" s="157"/>
    </row>
    <row r="93" spans="1:54" x14ac:dyDescent="0.25">
      <c r="AB93" s="157"/>
      <c r="AC93" s="157"/>
      <c r="AD93" s="157"/>
    </row>
    <row r="94" spans="1:54" x14ac:dyDescent="0.25">
      <c r="AB94" s="157"/>
      <c r="AC94" s="157"/>
      <c r="AD94" s="157"/>
    </row>
    <row r="95" spans="1:54" x14ac:dyDescent="0.25">
      <c r="AB95" s="157"/>
      <c r="AC95" s="157"/>
      <c r="AD95" s="157"/>
    </row>
    <row r="96" spans="1:54" x14ac:dyDescent="0.25">
      <c r="AB96" s="157"/>
      <c r="AC96" s="157"/>
      <c r="AD96" s="157"/>
    </row>
    <row r="97" spans="28:30" x14ac:dyDescent="0.25">
      <c r="AB97" s="157"/>
      <c r="AC97" s="157"/>
      <c r="AD97" s="157"/>
    </row>
    <row r="98" spans="28:30" x14ac:dyDescent="0.25">
      <c r="AB98" s="157"/>
      <c r="AC98" s="157"/>
      <c r="AD98" s="157"/>
    </row>
    <row r="99" spans="28:30" x14ac:dyDescent="0.25">
      <c r="AB99" s="157"/>
      <c r="AC99" s="157"/>
      <c r="AD99" s="157"/>
    </row>
    <row r="100" spans="28:30" x14ac:dyDescent="0.25">
      <c r="AB100" s="157"/>
      <c r="AC100" s="157"/>
      <c r="AD100" s="157"/>
    </row>
    <row r="101" spans="28:30" x14ac:dyDescent="0.25">
      <c r="AB101" s="157"/>
      <c r="AC101" s="157"/>
      <c r="AD101" s="157"/>
    </row>
    <row r="102" spans="28:30" x14ac:dyDescent="0.25">
      <c r="AB102" s="157"/>
      <c r="AC102" s="157"/>
      <c r="AD102" s="157"/>
    </row>
    <row r="103" spans="28:30" x14ac:dyDescent="0.25">
      <c r="AB103" s="157"/>
      <c r="AC103" s="157"/>
      <c r="AD103" s="157"/>
    </row>
    <row r="104" spans="28:30" x14ac:dyDescent="0.25">
      <c r="AB104" s="157"/>
      <c r="AC104" s="157"/>
      <c r="AD104" s="157"/>
    </row>
    <row r="105" spans="28:30" x14ac:dyDescent="0.25">
      <c r="AB105" s="157"/>
      <c r="AC105" s="157"/>
      <c r="AD105" s="157"/>
    </row>
    <row r="106" spans="28:30" x14ac:dyDescent="0.25">
      <c r="AB106" s="157"/>
      <c r="AC106" s="157"/>
      <c r="AD106" s="157"/>
    </row>
  </sheetData>
  <sheetProtection algorithmName="SHA-512" hashValue="fGylA/ctK8Dl/+Av9lCTzpYYF1q6K8k5xLyBQEn6sIeRAT+pgPszII+4tv2D9Ak1aL1/bRdlk4vks97NyJ7P8Q==" saltValue="3KlONyQmBgXvyWOaRYHIXA==" spinCount="100000" sheet="1" objects="1" scenarios="1"/>
  <sortState xmlns:xlrd2="http://schemas.microsoft.com/office/spreadsheetml/2017/richdata2" ref="A82:A208">
    <sortCondition ref="A208"/>
  </sortState>
  <mergeCells count="34">
    <mergeCell ref="U6:V6"/>
    <mergeCell ref="E16:H16"/>
    <mergeCell ref="W16:Z16"/>
    <mergeCell ref="S20:S22"/>
    <mergeCell ref="N6:P6"/>
    <mergeCell ref="N11:P11"/>
    <mergeCell ref="AY25:AY26"/>
    <mergeCell ref="AH20:AH22"/>
    <mergeCell ref="AY36:AY37"/>
    <mergeCell ref="B23:I23"/>
    <mergeCell ref="S23:S26"/>
    <mergeCell ref="AH23:AH26"/>
    <mergeCell ref="Q25:R25"/>
    <mergeCell ref="AB25:AC25"/>
    <mergeCell ref="AD25:AE25"/>
    <mergeCell ref="AF25:AG25"/>
    <mergeCell ref="AB23:AG23"/>
    <mergeCell ref="K23:R23"/>
    <mergeCell ref="U25:V25"/>
    <mergeCell ref="W25:X25"/>
    <mergeCell ref="Y25:Z25"/>
    <mergeCell ref="U23:Z23"/>
    <mergeCell ref="A2:A4"/>
    <mergeCell ref="A7:A11"/>
    <mergeCell ref="N4:P5"/>
    <mergeCell ref="N16:O17"/>
    <mergeCell ref="K25:L25"/>
    <mergeCell ref="M25:N25"/>
    <mergeCell ref="O25:P25"/>
    <mergeCell ref="B25:C25"/>
    <mergeCell ref="D25:E25"/>
    <mergeCell ref="F25:G25"/>
    <mergeCell ref="H25:I25"/>
    <mergeCell ref="C6:D6"/>
  </mergeCells>
  <conditionalFormatting sqref="B27:I74 K27:R74 U27:AG74">
    <cfRule type="cellIs" dxfId="350" priority="3" operator="equal">
      <formula>0</formula>
    </cfRule>
  </conditionalFormatting>
  <conditionalFormatting sqref="S75">
    <cfRule type="cellIs" dxfId="349" priority="60" stopIfTrue="1" operator="equal">
      <formula>0</formula>
    </cfRule>
  </conditionalFormatting>
  <conditionalFormatting sqref="AH75:AH80">
    <cfRule type="cellIs" dxfId="348" priority="59" stopIfTrue="1" operator="equal">
      <formula>0</formula>
    </cfRule>
  </conditionalFormatting>
  <conditionalFormatting sqref="S83:S84 AH83:AH84">
    <cfRule type="cellIs" dxfId="347" priority="58" operator="lessThan">
      <formula>"="</formula>
    </cfRule>
  </conditionalFormatting>
  <conditionalFormatting sqref="J27:J74">
    <cfRule type="cellIs" dxfId="346" priority="9" stopIfTrue="1" operator="equal">
      <formula>0</formula>
    </cfRule>
  </conditionalFormatting>
  <conditionalFormatting sqref="S76:S80">
    <cfRule type="cellIs" dxfId="345" priority="8" stopIfTrue="1" operator="equal">
      <formula>0</formula>
    </cfRule>
  </conditionalFormatting>
  <conditionalFormatting sqref="W7:X15 E7:F7 E9:F15">
    <cfRule type="cellIs" dxfId="344" priority="11750" operator="notEqual">
      <formula>$W7</formula>
    </cfRule>
  </conditionalFormatting>
  <conditionalFormatting sqref="I27:I74 C27:C74 E27:E74 G27:G74">
    <cfRule type="expression" dxfId="343" priority="11751">
      <formula>AND(C27&gt;0,OR(AND(C27&lt;=$A$15-$G$21,C27&gt;$A$15-$G$20),AND(C27&gt;=$A$15+$G$21,C27&lt;$A$15+$G$20)),B27&gt;=$G$22)</formula>
    </cfRule>
    <cfRule type="expression" dxfId="342" priority="11752">
      <formula>AND(C27&lt;$A$15-$G$19,B27&gt;=$G$22)</formula>
    </cfRule>
    <cfRule type="expression" dxfId="341" priority="11753">
      <formula>AND(C27&gt;0,OR(C27&lt;=$A$15-$G$20,C27&gt;=$A$15+$G$20),B27&gt;=$G$22)</formula>
    </cfRule>
    <cfRule type="expression" dxfId="340" priority="11754">
      <formula>AND(C27&gt;$A$15+$G$18,B27&gt;=$G$22)</formula>
    </cfRule>
  </conditionalFormatting>
  <conditionalFormatting sqref="Z27:Z74 V27:V74 X27:X74">
    <cfRule type="expression" dxfId="339" priority="11851">
      <formula>AND(V27&gt;0,OR(AND(V27&lt;=$A$18-$Z$21,V27&gt;$A$18-$Z$20),AND(V27&gt;=$A$18+$Z$21,V27&lt;$A$18+$Z$20)),U27&gt;=$Z$22)</formula>
    </cfRule>
    <cfRule type="expression" dxfId="338" priority="11852">
      <formula>AND(V27&gt;=$A$18+$Z$18,U27&gt;=$Z$22)</formula>
    </cfRule>
    <cfRule type="expression" dxfId="337" priority="11853">
      <formula>AND(V27&gt;0,OR(V27&lt;=$A$18-$Z$20,V27&gt;=$A$18+$Z$20),U27&gt;=$Z$22)</formula>
    </cfRule>
    <cfRule type="expression" dxfId="336" priority="11854">
      <formula>AND(V27&lt;=$A$18-$Z$18,U27&gt;=$Z$22)</formula>
    </cfRule>
  </conditionalFormatting>
  <conditionalFormatting sqref="L27:R74">
    <cfRule type="expression" dxfId="335" priority="11903" stopIfTrue="1">
      <formula>AND(ABS(C27-$A$15)-ABS(L27-$A$15)&lt;0,(ABS(C27-$A$15)-ABS(L27-$A$15))/C27&gt;=$P$12,K27&gt;=$P$16)</formula>
    </cfRule>
    <cfRule type="expression" dxfId="334" priority="11904" stopIfTrue="1">
      <formula>AND(ABS(C27-$A$15)-ABS(L27-$A$15)&lt;0,(ABS(C27-$A$15)-ABS(L27-$A$15))/C27&gt;=$P$13,K27&gt;=$P$16)</formula>
    </cfRule>
    <cfRule type="expression" dxfId="333" priority="11905" stopIfTrue="1">
      <formula>AND(ABS(C27-$A$15)-ABS(L27-$A$15)&lt;0,(ABS(C27-$A$15)-ABS(L27-$A$15))/C27&gt;=$P$14,K27&gt;=$P$16)</formula>
    </cfRule>
    <cfRule type="expression" dxfId="332" priority="11906" stopIfTrue="1">
      <formula>AND(ABS(C27-$A$15)-ABS(L27-$A$15)&lt;0,(ABS(C27-$A$15)-ABS(L27-$A$15))/C27&lt;$P$15,K27&gt;=$P$16)</formula>
    </cfRule>
    <cfRule type="expression" dxfId="331" priority="11907" stopIfTrue="1">
      <formula>AND(ABS(C27-$A$15)-ABS(L27-$A$15)&gt;0,(ABS(C27-$A$15)-ABS(L27-$A$15))/C27&lt;=$P$7,K27&gt;=$P$16)</formula>
    </cfRule>
    <cfRule type="expression" dxfId="330" priority="11908" stopIfTrue="1">
      <formula>AND(ABS(C27-$A$15)-ABS(L27-$A$15)&gt;0,(ABS(C27-$A$15)-ABS(L27-$A$15))/C27&lt;=$P$8,K27&gt;=$P$16)</formula>
    </cfRule>
    <cfRule type="expression" dxfId="329" priority="11909" stopIfTrue="1">
      <formula>AND(ABS(C27-$A$15)-ABS(L27-$A$15)&gt;0,(ABS(C27-$A$15)-ABS(L27-$A$15))/C27&lt;=$P$9,K27&gt;=$P$16)</formula>
    </cfRule>
    <cfRule type="expression" dxfId="328" priority="11910" stopIfTrue="1">
      <formula>AND(ABS(C27-$A$15)-ABS(L27-$A$15)&gt;0,(ABS(C27-$A$15)-ABS(L27-$A$15))/C27&gt;$P$10,K27&gt;=$P$16)</formula>
    </cfRule>
  </conditionalFormatting>
  <conditionalFormatting sqref="AX27:AX34">
    <cfRule type="expression" dxfId="327" priority="11911" stopIfTrue="1">
      <formula>AND(ABS(AW27-AX27-$A$15)-ABS(AW27-$A$15)&lt;0,(ABS(AW27-AX27-$A$15)-ABS(AW27-$A$15))/(AW27-AX27)&gt;$P$12)</formula>
    </cfRule>
    <cfRule type="expression" dxfId="326" priority="11912" stopIfTrue="1">
      <formula>AND(ABS(AW27-AX27-$A$15)-ABS(AW27-$A$15)&lt;0,(ABS(AW27-AX27-$A$15)-ABS(AW27-$A$15))/(AW27-AX27)&gt;$P$13)</formula>
    </cfRule>
    <cfRule type="expression" dxfId="325" priority="11913" stopIfTrue="1">
      <formula>AND(ABS(AW27-AX27-$A$15)-ABS(AW27-$A$15)&lt;0,(ABS(AW27-AX27-$A$15)-ABS(AW27-$A$15))/(AW27-AX27)&gt;$P$14)</formula>
    </cfRule>
    <cfRule type="expression" dxfId="324" priority="11914" stopIfTrue="1">
      <formula>AND(ABS(AW27-AX27-$A$15)-ABS(AW27-$A$15)&lt;0,(ABS(AW27-AX27-$A$15)-ABS(AW27-$A$15))/(AW27-AX27)&lt;=$P$15)</formula>
    </cfRule>
    <cfRule type="expression" dxfId="323" priority="11915" stopIfTrue="1">
      <formula>AND(ABS(AW27-AX27-$A$15)-ABS(AW27-$A$15)&gt;0,(ABS(AW27-AX27-$A$15)-ABS(AW27-$A$15))/(AW27-AX27)&gt;$P$10)</formula>
    </cfRule>
    <cfRule type="expression" dxfId="322" priority="11916" stopIfTrue="1">
      <formula>AND(ABS(AW27-AX27-$A$15)-ABS(AW27-$A$15)&gt;0,(ABS(AW27-AX27-$A$15)-ABS(AW27-$A$15))/(AW27-AX27)&lt;=$P$9)</formula>
    </cfRule>
    <cfRule type="expression" dxfId="321" priority="11917" stopIfTrue="1">
      <formula>AND(ABS(AW27-AX27-$A$15)-ABS(AW27-$A$15)&gt;0,(ABS(AW27-AX27-$A$15)-ABS(AW27-$A$15))/(AW27-AX27)&lt;=$P$8)</formula>
    </cfRule>
    <cfRule type="expression" dxfId="320" priority="11918" stopIfTrue="1">
      <formula>AND(ABS(AW27-AX27-$A$15)-ABS(AW27-$A$15)&gt;0,(ABS(AW27-AX27-$A$15)-ABS(AW27-$A$15))/(AW27-AX27)&lt;=$P$7)</formula>
    </cfRule>
  </conditionalFormatting>
  <conditionalFormatting sqref="AX38:AX45">
    <cfRule type="expression" dxfId="319" priority="11919" stopIfTrue="1">
      <formula>AND(ABS(AW38-AX38-$A$18)-ABS(AW38-$A$18)&lt;0,(ABS(AW38-AX38-$A$18)-ABS(AW38-$A$18))/(AW38-AX38)&gt;$P$12)</formula>
    </cfRule>
    <cfRule type="expression" dxfId="318" priority="11920" stopIfTrue="1">
      <formula>AND(ABS(AW38-AX38-$A$18)-ABS(AW38-$A$18)&lt;0,(ABS(AW38-AX38-$A$18)-ABS(AW38-$A$18))/(AW38-AX38)&gt;$P$13)</formula>
    </cfRule>
    <cfRule type="expression" dxfId="317" priority="11921" stopIfTrue="1">
      <formula>AND(ABS(AW38-AX38-$A$18)-ABS(AW38-$A$18)&lt;0,(ABS(AW38-AX38-$A$18)-ABS(AW38-$A$18))/(AW38-AX38)&gt;$P$14)</formula>
    </cfRule>
    <cfRule type="expression" dxfId="316" priority="11922" stopIfTrue="1">
      <formula>AND(ABS(AW38-AX38-$A$18)-ABS(AW38-$A$18)&lt;0,(ABS(AW38-AX38-$A$18)-ABS(AW38-$A$18))/(AW38-AX38)&lt;=$P$15)</formula>
    </cfRule>
    <cfRule type="expression" dxfId="315" priority="11923" stopIfTrue="1">
      <formula>AND(ABS(AW38-AX38-$A$18)-ABS(AW38-$A$18)&gt;0,(ABS(AW38-AX38-$A$18)-ABS(AW38-$A$18))/(AW38-AX38)&gt;$P$10)</formula>
    </cfRule>
    <cfRule type="expression" dxfId="314" priority="11924" stopIfTrue="1">
      <formula>AND(ABS(AW38-AX38-$A$18)-ABS(AW38-$A$18)&gt;0,(ABS(AW38-AX38-$A$18)-ABS(AW38-$A$18))/(AW38-AX38)&lt;=$P$9)</formula>
    </cfRule>
    <cfRule type="expression" dxfId="313" priority="11925" stopIfTrue="1">
      <formula>AND(ABS(AW38-AX38-$A$18)-ABS(AW38-$A$18)&gt;0,(ABS(AW38-AX38-$A$18)-ABS(AW38-$A$18))/(AW38-AX38)&lt;=$P$8)</formula>
    </cfRule>
    <cfRule type="expression" dxfId="312" priority="11926" stopIfTrue="1">
      <formula>AND(ABS(AW38-AX38-$A$18)-ABS(AW38-$A$18)&gt;0,(ABS(AW38-AX38-$A$18)-ABS(AW38-$A$18))/(AW38-AX38)&lt;=$P$7)</formula>
    </cfRule>
  </conditionalFormatting>
  <conditionalFormatting sqref="AG27:AG75 AC27:AC75 AE27:AE75">
    <cfRule type="expression" dxfId="311" priority="11927" stopIfTrue="1">
      <formula>AND(ABS(V27-$A$18)-ABS(AC27-$A$18)&lt;0,(ABS(V27-$A$18)-ABS(AC27-$A$18))/V27&gt;=$P$12,U27&gt;=$P$17)</formula>
    </cfRule>
    <cfRule type="expression" dxfId="310" priority="11928" stopIfTrue="1">
      <formula>AND(ABS(V27-$A$18)-ABS(AC27-$A$18)&lt;0,(ABS(V27-$A$18)-ABS(AC27-$A$18))/V27&gt;=$P$13,U27&gt;=$P$17)</formula>
    </cfRule>
    <cfRule type="expression" dxfId="309" priority="11929" stopIfTrue="1">
      <formula>AND(ABS(V27-$A$18)-ABS(AC27-$A$18)&lt;0,(ABS(V27-$A$18)-ABS(AC27-$A$18))/V27&gt;=$P$14,U27&gt;=$P$17)</formula>
    </cfRule>
    <cfRule type="expression" dxfId="308" priority="11930" stopIfTrue="1">
      <formula>AND(ABS(V27-$A$18)-ABS(AC27-$A$18)&lt;0,(ABS(V27-$A$18)-ABS(AC27-$A$18))/V27&lt;$P$15,U27&gt;=$P$17)</formula>
    </cfRule>
    <cfRule type="expression" dxfId="307" priority="11931" stopIfTrue="1">
      <formula>AND(ABS(V27-$A$18)-ABS(AC27-$A$18)&gt;0,(ABS(V27-$A$18)-ABS(AC27-$A$18))/V27&lt;=$P$7,U27&gt;=$P$17)</formula>
    </cfRule>
    <cfRule type="expression" dxfId="306" priority="11932" stopIfTrue="1">
      <formula>AND(ABS(V27-$A$18)-ABS(AC27-$A$18)&gt;0,(ABS(V27-$A$18)-ABS(AC27-$A$18))/V27&lt;=$P$8,U27&gt;=$P$17)</formula>
    </cfRule>
    <cfRule type="expression" dxfId="305" priority="11933" stopIfTrue="1">
      <formula>AND(ABS(V27-$A$18)-ABS(AC27-$A$18)&gt;0,(ABS(V27-$A$18)-ABS(AC27-$A$18))/V27&lt;=$P$9,U27&gt;=$P$17)</formula>
    </cfRule>
    <cfRule type="expression" dxfId="304" priority="11934" stopIfTrue="1">
      <formula>AND(ABS(V27-$A$18)-ABS(AC27-$A$18)&gt;0,(ABS(V27-$A$18)-ABS(AC27-$A$18))/V27&gt;$P$10,U27&gt;=$P$17)</formula>
    </cfRule>
  </conditionalFormatting>
  <conditionalFormatting sqref="Z37:Z41 Z43:Z45 Z47:Z48 Z53:Z54 Z56:Z57 Z59:Z65">
    <cfRule type="expression" dxfId="303" priority="11951" stopIfTrue="1">
      <formula>AND(ABS(#REF!-$A$18)-ABS(Z37-$A$18)&lt;0,(ABS(#REF!-$A$18)-ABS(Z37-$A$18))/#REF!&gt;=$P$12)</formula>
    </cfRule>
    <cfRule type="expression" dxfId="302" priority="11952" stopIfTrue="1">
      <formula>AND(ABS(#REF!-$A$18)-ABS(Z37-$A$18)&lt;0,(ABS(#REF!-$A$18)-ABS(Z37-$A$18))/#REF!&gt;=$P$13)</formula>
    </cfRule>
    <cfRule type="expression" dxfId="301" priority="11953" stopIfTrue="1">
      <formula>AND(ABS(#REF!-$A$18)-ABS(Z37-$A$18)&lt;0,(ABS(#REF!-$A$18)-ABS(Z37-$A$18))/#REF!&gt;=$P$14)</formula>
    </cfRule>
    <cfRule type="expression" dxfId="300" priority="11954" stopIfTrue="1">
      <formula>AND(ABS(#REF!-$A$18)-ABS(Z37-$A$18)&lt;0,(ABS(#REF!-$A$18)-ABS(Z37-$A$18))/#REF!&lt;$P$15)</formula>
    </cfRule>
    <cfRule type="expression" dxfId="299" priority="11955" stopIfTrue="1">
      <formula>AND(ABS(#REF!-$A$18)-ABS(Z37-$A$18)&gt;0,(ABS(#REF!-$A$18)-ABS(Z37-$A$18))/#REF!&lt;=$P$7)</formula>
    </cfRule>
    <cfRule type="expression" dxfId="298" priority="11956" stopIfTrue="1">
      <formula>AND(ABS(#REF!-$A$18)-ABS(Z37-$A$18)&gt;0,(ABS(#REF!-$A$18)-ABS(Z37-$A$18))/#REF!&lt;=$P$8)</formula>
    </cfRule>
    <cfRule type="expression" dxfId="297" priority="11957" stopIfTrue="1">
      <formula>AND(ABS(#REF!-$A$18)-ABS(Z37-$A$18)&gt;0,(ABS(#REF!-$A$18)-ABS(Z37-$A$18))/#REF!&lt;=$P$9)</formula>
    </cfRule>
    <cfRule type="expression" dxfId="296" priority="11958" stopIfTrue="1">
      <formula>AND(ABS(#REF!-$A$18)-ABS(Z37-$A$18)&gt;0,(ABS(#REF!-$A$18)-ABS(Z37-$A$18))/#REF!&gt;$P$10)</formula>
    </cfRule>
  </conditionalFormatting>
  <conditionalFormatting sqref="AH27:AH65">
    <cfRule type="cellIs" dxfId="295" priority="2" operator="equal">
      <formula>0</formula>
    </cfRule>
  </conditionalFormatting>
  <conditionalFormatting sqref="S27:S65">
    <cfRule type="cellIs" dxfId="294" priority="1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C54F8-36DF-4E6B-8755-3F9D456541C3}">
  <sheetPr codeName="Sheet2"/>
  <dimension ref="A1:WX142"/>
  <sheetViews>
    <sheetView zoomScale="90" zoomScaleNormal="90" workbookViewId="0">
      <pane xSplit="2" ySplit="1" topLeftCell="VP73" activePane="bottomRight" state="frozen"/>
      <selection pane="topRight" activeCell="C1" sqref="C1"/>
      <selection pane="bottomLeft" activeCell="A2" sqref="A2"/>
      <selection pane="bottomRight" activeCell="VX75" sqref="VX75"/>
    </sheetView>
  </sheetViews>
  <sheetFormatPr defaultRowHeight="15" x14ac:dyDescent="0.25"/>
  <cols>
    <col min="1" max="2" width="15.7109375" customWidth="1"/>
    <col min="3" max="3" width="20.7109375" customWidth="1"/>
    <col min="4" max="4" width="21" hidden="1" customWidth="1"/>
    <col min="5" max="5" width="28.140625" hidden="1" customWidth="1"/>
    <col min="6" max="6" width="28.5703125" hidden="1" customWidth="1"/>
    <col min="7" max="7" width="34.140625" hidden="1" customWidth="1"/>
    <col min="8" max="8" width="34.5703125" hidden="1" customWidth="1"/>
    <col min="9" max="9" width="29.28515625" hidden="1" customWidth="1"/>
    <col min="10" max="10" width="29.85546875" hidden="1" customWidth="1"/>
    <col min="11" max="11" width="25.140625" hidden="1" customWidth="1"/>
    <col min="12" max="12" width="25.5703125" hidden="1" customWidth="1"/>
    <col min="13" max="13" width="27.28515625" hidden="1" customWidth="1"/>
    <col min="14" max="14" width="27.7109375" hidden="1" customWidth="1"/>
    <col min="15" max="15" width="31.28515625" hidden="1" customWidth="1"/>
    <col min="16" max="16" width="31.7109375" hidden="1" customWidth="1"/>
    <col min="17" max="17" width="26.7109375" hidden="1" customWidth="1"/>
    <col min="18" max="18" width="27.28515625" hidden="1" customWidth="1"/>
    <col min="19" max="19" width="30.140625" hidden="1" customWidth="1"/>
    <col min="20" max="20" width="30.5703125" hidden="1" customWidth="1"/>
    <col min="21" max="21" width="31.140625" hidden="1" customWidth="1"/>
    <col min="22" max="22" width="31.5703125" hidden="1" customWidth="1"/>
    <col min="23" max="23" width="27.140625" hidden="1" customWidth="1"/>
    <col min="24" max="24" width="27.5703125" hidden="1" customWidth="1"/>
    <col min="25" max="25" width="12.5703125" hidden="1" customWidth="1"/>
    <col min="26" max="28" width="17.28515625" hidden="1" customWidth="1"/>
    <col min="29" max="29" width="19.28515625" hidden="1" customWidth="1"/>
    <col min="30" max="30" width="17.140625" hidden="1" customWidth="1"/>
    <col min="31" max="31" width="12.28515625" hidden="1" customWidth="1"/>
    <col min="32" max="32" width="18.140625" hidden="1" customWidth="1"/>
    <col min="33" max="33" width="26.7109375" hidden="1" customWidth="1"/>
    <col min="34" max="34" width="28.140625" hidden="1" customWidth="1"/>
    <col min="35" max="35" width="29.140625" hidden="1" customWidth="1"/>
    <col min="36" max="36" width="25.42578125" hidden="1" customWidth="1"/>
    <col min="37" max="37" width="26" hidden="1" customWidth="1"/>
    <col min="38" max="38" width="33.28515625" hidden="1" customWidth="1"/>
    <col min="39" max="39" width="26.5703125" hidden="1" customWidth="1"/>
    <col min="40" max="40" width="26.140625" hidden="1" customWidth="1"/>
    <col min="41" max="41" width="16.7109375" hidden="1" customWidth="1"/>
    <col min="42" max="42" width="32.7109375" hidden="1" customWidth="1"/>
    <col min="43" max="43" width="40.85546875" hidden="1" customWidth="1"/>
    <col min="44" max="44" width="25.42578125" hidden="1" customWidth="1"/>
    <col min="45" max="45" width="33" hidden="1" customWidth="1"/>
    <col min="46" max="46" width="20.7109375" hidden="1" customWidth="1"/>
    <col min="47" max="47" width="22.28515625" hidden="1" customWidth="1"/>
    <col min="48" max="48" width="18" hidden="1" customWidth="1"/>
    <col min="49" max="49" width="18.28515625" hidden="1" customWidth="1"/>
    <col min="50" max="50" width="17.85546875" hidden="1" customWidth="1"/>
    <col min="51" max="51" width="19.28515625" hidden="1" customWidth="1"/>
    <col min="52" max="52" width="19" hidden="1" customWidth="1"/>
    <col min="53" max="53" width="18.5703125" hidden="1" customWidth="1"/>
    <col min="54" max="54" width="18.28515625" hidden="1" customWidth="1"/>
    <col min="55" max="55" width="20.28515625" hidden="1" customWidth="1"/>
    <col min="56" max="56" width="19.85546875" hidden="1" customWidth="1"/>
    <col min="57" max="57" width="21.140625" hidden="1" customWidth="1"/>
    <col min="58" max="58" width="20.7109375" hidden="1" customWidth="1"/>
    <col min="59" max="59" width="18.42578125" hidden="1" customWidth="1"/>
    <col min="60" max="60" width="18.140625" hidden="1" customWidth="1"/>
    <col min="61" max="61" width="20.140625" hidden="1" customWidth="1"/>
    <col min="62" max="62" width="19.7109375" hidden="1" customWidth="1"/>
    <col min="63" max="63" width="18.7109375" hidden="1" customWidth="1"/>
    <col min="64" max="64" width="18.28515625" hidden="1" customWidth="1"/>
    <col min="65" max="65" width="20.7109375" hidden="1" customWidth="1"/>
    <col min="66" max="66" width="20.28515625" hidden="1" customWidth="1"/>
    <col min="67" max="67" width="21.85546875" hidden="1" customWidth="1"/>
    <col min="68" max="68" width="21.42578125" hidden="1" customWidth="1"/>
    <col min="69" max="69" width="26.42578125" hidden="1" customWidth="1"/>
    <col min="70" max="70" width="16" hidden="1" customWidth="1"/>
    <col min="71" max="71" width="17.28515625" hidden="1" customWidth="1"/>
    <col min="72" max="72" width="13.7109375" hidden="1" customWidth="1"/>
    <col min="73" max="73" width="25.5703125" hidden="1" customWidth="1"/>
    <col min="74" max="74" width="21.7109375" customWidth="1"/>
    <col min="75" max="75" width="16.7109375" customWidth="1"/>
    <col min="76" max="76" width="28.28515625" hidden="1" customWidth="1"/>
    <col min="77" max="77" width="26.85546875" hidden="1" customWidth="1"/>
    <col min="78" max="78" width="29" hidden="1" customWidth="1"/>
    <col min="79" max="79" width="21" hidden="1" customWidth="1"/>
    <col min="80" max="80" width="32.7109375" hidden="1" customWidth="1"/>
    <col min="81" max="81" width="31.7109375" hidden="1" customWidth="1"/>
    <col min="82" max="82" width="26.42578125" hidden="1" customWidth="1"/>
    <col min="83" max="83" width="28.7109375" customWidth="1"/>
    <col min="84" max="84" width="22.28515625" hidden="1" customWidth="1"/>
    <col min="85" max="85" width="80.28515625" hidden="1" customWidth="1"/>
    <col min="86" max="86" width="40.5703125" hidden="1" customWidth="1"/>
    <col min="87" max="87" width="55" hidden="1" customWidth="1"/>
    <col min="88" max="88" width="30.7109375" hidden="1" customWidth="1"/>
    <col min="89" max="89" width="24.5703125" hidden="1" customWidth="1"/>
    <col min="90" max="90" width="80.28515625" hidden="1" customWidth="1"/>
    <col min="91" max="91" width="81.42578125" hidden="1" customWidth="1"/>
    <col min="92" max="92" width="26.5703125" hidden="1" customWidth="1"/>
    <col min="93" max="93" width="27" hidden="1" customWidth="1"/>
    <col min="94" max="94" width="28.5703125" hidden="1" customWidth="1"/>
    <col min="95" max="95" width="23.7109375" hidden="1" customWidth="1"/>
    <col min="96" max="96" width="81.28515625" hidden="1" customWidth="1"/>
    <col min="97" max="97" width="23.28515625" hidden="1" customWidth="1"/>
    <col min="98" max="98" width="80.140625" hidden="1" customWidth="1"/>
    <col min="99" max="99" width="80.7109375" hidden="1" customWidth="1"/>
    <col min="100" max="100" width="57.7109375" hidden="1" customWidth="1"/>
    <col min="101" max="101" width="34.7109375" hidden="1" customWidth="1"/>
    <col min="102" max="102" width="29.85546875" hidden="1" customWidth="1"/>
    <col min="103" max="103" width="31.42578125" hidden="1" customWidth="1"/>
    <col min="104" max="104" width="26.7109375" hidden="1" customWidth="1"/>
    <col min="105" max="105" width="81.28515625" hidden="1" customWidth="1"/>
    <col min="106" max="106" width="26.28515625" hidden="1" customWidth="1"/>
    <col min="107" max="107" width="82" hidden="1" customWidth="1"/>
    <col min="108" max="108" width="80.7109375" hidden="1" customWidth="1"/>
    <col min="109" max="109" width="37.42578125" hidden="1" customWidth="1"/>
    <col min="110" max="110" width="34.7109375" hidden="1" customWidth="1"/>
    <col min="111" max="111" width="27.7109375" hidden="1" customWidth="1"/>
    <col min="112" max="112" width="29.28515625" hidden="1" customWidth="1"/>
    <col min="113" max="113" width="24.5703125" hidden="1" customWidth="1"/>
    <col min="114" max="114" width="81.28515625" hidden="1" customWidth="1"/>
    <col min="115" max="115" width="24.140625" hidden="1" customWidth="1"/>
    <col min="116" max="116" width="82" hidden="1" customWidth="1"/>
    <col min="117" max="117" width="80.7109375" hidden="1" customWidth="1"/>
    <col min="118" max="118" width="15.7109375" customWidth="1"/>
    <col min="119" max="119" width="30.28515625" hidden="1" customWidth="1"/>
    <col min="120" max="120" width="32.42578125" hidden="1" customWidth="1"/>
    <col min="121" max="121" width="30.28515625" hidden="1" customWidth="1"/>
    <col min="122" max="122" width="82.28515625" hidden="1" customWidth="1"/>
    <col min="123" max="123" width="22.85546875" hidden="1" customWidth="1"/>
    <col min="124" max="124" width="33.28515625" hidden="1" customWidth="1"/>
    <col min="125" max="125" width="17.28515625" hidden="1" customWidth="1"/>
    <col min="126" max="126" width="18.42578125" hidden="1" customWidth="1"/>
    <col min="127" max="127" width="21.42578125" hidden="1" customWidth="1"/>
    <col min="128" max="128" width="19.5703125" hidden="1" customWidth="1"/>
    <col min="129" max="129" width="22.7109375" hidden="1" customWidth="1"/>
    <col min="130" max="130" width="33" hidden="1" customWidth="1"/>
    <col min="131" max="131" width="82.28515625" hidden="1" customWidth="1"/>
    <col min="132" max="132" width="41.42578125" hidden="1" customWidth="1"/>
    <col min="133" max="133" width="24.7109375" hidden="1" customWidth="1"/>
    <col min="134" max="134" width="44.28515625" hidden="1" customWidth="1"/>
    <col min="135" max="135" width="22" hidden="1" customWidth="1"/>
    <col min="136" max="136" width="81.5703125" hidden="1" customWidth="1"/>
    <col min="137" max="137" width="21.7109375" hidden="1" customWidth="1"/>
    <col min="138" max="138" width="82.5703125" hidden="1" customWidth="1"/>
    <col min="139" max="139" width="80.7109375" hidden="1" customWidth="1"/>
    <col min="140" max="140" width="29.28515625" hidden="1" customWidth="1"/>
    <col min="141" max="141" width="37.7109375" hidden="1" customWidth="1"/>
    <col min="142" max="142" width="47.140625" hidden="1" customWidth="1"/>
    <col min="143" max="143" width="24.7109375" hidden="1" customWidth="1"/>
    <col min="144" max="144" width="81.5703125" hidden="1" customWidth="1"/>
    <col min="145" max="145" width="24.42578125" hidden="1" customWidth="1"/>
    <col min="146" max="146" width="82.5703125" hidden="1" customWidth="1"/>
    <col min="147" max="147" width="80.7109375" hidden="1" customWidth="1"/>
    <col min="148" max="148" width="31.42578125" hidden="1" customWidth="1"/>
    <col min="149" max="149" width="33.5703125" hidden="1" customWidth="1"/>
    <col min="150" max="150" width="31.28515625" hidden="1" customWidth="1"/>
    <col min="151" max="151" width="39.7109375" hidden="1" customWidth="1"/>
    <col min="152" max="152" width="45.28515625" hidden="1" customWidth="1"/>
    <col min="153" max="153" width="25.5703125" hidden="1" customWidth="1"/>
    <col min="154" max="154" width="26.7109375" hidden="1" customWidth="1"/>
    <col min="155" max="155" width="24.85546875" hidden="1" customWidth="1"/>
    <col min="156" max="156" width="27.85546875" hidden="1" customWidth="1"/>
    <col min="157" max="157" width="31" hidden="1" customWidth="1"/>
    <col min="158" max="158" width="34" hidden="1" customWidth="1"/>
    <col min="159" max="159" width="32.140625" hidden="1" customWidth="1"/>
    <col min="160" max="160" width="34.28515625" hidden="1" customWidth="1"/>
    <col min="161" max="161" width="32" hidden="1" customWidth="1"/>
    <col min="162" max="162" width="80.28515625" hidden="1" customWidth="1"/>
    <col min="163" max="163" width="45.28515625" hidden="1" customWidth="1"/>
    <col min="164" max="164" width="26.28515625" hidden="1" customWidth="1"/>
    <col min="165" max="165" width="27.42578125" hidden="1" customWidth="1"/>
    <col min="166" max="166" width="30.5703125" hidden="1" customWidth="1"/>
    <col min="167" max="167" width="28.5703125" hidden="1" customWidth="1"/>
    <col min="168" max="168" width="31.7109375" hidden="1" customWidth="1"/>
    <col min="169" max="169" width="33.7109375" hidden="1" customWidth="1"/>
    <col min="170" max="170" width="33.7109375" customWidth="1"/>
    <col min="171" max="171" width="24.7109375" customWidth="1"/>
    <col min="172" max="172" width="28.28515625" hidden="1" customWidth="1"/>
    <col min="173" max="173" width="20.28515625" hidden="1" customWidth="1"/>
    <col min="174" max="174" width="36.7109375" hidden="1" customWidth="1"/>
    <col min="175" max="175" width="35" hidden="1" customWidth="1"/>
    <col min="176" max="176" width="27.5703125" hidden="1" customWidth="1"/>
    <col min="177" max="177" width="25.7109375" hidden="1" customWidth="1"/>
    <col min="178" max="178" width="23.28515625" hidden="1" customWidth="1"/>
    <col min="179" max="179" width="32.7109375" hidden="1" customWidth="1"/>
    <col min="180" max="180" width="30.42578125" hidden="1" customWidth="1"/>
    <col min="181" max="181" width="33.85546875" hidden="1" customWidth="1"/>
    <col min="182" max="182" width="81.7109375" hidden="1" customWidth="1"/>
    <col min="183" max="183" width="79.28515625" hidden="1" customWidth="1"/>
    <col min="184" max="186" width="3.7109375" hidden="1" customWidth="1"/>
    <col min="187" max="187" width="20.7109375" customWidth="1"/>
    <col min="188" max="188" width="15.28515625" customWidth="1"/>
    <col min="189" max="194" width="20.7109375" customWidth="1"/>
    <col min="195" max="198" width="21.28515625" customWidth="1"/>
    <col min="199" max="199" width="29" customWidth="1"/>
    <col min="200" max="200" width="12.7109375" customWidth="1"/>
    <col min="201" max="201" width="14.7109375" customWidth="1"/>
    <col min="202" max="202" width="83.7109375" hidden="1" customWidth="1"/>
    <col min="203" max="203" width="34.42578125" hidden="1" customWidth="1"/>
    <col min="204" max="204" width="17.85546875" hidden="1" customWidth="1"/>
    <col min="205" max="205" width="15.5703125" hidden="1" customWidth="1"/>
    <col min="206" max="206" width="17.140625" hidden="1" customWidth="1"/>
    <col min="207" max="207" width="80.7109375" hidden="1" customWidth="1"/>
    <col min="208" max="208" width="24.7109375" hidden="1" customWidth="1"/>
    <col min="209" max="209" width="18.5703125" hidden="1" customWidth="1"/>
    <col min="210" max="210" width="15.85546875" hidden="1" customWidth="1"/>
    <col min="211" max="211" width="17.28515625" hidden="1" customWidth="1"/>
    <col min="212" max="212" width="24.42578125" hidden="1" customWidth="1"/>
    <col min="213" max="213" width="23.28515625" hidden="1" customWidth="1"/>
    <col min="214" max="214" width="18.42578125" hidden="1" customWidth="1"/>
    <col min="215" max="215" width="20" hidden="1" customWidth="1"/>
    <col min="216" max="216" width="23.42578125" hidden="1" customWidth="1"/>
    <col min="217" max="217" width="20.5703125" hidden="1" customWidth="1"/>
    <col min="218" max="218" width="18.42578125" hidden="1" customWidth="1"/>
    <col min="219" max="219" width="20" hidden="1" customWidth="1"/>
    <col min="220" max="220" width="23.42578125" hidden="1" customWidth="1"/>
    <col min="221" max="221" width="18.42578125" hidden="1" customWidth="1"/>
    <col min="222" max="222" width="20" hidden="1" customWidth="1"/>
    <col min="223" max="223" width="23.42578125" hidden="1" customWidth="1"/>
    <col min="224" max="224" width="17.28515625" hidden="1" customWidth="1"/>
    <col min="225" max="225" width="18.85546875" hidden="1" customWidth="1"/>
    <col min="226" max="226" width="22.28515625" hidden="1" customWidth="1"/>
    <col min="227" max="227" width="20.42578125" hidden="1" customWidth="1"/>
    <col min="228" max="228" width="17.140625" hidden="1" customWidth="1"/>
    <col min="229" max="229" width="18.7109375" hidden="1" customWidth="1"/>
    <col min="230" max="230" width="22.28515625" hidden="1" customWidth="1"/>
    <col min="231" max="231" width="20.28515625" hidden="1" customWidth="1"/>
    <col min="232" max="232" width="27.85546875" hidden="1" customWidth="1"/>
    <col min="233" max="233" width="15.85546875" hidden="1" customWidth="1"/>
    <col min="234" max="234" width="39.85546875" hidden="1" customWidth="1"/>
    <col min="235" max="235" width="43.140625" hidden="1" customWidth="1"/>
    <col min="236" max="236" width="51.28515625" hidden="1" customWidth="1"/>
    <col min="237" max="237" width="19.7109375" hidden="1" customWidth="1"/>
    <col min="238" max="238" width="17.7109375" hidden="1" customWidth="1"/>
    <col min="239" max="239" width="47.140625" hidden="1" customWidth="1"/>
    <col min="240" max="240" width="19.7109375" hidden="1" customWidth="1"/>
    <col min="241" max="241" width="17.85546875" hidden="1" customWidth="1"/>
    <col min="242" max="242" width="34.42578125" hidden="1" customWidth="1"/>
    <col min="243" max="243" width="21.7109375" hidden="1" customWidth="1"/>
    <col min="244" max="244" width="19.7109375" hidden="1" customWidth="1"/>
    <col min="245" max="245" width="36.42578125" hidden="1" customWidth="1"/>
    <col min="246" max="246" width="41.5703125" hidden="1" customWidth="1"/>
    <col min="247" max="247" width="18.7109375" hidden="1" customWidth="1"/>
    <col min="248" max="248" width="16.7109375" hidden="1" customWidth="1"/>
    <col min="249" max="249" width="18" hidden="1" customWidth="1"/>
    <col min="250" max="250" width="24.7109375" hidden="1" customWidth="1"/>
    <col min="251" max="251" width="35.5703125" hidden="1" customWidth="1"/>
    <col min="252" max="252" width="28" hidden="1" customWidth="1"/>
    <col min="253" max="253" width="31.85546875" hidden="1" customWidth="1"/>
    <col min="254" max="254" width="30.28515625" hidden="1" customWidth="1"/>
    <col min="255" max="255" width="21.140625" hidden="1" customWidth="1"/>
    <col min="256" max="256" width="25.28515625" hidden="1" customWidth="1"/>
    <col min="257" max="257" width="31.28515625" hidden="1" customWidth="1"/>
    <col min="258" max="258" width="31.5703125" hidden="1" customWidth="1"/>
    <col min="259" max="259" width="36.28515625" hidden="1" customWidth="1"/>
    <col min="260" max="260" width="12.7109375" customWidth="1"/>
    <col min="261" max="261" width="82.28515625" hidden="1" customWidth="1"/>
    <col min="262" max="262" width="49.7109375" hidden="1" customWidth="1"/>
    <col min="263" max="263" width="21.28515625" hidden="1" customWidth="1"/>
    <col min="264" max="264" width="20" hidden="1" customWidth="1"/>
    <col min="265" max="265" width="16.28515625" hidden="1" customWidth="1"/>
    <col min="266" max="266" width="15.7109375" hidden="1" customWidth="1"/>
    <col min="267" max="267" width="16" hidden="1" customWidth="1"/>
    <col min="268" max="268" width="28.7109375" hidden="1" customWidth="1"/>
    <col min="269" max="269" width="22.7109375" customWidth="1"/>
    <col min="270" max="270" width="24.28515625" hidden="1" customWidth="1"/>
    <col min="271" max="271" width="28.28515625" hidden="1" customWidth="1"/>
    <col min="272" max="272" width="27" hidden="1" customWidth="1"/>
    <col min="273" max="273" width="29.5703125" hidden="1" customWidth="1"/>
    <col min="274" max="274" width="29.140625" hidden="1" customWidth="1"/>
    <col min="275" max="275" width="28.42578125" hidden="1" customWidth="1"/>
    <col min="276" max="276" width="28.7109375" hidden="1" customWidth="1"/>
    <col min="277" max="277" width="31.7109375" hidden="1" customWidth="1"/>
    <col min="278" max="278" width="30.28515625" hidden="1" customWidth="1"/>
    <col min="279" max="279" width="27.5703125" hidden="1" customWidth="1"/>
    <col min="280" max="280" width="30" hidden="1" customWidth="1"/>
    <col min="281" max="281" width="3.7109375" hidden="1" customWidth="1"/>
    <col min="282" max="282" width="22.7109375" customWidth="1"/>
    <col min="283" max="283" width="20.7109375" hidden="1" customWidth="1"/>
    <col min="284" max="284" width="22.85546875" hidden="1" customWidth="1"/>
    <col min="285" max="285" width="33.5703125" hidden="1" customWidth="1"/>
    <col min="286" max="292" width="23.42578125" hidden="1" customWidth="1"/>
    <col min="293" max="299" width="20.7109375" customWidth="1"/>
    <col min="300" max="300" width="39.7109375" hidden="1" customWidth="1"/>
    <col min="301" max="302" width="20.7109375" customWidth="1"/>
    <col min="303" max="303" width="78.85546875" hidden="1" customWidth="1"/>
    <col min="304" max="304" width="30.5703125" hidden="1" customWidth="1"/>
    <col min="305" max="305" width="33.28515625" hidden="1" customWidth="1"/>
    <col min="306" max="306" width="22.28515625" hidden="1" customWidth="1"/>
    <col min="307" max="307" width="21.28515625" hidden="1" customWidth="1"/>
    <col min="308" max="308" width="22.7109375" hidden="1" customWidth="1"/>
    <col min="309" max="309" width="45.5703125" hidden="1" customWidth="1"/>
    <col min="310" max="310" width="28" hidden="1" customWidth="1"/>
    <col min="311" max="311" width="27.7109375" hidden="1" customWidth="1"/>
    <col min="312" max="312" width="26.85546875" hidden="1" customWidth="1"/>
    <col min="313" max="314" width="31.42578125" hidden="1" customWidth="1"/>
    <col min="315" max="315" width="32.85546875" hidden="1" customWidth="1"/>
    <col min="316" max="316" width="25.5703125" hidden="1" customWidth="1"/>
    <col min="317" max="317" width="25.140625" hidden="1" customWidth="1"/>
    <col min="318" max="318" width="28.42578125" hidden="1" customWidth="1"/>
    <col min="319" max="319" width="26.140625" hidden="1" customWidth="1"/>
    <col min="320" max="320" width="23.140625" hidden="1" customWidth="1"/>
    <col min="321" max="321" width="24.7109375" hidden="1" customWidth="1"/>
    <col min="322" max="322" width="20.5703125" hidden="1" customWidth="1"/>
    <col min="323" max="323" width="41.5703125" hidden="1" customWidth="1"/>
    <col min="324" max="324" width="29.7109375" hidden="1" customWidth="1"/>
    <col min="325" max="325" width="35.28515625" hidden="1" customWidth="1"/>
    <col min="326" max="326" width="29" hidden="1" customWidth="1"/>
    <col min="327" max="327" width="31.28515625" hidden="1" customWidth="1"/>
    <col min="328" max="328" width="45.7109375" hidden="1" customWidth="1"/>
    <col min="329" max="329" width="42.28515625" hidden="1" customWidth="1"/>
    <col min="330" max="330" width="35.85546875" hidden="1" customWidth="1"/>
    <col min="331" max="331" width="39.85546875" hidden="1" customWidth="1"/>
    <col min="332" max="332" width="31.42578125" hidden="1" customWidth="1"/>
    <col min="333" max="333" width="34.5703125" hidden="1" customWidth="1"/>
    <col min="334" max="334" width="30.85546875" hidden="1" customWidth="1"/>
    <col min="335" max="335" width="30.7109375" hidden="1" customWidth="1"/>
    <col min="336" max="336" width="32.85546875" hidden="1" customWidth="1"/>
    <col min="337" max="337" width="18.5703125" hidden="1" customWidth="1"/>
    <col min="338" max="338" width="35.7109375" hidden="1" customWidth="1"/>
    <col min="339" max="339" width="13.28515625" hidden="1" customWidth="1"/>
    <col min="340" max="340" width="30.42578125" hidden="1" customWidth="1"/>
    <col min="341" max="341" width="30.7109375" customWidth="1"/>
    <col min="342" max="342" width="29.140625" hidden="1" customWidth="1"/>
    <col min="343" max="344" width="19.7109375" hidden="1" customWidth="1"/>
    <col min="345" max="345" width="18.28515625" hidden="1" customWidth="1"/>
    <col min="346" max="346" width="35.42578125" hidden="1" customWidth="1"/>
    <col min="347" max="347" width="16.7109375" hidden="1" customWidth="1"/>
    <col min="348" max="348" width="34" hidden="1" customWidth="1"/>
    <col min="349" max="349" width="31" hidden="1" customWidth="1"/>
    <col min="350" max="350" width="27.7109375" hidden="1" customWidth="1"/>
    <col min="351" max="351" width="14.85546875" hidden="1" customWidth="1"/>
    <col min="352" max="352" width="32.140625" hidden="1" customWidth="1"/>
    <col min="353" max="353" width="27.28515625" hidden="1" customWidth="1"/>
    <col min="354" max="354" width="24" hidden="1" customWidth="1"/>
    <col min="355" max="355" width="24.28515625" hidden="1" customWidth="1"/>
    <col min="356" max="356" width="13" hidden="1" customWidth="1"/>
    <col min="357" max="357" width="36.140625" hidden="1" customWidth="1"/>
    <col min="358" max="358" width="14.28515625" hidden="1" customWidth="1"/>
    <col min="359" max="359" width="31.42578125" hidden="1" customWidth="1"/>
    <col min="360" max="360" width="30.28515625" hidden="1" customWidth="1"/>
    <col min="361" max="362" width="31.42578125" hidden="1" customWidth="1"/>
    <col min="363" max="363" width="14" hidden="1" customWidth="1"/>
    <col min="364" max="364" width="31.28515625" hidden="1" customWidth="1"/>
    <col min="365" max="365" width="21.7109375" hidden="1" customWidth="1"/>
    <col min="366" max="366" width="39" hidden="1" customWidth="1"/>
    <col min="367" max="367" width="20.7109375" hidden="1" customWidth="1"/>
    <col min="368" max="368" width="38.140625" hidden="1" customWidth="1"/>
    <col min="369" max="369" width="12.85546875" hidden="1" customWidth="1"/>
    <col min="370" max="370" width="30.140625" hidden="1" customWidth="1"/>
    <col min="371" max="371" width="22.7109375" hidden="1" customWidth="1"/>
    <col min="372" max="372" width="33.42578125" hidden="1" customWidth="1"/>
    <col min="373" max="373" width="40" bestFit="1" customWidth="1"/>
    <col min="374" max="375" width="37.5703125" hidden="1" customWidth="1"/>
    <col min="376" max="376" width="23.7109375" hidden="1" customWidth="1"/>
    <col min="377" max="377" width="24.7109375" customWidth="1"/>
    <col min="378" max="378" width="25.28515625" hidden="1" customWidth="1"/>
    <col min="379" max="379" width="17.7109375" customWidth="1"/>
    <col min="380" max="380" width="17.7109375" hidden="1" customWidth="1"/>
    <col min="381" max="381" width="50.42578125" hidden="1" customWidth="1"/>
    <col min="382" max="382" width="17.7109375" customWidth="1"/>
    <col min="383" max="383" width="23.42578125" hidden="1" customWidth="1"/>
    <col min="384" max="384" width="8.7109375" customWidth="1"/>
    <col min="385" max="385" width="25.85546875" hidden="1" customWidth="1"/>
    <col min="386" max="386" width="16" hidden="1" customWidth="1"/>
    <col min="387" max="387" width="58.7109375" hidden="1" customWidth="1"/>
    <col min="388" max="388" width="24.7109375" hidden="1" customWidth="1"/>
    <col min="389" max="389" width="78.28515625" hidden="1" customWidth="1"/>
    <col min="390" max="390" width="17.7109375" hidden="1" customWidth="1"/>
    <col min="391" max="391" width="80.28515625" hidden="1" customWidth="1"/>
    <col min="392" max="393" width="54.28515625" hidden="1" customWidth="1"/>
    <col min="394" max="394" width="17.5703125" hidden="1" customWidth="1"/>
    <col min="395" max="395" width="79" hidden="1" customWidth="1"/>
    <col min="396" max="396" width="25" hidden="1" customWidth="1"/>
    <col min="397" max="397" width="23.85546875" hidden="1" customWidth="1"/>
    <col min="398" max="398" width="32.5703125" hidden="1" customWidth="1"/>
    <col min="399" max="399" width="19" hidden="1" customWidth="1"/>
    <col min="400" max="400" width="21.42578125" hidden="1" customWidth="1"/>
    <col min="401" max="402" width="23.85546875" hidden="1" customWidth="1"/>
    <col min="403" max="403" width="23.42578125" hidden="1" customWidth="1"/>
    <col min="404" max="404" width="21.42578125" hidden="1" customWidth="1"/>
    <col min="405" max="405" width="25.28515625" hidden="1" customWidth="1"/>
    <col min="406" max="406" width="25.42578125" hidden="1" customWidth="1"/>
    <col min="407" max="407" width="29.140625" hidden="1" customWidth="1"/>
    <col min="408" max="408" width="29.42578125" hidden="1" customWidth="1"/>
    <col min="409" max="409" width="32.42578125" hidden="1" customWidth="1"/>
    <col min="410" max="411" width="18.7109375" customWidth="1"/>
    <col min="412" max="412" width="19" hidden="1" customWidth="1"/>
    <col min="413" max="413" width="53.7109375" hidden="1" customWidth="1"/>
    <col min="414" max="414" width="22.7109375" customWidth="1"/>
    <col min="415" max="415" width="27.7109375" customWidth="1"/>
    <col min="416" max="416" width="28.7109375" hidden="1" customWidth="1"/>
    <col min="417" max="417" width="25" hidden="1" customWidth="1"/>
    <col min="418" max="418" width="27.7109375" hidden="1" customWidth="1"/>
    <col min="419" max="419" width="29.28515625" hidden="1" customWidth="1"/>
    <col min="420" max="420" width="25.7109375" hidden="1" customWidth="1"/>
    <col min="421" max="421" width="20.5703125" hidden="1" customWidth="1"/>
    <col min="422" max="422" width="22.28515625" hidden="1" customWidth="1"/>
    <col min="423" max="423" width="18.5703125" hidden="1" customWidth="1"/>
    <col min="424" max="424" width="22.5703125" hidden="1" customWidth="1"/>
    <col min="425" max="425" width="24.140625" hidden="1" customWidth="1"/>
    <col min="426" max="426" width="20.42578125" hidden="1" customWidth="1"/>
    <col min="427" max="427" width="32.28515625" hidden="1" customWidth="1"/>
    <col min="428" max="428" width="33.7109375" hidden="1" customWidth="1"/>
    <col min="429" max="429" width="30.28515625" hidden="1" customWidth="1"/>
    <col min="430" max="430" width="22.7109375" hidden="1" customWidth="1"/>
    <col min="431" max="431" width="24.28515625" hidden="1" customWidth="1"/>
    <col min="432" max="432" width="20.7109375" hidden="1" customWidth="1"/>
    <col min="433" max="433" width="17.7109375" hidden="1" customWidth="1"/>
    <col min="434" max="434" width="36.5703125" hidden="1" customWidth="1"/>
    <col min="435" max="435" width="38.28515625" hidden="1" customWidth="1"/>
    <col min="436" max="436" width="34.5703125" hidden="1" customWidth="1"/>
    <col min="437" max="437" width="27.140625" hidden="1" customWidth="1"/>
    <col min="438" max="438" width="28.7109375" hidden="1" customWidth="1"/>
    <col min="439" max="439" width="25" hidden="1" customWidth="1"/>
    <col min="440" max="440" width="18" hidden="1" customWidth="1"/>
    <col min="441" max="441" width="19.5703125" hidden="1" customWidth="1"/>
    <col min="442" max="442" width="21.140625" hidden="1" customWidth="1"/>
    <col min="443" max="443" width="17.5703125" hidden="1" customWidth="1"/>
    <col min="444" max="444" width="20.85546875" hidden="1" customWidth="1"/>
    <col min="445" max="445" width="22.5703125" hidden="1" customWidth="1"/>
    <col min="446" max="446" width="18.85546875" hidden="1" customWidth="1"/>
    <col min="447" max="447" width="23.28515625" hidden="1" customWidth="1"/>
    <col min="448" max="448" width="24.85546875" hidden="1" customWidth="1"/>
    <col min="449" max="449" width="21.28515625" hidden="1" customWidth="1"/>
    <col min="450" max="450" width="25.140625" hidden="1" customWidth="1"/>
    <col min="451" max="451" width="26.85546875" hidden="1" customWidth="1"/>
    <col min="452" max="452" width="23.140625" hidden="1" customWidth="1"/>
    <col min="453" max="453" width="27.42578125" hidden="1" customWidth="1"/>
    <col min="454" max="454" width="29" hidden="1" customWidth="1"/>
    <col min="455" max="455" width="25.28515625" hidden="1" customWidth="1"/>
    <col min="456" max="456" width="23.42578125" hidden="1" customWidth="1"/>
    <col min="457" max="457" width="25" hidden="1" customWidth="1"/>
    <col min="458" max="458" width="21.28515625" hidden="1" customWidth="1"/>
    <col min="459" max="459" width="37.7109375" hidden="1" customWidth="1"/>
    <col min="460" max="460" width="39.42578125" hidden="1" customWidth="1"/>
    <col min="461" max="461" width="35.7109375" hidden="1" customWidth="1"/>
    <col min="462" max="462" width="26.5703125" hidden="1" customWidth="1"/>
    <col min="463" max="463" width="28.140625" hidden="1" customWidth="1"/>
    <col min="464" max="464" width="24.42578125" hidden="1" customWidth="1"/>
    <col min="465" max="465" width="17.7109375" hidden="1" customWidth="1"/>
    <col min="466" max="466" width="36.7109375" hidden="1" customWidth="1"/>
    <col min="467" max="467" width="38.28515625" hidden="1" customWidth="1"/>
    <col min="468" max="468" width="34.7109375" hidden="1" customWidth="1"/>
    <col min="469" max="469" width="37.42578125" hidden="1" customWidth="1"/>
    <col min="470" max="470" width="33.7109375" hidden="1" customWidth="1"/>
    <col min="471" max="471" width="24.28515625" hidden="1" customWidth="1"/>
    <col min="472" max="472" width="26" hidden="1" customWidth="1"/>
    <col min="473" max="473" width="22.28515625" hidden="1" customWidth="1"/>
    <col min="474" max="474" width="23.7109375" hidden="1" customWidth="1"/>
    <col min="475" max="475" width="25.28515625" hidden="1" customWidth="1"/>
    <col min="476" max="476" width="26" hidden="1" customWidth="1"/>
    <col min="477" max="477" width="19.28515625" hidden="1" customWidth="1"/>
    <col min="478" max="478" width="20.85546875" hidden="1" customWidth="1"/>
    <col min="479" max="479" width="16.5703125" hidden="1" customWidth="1"/>
    <col min="480" max="480" width="18.28515625" hidden="1" customWidth="1"/>
    <col min="481" max="481" width="27.5703125" hidden="1" customWidth="1"/>
    <col min="482" max="482" width="29.140625" hidden="1" customWidth="1"/>
    <col min="483" max="483" width="25.42578125" hidden="1" customWidth="1"/>
    <col min="484" max="484" width="27.28515625" hidden="1" customWidth="1"/>
    <col min="485" max="485" width="28.7109375" hidden="1" customWidth="1"/>
    <col min="486" max="486" width="25.140625" hidden="1" customWidth="1"/>
    <col min="487" max="487" width="19.85546875" hidden="1" customWidth="1"/>
    <col min="488" max="488" width="31.140625" hidden="1" customWidth="1"/>
    <col min="489" max="489" width="32.7109375" hidden="1" customWidth="1"/>
    <col min="490" max="490" width="29" hidden="1" customWidth="1"/>
    <col min="491" max="491" width="24" hidden="1" customWidth="1"/>
    <col min="492" max="492" width="21.7109375" hidden="1" customWidth="1"/>
    <col min="493" max="493" width="23.7109375" hidden="1" customWidth="1"/>
    <col min="494" max="494" width="25.28515625" hidden="1" customWidth="1"/>
    <col min="495" max="495" width="21.7109375" hidden="1" customWidth="1"/>
    <col min="496" max="496" width="20.85546875" hidden="1" customWidth="1"/>
    <col min="497" max="497" width="17" hidden="1" customWidth="1"/>
    <col min="498" max="498" width="13.42578125" hidden="1" customWidth="1"/>
    <col min="499" max="499" width="13.28515625" hidden="1" customWidth="1"/>
    <col min="500" max="500" width="17.5703125" hidden="1" customWidth="1"/>
    <col min="501" max="501" width="13.85546875" hidden="1" customWidth="1"/>
    <col min="502" max="502" width="15.140625" hidden="1" customWidth="1"/>
    <col min="503" max="503" width="16.7109375" hidden="1" customWidth="1"/>
    <col min="504" max="504" width="14.140625" hidden="1" customWidth="1"/>
    <col min="505" max="505" width="52" hidden="1" customWidth="1"/>
    <col min="506" max="506" width="82.42578125" hidden="1" customWidth="1"/>
    <col min="507" max="507" width="82.28515625" hidden="1" customWidth="1"/>
    <col min="508" max="508" width="80.85546875" hidden="1" customWidth="1"/>
    <col min="509" max="509" width="29.85546875" hidden="1" customWidth="1"/>
    <col min="510" max="510" width="25.140625" hidden="1" customWidth="1"/>
    <col min="511" max="511" width="25.85546875" hidden="1" customWidth="1"/>
    <col min="512" max="512" width="26" hidden="1" customWidth="1"/>
    <col min="513" max="513" width="26.7109375" hidden="1" customWidth="1"/>
    <col min="514" max="514" width="25.42578125" hidden="1" customWidth="1"/>
    <col min="515" max="515" width="26.28515625" hidden="1" customWidth="1"/>
    <col min="516" max="516" width="25.42578125" hidden="1" customWidth="1"/>
    <col min="517" max="520" width="26.28515625" hidden="1" customWidth="1"/>
    <col min="521" max="521" width="26.7109375" hidden="1" customWidth="1"/>
    <col min="522" max="522" width="20.5703125" hidden="1" customWidth="1"/>
    <col min="523" max="523" width="27.7109375" hidden="1" customWidth="1"/>
    <col min="524" max="524" width="23.85546875" hidden="1" customWidth="1"/>
    <col min="525" max="525" width="29.28515625" hidden="1" customWidth="1"/>
    <col min="526" max="526" width="27.7109375" hidden="1" customWidth="1"/>
    <col min="527" max="527" width="23.85546875" hidden="1" customWidth="1"/>
    <col min="528" max="528" width="29.28515625" hidden="1" customWidth="1"/>
    <col min="529" max="529" width="28.28515625" hidden="1" customWidth="1"/>
    <col min="530" max="530" width="28.7109375" hidden="1" customWidth="1"/>
    <col min="531" max="531" width="24.28515625" hidden="1" customWidth="1"/>
    <col min="532" max="532" width="25.28515625" hidden="1" customWidth="1"/>
    <col min="533" max="533" width="24.140625" hidden="1" customWidth="1"/>
    <col min="534" max="534" width="24.7109375" hidden="1" customWidth="1"/>
    <col min="535" max="535" width="24.85546875" hidden="1" customWidth="1"/>
    <col min="536" max="536" width="25.5703125" hidden="1" customWidth="1"/>
    <col min="537" max="537" width="24.42578125" hidden="1" customWidth="1"/>
    <col min="538" max="538" width="25.140625" hidden="1" customWidth="1"/>
    <col min="539" max="539" width="24.42578125" hidden="1" customWidth="1"/>
    <col min="540" max="541" width="25.140625" hidden="1" customWidth="1"/>
    <col min="542" max="542" width="19.5703125" hidden="1" customWidth="1"/>
    <col min="543" max="543" width="26.7109375" hidden="1" customWidth="1"/>
    <col min="544" max="544" width="22.85546875" hidden="1" customWidth="1"/>
    <col min="545" max="545" width="28.28515625" hidden="1" customWidth="1"/>
    <col min="546" max="546" width="26.7109375" hidden="1" customWidth="1"/>
    <col min="547" max="547" width="22.85546875" hidden="1" customWidth="1"/>
    <col min="548" max="548" width="28.28515625" hidden="1" customWidth="1"/>
    <col min="549" max="549" width="27.28515625" hidden="1" customWidth="1"/>
    <col min="550" max="550" width="27.7109375" hidden="1" customWidth="1"/>
    <col min="551" max="551" width="22.42578125" hidden="1" customWidth="1"/>
    <col min="552" max="552" width="23.28515625" hidden="1" customWidth="1"/>
    <col min="553" max="553" width="24.28515625" hidden="1" customWidth="1"/>
    <col min="554" max="554" width="14.5703125" hidden="1" customWidth="1"/>
    <col min="555" max="555" width="17.85546875" hidden="1" customWidth="1"/>
    <col min="556" max="556" width="19.85546875" hidden="1" customWidth="1"/>
    <col min="557" max="557" width="25.42578125" hidden="1" customWidth="1"/>
    <col min="558" max="558" width="24.42578125" hidden="1" customWidth="1"/>
    <col min="559" max="559" width="21.42578125" hidden="1" customWidth="1"/>
    <col min="560" max="560" width="15.85546875" hidden="1" customWidth="1"/>
    <col min="561" max="561" width="14.85546875" hidden="1" customWidth="1"/>
    <col min="562" max="562" width="23.5703125" hidden="1" customWidth="1"/>
    <col min="563" max="563" width="15.5703125" hidden="1" customWidth="1"/>
    <col min="564" max="564" width="17.5703125" hidden="1" customWidth="1"/>
    <col min="565" max="565" width="17.28515625" hidden="1" customWidth="1"/>
    <col min="566" max="566" width="31.5703125" hidden="1" customWidth="1"/>
    <col min="567" max="567" width="18.140625" hidden="1" customWidth="1"/>
    <col min="568" max="568" width="32.140625" hidden="1" customWidth="1"/>
    <col min="569" max="569" width="17.7109375" hidden="1" customWidth="1"/>
    <col min="570" max="570" width="17.5703125" hidden="1" customWidth="1"/>
    <col min="571" max="571" width="31.7109375" hidden="1" customWidth="1"/>
    <col min="572" max="572" width="22.28515625" hidden="1" customWidth="1"/>
    <col min="573" max="573" width="18.7109375" hidden="1" customWidth="1"/>
    <col min="574" max="574" width="22.28515625" hidden="1" customWidth="1"/>
    <col min="575" max="575" width="18.7109375" hidden="1" customWidth="1"/>
    <col min="576" max="576" width="23.85546875" hidden="1" customWidth="1"/>
    <col min="577" max="577" width="29" hidden="1" customWidth="1"/>
    <col min="578" max="578" width="29.7109375" hidden="1" customWidth="1"/>
    <col min="579" max="579" width="33.5703125" hidden="1" customWidth="1"/>
    <col min="580" max="580" width="29.7109375" hidden="1" customWidth="1"/>
    <col min="581" max="581" width="25.7109375" customWidth="1"/>
    <col min="582" max="582" width="81" hidden="1" customWidth="1"/>
    <col min="583" max="583" width="83.28515625" hidden="1" customWidth="1"/>
    <col min="584" max="585" width="9.7109375" customWidth="1"/>
    <col min="586" max="586" width="15.5703125" customWidth="1"/>
    <col min="587" max="587" width="20.85546875" bestFit="1" customWidth="1"/>
    <col min="588" max="589" width="13.7109375" customWidth="1"/>
    <col min="590" max="592" width="9.7109375" customWidth="1"/>
    <col min="593" max="593" width="15.7109375" customWidth="1"/>
    <col min="594" max="594" width="13.7109375" customWidth="1"/>
    <col min="595" max="595" width="9.7109375" customWidth="1"/>
    <col min="596" max="596" width="23.7109375" customWidth="1"/>
    <col min="597" max="604" width="9.7109375" customWidth="1"/>
  </cols>
  <sheetData>
    <row r="1" spans="1:622" s="9" customFormat="1" x14ac:dyDescent="0.25">
      <c r="A1" s="1" t="s">
        <v>0</v>
      </c>
      <c r="B1" s="10" t="s">
        <v>1</v>
      </c>
      <c r="C1" s="10" t="s">
        <v>2027</v>
      </c>
      <c r="D1" s="1" t="s">
        <v>2028</v>
      </c>
      <c r="E1" s="1" t="s">
        <v>2029</v>
      </c>
      <c r="F1" s="1" t="s">
        <v>2030</v>
      </c>
      <c r="G1" s="1" t="s">
        <v>2031</v>
      </c>
      <c r="H1" s="1" t="s">
        <v>2032</v>
      </c>
      <c r="I1" s="1" t="s">
        <v>2033</v>
      </c>
      <c r="J1" s="1" t="s">
        <v>2034</v>
      </c>
      <c r="K1" s="1" t="s">
        <v>2035</v>
      </c>
      <c r="L1" s="1" t="s">
        <v>2036</v>
      </c>
      <c r="M1" s="1" t="s">
        <v>2037</v>
      </c>
      <c r="N1" s="1" t="s">
        <v>2038</v>
      </c>
      <c r="O1" s="1" t="s">
        <v>2039</v>
      </c>
      <c r="P1" s="1" t="s">
        <v>2040</v>
      </c>
      <c r="Q1" s="1" t="s">
        <v>2041</v>
      </c>
      <c r="R1" s="1" t="s">
        <v>2042</v>
      </c>
      <c r="S1" s="1" t="s">
        <v>2043</v>
      </c>
      <c r="T1" s="1" t="s">
        <v>2044</v>
      </c>
      <c r="U1" s="1" t="s">
        <v>2045</v>
      </c>
      <c r="V1" s="1" t="s">
        <v>2046</v>
      </c>
      <c r="W1" s="1" t="s">
        <v>2047</v>
      </c>
      <c r="X1" s="1" t="s">
        <v>2048</v>
      </c>
      <c r="Y1" s="1" t="s">
        <v>2049</v>
      </c>
      <c r="Z1" s="1" t="s">
        <v>2050</v>
      </c>
      <c r="AA1" s="1" t="s">
        <v>2051</v>
      </c>
      <c r="AB1" s="1" t="s">
        <v>2052</v>
      </c>
      <c r="AC1" s="1" t="s">
        <v>2053</v>
      </c>
      <c r="AD1" s="1" t="s">
        <v>2054</v>
      </c>
      <c r="AE1" s="1" t="s">
        <v>2055</v>
      </c>
      <c r="AF1" s="1" t="s">
        <v>2056</v>
      </c>
      <c r="AG1" s="1" t="s">
        <v>2057</v>
      </c>
      <c r="AH1" s="1" t="s">
        <v>2058</v>
      </c>
      <c r="AI1" s="1" t="s">
        <v>2059</v>
      </c>
      <c r="AJ1" s="1" t="s">
        <v>2060</v>
      </c>
      <c r="AK1" s="1" t="s">
        <v>2061</v>
      </c>
      <c r="AL1" s="11" t="s">
        <v>2062</v>
      </c>
      <c r="AM1" s="11" t="s">
        <v>2063</v>
      </c>
      <c r="AN1" s="11" t="s">
        <v>2064</v>
      </c>
      <c r="AO1" s="11" t="s">
        <v>2065</v>
      </c>
      <c r="AP1" s="11" t="s">
        <v>2066</v>
      </c>
      <c r="AQ1" s="11" t="s">
        <v>2067</v>
      </c>
      <c r="AR1" s="11" t="s">
        <v>2068</v>
      </c>
      <c r="AS1" s="11" t="s">
        <v>2069</v>
      </c>
      <c r="AT1" s="1" t="s">
        <v>2070</v>
      </c>
      <c r="AU1" s="1" t="s">
        <v>2071</v>
      </c>
      <c r="AV1" s="1" t="s">
        <v>2072</v>
      </c>
      <c r="AW1" s="1" t="s">
        <v>2073</v>
      </c>
      <c r="AX1" s="1" t="s">
        <v>2074</v>
      </c>
      <c r="AY1" s="1" t="s">
        <v>2075</v>
      </c>
      <c r="AZ1" s="1" t="s">
        <v>2076</v>
      </c>
      <c r="BA1" s="1" t="s">
        <v>2077</v>
      </c>
      <c r="BB1" s="1" t="s">
        <v>2078</v>
      </c>
      <c r="BC1" s="1" t="s">
        <v>2079</v>
      </c>
      <c r="BD1" s="1" t="s">
        <v>2080</v>
      </c>
      <c r="BE1" s="1" t="s">
        <v>2081</v>
      </c>
      <c r="BF1" s="1" t="s">
        <v>2082</v>
      </c>
      <c r="BG1" s="1" t="s">
        <v>2083</v>
      </c>
      <c r="BH1" s="1" t="s">
        <v>2084</v>
      </c>
      <c r="BI1" s="1" t="s">
        <v>2085</v>
      </c>
      <c r="BJ1" s="1" t="s">
        <v>2086</v>
      </c>
      <c r="BK1" s="1" t="s">
        <v>2087</v>
      </c>
      <c r="BL1" s="1" t="s">
        <v>2088</v>
      </c>
      <c r="BM1" s="1" t="s">
        <v>2089</v>
      </c>
      <c r="BN1" s="1" t="s">
        <v>2090</v>
      </c>
      <c r="BO1" s="1" t="s">
        <v>2091</v>
      </c>
      <c r="BP1" s="1" t="s">
        <v>2092</v>
      </c>
      <c r="BQ1" s="1" t="s">
        <v>2093</v>
      </c>
      <c r="BR1" s="1" t="s">
        <v>2094</v>
      </c>
      <c r="BS1" s="1" t="s">
        <v>2095</v>
      </c>
      <c r="BT1" s="1" t="s">
        <v>2096</v>
      </c>
      <c r="BU1" s="1" t="s">
        <v>2097</v>
      </c>
      <c r="BV1" s="10" t="s">
        <v>2098</v>
      </c>
      <c r="BW1" s="10" t="s">
        <v>2</v>
      </c>
      <c r="BX1" s="1" t="s">
        <v>2099</v>
      </c>
      <c r="BY1" s="1" t="s">
        <v>2100</v>
      </c>
      <c r="BZ1" s="1" t="s">
        <v>2101</v>
      </c>
      <c r="CA1" s="1" t="s">
        <v>2102</v>
      </c>
      <c r="CB1" s="1" t="s">
        <v>2103</v>
      </c>
      <c r="CC1" s="1" t="s">
        <v>2104</v>
      </c>
      <c r="CD1" s="1" t="s">
        <v>2105</v>
      </c>
      <c r="CE1" s="10" t="s">
        <v>2106</v>
      </c>
      <c r="CF1" s="1" t="s">
        <v>2107</v>
      </c>
      <c r="CG1" s="1" t="s">
        <v>2108</v>
      </c>
      <c r="CH1" s="1" t="s">
        <v>2109</v>
      </c>
      <c r="CI1" s="1" t="s">
        <v>2110</v>
      </c>
      <c r="CJ1" s="1" t="s">
        <v>2111</v>
      </c>
      <c r="CK1" s="1" t="s">
        <v>2112</v>
      </c>
      <c r="CL1" s="1" t="s">
        <v>2113</v>
      </c>
      <c r="CM1" s="1" t="s">
        <v>2114</v>
      </c>
      <c r="CN1" s="1" t="s">
        <v>2115</v>
      </c>
      <c r="CO1" s="1" t="s">
        <v>2116</v>
      </c>
      <c r="CP1" s="1" t="s">
        <v>2117</v>
      </c>
      <c r="CQ1" s="1" t="s">
        <v>2118</v>
      </c>
      <c r="CR1" s="1" t="s">
        <v>2119</v>
      </c>
      <c r="CS1" s="1" t="s">
        <v>2120</v>
      </c>
      <c r="CT1" s="1" t="s">
        <v>2121</v>
      </c>
      <c r="CU1" s="1" t="s">
        <v>2122</v>
      </c>
      <c r="CV1" s="1" t="s">
        <v>2123</v>
      </c>
      <c r="CW1" s="1" t="s">
        <v>2124</v>
      </c>
      <c r="CX1" s="1" t="s">
        <v>2125</v>
      </c>
      <c r="CY1" s="1" t="s">
        <v>2126</v>
      </c>
      <c r="CZ1" s="1" t="s">
        <v>2127</v>
      </c>
      <c r="DA1" s="1" t="s">
        <v>2128</v>
      </c>
      <c r="DB1" s="1" t="s">
        <v>2129</v>
      </c>
      <c r="DC1" s="1" t="s">
        <v>2130</v>
      </c>
      <c r="DD1" s="1" t="s">
        <v>2131</v>
      </c>
      <c r="DE1" s="1" t="s">
        <v>2132</v>
      </c>
      <c r="DF1" s="1" t="s">
        <v>2133</v>
      </c>
      <c r="DG1" s="1" t="s">
        <v>2134</v>
      </c>
      <c r="DH1" s="1" t="s">
        <v>2135</v>
      </c>
      <c r="DI1" s="1" t="s">
        <v>2136</v>
      </c>
      <c r="DJ1" s="1" t="s">
        <v>2137</v>
      </c>
      <c r="DK1" s="1" t="s">
        <v>2138</v>
      </c>
      <c r="DL1" s="1" t="s">
        <v>2139</v>
      </c>
      <c r="DM1" s="1" t="s">
        <v>2140</v>
      </c>
      <c r="DN1" s="10" t="s">
        <v>2141</v>
      </c>
      <c r="DO1" s="1" t="s">
        <v>2142</v>
      </c>
      <c r="DP1" s="1" t="s">
        <v>2143</v>
      </c>
      <c r="DQ1" s="1" t="s">
        <v>2144</v>
      </c>
      <c r="DR1" s="1" t="s">
        <v>2145</v>
      </c>
      <c r="DS1" s="1" t="s">
        <v>2146</v>
      </c>
      <c r="DT1" s="1" t="s">
        <v>2147</v>
      </c>
      <c r="DU1" s="1" t="s">
        <v>2148</v>
      </c>
      <c r="DV1" s="1" t="s">
        <v>2149</v>
      </c>
      <c r="DW1" s="1" t="s">
        <v>2150</v>
      </c>
      <c r="DX1" s="1" t="s">
        <v>2151</v>
      </c>
      <c r="DY1" s="1" t="s">
        <v>2152</v>
      </c>
      <c r="DZ1" s="1" t="s">
        <v>2153</v>
      </c>
      <c r="EA1" s="1" t="s">
        <v>2154</v>
      </c>
      <c r="EB1" s="1" t="s">
        <v>2155</v>
      </c>
      <c r="EC1" s="1" t="s">
        <v>2156</v>
      </c>
      <c r="ED1" s="1" t="s">
        <v>2157</v>
      </c>
      <c r="EE1" s="1" t="s">
        <v>2158</v>
      </c>
      <c r="EF1" s="1" t="s">
        <v>2159</v>
      </c>
      <c r="EG1" s="1" t="s">
        <v>2160</v>
      </c>
      <c r="EH1" s="1" t="s">
        <v>2161</v>
      </c>
      <c r="EI1" s="1" t="s">
        <v>2162</v>
      </c>
      <c r="EJ1" s="1" t="s">
        <v>2163</v>
      </c>
      <c r="EK1" s="1" t="s">
        <v>2164</v>
      </c>
      <c r="EL1" s="1" t="s">
        <v>2165</v>
      </c>
      <c r="EM1" s="1" t="s">
        <v>2166</v>
      </c>
      <c r="EN1" s="1" t="s">
        <v>2167</v>
      </c>
      <c r="EO1" s="1" t="s">
        <v>2168</v>
      </c>
      <c r="EP1" s="1" t="s">
        <v>2169</v>
      </c>
      <c r="EQ1" s="1" t="s">
        <v>2170</v>
      </c>
      <c r="ER1" s="1" t="s">
        <v>2171</v>
      </c>
      <c r="ES1" s="1" t="s">
        <v>2172</v>
      </c>
      <c r="ET1" s="1" t="s">
        <v>2173</v>
      </c>
      <c r="EU1" s="1" t="s">
        <v>2174</v>
      </c>
      <c r="EV1" s="1" t="s">
        <v>2175</v>
      </c>
      <c r="EW1" s="1" t="s">
        <v>2176</v>
      </c>
      <c r="EX1" s="1" t="s">
        <v>2177</v>
      </c>
      <c r="EY1" s="1" t="s">
        <v>2178</v>
      </c>
      <c r="EZ1" s="1" t="s">
        <v>2179</v>
      </c>
      <c r="FA1" s="1" t="s">
        <v>2180</v>
      </c>
      <c r="FB1" s="1" t="s">
        <v>2181</v>
      </c>
      <c r="FC1" s="1" t="s">
        <v>2182</v>
      </c>
      <c r="FD1" s="1" t="s">
        <v>2183</v>
      </c>
      <c r="FE1" s="1" t="s">
        <v>2184</v>
      </c>
      <c r="FF1" s="1" t="s">
        <v>2185</v>
      </c>
      <c r="FG1" s="1" t="s">
        <v>2186</v>
      </c>
      <c r="FH1" s="1" t="s">
        <v>2187</v>
      </c>
      <c r="FI1" s="1" t="s">
        <v>2188</v>
      </c>
      <c r="FJ1" s="1" t="s">
        <v>2189</v>
      </c>
      <c r="FK1" s="1" t="s">
        <v>2190</v>
      </c>
      <c r="FL1" s="1" t="s">
        <v>2191</v>
      </c>
      <c r="FM1" s="1" t="s">
        <v>2192</v>
      </c>
      <c r="FN1" s="10" t="s">
        <v>2193</v>
      </c>
      <c r="FO1" s="10" t="s">
        <v>2194</v>
      </c>
      <c r="FP1" s="1" t="s">
        <v>2195</v>
      </c>
      <c r="FQ1" s="1" t="s">
        <v>2196</v>
      </c>
      <c r="FR1" s="1" t="s">
        <v>2197</v>
      </c>
      <c r="FS1" s="1" t="s">
        <v>2198</v>
      </c>
      <c r="FT1" s="1" t="s">
        <v>2199</v>
      </c>
      <c r="FU1" s="1" t="s">
        <v>2200</v>
      </c>
      <c r="FV1" s="1" t="s">
        <v>2201</v>
      </c>
      <c r="FW1" s="1" t="s">
        <v>2202</v>
      </c>
      <c r="FX1" s="1" t="s">
        <v>2203</v>
      </c>
      <c r="FY1" s="1" t="s">
        <v>2204</v>
      </c>
      <c r="FZ1" s="1" t="s">
        <v>2205</v>
      </c>
      <c r="GA1" s="1" t="s">
        <v>2206</v>
      </c>
      <c r="GB1" s="1"/>
      <c r="GC1" s="1"/>
      <c r="GD1" s="1"/>
      <c r="GE1" s="10" t="s">
        <v>3</v>
      </c>
      <c r="GF1" s="1" t="s">
        <v>2208</v>
      </c>
      <c r="GG1" s="59" t="s">
        <v>2207</v>
      </c>
      <c r="GH1" s="59" t="s">
        <v>2209</v>
      </c>
      <c r="GI1" s="59" t="s">
        <v>2210</v>
      </c>
      <c r="GJ1" s="59" t="s">
        <v>2211</v>
      </c>
      <c r="GK1" s="1" t="s">
        <v>2640</v>
      </c>
      <c r="GL1" s="59" t="s">
        <v>2212</v>
      </c>
      <c r="GM1" s="1" t="s">
        <v>4168</v>
      </c>
      <c r="GN1" s="1" t="s">
        <v>4169</v>
      </c>
      <c r="GO1" s="1" t="s">
        <v>4170</v>
      </c>
      <c r="GP1" s="37" t="s">
        <v>4171</v>
      </c>
      <c r="GQ1" s="1" t="s">
        <v>2213</v>
      </c>
      <c r="GR1" s="10" t="s">
        <v>4</v>
      </c>
      <c r="GS1" s="10" t="s">
        <v>2214</v>
      </c>
      <c r="GT1" s="1" t="s">
        <v>2215</v>
      </c>
      <c r="GU1" s="1" t="s">
        <v>2216</v>
      </c>
      <c r="GV1" s="1" t="s">
        <v>2217</v>
      </c>
      <c r="GW1" s="1" t="s">
        <v>2218</v>
      </c>
      <c r="GX1" s="1" t="s">
        <v>2219</v>
      </c>
      <c r="GY1" s="1" t="s">
        <v>2220</v>
      </c>
      <c r="GZ1" s="1" t="s">
        <v>2221</v>
      </c>
      <c r="HA1" s="1" t="s">
        <v>2222</v>
      </c>
      <c r="HB1" s="1" t="s">
        <v>2223</v>
      </c>
      <c r="HC1" s="1" t="s">
        <v>2224</v>
      </c>
      <c r="HD1" s="1" t="s">
        <v>2225</v>
      </c>
      <c r="HE1" s="1" t="s">
        <v>2226</v>
      </c>
      <c r="HF1" s="1" t="s">
        <v>2227</v>
      </c>
      <c r="HG1" s="1" t="s">
        <v>2228</v>
      </c>
      <c r="HH1" s="1" t="s">
        <v>2229</v>
      </c>
      <c r="HI1" s="1" t="s">
        <v>2230</v>
      </c>
      <c r="HJ1" s="1" t="s">
        <v>2231</v>
      </c>
      <c r="HK1" s="1" t="s">
        <v>2232</v>
      </c>
      <c r="HL1" s="1" t="s">
        <v>2233</v>
      </c>
      <c r="HM1" s="1" t="s">
        <v>2234</v>
      </c>
      <c r="HN1" s="1" t="s">
        <v>2235</v>
      </c>
      <c r="HO1" s="1" t="s">
        <v>2236</v>
      </c>
      <c r="HP1" s="1" t="s">
        <v>2237</v>
      </c>
      <c r="HQ1" s="1" t="s">
        <v>2238</v>
      </c>
      <c r="HR1" s="1" t="s">
        <v>2239</v>
      </c>
      <c r="HS1" s="1" t="s">
        <v>2240</v>
      </c>
      <c r="HT1" s="1" t="s">
        <v>2241</v>
      </c>
      <c r="HU1" s="1" t="s">
        <v>2242</v>
      </c>
      <c r="HV1" s="1" t="s">
        <v>2243</v>
      </c>
      <c r="HW1" s="1" t="s">
        <v>2244</v>
      </c>
      <c r="HX1" s="1" t="s">
        <v>2245</v>
      </c>
      <c r="HY1" s="1" t="s">
        <v>2246</v>
      </c>
      <c r="HZ1" s="1" t="s">
        <v>2247</v>
      </c>
      <c r="IA1" s="1" t="s">
        <v>2248</v>
      </c>
      <c r="IB1" s="1" t="s">
        <v>2249</v>
      </c>
      <c r="IC1" s="1" t="s">
        <v>2250</v>
      </c>
      <c r="ID1" s="1" t="s">
        <v>2251</v>
      </c>
      <c r="IE1" s="1" t="s">
        <v>2252</v>
      </c>
      <c r="IF1" s="1" t="s">
        <v>2254</v>
      </c>
      <c r="IG1" s="1" t="s">
        <v>2255</v>
      </c>
      <c r="IH1" s="1" t="s">
        <v>2256</v>
      </c>
      <c r="II1" s="1" t="s">
        <v>2258</v>
      </c>
      <c r="IJ1" s="1" t="s">
        <v>2259</v>
      </c>
      <c r="IK1" s="1" t="s">
        <v>2260</v>
      </c>
      <c r="IL1" s="1" t="s">
        <v>2261</v>
      </c>
      <c r="IM1" s="1" t="s">
        <v>2262</v>
      </c>
      <c r="IN1" s="1" t="s">
        <v>2263</v>
      </c>
      <c r="IO1" s="1" t="s">
        <v>2264</v>
      </c>
      <c r="IP1" s="1" t="s">
        <v>2270</v>
      </c>
      <c r="IQ1" s="1" t="s">
        <v>2271</v>
      </c>
      <c r="IR1" s="1" t="s">
        <v>2272</v>
      </c>
      <c r="IS1" s="1" t="s">
        <v>2273</v>
      </c>
      <c r="IT1" s="1" t="s">
        <v>2274</v>
      </c>
      <c r="IU1" s="1" t="s">
        <v>2275</v>
      </c>
      <c r="IV1" s="1" t="s">
        <v>2276</v>
      </c>
      <c r="IW1" s="1" t="s">
        <v>2279</v>
      </c>
      <c r="IX1" s="1" t="s">
        <v>2280</v>
      </c>
      <c r="IY1" s="1" t="s">
        <v>2281</v>
      </c>
      <c r="IZ1" s="10" t="s">
        <v>2282</v>
      </c>
      <c r="JA1" s="1" t="s">
        <v>2283</v>
      </c>
      <c r="JB1" s="1" t="s">
        <v>2284</v>
      </c>
      <c r="JC1" s="1" t="s">
        <v>2285</v>
      </c>
      <c r="JD1" s="1" t="s">
        <v>2286</v>
      </c>
      <c r="JE1" s="1" t="s">
        <v>2287</v>
      </c>
      <c r="JF1" s="1" t="s">
        <v>2288</v>
      </c>
      <c r="JG1" s="1" t="s">
        <v>2289</v>
      </c>
      <c r="JH1" s="1" t="s">
        <v>2290</v>
      </c>
      <c r="JI1" s="10" t="s">
        <v>2291</v>
      </c>
      <c r="JJ1" s="1" t="s">
        <v>2292</v>
      </c>
      <c r="JK1" s="1" t="s">
        <v>2293</v>
      </c>
      <c r="JL1" s="1" t="s">
        <v>2294</v>
      </c>
      <c r="JM1" s="1" t="s">
        <v>2295</v>
      </c>
      <c r="JN1" s="1" t="s">
        <v>2296</v>
      </c>
      <c r="JO1" s="1" t="s">
        <v>2297</v>
      </c>
      <c r="JP1" s="1" t="s">
        <v>2298</v>
      </c>
      <c r="JQ1" s="1" t="s">
        <v>2299</v>
      </c>
      <c r="JR1" s="1" t="s">
        <v>2300</v>
      </c>
      <c r="JS1" s="1" t="s">
        <v>2301</v>
      </c>
      <c r="JT1" s="1" t="s">
        <v>2302</v>
      </c>
      <c r="JU1" s="1"/>
      <c r="JV1" s="10" t="s">
        <v>2303</v>
      </c>
      <c r="JW1" s="1" t="s">
        <v>2304</v>
      </c>
      <c r="JX1" s="1" t="s">
        <v>2305</v>
      </c>
      <c r="JY1" s="1" t="s">
        <v>2306</v>
      </c>
      <c r="JZ1" s="1" t="s">
        <v>2307</v>
      </c>
      <c r="KA1" s="1"/>
      <c r="KB1" s="1"/>
      <c r="KC1" s="1"/>
      <c r="KD1" s="1"/>
      <c r="KE1" s="1"/>
      <c r="KF1" s="1"/>
      <c r="KG1" s="11" t="s">
        <v>2308</v>
      </c>
      <c r="KH1" s="11" t="s">
        <v>2309</v>
      </c>
      <c r="KI1" s="11" t="s">
        <v>2310</v>
      </c>
      <c r="KJ1" s="11" t="s">
        <v>2311</v>
      </c>
      <c r="KK1" s="11" t="s">
        <v>2312</v>
      </c>
      <c r="KL1" s="11" t="s">
        <v>2313</v>
      </c>
      <c r="KM1" s="11" t="s">
        <v>2314</v>
      </c>
      <c r="KN1" s="1" t="s">
        <v>4179</v>
      </c>
      <c r="KO1" s="11" t="s">
        <v>2315</v>
      </c>
      <c r="KP1" s="11" t="s">
        <v>2316</v>
      </c>
      <c r="KQ1" s="1" t="s">
        <v>2317</v>
      </c>
      <c r="KR1" s="1" t="s">
        <v>2318</v>
      </c>
      <c r="KS1" s="1" t="s">
        <v>2319</v>
      </c>
      <c r="KT1" s="1" t="s">
        <v>2320</v>
      </c>
      <c r="KU1" s="1" t="s">
        <v>2321</v>
      </c>
      <c r="KV1" s="1" t="s">
        <v>2322</v>
      </c>
      <c r="KW1" s="1" t="s">
        <v>2323</v>
      </c>
      <c r="KX1" s="1" t="s">
        <v>2324</v>
      </c>
      <c r="KY1" s="1" t="s">
        <v>2325</v>
      </c>
      <c r="KZ1" s="1" t="s">
        <v>2326</v>
      </c>
      <c r="LA1" s="1" t="s">
        <v>2327</v>
      </c>
      <c r="LB1" s="1" t="s">
        <v>2328</v>
      </c>
      <c r="LC1" s="1" t="s">
        <v>2329</v>
      </c>
      <c r="LD1" s="1" t="s">
        <v>2330</v>
      </c>
      <c r="LE1" s="1" t="s">
        <v>2331</v>
      </c>
      <c r="LF1" s="1" t="s">
        <v>2332</v>
      </c>
      <c r="LG1" s="1" t="s">
        <v>2333</v>
      </c>
      <c r="LH1" s="1" t="s">
        <v>2334</v>
      </c>
      <c r="LI1" s="1" t="s">
        <v>2335</v>
      </c>
      <c r="LJ1" s="1" t="s">
        <v>2336</v>
      </c>
      <c r="LK1" s="1" t="s">
        <v>2337</v>
      </c>
      <c r="LL1" s="1" t="s">
        <v>2338</v>
      </c>
      <c r="LM1" s="1" t="s">
        <v>2339</v>
      </c>
      <c r="LN1" s="1" t="s">
        <v>2340</v>
      </c>
      <c r="LO1" s="1" t="s">
        <v>2341</v>
      </c>
      <c r="LP1" s="1" t="s">
        <v>2342</v>
      </c>
      <c r="LQ1" s="1" t="s">
        <v>2343</v>
      </c>
      <c r="LR1" s="1" t="s">
        <v>2344</v>
      </c>
      <c r="LS1" s="1" t="s">
        <v>2345</v>
      </c>
      <c r="LT1" s="1" t="s">
        <v>2346</v>
      </c>
      <c r="LU1" s="1" t="s">
        <v>2347</v>
      </c>
      <c r="LV1" s="1" t="s">
        <v>2348</v>
      </c>
      <c r="LW1" s="1" t="s">
        <v>2349</v>
      </c>
      <c r="LX1" s="1" t="s">
        <v>2350</v>
      </c>
      <c r="LY1" s="1" t="s">
        <v>2351</v>
      </c>
      <c r="LZ1" s="1" t="s">
        <v>2352</v>
      </c>
      <c r="MA1" s="1" t="s">
        <v>2353</v>
      </c>
      <c r="MB1" s="1" t="s">
        <v>2354</v>
      </c>
      <c r="MC1" s="1" t="s">
        <v>2355</v>
      </c>
      <c r="MD1" s="1" t="s">
        <v>2356</v>
      </c>
      <c r="ME1" s="1" t="s">
        <v>2357</v>
      </c>
      <c r="MF1" s="1" t="s">
        <v>2358</v>
      </c>
      <c r="MG1" s="1" t="s">
        <v>2359</v>
      </c>
      <c r="MH1" s="1" t="s">
        <v>2360</v>
      </c>
      <c r="MI1" s="1" t="s">
        <v>2361</v>
      </c>
      <c r="MJ1" s="1" t="s">
        <v>2362</v>
      </c>
      <c r="MK1" s="1" t="s">
        <v>2363</v>
      </c>
      <c r="ML1" s="1" t="s">
        <v>2364</v>
      </c>
      <c r="MM1" s="1" t="s">
        <v>2365</v>
      </c>
      <c r="MN1" s="1" t="s">
        <v>2366</v>
      </c>
      <c r="MO1" s="1" t="s">
        <v>2367</v>
      </c>
      <c r="MP1" s="1" t="s">
        <v>2368</v>
      </c>
      <c r="MQ1" s="1" t="s">
        <v>2369</v>
      </c>
      <c r="MR1" s="1" t="s">
        <v>2370</v>
      </c>
      <c r="MS1" s="1" t="s">
        <v>2371</v>
      </c>
      <c r="MT1" s="1" t="s">
        <v>2372</v>
      </c>
      <c r="MU1" s="1" t="s">
        <v>2373</v>
      </c>
      <c r="MV1" s="1" t="s">
        <v>2374</v>
      </c>
      <c r="MW1" s="1" t="s">
        <v>2375</v>
      </c>
      <c r="MX1" s="1" t="s">
        <v>2376</v>
      </c>
      <c r="MY1" s="1" t="s">
        <v>2377</v>
      </c>
      <c r="MZ1" s="1" t="s">
        <v>2378</v>
      </c>
      <c r="NA1" s="1" t="s">
        <v>2379</v>
      </c>
      <c r="NB1" s="1" t="s">
        <v>2380</v>
      </c>
      <c r="NC1" s="1" t="s">
        <v>2381</v>
      </c>
      <c r="ND1" s="1" t="s">
        <v>2382</v>
      </c>
      <c r="NE1" s="1" t="s">
        <v>2383</v>
      </c>
      <c r="NF1" s="1" t="s">
        <v>2384</v>
      </c>
      <c r="NG1" s="1" t="s">
        <v>2385</v>
      </c>
      <c r="NH1" s="1" t="s">
        <v>2386</v>
      </c>
      <c r="NI1" s="10" t="s">
        <v>2387</v>
      </c>
      <c r="NJ1" s="1" t="s">
        <v>2388</v>
      </c>
      <c r="NK1" s="1"/>
      <c r="NL1" s="1" t="s">
        <v>2389</v>
      </c>
      <c r="NM1" s="63" t="s">
        <v>2390</v>
      </c>
      <c r="NN1" s="1" t="s">
        <v>2391</v>
      </c>
      <c r="NO1" s="63" t="s">
        <v>2392</v>
      </c>
      <c r="NP1" s="1" t="s">
        <v>2393</v>
      </c>
      <c r="NQ1" s="1" t="s">
        <v>2394</v>
      </c>
      <c r="NR1" s="63" t="s">
        <v>2395</v>
      </c>
      <c r="NS1" s="1" t="s">
        <v>2396</v>
      </c>
      <c r="NT1" s="63" t="s">
        <v>6</v>
      </c>
      <c r="NU1" s="1" t="s">
        <v>2397</v>
      </c>
      <c r="NV1" s="1" t="s">
        <v>2398</v>
      </c>
      <c r="NW1" s="1" t="s">
        <v>2399</v>
      </c>
      <c r="NX1" s="1" t="s">
        <v>2400</v>
      </c>
      <c r="NY1" s="1" t="s">
        <v>2401</v>
      </c>
      <c r="NZ1" s="1" t="s">
        <v>2402</v>
      </c>
      <c r="OA1" s="1" t="s">
        <v>2403</v>
      </c>
      <c r="OB1" s="1" t="s">
        <v>2404</v>
      </c>
      <c r="OC1" s="1" t="s">
        <v>2405</v>
      </c>
      <c r="OD1" s="1" t="s">
        <v>2406</v>
      </c>
      <c r="OE1" s="1" t="s">
        <v>2407</v>
      </c>
      <c r="OF1" s="1" t="s">
        <v>2408</v>
      </c>
      <c r="OG1" s="1" t="s">
        <v>2409</v>
      </c>
      <c r="OH1" s="1" t="s">
        <v>2410</v>
      </c>
      <c r="OI1" s="1" t="s">
        <v>2411</v>
      </c>
      <c r="OJ1" s="1" t="s">
        <v>2412</v>
      </c>
      <c r="OK1" s="1" t="s">
        <v>2413</v>
      </c>
      <c r="OL1" s="1" t="s">
        <v>2414</v>
      </c>
      <c r="OM1" s="1" t="s">
        <v>2415</v>
      </c>
      <c r="ON1" s="1" t="s">
        <v>2416</v>
      </c>
      <c r="OO1" s="1" t="s">
        <v>2417</v>
      </c>
      <c r="OP1" s="1" t="s">
        <v>2418</v>
      </c>
      <c r="OQ1" s="1" t="s">
        <v>2419</v>
      </c>
      <c r="OR1" s="1" t="s">
        <v>2427</v>
      </c>
      <c r="OS1" s="1" t="s">
        <v>2428</v>
      </c>
      <c r="OT1" s="10" t="s">
        <v>2429</v>
      </c>
      <c r="OU1" s="10" t="s">
        <v>2430</v>
      </c>
      <c r="OV1" s="1"/>
      <c r="OW1" s="1" t="s">
        <v>2431</v>
      </c>
      <c r="OX1" s="10" t="s">
        <v>2432</v>
      </c>
      <c r="OY1" s="10" t="s">
        <v>2433</v>
      </c>
      <c r="OZ1" s="1" t="s">
        <v>2434</v>
      </c>
      <c r="PA1" s="1" t="s">
        <v>2435</v>
      </c>
      <c r="PB1" s="1" t="s">
        <v>2436</v>
      </c>
      <c r="PC1" s="1" t="s">
        <v>2437</v>
      </c>
      <c r="PD1" s="1" t="s">
        <v>2438</v>
      </c>
      <c r="PE1" s="1" t="s">
        <v>2439</v>
      </c>
      <c r="PF1" s="1" t="s">
        <v>2440</v>
      </c>
      <c r="PG1" s="1" t="s">
        <v>2441</v>
      </c>
      <c r="PH1" s="1" t="s">
        <v>2442</v>
      </c>
      <c r="PI1" s="1" t="s">
        <v>2443</v>
      </c>
      <c r="PJ1" s="1" t="s">
        <v>2444</v>
      </c>
      <c r="PK1" s="1" t="s">
        <v>2445</v>
      </c>
      <c r="PL1" s="1" t="s">
        <v>2446</v>
      </c>
      <c r="PM1" s="1" t="s">
        <v>2447</v>
      </c>
      <c r="PN1" s="1" t="s">
        <v>2448</v>
      </c>
      <c r="PO1" s="1" t="s">
        <v>2449</v>
      </c>
      <c r="PP1" s="1" t="s">
        <v>2450</v>
      </c>
      <c r="PQ1" s="1" t="s">
        <v>2451</v>
      </c>
      <c r="PR1" s="1" t="s">
        <v>2452</v>
      </c>
      <c r="PS1" s="1" t="s">
        <v>2453</v>
      </c>
      <c r="PT1" s="1" t="s">
        <v>2454</v>
      </c>
      <c r="PU1" s="1" t="s">
        <v>2455</v>
      </c>
      <c r="PV1" s="1" t="s">
        <v>2456</v>
      </c>
      <c r="PW1" s="1" t="s">
        <v>2457</v>
      </c>
      <c r="PX1" s="1" t="s">
        <v>2458</v>
      </c>
      <c r="PY1" s="1" t="s">
        <v>2459</v>
      </c>
      <c r="PZ1" s="1" t="s">
        <v>2460</v>
      </c>
      <c r="QA1" s="1" t="s">
        <v>2461</v>
      </c>
      <c r="QB1" s="1" t="s">
        <v>2462</v>
      </c>
      <c r="QC1" s="1" t="s">
        <v>2463</v>
      </c>
      <c r="QD1" s="1" t="s">
        <v>2464</v>
      </c>
      <c r="QE1" s="1" t="s">
        <v>2465</v>
      </c>
      <c r="QF1" s="1" t="s">
        <v>2466</v>
      </c>
      <c r="QG1" s="1" t="s">
        <v>2467</v>
      </c>
      <c r="QH1" s="1" t="s">
        <v>2468</v>
      </c>
      <c r="QI1" s="1" t="s">
        <v>2469</v>
      </c>
      <c r="QJ1" s="1" t="s">
        <v>2470</v>
      </c>
      <c r="QK1" s="1" t="s">
        <v>2471</v>
      </c>
      <c r="QL1" s="1" t="s">
        <v>2472</v>
      </c>
      <c r="QM1" s="1" t="s">
        <v>2473</v>
      </c>
      <c r="QN1" s="1" t="s">
        <v>2474</v>
      </c>
      <c r="QO1" s="1" t="s">
        <v>2475</v>
      </c>
      <c r="QP1" s="1" t="s">
        <v>2476</v>
      </c>
      <c r="QQ1" s="1" t="s">
        <v>2477</v>
      </c>
      <c r="QR1" s="1" t="s">
        <v>2478</v>
      </c>
      <c r="QS1" s="1" t="s">
        <v>2479</v>
      </c>
      <c r="QT1" s="1" t="s">
        <v>2480</v>
      </c>
      <c r="QU1" s="1" t="s">
        <v>2481</v>
      </c>
      <c r="QV1" s="1" t="s">
        <v>2482</v>
      </c>
      <c r="QW1" s="1" t="s">
        <v>2483</v>
      </c>
      <c r="QX1" s="1" t="s">
        <v>2484</v>
      </c>
      <c r="QY1" s="1" t="s">
        <v>2485</v>
      </c>
      <c r="QZ1" s="1" t="s">
        <v>2486</v>
      </c>
      <c r="RA1" s="1" t="s">
        <v>2487</v>
      </c>
      <c r="RB1" s="1" t="s">
        <v>2488</v>
      </c>
      <c r="RC1" s="1" t="s">
        <v>2489</v>
      </c>
      <c r="RD1" s="1" t="s">
        <v>2490</v>
      </c>
      <c r="RE1" s="1" t="s">
        <v>2491</v>
      </c>
      <c r="RF1" s="1" t="s">
        <v>2492</v>
      </c>
      <c r="RG1" s="1" t="s">
        <v>2493</v>
      </c>
      <c r="RH1" s="1" t="s">
        <v>2494</v>
      </c>
      <c r="RI1" s="1" t="s">
        <v>2495</v>
      </c>
      <c r="RJ1" s="1" t="s">
        <v>2496</v>
      </c>
      <c r="RK1" s="1" t="s">
        <v>2497</v>
      </c>
      <c r="RL1" s="1" t="s">
        <v>2498</v>
      </c>
      <c r="RM1" s="1" t="s">
        <v>2499</v>
      </c>
      <c r="RN1" s="1" t="s">
        <v>2500</v>
      </c>
      <c r="RO1" s="1" t="s">
        <v>2501</v>
      </c>
      <c r="RP1" s="1" t="s">
        <v>2502</v>
      </c>
      <c r="RQ1" s="1" t="s">
        <v>2503</v>
      </c>
      <c r="RR1" s="1" t="s">
        <v>2504</v>
      </c>
      <c r="RS1" s="1" t="s">
        <v>2505</v>
      </c>
      <c r="RT1" s="1" t="s">
        <v>2506</v>
      </c>
      <c r="RU1" s="1" t="s">
        <v>2507</v>
      </c>
      <c r="RV1" s="1" t="s">
        <v>2508</v>
      </c>
      <c r="RW1" s="1" t="s">
        <v>2509</v>
      </c>
      <c r="RX1" s="1" t="s">
        <v>2510</v>
      </c>
      <c r="RY1" s="1" t="s">
        <v>2511</v>
      </c>
      <c r="RZ1" s="1" t="s">
        <v>2512</v>
      </c>
      <c r="SA1" s="1" t="s">
        <v>2513</v>
      </c>
      <c r="SB1" s="1" t="s">
        <v>2514</v>
      </c>
      <c r="SC1" s="1" t="s">
        <v>2515</v>
      </c>
      <c r="SD1" s="1" t="s">
        <v>2516</v>
      </c>
      <c r="SE1" s="1" t="s">
        <v>2517</v>
      </c>
      <c r="SF1" s="1" t="s">
        <v>2518</v>
      </c>
      <c r="SG1" s="1" t="s">
        <v>2519</v>
      </c>
      <c r="SH1" s="1" t="s">
        <v>2520</v>
      </c>
      <c r="SI1" s="1" t="s">
        <v>2521</v>
      </c>
      <c r="SJ1" s="1" t="s">
        <v>2522</v>
      </c>
      <c r="SK1" s="1" t="s">
        <v>2523</v>
      </c>
      <c r="SL1" s="1" t="s">
        <v>2524</v>
      </c>
      <c r="SM1" s="1" t="s">
        <v>2525</v>
      </c>
      <c r="SN1" s="1" t="s">
        <v>2526</v>
      </c>
      <c r="SO1" s="1" t="s">
        <v>2527</v>
      </c>
      <c r="SP1" s="1" t="s">
        <v>2528</v>
      </c>
      <c r="SQ1" s="1" t="s">
        <v>2529</v>
      </c>
      <c r="SR1" s="1" t="s">
        <v>2530</v>
      </c>
      <c r="SS1" s="1" t="s">
        <v>2531</v>
      </c>
      <c r="ST1" s="1" t="s">
        <v>2532</v>
      </c>
      <c r="SU1" s="1" t="s">
        <v>2533</v>
      </c>
      <c r="SV1" s="1" t="s">
        <v>2534</v>
      </c>
      <c r="SW1" s="1" t="s">
        <v>2535</v>
      </c>
      <c r="SX1" s="1" t="s">
        <v>2536</v>
      </c>
      <c r="SY1" s="1" t="s">
        <v>2537</v>
      </c>
      <c r="SZ1" s="1" t="s">
        <v>2538</v>
      </c>
      <c r="TA1" s="1" t="s">
        <v>2539</v>
      </c>
      <c r="TB1" s="1" t="s">
        <v>2540</v>
      </c>
      <c r="TC1" s="1" t="s">
        <v>2541</v>
      </c>
      <c r="TD1" s="1" t="s">
        <v>2542</v>
      </c>
      <c r="TE1" s="1" t="s">
        <v>2543</v>
      </c>
      <c r="TF1" s="1" t="s">
        <v>2544</v>
      </c>
      <c r="TG1" s="1" t="s">
        <v>2545</v>
      </c>
      <c r="TH1" s="1" t="s">
        <v>2546</v>
      </c>
      <c r="TI1" s="1" t="s">
        <v>2547</v>
      </c>
      <c r="TJ1" s="1" t="s">
        <v>2548</v>
      </c>
      <c r="TK1" s="1" t="s">
        <v>2549</v>
      </c>
      <c r="TL1" s="1" t="s">
        <v>2550</v>
      </c>
      <c r="TM1" s="1" t="s">
        <v>2551</v>
      </c>
      <c r="TN1" s="1" t="s">
        <v>2552</v>
      </c>
      <c r="TO1" s="1" t="s">
        <v>2553</v>
      </c>
      <c r="TP1" s="1" t="s">
        <v>2554</v>
      </c>
      <c r="TQ1" s="1" t="s">
        <v>2555</v>
      </c>
      <c r="TR1" s="1" t="s">
        <v>2556</v>
      </c>
      <c r="TS1" s="1" t="s">
        <v>2557</v>
      </c>
      <c r="TT1" s="1" t="s">
        <v>2558</v>
      </c>
      <c r="TU1" s="1" t="s">
        <v>2559</v>
      </c>
      <c r="TV1" s="1" t="s">
        <v>2563</v>
      </c>
      <c r="TW1" s="1" t="s">
        <v>2564</v>
      </c>
      <c r="TX1" s="1" t="s">
        <v>2565</v>
      </c>
      <c r="TY1" s="1" t="s">
        <v>2566</v>
      </c>
      <c r="TZ1" s="1" t="s">
        <v>2567</v>
      </c>
      <c r="UA1" s="1" t="s">
        <v>2568</v>
      </c>
      <c r="UB1" s="1" t="s">
        <v>2569</v>
      </c>
      <c r="UC1" s="1" t="s">
        <v>2570</v>
      </c>
      <c r="UD1" s="1" t="s">
        <v>2571</v>
      </c>
      <c r="UE1" s="1" t="s">
        <v>2572</v>
      </c>
      <c r="UF1" s="1" t="s">
        <v>2573</v>
      </c>
      <c r="UG1" s="1" t="s">
        <v>2574</v>
      </c>
      <c r="UH1" s="1" t="s">
        <v>2575</v>
      </c>
      <c r="UI1" s="1" t="s">
        <v>2576</v>
      </c>
      <c r="UJ1" s="1" t="s">
        <v>2577</v>
      </c>
      <c r="UK1" s="1" t="s">
        <v>2578</v>
      </c>
      <c r="UL1" s="1" t="s">
        <v>2579</v>
      </c>
      <c r="UM1" s="1" t="s">
        <v>2580</v>
      </c>
      <c r="UN1" s="1" t="s">
        <v>2581</v>
      </c>
      <c r="UO1" s="1" t="s">
        <v>2583</v>
      </c>
      <c r="UP1" s="1" t="s">
        <v>2584</v>
      </c>
      <c r="UQ1" s="1" t="s">
        <v>2585</v>
      </c>
      <c r="UR1" s="1" t="s">
        <v>2588</v>
      </c>
      <c r="US1" s="1" t="s">
        <v>2589</v>
      </c>
      <c r="UT1" s="1" t="s">
        <v>2590</v>
      </c>
      <c r="UU1" s="1" t="s">
        <v>2591</v>
      </c>
      <c r="UV1" s="1" t="s">
        <v>2592</v>
      </c>
      <c r="UW1" s="1" t="s">
        <v>2595</v>
      </c>
      <c r="UX1" s="1" t="s">
        <v>2596</v>
      </c>
      <c r="UY1" s="1" t="s">
        <v>2597</v>
      </c>
      <c r="UZ1" s="1" t="s">
        <v>2598</v>
      </c>
      <c r="VA1" s="1" t="s">
        <v>2599</v>
      </c>
      <c r="VB1" s="1" t="s">
        <v>2600</v>
      </c>
      <c r="VC1" s="1" t="s">
        <v>2601</v>
      </c>
      <c r="VD1" s="1" t="s">
        <v>2602</v>
      </c>
      <c r="VE1" s="1" t="s">
        <v>2603</v>
      </c>
      <c r="VF1" s="1" t="s">
        <v>2604</v>
      </c>
      <c r="VG1" s="1" t="s">
        <v>2605</v>
      </c>
      <c r="VH1" s="1" t="s">
        <v>2606</v>
      </c>
      <c r="VI1" s="10" t="s">
        <v>2613</v>
      </c>
      <c r="VJ1" s="1" t="s">
        <v>2614</v>
      </c>
      <c r="VK1" s="1" t="s">
        <v>2615</v>
      </c>
      <c r="VL1" s="1" t="s">
        <v>2634</v>
      </c>
      <c r="VM1" s="1" t="s">
        <v>2635</v>
      </c>
      <c r="VN1" s="1" t="s">
        <v>5406</v>
      </c>
      <c r="VO1" s="1" t="s">
        <v>5443</v>
      </c>
      <c r="VP1" s="1" t="s">
        <v>2616</v>
      </c>
      <c r="VQ1" s="1" t="s">
        <v>4202</v>
      </c>
      <c r="VR1" s="1" t="s">
        <v>2617</v>
      </c>
      <c r="VS1" s="1" t="s">
        <v>2618</v>
      </c>
      <c r="VT1" s="1" t="s">
        <v>2619</v>
      </c>
      <c r="VU1" s="1" t="s">
        <v>2620</v>
      </c>
      <c r="VV1" s="1" t="s">
        <v>2626</v>
      </c>
      <c r="VW1" s="22">
        <f>COUNTIF(GS2:GS72,"Medium")</f>
        <v>65</v>
      </c>
      <c r="VX1" s="36" t="s">
        <v>2618</v>
      </c>
      <c r="VY1" s="1" t="s">
        <v>4203</v>
      </c>
      <c r="WA1" s="1" t="s">
        <v>5398</v>
      </c>
      <c r="WB1" s="1" t="s">
        <v>4960</v>
      </c>
      <c r="WC1" s="98" t="s">
        <v>2617</v>
      </c>
      <c r="WD1" s="98" t="s">
        <v>2618</v>
      </c>
      <c r="WE1" s="98" t="s">
        <v>2628</v>
      </c>
      <c r="WF1" s="98" t="s">
        <v>701</v>
      </c>
      <c r="WG1" s="98" t="s">
        <v>5399</v>
      </c>
      <c r="WH1" s="98" t="s">
        <v>5400</v>
      </c>
      <c r="WI1" s="98" t="s">
        <v>4945</v>
      </c>
      <c r="WJ1" s="13"/>
      <c r="WK1" s="25"/>
      <c r="WL1"/>
      <c r="WM1"/>
      <c r="WN1" s="106"/>
      <c r="WO1" s="202"/>
      <c r="WP1" s="382" t="s">
        <v>5416</v>
      </c>
      <c r="WQ1" s="382" t="s">
        <v>2627</v>
      </c>
      <c r="WR1" s="382" t="s">
        <v>2617</v>
      </c>
      <c r="WS1" s="382" t="s">
        <v>2618</v>
      </c>
      <c r="WT1" s="382" t="s">
        <v>5415</v>
      </c>
      <c r="WU1" s="382" t="s">
        <v>2623</v>
      </c>
      <c r="WV1" s="382" t="s">
        <v>2621</v>
      </c>
      <c r="WW1" s="382" t="s">
        <v>2628</v>
      </c>
      <c r="WX1" s="383" t="s">
        <v>4945</v>
      </c>
    </row>
    <row r="2" spans="1:622" x14ac:dyDescent="0.25">
      <c r="A2" s="2">
        <v>9564</v>
      </c>
      <c r="B2" s="2" t="s">
        <v>1897</v>
      </c>
      <c r="C2" s="2" t="s">
        <v>8</v>
      </c>
      <c r="D2" s="3">
        <v>45153</v>
      </c>
      <c r="E2" s="2" t="s">
        <v>9</v>
      </c>
      <c r="F2" s="2">
        <v>3</v>
      </c>
      <c r="G2" s="2" t="s">
        <v>9</v>
      </c>
      <c r="H2" s="2">
        <v>3</v>
      </c>
      <c r="I2" s="2" t="s">
        <v>9</v>
      </c>
      <c r="J2" s="2">
        <v>2</v>
      </c>
      <c r="K2" s="2" t="s">
        <v>9</v>
      </c>
      <c r="L2" s="2">
        <v>3</v>
      </c>
      <c r="M2" s="2" t="s">
        <v>10</v>
      </c>
      <c r="N2" s="2">
        <v>0</v>
      </c>
      <c r="O2" s="2" t="s">
        <v>10</v>
      </c>
      <c r="P2" s="2">
        <v>0</v>
      </c>
      <c r="Q2" s="2" t="s">
        <v>11</v>
      </c>
      <c r="R2" s="2">
        <v>0</v>
      </c>
      <c r="S2" s="2" t="s">
        <v>9</v>
      </c>
      <c r="T2" s="2">
        <v>2</v>
      </c>
      <c r="U2" s="2" t="s">
        <v>9</v>
      </c>
      <c r="V2" s="2">
        <v>2</v>
      </c>
      <c r="W2" s="2" t="s">
        <v>9</v>
      </c>
      <c r="X2" s="2">
        <v>2</v>
      </c>
      <c r="Y2" s="2" t="s">
        <v>12</v>
      </c>
      <c r="Z2" s="2" t="s">
        <v>188</v>
      </c>
      <c r="AA2" s="2" t="s">
        <v>15</v>
      </c>
      <c r="AB2" s="2" t="s">
        <v>15</v>
      </c>
      <c r="AC2" s="2" t="s">
        <v>15</v>
      </c>
      <c r="AD2" s="2" t="s">
        <v>15</v>
      </c>
      <c r="AE2" s="2" t="s">
        <v>15</v>
      </c>
      <c r="AF2" s="2">
        <v>1</v>
      </c>
      <c r="AG2" s="2" t="s">
        <v>787</v>
      </c>
      <c r="AH2" s="2" t="s">
        <v>17</v>
      </c>
      <c r="AI2" s="4">
        <v>0.1</v>
      </c>
      <c r="AJ2" s="2" t="s">
        <v>17</v>
      </c>
      <c r="AK2" s="2" t="s">
        <v>9</v>
      </c>
      <c r="AL2" s="2" t="s">
        <v>17</v>
      </c>
      <c r="AM2" s="2" t="s">
        <v>17</v>
      </c>
      <c r="AN2" s="2" t="s">
        <v>17</v>
      </c>
      <c r="AO2" s="2" t="s">
        <v>17</v>
      </c>
      <c r="AP2" s="2" t="s">
        <v>17</v>
      </c>
      <c r="AQ2" s="2" t="s">
        <v>17</v>
      </c>
      <c r="AR2" s="2" t="s">
        <v>9</v>
      </c>
      <c r="AS2" s="2" t="s">
        <v>17</v>
      </c>
      <c r="AT2" s="2">
        <v>0</v>
      </c>
      <c r="AU2" s="5">
        <v>50000</v>
      </c>
      <c r="AV2" s="5">
        <v>460000</v>
      </c>
      <c r="AW2" s="2">
        <v>0</v>
      </c>
      <c r="AX2" s="2">
        <v>10</v>
      </c>
      <c r="AY2" s="2">
        <v>0</v>
      </c>
      <c r="AZ2" s="2">
        <v>18</v>
      </c>
      <c r="BA2" s="2">
        <v>0</v>
      </c>
      <c r="BB2" s="2">
        <v>1</v>
      </c>
      <c r="BC2" s="2">
        <v>0</v>
      </c>
      <c r="BD2" s="2">
        <v>0</v>
      </c>
      <c r="BE2" s="2">
        <v>0</v>
      </c>
      <c r="BF2" s="2">
        <v>1</v>
      </c>
      <c r="BG2" s="2">
        <v>0</v>
      </c>
      <c r="BH2" s="2">
        <v>0</v>
      </c>
      <c r="BI2" s="2">
        <v>13</v>
      </c>
      <c r="BJ2" s="2">
        <v>1</v>
      </c>
      <c r="BK2" s="2">
        <v>0</v>
      </c>
      <c r="BL2" s="2">
        <v>2</v>
      </c>
      <c r="BM2" s="2">
        <v>0</v>
      </c>
      <c r="BN2" s="2">
        <v>11</v>
      </c>
      <c r="BO2" s="2">
        <v>11</v>
      </c>
      <c r="BP2" s="2">
        <v>0</v>
      </c>
      <c r="BQ2" s="2">
        <v>10</v>
      </c>
      <c r="BR2" s="2">
        <v>17.41</v>
      </c>
      <c r="BS2" s="2">
        <v>0</v>
      </c>
      <c r="BT2" s="4">
        <v>0.06</v>
      </c>
      <c r="BU2" s="2" t="s">
        <v>9</v>
      </c>
      <c r="BV2" s="6">
        <v>143739.47</v>
      </c>
      <c r="BW2" s="2" t="s">
        <v>126</v>
      </c>
      <c r="BX2" s="2" t="s">
        <v>17</v>
      </c>
      <c r="BY2" s="2" t="s">
        <v>17</v>
      </c>
      <c r="BZ2" s="2" t="s">
        <v>17</v>
      </c>
      <c r="CA2" s="2" t="s">
        <v>17</v>
      </c>
      <c r="CB2" s="2" t="s">
        <v>17</v>
      </c>
      <c r="CC2" s="2" t="s">
        <v>17</v>
      </c>
      <c r="CD2" s="2" t="s">
        <v>17</v>
      </c>
      <c r="CE2" s="2" t="s">
        <v>1898</v>
      </c>
      <c r="CF2" s="2" t="s">
        <v>17</v>
      </c>
      <c r="CG2" s="2" t="s">
        <v>1899</v>
      </c>
      <c r="CH2" s="2"/>
      <c r="CI2" s="2"/>
      <c r="CJ2" s="2" t="s">
        <v>9</v>
      </c>
      <c r="CK2" s="2" t="s">
        <v>1085</v>
      </c>
      <c r="CL2" s="2" t="s">
        <v>1899</v>
      </c>
      <c r="CM2" s="2" t="s">
        <v>1087</v>
      </c>
      <c r="CN2" s="2" t="s">
        <v>147</v>
      </c>
      <c r="CO2" s="2" t="s">
        <v>24</v>
      </c>
      <c r="CP2" s="2"/>
      <c r="CQ2" s="2">
        <v>112</v>
      </c>
      <c r="CR2" s="2" t="s">
        <v>1900</v>
      </c>
      <c r="CS2" s="2">
        <v>2014</v>
      </c>
      <c r="CT2" s="2" t="s">
        <v>26</v>
      </c>
      <c r="CU2" s="2" t="s">
        <v>27</v>
      </c>
      <c r="CV2" s="2" t="s">
        <v>1088</v>
      </c>
      <c r="CW2" s="2" t="s">
        <v>330</v>
      </c>
      <c r="CX2" s="2" t="s">
        <v>24</v>
      </c>
      <c r="CY2" s="2"/>
      <c r="CZ2" s="2">
        <v>73</v>
      </c>
      <c r="DA2" s="2" t="s">
        <v>1900</v>
      </c>
      <c r="DB2" s="2">
        <v>2017</v>
      </c>
      <c r="DC2" s="2" t="s">
        <v>30</v>
      </c>
      <c r="DD2" s="2" t="s">
        <v>27</v>
      </c>
      <c r="DE2" s="2" t="s">
        <v>1090</v>
      </c>
      <c r="DF2" s="2" t="s">
        <v>330</v>
      </c>
      <c r="DG2" s="2" t="s">
        <v>24</v>
      </c>
      <c r="DH2" s="2"/>
      <c r="DI2" s="2">
        <v>99</v>
      </c>
      <c r="DJ2" s="2" t="s">
        <v>1900</v>
      </c>
      <c r="DK2" s="2">
        <v>2012</v>
      </c>
      <c r="DL2" s="2" t="s">
        <v>243</v>
      </c>
      <c r="DM2" s="2" t="s">
        <v>27</v>
      </c>
      <c r="DN2" s="2" t="s">
        <v>33</v>
      </c>
      <c r="DO2" s="2" t="s">
        <v>1091</v>
      </c>
      <c r="DP2" s="2"/>
      <c r="DQ2" s="2" t="s">
        <v>1092</v>
      </c>
      <c r="DR2" s="2" t="s">
        <v>1093</v>
      </c>
      <c r="DS2" s="2">
        <v>1</v>
      </c>
      <c r="DT2" s="2" t="s">
        <v>1388</v>
      </c>
      <c r="DU2" s="2" t="s">
        <v>1095</v>
      </c>
      <c r="DV2" s="2" t="s">
        <v>260</v>
      </c>
      <c r="DW2" s="2">
        <v>77024</v>
      </c>
      <c r="DX2" s="2" t="s">
        <v>1096</v>
      </c>
      <c r="DY2" s="2"/>
      <c r="DZ2" s="2" t="s">
        <v>1097</v>
      </c>
      <c r="EA2" s="2" t="s">
        <v>1093</v>
      </c>
      <c r="EB2" s="2" t="s">
        <v>1098</v>
      </c>
      <c r="EC2" s="2" t="s">
        <v>333</v>
      </c>
      <c r="ED2" s="2" t="s">
        <v>44</v>
      </c>
      <c r="EE2" s="2">
        <v>188</v>
      </c>
      <c r="EF2" s="2" t="s">
        <v>1901</v>
      </c>
      <c r="EG2" s="2">
        <v>7</v>
      </c>
      <c r="EH2" s="2" t="s">
        <v>46</v>
      </c>
      <c r="EI2" s="2" t="s">
        <v>47</v>
      </c>
      <c r="EJ2" s="2" t="s">
        <v>1099</v>
      </c>
      <c r="EK2" s="2" t="s">
        <v>389</v>
      </c>
      <c r="EL2" s="2" t="s">
        <v>44</v>
      </c>
      <c r="EM2" s="2">
        <v>460</v>
      </c>
      <c r="EN2" s="2" t="s">
        <v>1901</v>
      </c>
      <c r="EO2" s="2">
        <v>5</v>
      </c>
      <c r="EP2" s="2" t="s">
        <v>46</v>
      </c>
      <c r="EQ2" s="2" t="s">
        <v>47</v>
      </c>
      <c r="ER2" s="2" t="s">
        <v>1100</v>
      </c>
      <c r="ES2" s="2" t="s">
        <v>951</v>
      </c>
      <c r="ET2" s="2" t="s">
        <v>1101</v>
      </c>
      <c r="EU2" s="2" t="s">
        <v>1102</v>
      </c>
      <c r="EV2" s="2" t="s">
        <v>1103</v>
      </c>
      <c r="EW2" s="2" t="s">
        <v>299</v>
      </c>
      <c r="EX2" s="2" t="s">
        <v>39</v>
      </c>
      <c r="EY2" s="2">
        <v>33131</v>
      </c>
      <c r="EZ2" s="2" t="s">
        <v>1390</v>
      </c>
      <c r="FA2" s="2"/>
      <c r="FB2" s="2" t="s">
        <v>1105</v>
      </c>
      <c r="FC2" s="2" t="s">
        <v>1902</v>
      </c>
      <c r="FD2" s="2"/>
      <c r="FE2" s="2" t="s">
        <v>1294</v>
      </c>
      <c r="FF2" s="2" t="s">
        <v>1102</v>
      </c>
      <c r="FG2" s="2" t="s">
        <v>1391</v>
      </c>
      <c r="FH2" s="2" t="s">
        <v>299</v>
      </c>
      <c r="FI2" s="2" t="s">
        <v>39</v>
      </c>
      <c r="FJ2" s="2">
        <v>33131</v>
      </c>
      <c r="FK2" s="2" t="s">
        <v>1903</v>
      </c>
      <c r="FL2" s="2"/>
      <c r="FM2" s="2" t="s">
        <v>1904</v>
      </c>
      <c r="FN2" s="2" t="s">
        <v>1905</v>
      </c>
      <c r="FO2" s="2" t="s">
        <v>63</v>
      </c>
      <c r="FP2" s="2" t="s">
        <v>64</v>
      </c>
      <c r="FQ2" s="2" t="s">
        <v>9</v>
      </c>
      <c r="FR2" s="2" t="s">
        <v>17</v>
      </c>
      <c r="FS2" s="2" t="s">
        <v>17</v>
      </c>
      <c r="FT2" s="2" t="s">
        <v>9</v>
      </c>
      <c r="FU2" s="2">
        <v>0</v>
      </c>
      <c r="FV2" s="2">
        <v>0</v>
      </c>
      <c r="FW2" s="4">
        <v>0</v>
      </c>
      <c r="FX2" s="4">
        <v>0</v>
      </c>
      <c r="FY2" s="2" t="s">
        <v>65</v>
      </c>
      <c r="FZ2" s="2" t="s">
        <v>66</v>
      </c>
      <c r="GA2" s="2" t="s">
        <v>67</v>
      </c>
      <c r="GB2" s="2"/>
      <c r="GC2" s="2"/>
      <c r="GD2" s="2"/>
      <c r="GE2" s="2" t="s">
        <v>108</v>
      </c>
      <c r="GF2" s="2"/>
      <c r="GG2" s="2"/>
      <c r="GH2" s="2"/>
      <c r="GI2" s="2"/>
      <c r="GJ2" s="2">
        <v>114</v>
      </c>
      <c r="GK2" s="2"/>
      <c r="GL2" s="2"/>
      <c r="GM2" s="2"/>
      <c r="GN2" s="2"/>
      <c r="GO2" s="2"/>
      <c r="GP2" s="2"/>
      <c r="GQ2" s="2">
        <v>114</v>
      </c>
      <c r="GR2" s="2" t="s">
        <v>1773</v>
      </c>
      <c r="GS2" s="2" t="s">
        <v>70</v>
      </c>
      <c r="GT2" s="2" t="s">
        <v>1906</v>
      </c>
      <c r="GU2" s="2" t="s">
        <v>1775</v>
      </c>
      <c r="GV2" s="2" t="s">
        <v>17</v>
      </c>
      <c r="GW2" s="2">
        <v>28.358250000000002</v>
      </c>
      <c r="GX2" s="2">
        <v>-82.690602999999996</v>
      </c>
      <c r="GY2" s="2"/>
      <c r="GZ2" s="2" t="s">
        <v>17</v>
      </c>
      <c r="HA2" s="2" t="s">
        <v>17</v>
      </c>
      <c r="HB2" s="2">
        <v>0</v>
      </c>
      <c r="HC2" s="2" t="s">
        <v>17</v>
      </c>
      <c r="HD2" s="2" t="s">
        <v>17</v>
      </c>
      <c r="HE2" s="2">
        <v>0</v>
      </c>
      <c r="HF2" s="2">
        <v>28.358937000000001</v>
      </c>
      <c r="HG2" s="2">
        <v>-82.688090000000003</v>
      </c>
      <c r="HH2" s="2">
        <v>0.17</v>
      </c>
      <c r="HI2" s="2">
        <v>2</v>
      </c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 t="s">
        <v>73</v>
      </c>
      <c r="HY2" s="2" t="s">
        <v>17</v>
      </c>
      <c r="HZ2" s="2"/>
      <c r="IA2" s="2" t="s">
        <v>1907</v>
      </c>
      <c r="IB2" s="2" t="s">
        <v>1908</v>
      </c>
      <c r="IC2" s="2">
        <v>0.35</v>
      </c>
      <c r="ID2" s="2">
        <v>3.5</v>
      </c>
      <c r="IE2" s="2" t="s">
        <v>1909</v>
      </c>
      <c r="IF2" s="2">
        <v>0.28999999999999998</v>
      </c>
      <c r="IG2" s="2">
        <v>4</v>
      </c>
      <c r="IH2" s="2" t="s">
        <v>957</v>
      </c>
      <c r="II2" s="2">
        <v>0.35</v>
      </c>
      <c r="IJ2" s="2">
        <v>3.5</v>
      </c>
      <c r="IK2" s="2"/>
      <c r="IL2" s="2"/>
      <c r="IM2" s="2"/>
      <c r="IN2" s="2"/>
      <c r="IO2" s="2" t="s">
        <v>9</v>
      </c>
      <c r="IP2" s="2">
        <v>2</v>
      </c>
      <c r="IQ2" s="2">
        <v>11</v>
      </c>
      <c r="IR2" s="2">
        <v>0</v>
      </c>
      <c r="IS2" s="2">
        <v>13</v>
      </c>
      <c r="IT2" s="2" t="s">
        <v>9</v>
      </c>
      <c r="IU2" s="2" t="s">
        <v>17</v>
      </c>
      <c r="IV2" s="2" t="s">
        <v>9</v>
      </c>
      <c r="IW2" s="2" t="s">
        <v>9</v>
      </c>
      <c r="IX2" s="2" t="s">
        <v>9</v>
      </c>
      <c r="IY2" s="2">
        <v>13</v>
      </c>
      <c r="IZ2" s="2">
        <v>114</v>
      </c>
      <c r="JA2" s="2" t="s">
        <v>172</v>
      </c>
      <c r="JB2" s="2" t="s">
        <v>173</v>
      </c>
      <c r="JC2" s="2"/>
      <c r="JD2" s="2"/>
      <c r="JE2" s="7">
        <v>0.1</v>
      </c>
      <c r="JF2" s="2"/>
      <c r="JG2" s="7">
        <v>0.9</v>
      </c>
      <c r="JH2" s="7">
        <v>0</v>
      </c>
      <c r="JI2" s="2">
        <v>114</v>
      </c>
      <c r="JJ2" s="7">
        <v>1</v>
      </c>
      <c r="JK2" s="2">
        <v>114</v>
      </c>
      <c r="JL2" s="7">
        <v>1</v>
      </c>
      <c r="JM2" s="2"/>
      <c r="JN2" s="2"/>
      <c r="JO2" s="2"/>
      <c r="JP2" s="2"/>
      <c r="JQ2" s="2"/>
      <c r="JR2" s="2"/>
      <c r="JS2" s="2">
        <v>0</v>
      </c>
      <c r="JT2" s="2">
        <v>0</v>
      </c>
      <c r="JU2" s="2"/>
      <c r="JV2" s="2">
        <v>0</v>
      </c>
      <c r="JW2" s="4">
        <v>0</v>
      </c>
      <c r="JX2" s="2">
        <v>0</v>
      </c>
      <c r="JY2" s="4">
        <v>0</v>
      </c>
      <c r="JZ2" s="2">
        <v>0</v>
      </c>
      <c r="KA2" s="2"/>
      <c r="KB2" s="2"/>
      <c r="KC2" s="2"/>
      <c r="KD2" s="2"/>
      <c r="KE2" s="2"/>
      <c r="KF2" s="2"/>
      <c r="KG2" s="2"/>
      <c r="KH2" s="2">
        <v>114</v>
      </c>
      <c r="KI2" s="2"/>
      <c r="KJ2" s="2"/>
      <c r="KK2" s="2"/>
      <c r="KL2" s="2"/>
      <c r="KM2" s="2"/>
      <c r="KN2" s="2"/>
      <c r="KO2" s="2"/>
      <c r="KP2" s="2"/>
      <c r="KQ2" s="2" t="s">
        <v>83</v>
      </c>
      <c r="KR2" s="2"/>
      <c r="KS2" s="2" t="s">
        <v>73</v>
      </c>
      <c r="KT2" s="2">
        <v>1</v>
      </c>
      <c r="KU2" s="2" t="s">
        <v>84</v>
      </c>
      <c r="KV2" s="2" t="s">
        <v>85</v>
      </c>
      <c r="KW2" s="2" t="s">
        <v>86</v>
      </c>
      <c r="KX2" s="2" t="s">
        <v>17</v>
      </c>
      <c r="KY2" s="2" t="s">
        <v>17</v>
      </c>
      <c r="KZ2" s="2" t="s">
        <v>17</v>
      </c>
      <c r="LA2" s="2" t="s">
        <v>17</v>
      </c>
      <c r="LB2" s="2" t="s">
        <v>17</v>
      </c>
      <c r="LC2" s="2" t="s">
        <v>17</v>
      </c>
      <c r="LD2" s="2" t="s">
        <v>17</v>
      </c>
      <c r="LE2" s="2" t="s">
        <v>17</v>
      </c>
      <c r="LF2" s="2" t="s">
        <v>17</v>
      </c>
      <c r="LG2" s="2" t="s">
        <v>17</v>
      </c>
      <c r="LH2" s="2" t="s">
        <v>17</v>
      </c>
      <c r="LI2" s="2" t="s">
        <v>17</v>
      </c>
      <c r="LJ2" s="2" t="s">
        <v>87</v>
      </c>
      <c r="LK2" s="2" t="s">
        <v>17</v>
      </c>
      <c r="LL2" s="2" t="s">
        <v>17</v>
      </c>
      <c r="LM2" s="2">
        <v>0</v>
      </c>
      <c r="LN2" s="2" t="s">
        <v>17</v>
      </c>
      <c r="LO2" s="2" t="s">
        <v>17</v>
      </c>
      <c r="LP2" s="2" t="s">
        <v>17</v>
      </c>
      <c r="LQ2" s="2" t="s">
        <v>17</v>
      </c>
      <c r="LR2" s="2" t="s">
        <v>17</v>
      </c>
      <c r="LS2" s="2" t="s">
        <v>17</v>
      </c>
      <c r="LT2" s="2" t="s">
        <v>9</v>
      </c>
      <c r="LU2" s="2" t="s">
        <v>17</v>
      </c>
      <c r="LV2" s="2" t="s">
        <v>9</v>
      </c>
      <c r="LW2" s="2" t="s">
        <v>9</v>
      </c>
      <c r="LX2" s="2" t="s">
        <v>17</v>
      </c>
      <c r="LY2" s="5">
        <v>6500000</v>
      </c>
      <c r="LZ2" s="5">
        <v>0</v>
      </c>
      <c r="MA2" s="5">
        <v>7200000</v>
      </c>
      <c r="MB2" s="5">
        <v>0</v>
      </c>
      <c r="MC2" s="5">
        <v>0</v>
      </c>
      <c r="MD2" s="5">
        <v>0</v>
      </c>
      <c r="ME2" s="5">
        <v>10000000</v>
      </c>
      <c r="MF2" s="5">
        <v>0</v>
      </c>
      <c r="MG2" s="5">
        <v>0</v>
      </c>
      <c r="MH2" s="5">
        <v>0</v>
      </c>
      <c r="MI2" s="5">
        <v>0</v>
      </c>
      <c r="MJ2" s="5">
        <v>0</v>
      </c>
      <c r="MK2" s="5">
        <v>0</v>
      </c>
      <c r="ML2" s="2">
        <v>0</v>
      </c>
      <c r="MM2" s="5">
        <v>0</v>
      </c>
      <c r="MN2" s="5">
        <v>0</v>
      </c>
      <c r="MO2" s="2">
        <v>0</v>
      </c>
      <c r="MP2" s="2">
        <v>0</v>
      </c>
      <c r="MQ2" s="2">
        <v>0</v>
      </c>
      <c r="MR2" s="5">
        <v>2950000</v>
      </c>
      <c r="MS2" s="5">
        <v>0</v>
      </c>
      <c r="MT2" s="5">
        <v>4600000</v>
      </c>
      <c r="MU2" s="5">
        <v>0</v>
      </c>
      <c r="MV2" s="5">
        <v>0</v>
      </c>
      <c r="MW2" s="5">
        <v>0</v>
      </c>
      <c r="MX2" s="5">
        <v>0</v>
      </c>
      <c r="MY2" s="5">
        <v>2500000</v>
      </c>
      <c r="MZ2" s="5">
        <v>0</v>
      </c>
      <c r="NA2" s="5">
        <v>5000000</v>
      </c>
      <c r="NB2" s="5">
        <v>0</v>
      </c>
      <c r="NC2" s="5">
        <v>0</v>
      </c>
      <c r="ND2" s="5">
        <v>0</v>
      </c>
      <c r="NE2" s="5">
        <v>0</v>
      </c>
      <c r="NF2" s="5">
        <v>0</v>
      </c>
      <c r="NG2" s="5">
        <v>2142000</v>
      </c>
      <c r="NH2" s="5">
        <v>2142000</v>
      </c>
      <c r="NI2" s="5">
        <v>2142000</v>
      </c>
      <c r="NJ2" s="5">
        <v>0</v>
      </c>
      <c r="NK2" s="5"/>
      <c r="NL2" s="2" t="s">
        <v>9</v>
      </c>
      <c r="NM2" s="2" t="s">
        <v>17</v>
      </c>
      <c r="NN2" s="2"/>
      <c r="NO2" s="2" t="s">
        <v>17</v>
      </c>
      <c r="NP2" s="2"/>
      <c r="NQ2" s="2"/>
      <c r="NR2" s="2" t="s">
        <v>17</v>
      </c>
      <c r="NS2" s="2"/>
      <c r="NT2" s="2" t="s">
        <v>17</v>
      </c>
      <c r="NU2" s="2"/>
      <c r="NV2" s="2"/>
      <c r="NW2" s="2"/>
      <c r="NX2" s="2" t="s">
        <v>17</v>
      </c>
      <c r="NY2" s="2"/>
      <c r="NZ2" s="2"/>
      <c r="OA2" s="2" t="s">
        <v>118</v>
      </c>
      <c r="OB2" s="2" t="s">
        <v>118</v>
      </c>
      <c r="OC2" s="2" t="s">
        <v>118</v>
      </c>
      <c r="OD2" s="2" t="s">
        <v>9</v>
      </c>
      <c r="OE2" s="2" t="s">
        <v>320</v>
      </c>
      <c r="OF2" s="2" t="s">
        <v>17</v>
      </c>
      <c r="OG2" s="2" t="s">
        <v>17</v>
      </c>
      <c r="OH2" s="2"/>
      <c r="OI2" s="2"/>
      <c r="OJ2" s="2"/>
      <c r="OK2" s="2" t="s">
        <v>17</v>
      </c>
      <c r="OL2" s="2" t="s">
        <v>17</v>
      </c>
      <c r="OM2" s="2" t="s">
        <v>85</v>
      </c>
      <c r="ON2" s="6">
        <v>0</v>
      </c>
      <c r="OO2" s="6">
        <v>0</v>
      </c>
      <c r="OP2" s="2" t="s">
        <v>93</v>
      </c>
      <c r="OQ2" s="2" t="s">
        <v>93</v>
      </c>
      <c r="OR2" s="6">
        <v>0</v>
      </c>
      <c r="OS2" s="4">
        <v>0</v>
      </c>
      <c r="OT2" s="2" t="s">
        <v>17</v>
      </c>
      <c r="OU2" s="2" t="s">
        <v>17</v>
      </c>
      <c r="OV2" s="2"/>
      <c r="OW2" s="2"/>
      <c r="OX2" s="5">
        <v>16386300</v>
      </c>
      <c r="OY2" s="6">
        <v>143739.47</v>
      </c>
      <c r="OZ2" s="2"/>
      <c r="PA2" s="2"/>
      <c r="PB2" s="8">
        <v>15057697</v>
      </c>
      <c r="PC2" s="2"/>
      <c r="PD2" s="8">
        <v>15057697</v>
      </c>
      <c r="PE2" s="2"/>
      <c r="PF2" s="2"/>
      <c r="PG2" s="2"/>
      <c r="PH2" s="8">
        <v>330000</v>
      </c>
      <c r="PI2" s="2"/>
      <c r="PJ2" s="8">
        <v>330000</v>
      </c>
      <c r="PK2" s="8">
        <v>15387697</v>
      </c>
      <c r="PL2" s="2"/>
      <c r="PM2" s="8">
        <v>15387697</v>
      </c>
      <c r="PN2" s="8">
        <v>2108078</v>
      </c>
      <c r="PO2" s="2"/>
      <c r="PP2" s="8">
        <v>2108078</v>
      </c>
      <c r="PQ2" s="6">
        <v>2154277</v>
      </c>
      <c r="PR2" s="8">
        <v>17495775</v>
      </c>
      <c r="PS2" s="2"/>
      <c r="PT2" s="8">
        <v>17495775</v>
      </c>
      <c r="PU2" s="8">
        <v>858289</v>
      </c>
      <c r="PV2" s="2"/>
      <c r="PW2" s="8">
        <v>858289</v>
      </c>
      <c r="PX2" s="6">
        <v>874788.75</v>
      </c>
      <c r="PY2" s="8">
        <v>796100</v>
      </c>
      <c r="PZ2" s="8">
        <v>68000</v>
      </c>
      <c r="QA2" s="8">
        <v>864100</v>
      </c>
      <c r="QB2" s="8">
        <v>194642</v>
      </c>
      <c r="QC2" s="8">
        <v>226404</v>
      </c>
      <c r="QD2" s="8">
        <v>421046</v>
      </c>
      <c r="QE2" s="8">
        <v>955780</v>
      </c>
      <c r="QF2" s="2"/>
      <c r="QG2" s="8">
        <v>955780</v>
      </c>
      <c r="QH2" s="2"/>
      <c r="QI2" s="8">
        <v>503230</v>
      </c>
      <c r="QJ2" s="8">
        <v>503230</v>
      </c>
      <c r="QK2" s="2"/>
      <c r="QL2" s="2"/>
      <c r="QM2" s="2"/>
      <c r="QN2" s="8">
        <v>218450</v>
      </c>
      <c r="QO2" s="8">
        <v>148363</v>
      </c>
      <c r="QP2" s="8">
        <v>366813</v>
      </c>
      <c r="QQ2" s="8">
        <v>2164972</v>
      </c>
      <c r="QR2" s="8">
        <v>945997</v>
      </c>
      <c r="QS2" s="8">
        <v>3110969</v>
      </c>
      <c r="QT2" s="8">
        <v>145000</v>
      </c>
      <c r="QU2" s="2"/>
      <c r="QV2" s="8">
        <v>145000</v>
      </c>
      <c r="QW2" s="6">
        <v>155548.45000000001</v>
      </c>
      <c r="QX2" s="8">
        <v>130000</v>
      </c>
      <c r="QY2" s="8">
        <v>45000</v>
      </c>
      <c r="QZ2" s="8">
        <v>175000</v>
      </c>
      <c r="RA2" s="8">
        <v>144800</v>
      </c>
      <c r="RB2" s="8">
        <v>144800</v>
      </c>
      <c r="RC2" s="8">
        <v>1010670</v>
      </c>
      <c r="RD2" s="8">
        <v>679264</v>
      </c>
      <c r="RE2" s="8">
        <v>1689934</v>
      </c>
      <c r="RF2" s="8">
        <v>1140670</v>
      </c>
      <c r="RG2" s="8">
        <v>869064</v>
      </c>
      <c r="RH2" s="8">
        <v>2009734</v>
      </c>
      <c r="RI2" s="2"/>
      <c r="RJ2" s="2"/>
      <c r="RK2" s="2"/>
      <c r="RL2" s="2"/>
      <c r="RM2" s="8">
        <v>21804706</v>
      </c>
      <c r="RN2" s="8">
        <v>1815061</v>
      </c>
      <c r="RO2" s="8">
        <v>23619767</v>
      </c>
      <c r="RP2" s="2"/>
      <c r="RQ2" s="2"/>
      <c r="RR2" s="2">
        <v>0</v>
      </c>
      <c r="RS2" s="6">
        <v>0</v>
      </c>
      <c r="RT2" s="8">
        <v>3779000</v>
      </c>
      <c r="RU2" s="2"/>
      <c r="RV2" s="8">
        <v>3779000</v>
      </c>
      <c r="RW2" s="6">
        <v>3779162</v>
      </c>
      <c r="RX2" s="6">
        <v>0</v>
      </c>
      <c r="RY2" s="8">
        <v>3779000</v>
      </c>
      <c r="RZ2" s="2"/>
      <c r="SA2" s="8">
        <v>3779000</v>
      </c>
      <c r="SB2" s="6">
        <v>3779162</v>
      </c>
      <c r="SC2" s="8">
        <v>288473</v>
      </c>
      <c r="SD2" s="8">
        <v>288473</v>
      </c>
      <c r="SE2" s="6">
        <v>399000</v>
      </c>
      <c r="SF2" s="8">
        <v>1750000</v>
      </c>
      <c r="SG2" s="8">
        <v>1750000</v>
      </c>
      <c r="SH2" s="8">
        <v>25583706</v>
      </c>
      <c r="SI2" s="8">
        <v>3853534</v>
      </c>
      <c r="SJ2" s="8">
        <v>29437240</v>
      </c>
      <c r="SK2" s="2"/>
      <c r="SL2" s="2" t="s">
        <v>1910</v>
      </c>
      <c r="SM2" s="2" t="s">
        <v>1911</v>
      </c>
      <c r="SN2" s="2" t="s">
        <v>1912</v>
      </c>
      <c r="SO2" s="2"/>
      <c r="SP2" s="8">
        <v>22000000</v>
      </c>
      <c r="SQ2" s="2" t="s">
        <v>95</v>
      </c>
      <c r="SR2" s="2"/>
      <c r="SS2" s="2"/>
      <c r="ST2" s="2"/>
      <c r="SU2" s="2"/>
      <c r="SV2" s="2"/>
      <c r="SW2" s="2"/>
      <c r="SX2" s="2" t="s">
        <v>96</v>
      </c>
      <c r="SY2" s="2" t="s">
        <v>96</v>
      </c>
      <c r="SZ2" s="2" t="s">
        <v>96</v>
      </c>
      <c r="TA2" s="2" t="s">
        <v>96</v>
      </c>
      <c r="TB2" s="8">
        <v>4979652</v>
      </c>
      <c r="TC2" s="2" t="s">
        <v>1913</v>
      </c>
      <c r="TD2" s="8">
        <v>460000</v>
      </c>
      <c r="TE2" s="2" t="s">
        <v>180</v>
      </c>
      <c r="TF2" s="2"/>
      <c r="TG2" s="2"/>
      <c r="TH2" s="2"/>
      <c r="TI2" s="8">
        <v>1997588</v>
      </c>
      <c r="TJ2" s="8">
        <v>29437240</v>
      </c>
      <c r="TK2" s="2">
        <v>0</v>
      </c>
      <c r="TL2" s="2" t="s">
        <v>9</v>
      </c>
      <c r="TM2" s="8">
        <v>7480000</v>
      </c>
      <c r="TN2" s="2" t="s">
        <v>95</v>
      </c>
      <c r="TO2" s="2"/>
      <c r="TP2" s="2"/>
      <c r="TQ2" s="2"/>
      <c r="TR2" s="2"/>
      <c r="TS2" s="2"/>
      <c r="TT2" s="2"/>
      <c r="TU2" s="2" t="s">
        <v>96</v>
      </c>
      <c r="TV2" s="8">
        <v>19918608</v>
      </c>
      <c r="TW2" s="2" t="s">
        <v>1913</v>
      </c>
      <c r="TX2" s="8">
        <v>460000</v>
      </c>
      <c r="TY2" s="2" t="s">
        <v>180</v>
      </c>
      <c r="TZ2" s="2"/>
      <c r="UA2" s="2"/>
      <c r="UB2" s="2"/>
      <c r="UC2" s="8">
        <v>1578632</v>
      </c>
      <c r="UD2" s="8">
        <v>29437240</v>
      </c>
      <c r="UE2" s="6">
        <v>7940000</v>
      </c>
      <c r="UF2" s="2">
        <v>0</v>
      </c>
      <c r="UG2" s="2" t="s">
        <v>9</v>
      </c>
      <c r="UH2" s="2">
        <v>114</v>
      </c>
      <c r="UI2" s="5">
        <v>240000</v>
      </c>
      <c r="UJ2" s="6">
        <v>320000</v>
      </c>
      <c r="UK2" s="6">
        <v>320000</v>
      </c>
      <c r="UL2" s="6">
        <v>339200</v>
      </c>
      <c r="UM2" s="6">
        <v>38668800</v>
      </c>
      <c r="UN2" s="6">
        <v>6187008</v>
      </c>
      <c r="UO2" s="6">
        <v>6187008</v>
      </c>
      <c r="UP2" s="6">
        <v>44855808</v>
      </c>
      <c r="UQ2" s="6">
        <v>27398767</v>
      </c>
      <c r="UR2" s="6">
        <v>460000</v>
      </c>
      <c r="US2" s="6">
        <v>460000</v>
      </c>
      <c r="UT2" s="6">
        <v>0</v>
      </c>
      <c r="UU2" s="2"/>
      <c r="UV2" s="6">
        <v>0</v>
      </c>
      <c r="UW2" s="6">
        <v>460000</v>
      </c>
      <c r="UX2" s="6">
        <v>460000</v>
      </c>
      <c r="UY2" s="6">
        <v>0</v>
      </c>
      <c r="UZ2" s="2" t="s">
        <v>1914</v>
      </c>
      <c r="VA2" s="2" t="s">
        <v>182</v>
      </c>
      <c r="VB2" s="2"/>
      <c r="VC2" s="2"/>
      <c r="VD2" s="2" t="s">
        <v>9</v>
      </c>
      <c r="VE2" s="2" t="s">
        <v>9</v>
      </c>
      <c r="VF2" s="2" t="s">
        <v>1915</v>
      </c>
      <c r="VG2" s="2" t="s">
        <v>9</v>
      </c>
      <c r="VH2" s="2" t="s">
        <v>1916</v>
      </c>
      <c r="VI2" s="388" t="s">
        <v>1125</v>
      </c>
      <c r="VJ2" s="2" t="s">
        <v>98</v>
      </c>
      <c r="VK2" s="2" t="s">
        <v>1917</v>
      </c>
      <c r="VL2" s="23">
        <f t="shared" ref="VL2:VL33" si="0">KG2+KH2+2*(KI2+KJ2+KK2)+3*(KL2+KM2)+4*(KO2+KP2)</f>
        <v>114</v>
      </c>
      <c r="VM2" s="17">
        <f t="shared" ref="VM2:VM33" si="1">VL2/IZ2</f>
        <v>1</v>
      </c>
      <c r="VN2" s="17" t="str">
        <f>IF(GG2+GH2=MAX(GG2:GO2),"NC-GA-",IF(GI2+GJ2=MAX(GG2:GO2),"NC-MR-",IF(GK2=MAX(GG2:GO2),"NC-HR-",IF(GL2+GM2=MAX(GG2:GO2),"NC-OT-",IF(GN2+GO2=MAX(GG2:GO2),"AR-GA-","Nothing")))))&amp;IF(BW2="Family","F","E")</f>
        <v>NC-MR-E</v>
      </c>
      <c r="VO2" s="17" t="str">
        <f>VN2&amp;"-"&amp;RIGHT(VX2,3)</f>
        <v>NC-MR-E-Non</v>
      </c>
      <c r="VP2" s="12">
        <v>9</v>
      </c>
      <c r="VQ2" s="57">
        <v>1</v>
      </c>
      <c r="VR2" s="57">
        <f t="shared" ref="VR2:VR33" si="2">IF(GR2="Broward",Broward_A,1)</f>
        <v>1</v>
      </c>
      <c r="VS2" s="14">
        <f t="shared" ref="VS2:VS33" si="3">IF(OR(OT2="Yes",OU2="Yes"),PHA_A,1)</f>
        <v>1</v>
      </c>
      <c r="VT2" s="12">
        <f t="shared" ref="VT2:VT33" si="4">(GG2*NC_GA_A*ESSC_A+GH2*NC_GA_A+GI2*NC_MR_A*ESSC_A+GJ2*NC_MR_A+GK2*NC_HR_A*ESSC_A+GL2*NC_OT_A*ESSC_A+GM2*NC_OT_A+GN2*1+GO2*1)/(GG2+GH2+GI2+GJ2+GK2+GL2+GM2+GN2+GO2)</f>
        <v>0.97</v>
      </c>
      <c r="VU2" s="16">
        <f t="shared" ref="VU2:VU33" si="5">NI2*VP2*VR2*VS2*VT2*IF(BW2="Elderly Non-ALF",Elderly_A,1)</f>
        <v>18699660</v>
      </c>
      <c r="VV2" s="16">
        <f t="shared" ref="VV2:VV33" si="6">VU2/(JI2+JV2)</f>
        <v>164032.10526315789</v>
      </c>
      <c r="VW2" s="12" t="str">
        <f>IF(RANK(VV2,VV$2:VV$66,1)&lt;=ROUNDUP(80%*VW$1,0),"A","B")</f>
        <v>A</v>
      </c>
      <c r="VX2" s="12" t="str">
        <f>IF(GG2=MAX(GG2:GO2),"NC-GA-ESS",IF(GH2=MAX(GG2:GO2),"NC-GA-Non",IF(GI2=MAX(GG2:GO2),"NC-MR-ESS",IF(GJ2=MAX(GG2:GO2),"NC-MR-Non",IF(GK2=MAX(GG2:GO2),"NC-HR-ESS",IF(GL2=MAX(GG2:GO2),"NC-OT-ESS",IF(GM2=MAX(GG2:GO2),"NC-OT-Non",IF(GN2=MAX(GG2:GO2),"AR-GA-ESS",IF(GO2=MAX(GG2:GO2),"AR-GA-Non","Nothing")))))))))</f>
        <v>NC-MR-Non</v>
      </c>
      <c r="VY2" s="351">
        <f>IF(RANK(VV2,VV$2:VV$66,1)&lt;=ROUNDUP(10%*VW$1,0),1,IF(RANK(VV2,VV$2:VV$66,1)&lt;=ROUNDUP(30%*VW$1,0),2,IF(RANK(VV2,VV$2:VV$66,1)&lt;=ROUNDUP(50%*VW$1,0),3,IF(RANK(VV2,VV$2:VV$66,1)&lt;=ROUNDUP(70%*VW$1,0),4,5))))</f>
        <v>1</v>
      </c>
      <c r="WA2" s="12">
        <f>IF(BW2="Elderly Non-ALF",1,0)</f>
        <v>1</v>
      </c>
      <c r="WB2" s="12">
        <f>IF(OR(VQ2=1,N(VQ2)=0),0,1)</f>
        <v>0</v>
      </c>
      <c r="WC2" s="12">
        <f>IF(OR(VR2=1,N(VR2)=0),0,1)</f>
        <v>0</v>
      </c>
      <c r="WD2" s="12">
        <f>IF(OR(VS2=1,N(VS2)=0),0,1)</f>
        <v>0</v>
      </c>
      <c r="WE2" s="12">
        <f>IF(GG2+GI2+GK2+GL2&gt;0,1,0)</f>
        <v>0</v>
      </c>
      <c r="WF2" s="12">
        <f t="shared" ref="WF2:WF33" si="7">IF(GG2+GH2&gt;0,1,0)</f>
        <v>0</v>
      </c>
      <c r="WG2" s="12">
        <f t="shared" ref="WG2:WG33" si="8">IF(GI2+GJ2&gt;0,1,0)</f>
        <v>1</v>
      </c>
      <c r="WH2" s="12">
        <f t="shared" ref="WH2:WH33" si="9">IF(GK2&gt;1,1,0)</f>
        <v>0</v>
      </c>
      <c r="WI2" s="31">
        <f t="shared" ref="WI2:WI33" si="10">SUM(WA2:WH2)</f>
        <v>2</v>
      </c>
      <c r="WJ2" s="2"/>
      <c r="WK2" s="445" t="str">
        <f t="shared" ref="WK2:WK10" si="11">VX2&amp;"-"&amp;IF(VQ2&gt;1,"BBY","BBN")&amp;"-"&amp;IF(VR2=1,"BRN","BRY")&amp;"-"&amp;IF(VS2=1,"NPH","PHA")&amp;"-"&amp;IF(BW2="Family","F","E")</f>
        <v>NC-MR-Non-BBN-BRN-NPH-E</v>
      </c>
      <c r="WL2" s="445"/>
      <c r="WM2" s="445"/>
      <c r="WN2" s="12"/>
      <c r="WO2" s="380" t="s">
        <v>5416</v>
      </c>
      <c r="WP2" s="384"/>
      <c r="WQ2" s="144">
        <f>COUNTIFS($WA$2:$WA$72,"=1",$WB$2:$WB$72,"=1")</f>
        <v>0</v>
      </c>
      <c r="WR2" s="144">
        <f>COUNTIFS($WA$2:$WA$72,"=1",$WC$2:$WC$72,"=1")</f>
        <v>0</v>
      </c>
      <c r="WS2" s="144">
        <f>COUNTIFS($WA$2:$WA$72,"=1",$WD$2:$WD$72,"=1")</f>
        <v>3</v>
      </c>
      <c r="WT2" s="144">
        <f>COUNTIFS($WA$2:$WA$72,"=1",$WF$2:$WF$72,"=1")</f>
        <v>10</v>
      </c>
      <c r="WU2" s="144">
        <f>COUNTIFS($WA$2:$WA$72,"=1",$WG$2:$WG$72,"=1")</f>
        <v>8</v>
      </c>
      <c r="WV2" s="144">
        <f>COUNTIFS($WA$2:$WA$72,"=1",$WH$2:$WH$72,"=1")</f>
        <v>0</v>
      </c>
      <c r="WW2" s="144">
        <f>COUNTIFS($WA$2:$WA$72,"=1",$WE$2:$WE$72,"=1")</f>
        <v>3</v>
      </c>
      <c r="WX2" s="205">
        <f>COUNTIF($WA$2:$WA$72,"=1")</f>
        <v>18</v>
      </c>
    </row>
    <row r="3" spans="1:622" x14ac:dyDescent="0.25">
      <c r="A3" s="2">
        <v>9503</v>
      </c>
      <c r="B3" s="2" t="s">
        <v>1169</v>
      </c>
      <c r="C3" s="2" t="s">
        <v>8</v>
      </c>
      <c r="D3" s="3">
        <v>45153</v>
      </c>
      <c r="E3" s="2" t="s">
        <v>9</v>
      </c>
      <c r="F3" s="2">
        <v>3</v>
      </c>
      <c r="G3" s="2" t="s">
        <v>9</v>
      </c>
      <c r="H3" s="2">
        <v>3</v>
      </c>
      <c r="I3" s="2" t="s">
        <v>9</v>
      </c>
      <c r="J3" s="2">
        <v>2</v>
      </c>
      <c r="K3" s="2" t="s">
        <v>9</v>
      </c>
      <c r="L3" s="2">
        <v>3</v>
      </c>
      <c r="M3" s="2" t="s">
        <v>10</v>
      </c>
      <c r="N3" s="2">
        <v>0</v>
      </c>
      <c r="O3" s="2" t="s">
        <v>10</v>
      </c>
      <c r="P3" s="2">
        <v>0</v>
      </c>
      <c r="Q3" s="2" t="s">
        <v>11</v>
      </c>
      <c r="R3" s="2">
        <v>0</v>
      </c>
      <c r="S3" s="2" t="s">
        <v>9</v>
      </c>
      <c r="T3" s="2">
        <v>2</v>
      </c>
      <c r="U3" s="2" t="s">
        <v>9</v>
      </c>
      <c r="V3" s="2">
        <v>2</v>
      </c>
      <c r="W3" s="2" t="s">
        <v>9</v>
      </c>
      <c r="X3" s="2">
        <v>2</v>
      </c>
      <c r="Y3" s="2" t="s">
        <v>12</v>
      </c>
      <c r="Z3" s="2" t="s">
        <v>189</v>
      </c>
      <c r="AA3" s="2" t="s">
        <v>15</v>
      </c>
      <c r="AB3" s="2" t="s">
        <v>15</v>
      </c>
      <c r="AC3" s="2" t="s">
        <v>15</v>
      </c>
      <c r="AD3" s="2" t="s">
        <v>15</v>
      </c>
      <c r="AE3" s="2" t="s">
        <v>15</v>
      </c>
      <c r="AF3" s="2">
        <v>1</v>
      </c>
      <c r="AG3" s="2" t="s">
        <v>190</v>
      </c>
      <c r="AH3" s="2" t="s">
        <v>17</v>
      </c>
      <c r="AI3" s="4">
        <v>0.1</v>
      </c>
      <c r="AJ3" s="2" t="s">
        <v>17</v>
      </c>
      <c r="AK3" s="2" t="s">
        <v>9</v>
      </c>
      <c r="AL3" s="2" t="s">
        <v>17</v>
      </c>
      <c r="AM3" s="2" t="s">
        <v>17</v>
      </c>
      <c r="AN3" s="2" t="s">
        <v>17</v>
      </c>
      <c r="AO3" s="2" t="s">
        <v>17</v>
      </c>
      <c r="AP3" s="2" t="s">
        <v>9</v>
      </c>
      <c r="AQ3" s="2" t="s">
        <v>17</v>
      </c>
      <c r="AR3" s="2" t="s">
        <v>17</v>
      </c>
      <c r="AS3" s="2" t="s">
        <v>17</v>
      </c>
      <c r="AT3" s="2">
        <v>0</v>
      </c>
      <c r="AU3" s="5">
        <v>50000</v>
      </c>
      <c r="AV3" s="5">
        <v>460000</v>
      </c>
      <c r="AW3" s="2">
        <v>0</v>
      </c>
      <c r="AX3" s="2">
        <v>8</v>
      </c>
      <c r="AY3" s="2">
        <v>0</v>
      </c>
      <c r="AZ3" s="2">
        <v>18</v>
      </c>
      <c r="BA3" s="2">
        <v>0</v>
      </c>
      <c r="BB3" s="2">
        <v>1</v>
      </c>
      <c r="BC3" s="2">
        <v>1</v>
      </c>
      <c r="BD3" s="2">
        <v>0</v>
      </c>
      <c r="BE3" s="2">
        <v>0</v>
      </c>
      <c r="BF3" s="2">
        <v>1</v>
      </c>
      <c r="BG3" s="2">
        <v>0</v>
      </c>
      <c r="BH3" s="2">
        <v>0</v>
      </c>
      <c r="BI3" s="2">
        <v>13</v>
      </c>
      <c r="BJ3" s="2">
        <v>1</v>
      </c>
      <c r="BK3" s="2">
        <v>0</v>
      </c>
      <c r="BL3" s="2">
        <v>3</v>
      </c>
      <c r="BM3" s="2">
        <v>0</v>
      </c>
      <c r="BN3" s="2">
        <v>12</v>
      </c>
      <c r="BO3" s="2">
        <v>11</v>
      </c>
      <c r="BP3" s="2">
        <v>0</v>
      </c>
      <c r="BQ3" s="2">
        <v>10</v>
      </c>
      <c r="BR3" s="2">
        <v>14.66</v>
      </c>
      <c r="BS3" s="2">
        <v>0</v>
      </c>
      <c r="BT3" s="4">
        <v>0.06</v>
      </c>
      <c r="BU3" s="2" t="s">
        <v>9</v>
      </c>
      <c r="BV3" s="6">
        <v>160730.32999999999</v>
      </c>
      <c r="BW3" s="2" t="s">
        <v>18</v>
      </c>
      <c r="BX3" s="2" t="s">
        <v>17</v>
      </c>
      <c r="BY3" s="2" t="s">
        <v>17</v>
      </c>
      <c r="BZ3" s="2" t="s">
        <v>17</v>
      </c>
      <c r="CA3" s="2" t="s">
        <v>17</v>
      </c>
      <c r="CB3" s="2" t="s">
        <v>17</v>
      </c>
      <c r="CC3" s="2" t="s">
        <v>17</v>
      </c>
      <c r="CD3" s="2" t="s">
        <v>17</v>
      </c>
      <c r="CE3" s="2" t="s">
        <v>1170</v>
      </c>
      <c r="CF3" s="2" t="s">
        <v>17</v>
      </c>
      <c r="CG3" s="2" t="s">
        <v>1171</v>
      </c>
      <c r="CH3" s="2" t="s">
        <v>1172</v>
      </c>
      <c r="CI3" s="2"/>
      <c r="CJ3" s="2" t="s">
        <v>9</v>
      </c>
      <c r="CK3" s="2" t="s">
        <v>1173</v>
      </c>
      <c r="CL3" s="2" t="s">
        <v>1172</v>
      </c>
      <c r="CM3" s="2" t="s">
        <v>1174</v>
      </c>
      <c r="CN3" s="2" t="s">
        <v>1175</v>
      </c>
      <c r="CO3" s="2" t="s">
        <v>24</v>
      </c>
      <c r="CP3" s="2"/>
      <c r="CQ3" s="2">
        <v>100</v>
      </c>
      <c r="CR3" s="2" t="s">
        <v>795</v>
      </c>
      <c r="CS3" s="2">
        <v>2019</v>
      </c>
      <c r="CT3" s="2" t="s">
        <v>26</v>
      </c>
      <c r="CU3" s="2" t="s">
        <v>27</v>
      </c>
      <c r="CV3" s="2" t="s">
        <v>1176</v>
      </c>
      <c r="CW3" s="2" t="s">
        <v>1175</v>
      </c>
      <c r="CX3" s="2" t="s">
        <v>853</v>
      </c>
      <c r="CY3" s="2"/>
      <c r="CZ3" s="2">
        <v>120</v>
      </c>
      <c r="DA3" s="2" t="s">
        <v>795</v>
      </c>
      <c r="DB3" s="2">
        <v>2020</v>
      </c>
      <c r="DC3" s="2" t="s">
        <v>26</v>
      </c>
      <c r="DD3" s="2" t="s">
        <v>27</v>
      </c>
      <c r="DE3" s="2" t="s">
        <v>1177</v>
      </c>
      <c r="DF3" s="2" t="s">
        <v>1178</v>
      </c>
      <c r="DG3" s="2" t="s">
        <v>24</v>
      </c>
      <c r="DH3" s="2"/>
      <c r="DI3" s="2">
        <v>65</v>
      </c>
      <c r="DJ3" s="2" t="s">
        <v>795</v>
      </c>
      <c r="DK3" s="2">
        <v>2020</v>
      </c>
      <c r="DL3" s="2" t="s">
        <v>30</v>
      </c>
      <c r="DM3" s="2" t="s">
        <v>27</v>
      </c>
      <c r="DN3" s="2" t="s">
        <v>33</v>
      </c>
      <c r="DO3" s="2" t="s">
        <v>1179</v>
      </c>
      <c r="DP3" s="2" t="s">
        <v>951</v>
      </c>
      <c r="DQ3" s="2" t="s">
        <v>1180</v>
      </c>
      <c r="DR3" s="2" t="s">
        <v>1181</v>
      </c>
      <c r="DS3" s="2">
        <v>1</v>
      </c>
      <c r="DT3" s="2" t="s">
        <v>1182</v>
      </c>
      <c r="DU3" s="2" t="s">
        <v>299</v>
      </c>
      <c r="DV3" s="2" t="s">
        <v>39</v>
      </c>
      <c r="DW3" s="2">
        <v>33176</v>
      </c>
      <c r="DX3" s="2" t="s">
        <v>1183</v>
      </c>
      <c r="DY3" s="2">
        <v>218</v>
      </c>
      <c r="DZ3" s="2" t="s">
        <v>1184</v>
      </c>
      <c r="EA3" s="2" t="s">
        <v>1181</v>
      </c>
      <c r="EB3" s="2" t="s">
        <v>1185</v>
      </c>
      <c r="EC3" s="2" t="s">
        <v>1089</v>
      </c>
      <c r="ED3" s="2" t="s">
        <v>44</v>
      </c>
      <c r="EE3" s="2">
        <v>300</v>
      </c>
      <c r="EF3" s="2" t="s">
        <v>810</v>
      </c>
      <c r="EG3" s="2">
        <v>11</v>
      </c>
      <c r="EH3" s="2" t="s">
        <v>46</v>
      </c>
      <c r="EI3" s="2" t="s">
        <v>47</v>
      </c>
      <c r="EJ3" s="2" t="s">
        <v>1186</v>
      </c>
      <c r="EK3" s="2" t="s">
        <v>692</v>
      </c>
      <c r="EL3" s="2" t="s">
        <v>44</v>
      </c>
      <c r="EM3" s="2">
        <v>420</v>
      </c>
      <c r="EN3" s="2" t="s">
        <v>810</v>
      </c>
      <c r="EO3" s="2">
        <v>18</v>
      </c>
      <c r="EP3" s="2" t="s">
        <v>46</v>
      </c>
      <c r="EQ3" s="2" t="s">
        <v>47</v>
      </c>
      <c r="ER3" s="2" t="s">
        <v>50</v>
      </c>
      <c r="ES3" s="2"/>
      <c r="ET3" s="2" t="s">
        <v>1187</v>
      </c>
      <c r="EU3" s="2" t="s">
        <v>1170</v>
      </c>
      <c r="EV3" s="2" t="s">
        <v>1188</v>
      </c>
      <c r="EW3" s="2" t="s">
        <v>396</v>
      </c>
      <c r="EX3" s="2" t="s">
        <v>39</v>
      </c>
      <c r="EY3" s="2">
        <v>33618</v>
      </c>
      <c r="EZ3" s="2" t="s">
        <v>1189</v>
      </c>
      <c r="FA3" s="2"/>
      <c r="FB3" s="2" t="s">
        <v>1190</v>
      </c>
      <c r="FC3" s="2" t="s">
        <v>1191</v>
      </c>
      <c r="FD3" s="2"/>
      <c r="FE3" s="2" t="s">
        <v>1192</v>
      </c>
      <c r="FF3" s="2" t="s">
        <v>1172</v>
      </c>
      <c r="FG3" s="2" t="s">
        <v>1193</v>
      </c>
      <c r="FH3" s="2" t="s">
        <v>661</v>
      </c>
      <c r="FI3" s="2" t="s">
        <v>39</v>
      </c>
      <c r="FJ3" s="2">
        <v>32751</v>
      </c>
      <c r="FK3" s="2" t="s">
        <v>1194</v>
      </c>
      <c r="FL3" s="2"/>
      <c r="FM3" s="2" t="s">
        <v>1195</v>
      </c>
      <c r="FN3" s="2" t="s">
        <v>1196</v>
      </c>
      <c r="FO3" s="2" t="s">
        <v>63</v>
      </c>
      <c r="FP3" s="2" t="s">
        <v>64</v>
      </c>
      <c r="FQ3" s="2" t="s">
        <v>9</v>
      </c>
      <c r="FR3" s="2" t="s">
        <v>17</v>
      </c>
      <c r="FS3" s="2" t="s">
        <v>17</v>
      </c>
      <c r="FT3" s="2" t="s">
        <v>9</v>
      </c>
      <c r="FU3" s="2">
        <v>0</v>
      </c>
      <c r="FV3" s="2">
        <v>0</v>
      </c>
      <c r="FW3" s="4">
        <v>0</v>
      </c>
      <c r="FX3" s="4">
        <v>0</v>
      </c>
      <c r="FY3" s="2" t="s">
        <v>65</v>
      </c>
      <c r="FZ3" s="2" t="s">
        <v>66</v>
      </c>
      <c r="GA3" s="2" t="s">
        <v>67</v>
      </c>
      <c r="GB3" s="2"/>
      <c r="GC3" s="2"/>
      <c r="GD3" s="2"/>
      <c r="GE3" s="2" t="s">
        <v>68</v>
      </c>
      <c r="GF3" s="2">
        <v>96</v>
      </c>
      <c r="GG3" s="2">
        <v>96</v>
      </c>
      <c r="GH3" s="2"/>
      <c r="GI3" s="2"/>
      <c r="GJ3" s="2"/>
      <c r="GK3" s="2"/>
      <c r="GL3" s="2"/>
      <c r="GM3" s="2"/>
      <c r="GN3" s="2"/>
      <c r="GO3" s="2"/>
      <c r="GP3" s="2"/>
      <c r="GQ3" s="2">
        <v>96</v>
      </c>
      <c r="GR3" s="2" t="s">
        <v>1197</v>
      </c>
      <c r="GS3" s="2" t="s">
        <v>70</v>
      </c>
      <c r="GT3" s="2" t="s">
        <v>1198</v>
      </c>
      <c r="GU3" s="2" t="s">
        <v>1199</v>
      </c>
      <c r="GV3" s="2" t="s">
        <v>17</v>
      </c>
      <c r="GW3" s="2">
        <v>26.681111999999999</v>
      </c>
      <c r="GX3" s="2">
        <v>-81.885605999999996</v>
      </c>
      <c r="GY3" s="2"/>
      <c r="GZ3" s="2" t="s">
        <v>17</v>
      </c>
      <c r="HA3" s="2" t="s">
        <v>17</v>
      </c>
      <c r="HB3" s="2">
        <v>0</v>
      </c>
      <c r="HC3" s="2" t="s">
        <v>17</v>
      </c>
      <c r="HD3" s="2"/>
      <c r="HE3" s="2">
        <v>0</v>
      </c>
      <c r="HF3" s="2">
        <v>26.682341999999998</v>
      </c>
      <c r="HG3" s="2">
        <v>-81.881604999999993</v>
      </c>
      <c r="HH3" s="2">
        <v>0.26</v>
      </c>
      <c r="HI3" s="2">
        <v>2</v>
      </c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 t="s">
        <v>73</v>
      </c>
      <c r="HY3" s="2" t="s">
        <v>17</v>
      </c>
      <c r="HZ3" s="2"/>
      <c r="IA3" s="2" t="s">
        <v>74</v>
      </c>
      <c r="IB3" s="2" t="s">
        <v>1200</v>
      </c>
      <c r="IC3" s="2">
        <v>0.78</v>
      </c>
      <c r="ID3" s="2">
        <v>2.5</v>
      </c>
      <c r="IE3" s="2" t="s">
        <v>1201</v>
      </c>
      <c r="IF3" s="2">
        <v>0.66</v>
      </c>
      <c r="IG3" s="2">
        <v>3</v>
      </c>
      <c r="IH3" s="2"/>
      <c r="II3" s="2"/>
      <c r="IJ3" s="2"/>
      <c r="IK3" s="2" t="s">
        <v>1202</v>
      </c>
      <c r="IL3" s="2" t="s">
        <v>1203</v>
      </c>
      <c r="IM3" s="2">
        <v>0.21</v>
      </c>
      <c r="IN3" s="2">
        <v>4</v>
      </c>
      <c r="IO3" s="2" t="s">
        <v>17</v>
      </c>
      <c r="IP3" s="2">
        <v>2</v>
      </c>
      <c r="IQ3" s="2">
        <v>9.5</v>
      </c>
      <c r="IR3" s="2">
        <v>0</v>
      </c>
      <c r="IS3" s="2">
        <v>11.5</v>
      </c>
      <c r="IT3" s="2" t="s">
        <v>17</v>
      </c>
      <c r="IU3" s="2" t="s">
        <v>17</v>
      </c>
      <c r="IV3" s="2" t="s">
        <v>17</v>
      </c>
      <c r="IW3" s="2" t="s">
        <v>9</v>
      </c>
      <c r="IX3" s="2" t="s">
        <v>9</v>
      </c>
      <c r="IY3" s="2">
        <v>11.5</v>
      </c>
      <c r="IZ3" s="2">
        <v>96</v>
      </c>
      <c r="JA3" s="2" t="s">
        <v>81</v>
      </c>
      <c r="JB3" s="2" t="s">
        <v>173</v>
      </c>
      <c r="JC3" s="2"/>
      <c r="JD3" s="2"/>
      <c r="JE3" s="7">
        <v>0.1</v>
      </c>
      <c r="JF3" s="2"/>
      <c r="JG3" s="7">
        <v>0.9</v>
      </c>
      <c r="JH3" s="7">
        <v>0</v>
      </c>
      <c r="JI3" s="2">
        <v>96</v>
      </c>
      <c r="JJ3" s="7">
        <v>1</v>
      </c>
      <c r="JK3" s="2">
        <v>96</v>
      </c>
      <c r="JL3" s="7">
        <v>1</v>
      </c>
      <c r="JM3" s="2"/>
      <c r="JN3" s="2"/>
      <c r="JO3" s="2"/>
      <c r="JP3" s="2"/>
      <c r="JQ3" s="2"/>
      <c r="JR3" s="2"/>
      <c r="JS3" s="2">
        <v>0</v>
      </c>
      <c r="JT3" s="2">
        <v>0</v>
      </c>
      <c r="JU3" s="2"/>
      <c r="JV3" s="2">
        <v>0</v>
      </c>
      <c r="JW3" s="4">
        <v>0</v>
      </c>
      <c r="JX3" s="2">
        <v>0</v>
      </c>
      <c r="JY3" s="4">
        <v>0</v>
      </c>
      <c r="JZ3" s="2">
        <v>0</v>
      </c>
      <c r="KA3" s="2"/>
      <c r="KB3" s="2"/>
      <c r="KC3" s="2"/>
      <c r="KD3" s="2"/>
      <c r="KE3" s="2"/>
      <c r="KF3" s="2"/>
      <c r="KG3" s="2"/>
      <c r="KH3" s="2">
        <v>48</v>
      </c>
      <c r="KI3" s="2"/>
      <c r="KJ3" s="2"/>
      <c r="KK3" s="2">
        <v>36</v>
      </c>
      <c r="KL3" s="2">
        <v>12</v>
      </c>
      <c r="KM3" s="2"/>
      <c r="KN3" s="2"/>
      <c r="KO3" s="2"/>
      <c r="KP3" s="2"/>
      <c r="KQ3" s="2" t="s">
        <v>83</v>
      </c>
      <c r="KR3" s="2" t="s">
        <v>73</v>
      </c>
      <c r="KS3" s="2"/>
      <c r="KT3" s="2">
        <v>3</v>
      </c>
      <c r="KU3" s="2" t="s">
        <v>84</v>
      </c>
      <c r="KV3" s="2" t="s">
        <v>85</v>
      </c>
      <c r="KW3" s="2" t="s">
        <v>86</v>
      </c>
      <c r="KX3" s="2" t="s">
        <v>17</v>
      </c>
      <c r="KY3" s="2" t="s">
        <v>17</v>
      </c>
      <c r="KZ3" s="2" t="s">
        <v>17</v>
      </c>
      <c r="LA3" s="2" t="s">
        <v>17</v>
      </c>
      <c r="LB3" s="2" t="s">
        <v>17</v>
      </c>
      <c r="LC3" s="2" t="s">
        <v>17</v>
      </c>
      <c r="LD3" s="2" t="s">
        <v>17</v>
      </c>
      <c r="LE3" s="2" t="s">
        <v>17</v>
      </c>
      <c r="LF3" s="2" t="s">
        <v>17</v>
      </c>
      <c r="LG3" s="2" t="s">
        <v>17</v>
      </c>
      <c r="LH3" s="2" t="s">
        <v>17</v>
      </c>
      <c r="LI3" s="2" t="s">
        <v>17</v>
      </c>
      <c r="LJ3" s="2" t="s">
        <v>87</v>
      </c>
      <c r="LK3" s="2" t="s">
        <v>17</v>
      </c>
      <c r="LL3" s="2" t="s">
        <v>17</v>
      </c>
      <c r="LM3" s="2">
        <v>0</v>
      </c>
      <c r="LN3" s="2" t="s">
        <v>17</v>
      </c>
      <c r="LO3" s="2" t="s">
        <v>9</v>
      </c>
      <c r="LP3" s="2" t="s">
        <v>9</v>
      </c>
      <c r="LQ3" s="2" t="s">
        <v>17</v>
      </c>
      <c r="LR3" s="2" t="s">
        <v>9</v>
      </c>
      <c r="LS3" s="2" t="s">
        <v>17</v>
      </c>
      <c r="LT3" s="2" t="s">
        <v>17</v>
      </c>
      <c r="LU3" s="2" t="s">
        <v>17</v>
      </c>
      <c r="LV3" s="2" t="s">
        <v>17</v>
      </c>
      <c r="LW3" s="2" t="s">
        <v>17</v>
      </c>
      <c r="LX3" s="2" t="s">
        <v>17</v>
      </c>
      <c r="LY3" s="5">
        <v>6500000</v>
      </c>
      <c r="LZ3" s="5">
        <v>0</v>
      </c>
      <c r="MA3" s="5">
        <v>7200000</v>
      </c>
      <c r="MB3" s="5">
        <v>0</v>
      </c>
      <c r="MC3" s="5">
        <v>0</v>
      </c>
      <c r="MD3" s="5">
        <v>0</v>
      </c>
      <c r="ME3" s="5">
        <v>10000000</v>
      </c>
      <c r="MF3" s="5">
        <v>0</v>
      </c>
      <c r="MG3" s="5">
        <v>0</v>
      </c>
      <c r="MH3" s="5">
        <v>0</v>
      </c>
      <c r="MI3" s="5">
        <v>0</v>
      </c>
      <c r="MJ3" s="5">
        <v>0</v>
      </c>
      <c r="MK3" s="5">
        <v>0</v>
      </c>
      <c r="ML3" s="2">
        <v>0</v>
      </c>
      <c r="MM3" s="5">
        <v>0</v>
      </c>
      <c r="MN3" s="5">
        <v>0</v>
      </c>
      <c r="MO3" s="2">
        <v>0</v>
      </c>
      <c r="MP3" s="2">
        <v>0</v>
      </c>
      <c r="MQ3" s="2">
        <v>0</v>
      </c>
      <c r="MR3" s="5">
        <v>2950000</v>
      </c>
      <c r="MS3" s="5">
        <v>0</v>
      </c>
      <c r="MT3" s="5">
        <v>4600000</v>
      </c>
      <c r="MU3" s="5">
        <v>0</v>
      </c>
      <c r="MV3" s="5">
        <v>0</v>
      </c>
      <c r="MW3" s="5">
        <v>0</v>
      </c>
      <c r="MX3" s="5">
        <v>0</v>
      </c>
      <c r="MY3" s="5">
        <v>2500000</v>
      </c>
      <c r="MZ3" s="5">
        <v>0</v>
      </c>
      <c r="NA3" s="5">
        <v>5000000</v>
      </c>
      <c r="NB3" s="5">
        <v>0</v>
      </c>
      <c r="NC3" s="5">
        <v>0</v>
      </c>
      <c r="ND3" s="5">
        <v>0</v>
      </c>
      <c r="NE3" s="5">
        <v>0</v>
      </c>
      <c r="NF3" s="5">
        <v>0</v>
      </c>
      <c r="NG3" s="5">
        <v>2142000</v>
      </c>
      <c r="NH3" s="5">
        <v>2142000</v>
      </c>
      <c r="NI3" s="5">
        <v>2142000</v>
      </c>
      <c r="NJ3" s="5">
        <v>0</v>
      </c>
      <c r="NK3" s="5"/>
      <c r="NL3" s="2" t="s">
        <v>9</v>
      </c>
      <c r="NM3" s="2" t="s">
        <v>17</v>
      </c>
      <c r="NN3" s="2"/>
      <c r="NO3" s="2" t="s">
        <v>17</v>
      </c>
      <c r="NP3" s="2"/>
      <c r="NQ3" s="2"/>
      <c r="NR3" s="2" t="s">
        <v>17</v>
      </c>
      <c r="NS3" s="2"/>
      <c r="NT3" s="2" t="s">
        <v>17</v>
      </c>
      <c r="NU3" s="2"/>
      <c r="NV3" s="2"/>
      <c r="NW3" s="2"/>
      <c r="NX3" s="2" t="s">
        <v>9</v>
      </c>
      <c r="NY3" s="2" t="s">
        <v>88</v>
      </c>
      <c r="NZ3" s="2">
        <v>206</v>
      </c>
      <c r="OA3" s="2" t="s">
        <v>1204</v>
      </c>
      <c r="OB3" s="2" t="s">
        <v>1205</v>
      </c>
      <c r="OC3" s="2" t="s">
        <v>1205</v>
      </c>
      <c r="OD3" s="2" t="s">
        <v>17</v>
      </c>
      <c r="OE3" s="2" t="s">
        <v>91</v>
      </c>
      <c r="OF3" s="2" t="s">
        <v>17</v>
      </c>
      <c r="OG3" s="2" t="s">
        <v>9</v>
      </c>
      <c r="OH3" s="2" t="s">
        <v>92</v>
      </c>
      <c r="OI3" s="2"/>
      <c r="OJ3" s="2"/>
      <c r="OK3" s="2" t="s">
        <v>17</v>
      </c>
      <c r="OL3" s="2" t="s">
        <v>17</v>
      </c>
      <c r="OM3" s="2" t="s">
        <v>85</v>
      </c>
      <c r="ON3" s="6">
        <v>0</v>
      </c>
      <c r="OO3" s="6">
        <v>0</v>
      </c>
      <c r="OP3" s="2" t="s">
        <v>93</v>
      </c>
      <c r="OQ3" s="2" t="s">
        <v>93</v>
      </c>
      <c r="OR3" s="6">
        <v>0</v>
      </c>
      <c r="OS3" s="4">
        <v>0</v>
      </c>
      <c r="OT3" s="2" t="s">
        <v>17</v>
      </c>
      <c r="OU3" s="2" t="s">
        <v>17</v>
      </c>
      <c r="OV3" s="2"/>
      <c r="OW3" s="2"/>
      <c r="OX3" s="5">
        <v>15430111</v>
      </c>
      <c r="OY3" s="6">
        <v>160730.32999999999</v>
      </c>
      <c r="OZ3" s="2"/>
      <c r="PA3" s="2"/>
      <c r="PB3" s="8">
        <v>11187936</v>
      </c>
      <c r="PC3" s="8">
        <v>230400</v>
      </c>
      <c r="PD3" s="8">
        <v>11418336</v>
      </c>
      <c r="PE3" s="2"/>
      <c r="PF3" s="2"/>
      <c r="PG3" s="2"/>
      <c r="PH3" s="2"/>
      <c r="PI3" s="2"/>
      <c r="PJ3" s="2"/>
      <c r="PK3" s="8">
        <v>11187936</v>
      </c>
      <c r="PL3" s="8">
        <v>230400</v>
      </c>
      <c r="PM3" s="8">
        <v>11418336</v>
      </c>
      <c r="PN3" s="8">
        <v>1598567</v>
      </c>
      <c r="PO3" s="2"/>
      <c r="PP3" s="8">
        <v>1598567</v>
      </c>
      <c r="PQ3" s="6">
        <v>1598567</v>
      </c>
      <c r="PR3" s="8">
        <v>12786503</v>
      </c>
      <c r="PS3" s="8">
        <v>230400</v>
      </c>
      <c r="PT3" s="8">
        <v>13016903</v>
      </c>
      <c r="PU3" s="8">
        <v>642685</v>
      </c>
      <c r="PV3" s="2"/>
      <c r="PW3" s="8">
        <v>642685</v>
      </c>
      <c r="PX3" s="6">
        <v>650845.15</v>
      </c>
      <c r="PY3" s="8">
        <v>699111</v>
      </c>
      <c r="PZ3" s="8">
        <v>323539</v>
      </c>
      <c r="QA3" s="8">
        <v>1022650</v>
      </c>
      <c r="QB3" s="8">
        <v>288000</v>
      </c>
      <c r="QC3" s="8">
        <v>144000</v>
      </c>
      <c r="QD3" s="8">
        <v>432000</v>
      </c>
      <c r="QE3" s="8">
        <v>1020500</v>
      </c>
      <c r="QF3" s="8">
        <v>12500</v>
      </c>
      <c r="QG3" s="8">
        <v>1033000</v>
      </c>
      <c r="QH3" s="2"/>
      <c r="QI3" s="8">
        <v>453512</v>
      </c>
      <c r="QJ3" s="8">
        <v>453512</v>
      </c>
      <c r="QK3" s="2"/>
      <c r="QL3" s="2"/>
      <c r="QM3" s="2"/>
      <c r="QN3" s="8">
        <v>289056</v>
      </c>
      <c r="QO3" s="2"/>
      <c r="QP3" s="8">
        <v>289056</v>
      </c>
      <c r="QQ3" s="8">
        <v>2296667</v>
      </c>
      <c r="QR3" s="8">
        <v>933551</v>
      </c>
      <c r="QS3" s="8">
        <v>3230218</v>
      </c>
      <c r="QT3" s="8">
        <v>161510</v>
      </c>
      <c r="QU3" s="2"/>
      <c r="QV3" s="8">
        <v>161510</v>
      </c>
      <c r="QW3" s="6">
        <v>161510.9</v>
      </c>
      <c r="QX3" s="8">
        <v>1040214</v>
      </c>
      <c r="QY3" s="8">
        <v>257042</v>
      </c>
      <c r="QZ3" s="8">
        <v>1297256</v>
      </c>
      <c r="RA3" s="8">
        <v>91000</v>
      </c>
      <c r="RB3" s="8">
        <v>91000</v>
      </c>
      <c r="RC3" s="2"/>
      <c r="RD3" s="8">
        <v>50000</v>
      </c>
      <c r="RE3" s="8">
        <v>50000</v>
      </c>
      <c r="RF3" s="8">
        <v>1040214</v>
      </c>
      <c r="RG3" s="8">
        <v>398042</v>
      </c>
      <c r="RH3" s="8">
        <v>1438256</v>
      </c>
      <c r="RI3" s="2"/>
      <c r="RJ3" s="2"/>
      <c r="RK3" s="2"/>
      <c r="RL3" s="2"/>
      <c r="RM3" s="8">
        <v>16927579</v>
      </c>
      <c r="RN3" s="8">
        <v>1561993</v>
      </c>
      <c r="RO3" s="8">
        <v>18489572</v>
      </c>
      <c r="RP3" s="2"/>
      <c r="RQ3" s="2"/>
      <c r="RR3" s="2">
        <v>0</v>
      </c>
      <c r="RS3" s="6">
        <v>0</v>
      </c>
      <c r="RT3" s="8">
        <v>2958331</v>
      </c>
      <c r="RU3" s="2"/>
      <c r="RV3" s="8">
        <v>2958331</v>
      </c>
      <c r="RW3" s="6">
        <v>2958331</v>
      </c>
      <c r="RX3" s="6">
        <v>0</v>
      </c>
      <c r="RY3" s="8">
        <v>2958331</v>
      </c>
      <c r="RZ3" s="2"/>
      <c r="SA3" s="8">
        <v>2958331</v>
      </c>
      <c r="SB3" s="6">
        <v>2958331</v>
      </c>
      <c r="SC3" s="2"/>
      <c r="SD3" s="2"/>
      <c r="SE3" s="6">
        <v>336000</v>
      </c>
      <c r="SF3" s="8">
        <v>3900000</v>
      </c>
      <c r="SG3" s="8">
        <v>3900000</v>
      </c>
      <c r="SH3" s="8">
        <v>19885910</v>
      </c>
      <c r="SI3" s="8">
        <v>5461993</v>
      </c>
      <c r="SJ3" s="8">
        <v>25347903</v>
      </c>
      <c r="SK3" s="2"/>
      <c r="SL3" s="2"/>
      <c r="SM3" s="2" t="s">
        <v>1206</v>
      </c>
      <c r="SN3" s="2" t="s">
        <v>1207</v>
      </c>
      <c r="SO3" s="2"/>
      <c r="SP3" s="8">
        <v>18500000</v>
      </c>
      <c r="SQ3" s="2" t="s">
        <v>95</v>
      </c>
      <c r="SR3" s="2"/>
      <c r="SS3" s="2"/>
      <c r="ST3" s="2"/>
      <c r="SU3" s="2"/>
      <c r="SV3" s="2"/>
      <c r="SW3" s="2"/>
      <c r="SX3" s="2" t="s">
        <v>96</v>
      </c>
      <c r="SY3" s="2" t="s">
        <v>96</v>
      </c>
      <c r="SZ3" s="2" t="s">
        <v>96</v>
      </c>
      <c r="TA3" s="2" t="s">
        <v>96</v>
      </c>
      <c r="TB3" s="8">
        <v>4819018</v>
      </c>
      <c r="TC3" s="2"/>
      <c r="TD3" s="2"/>
      <c r="TE3" s="2"/>
      <c r="TF3" s="2"/>
      <c r="TG3" s="2"/>
      <c r="TH3" s="2"/>
      <c r="TI3" s="8">
        <v>2028885</v>
      </c>
      <c r="TJ3" s="8">
        <v>25347903</v>
      </c>
      <c r="TK3" s="2">
        <v>0</v>
      </c>
      <c r="TL3" s="2" t="s">
        <v>9</v>
      </c>
      <c r="TM3" s="8">
        <v>4100000</v>
      </c>
      <c r="TN3" s="2" t="s">
        <v>95</v>
      </c>
      <c r="TO3" s="2"/>
      <c r="TP3" s="2"/>
      <c r="TQ3" s="2"/>
      <c r="TR3" s="2"/>
      <c r="TS3" s="2"/>
      <c r="TT3" s="2"/>
      <c r="TU3" s="2" t="s">
        <v>96</v>
      </c>
      <c r="TV3" s="8">
        <v>19276072</v>
      </c>
      <c r="TW3" s="2"/>
      <c r="TX3" s="2"/>
      <c r="TY3" s="2"/>
      <c r="TZ3" s="2"/>
      <c r="UA3" s="2"/>
      <c r="UB3" s="2"/>
      <c r="UC3" s="8">
        <v>1971831</v>
      </c>
      <c r="UD3" s="8">
        <v>25347903</v>
      </c>
      <c r="UE3" s="6">
        <v>4100000</v>
      </c>
      <c r="UF3" s="2">
        <v>0</v>
      </c>
      <c r="UG3" s="2" t="s">
        <v>9</v>
      </c>
      <c r="UH3" s="2">
        <v>96</v>
      </c>
      <c r="UI3" s="5">
        <v>240000</v>
      </c>
      <c r="UJ3" s="6">
        <v>320000</v>
      </c>
      <c r="UK3" s="6">
        <v>320000</v>
      </c>
      <c r="UL3" s="6">
        <v>339200</v>
      </c>
      <c r="UM3" s="6">
        <v>32563200</v>
      </c>
      <c r="UN3" s="6">
        <v>5210112</v>
      </c>
      <c r="UO3" s="6">
        <v>5210112</v>
      </c>
      <c r="UP3" s="6">
        <v>37773312</v>
      </c>
      <c r="UQ3" s="6">
        <v>21447903</v>
      </c>
      <c r="UR3" s="2"/>
      <c r="US3" s="2"/>
      <c r="UT3" s="6">
        <v>0</v>
      </c>
      <c r="UU3" s="2"/>
      <c r="UV3" s="6">
        <v>0</v>
      </c>
      <c r="UW3" s="6">
        <v>0</v>
      </c>
      <c r="UX3" s="6">
        <v>0</v>
      </c>
      <c r="UY3" s="6">
        <v>0</v>
      </c>
      <c r="UZ3" s="2"/>
      <c r="VA3" s="2"/>
      <c r="VB3" s="2"/>
      <c r="VC3" s="2"/>
      <c r="VD3" s="2" t="s">
        <v>17</v>
      </c>
      <c r="VE3" s="2" t="s">
        <v>17</v>
      </c>
      <c r="VF3" s="2"/>
      <c r="VG3" s="2" t="s">
        <v>17</v>
      </c>
      <c r="VH3" s="2"/>
      <c r="VI3" s="388" t="s">
        <v>4520</v>
      </c>
      <c r="VJ3" s="2" t="s">
        <v>98</v>
      </c>
      <c r="VK3" s="2" t="s">
        <v>1209</v>
      </c>
      <c r="VL3" s="23">
        <f t="shared" si="0"/>
        <v>156</v>
      </c>
      <c r="VM3" s="17">
        <f t="shared" si="1"/>
        <v>1.625</v>
      </c>
      <c r="VN3" s="17" t="str">
        <f t="shared" ref="VN3:VN66" si="12">IF(GG3+GH3=MAX(GG3:GO3),"NC-GA-",IF(GI3+GJ3=MAX(GG3:GO3),"NC-MR-",IF(GK3=MAX(GG3:GO3),"NC-HR-",IF(GL3+GM3=MAX(GG3:GO3),"NC-OT-",IF(GN3+GO3=MAX(GG3:GO3),"AR-GA-","Nothing")))))&amp;IF(BW3="Family","F","E")</f>
        <v>NC-GA-F</v>
      </c>
      <c r="VO3" s="17" t="str">
        <f t="shared" ref="VO3:VO66" si="13">VN3&amp;"-"&amp;RIGHT(VX3,3)</f>
        <v>NC-GA-F-ESS</v>
      </c>
      <c r="VP3" s="12">
        <v>9</v>
      </c>
      <c r="VQ3" s="57">
        <v>1</v>
      </c>
      <c r="VR3" s="57">
        <f t="shared" si="2"/>
        <v>1</v>
      </c>
      <c r="VS3" s="14">
        <f t="shared" si="3"/>
        <v>1</v>
      </c>
      <c r="VT3" s="12">
        <f t="shared" si="4"/>
        <v>0.93</v>
      </c>
      <c r="VU3" s="16">
        <f t="shared" si="5"/>
        <v>17928540</v>
      </c>
      <c r="VV3" s="16">
        <f t="shared" si="6"/>
        <v>186755.625</v>
      </c>
      <c r="VW3" s="12" t="str">
        <f t="shared" ref="VW3:VW66" si="14">IF(RANK(VV3,VV$2:VV$66,1)&lt;=ROUNDUP(80%*VW$1,0),"A","B")</f>
        <v>A</v>
      </c>
      <c r="VX3" s="12" t="str">
        <f t="shared" ref="VX3:VX66" si="15">IF(GG3=MAX(GG3:GO3),"NC-GA-ESS",IF(GH3=MAX(GG3:GO3),"NC-GA-Non",IF(GI3=MAX(GG3:GO3),"NC-MR-ESS",IF(GJ3=MAX(GG3:GO3),"NC-MR-Non",IF(GK3=MAX(GG3:GO3),"NC-HR-ESS",IF(GL3=MAX(GG3:GO3),"NC-OT-ESS",IF(GM3=MAX(GG3:GO3),"NC-OT-Non",IF(GN3=MAX(GG3:GO3),"AR-GA-ESS",IF(GO3=MAX(GG3:GO3),"AR-GA-Non","Nothing")))))))))</f>
        <v>NC-GA-ESS</v>
      </c>
      <c r="VY3" s="351">
        <f t="shared" ref="VY3:VY66" si="16">IF(RANK(VV3,VV$2:VV$66,1)&lt;=ROUNDUP(10%*VW$1,0),1,IF(RANK(VV3,VV$2:VV$66,1)&lt;=ROUNDUP(30%*VW$1,0),2,IF(RANK(VV3,VV$2:VV$66,1)&lt;=ROUNDUP(50%*VW$1,0),3,IF(RANK(VV3,VV$2:VV$66,1)&lt;=ROUNDUP(70%*VW$1,0),4,5))))</f>
        <v>1</v>
      </c>
      <c r="WA3" s="12">
        <f t="shared" ref="WA3:WA66" si="17">IF(BW3="Elderly Non-ALF",1,0)</f>
        <v>0</v>
      </c>
      <c r="WB3" s="12">
        <f t="shared" ref="WB3:WD66" si="18">IF(OR(VQ3=1,N(VQ3)=0),0,1)</f>
        <v>0</v>
      </c>
      <c r="WC3" s="12">
        <f t="shared" si="18"/>
        <v>0</v>
      </c>
      <c r="WD3" s="12">
        <f t="shared" si="18"/>
        <v>0</v>
      </c>
      <c r="WE3" s="12">
        <f t="shared" ref="WE3:WE66" si="19">IF(GG3+GI3+GK3+GL3&gt;0,1,0)</f>
        <v>1</v>
      </c>
      <c r="WF3" s="12">
        <f t="shared" si="7"/>
        <v>1</v>
      </c>
      <c r="WG3" s="12">
        <f t="shared" si="8"/>
        <v>0</v>
      </c>
      <c r="WH3" s="12">
        <f t="shared" si="9"/>
        <v>0</v>
      </c>
      <c r="WI3" s="31">
        <f t="shared" si="10"/>
        <v>2</v>
      </c>
      <c r="WJ3" s="2"/>
      <c r="WK3" s="443" t="str">
        <f t="shared" si="11"/>
        <v>NC-GA-ESS-BBN-BRN-NPH-F</v>
      </c>
      <c r="WL3" s="443"/>
      <c r="WM3" s="443"/>
      <c r="WN3" s="12"/>
      <c r="WO3" s="380" t="s">
        <v>2627</v>
      </c>
      <c r="WP3" s="144">
        <f>COUNTIFS($WB$2:$WB$72,"=1",$WA$2:$WA$72,"=1")</f>
        <v>0</v>
      </c>
      <c r="WQ3" s="384"/>
      <c r="WR3" s="144">
        <f>COUNTIFS($WB$2:$WB$72,"=1",$WC$2:$WC$72,"=1")</f>
        <v>0</v>
      </c>
      <c r="WS3" s="144">
        <f>COUNTIFS($WB$2:$WB$72,"=1",$WD$2:$WD$72,"=1")</f>
        <v>0</v>
      </c>
      <c r="WT3" s="144">
        <f>COUNTIFS($WB$2:$WB$72,"=1",$WF$2:$WF$72,"=1")</f>
        <v>0</v>
      </c>
      <c r="WU3" s="144">
        <f>COUNTIFS($WB$2:$WB$72,"=1",$WG$2:$WG$72,"=1")</f>
        <v>0</v>
      </c>
      <c r="WV3" s="144">
        <f>COUNTIFS($WB$2:$WB$72,"=1",$WH$2:$WH$72,"=1")</f>
        <v>0</v>
      </c>
      <c r="WW3" s="144">
        <f>COUNTIFS($WB$2:$WB$72,"=1",$WE$2:$WE$72,"=1")</f>
        <v>0</v>
      </c>
      <c r="WX3" s="205">
        <f>COUNTIF($WB$2:$WB$72,"=1")</f>
        <v>0</v>
      </c>
    </row>
    <row r="4" spans="1:622" x14ac:dyDescent="0.25">
      <c r="A4" s="2">
        <v>9519</v>
      </c>
      <c r="B4" s="2" t="s">
        <v>1365</v>
      </c>
      <c r="C4" s="2" t="s">
        <v>8</v>
      </c>
      <c r="D4" s="3">
        <v>45135</v>
      </c>
      <c r="E4" s="2" t="s">
        <v>9</v>
      </c>
      <c r="F4" s="2">
        <v>3</v>
      </c>
      <c r="G4" s="2" t="s">
        <v>9</v>
      </c>
      <c r="H4" s="2">
        <v>3</v>
      </c>
      <c r="I4" s="2" t="s">
        <v>9</v>
      </c>
      <c r="J4" s="2">
        <v>3</v>
      </c>
      <c r="K4" s="2" t="s">
        <v>9</v>
      </c>
      <c r="L4" s="2">
        <v>3</v>
      </c>
      <c r="M4" s="2" t="s">
        <v>10</v>
      </c>
      <c r="N4" s="2">
        <v>0</v>
      </c>
      <c r="O4" s="2" t="s">
        <v>10</v>
      </c>
      <c r="P4" s="2">
        <v>0</v>
      </c>
      <c r="Q4" s="2" t="s">
        <v>11</v>
      </c>
      <c r="R4" s="2">
        <v>0</v>
      </c>
      <c r="S4" s="2" t="s">
        <v>9</v>
      </c>
      <c r="T4" s="2">
        <v>2</v>
      </c>
      <c r="U4" s="2" t="s">
        <v>9</v>
      </c>
      <c r="V4" s="2">
        <v>2</v>
      </c>
      <c r="W4" s="2" t="s">
        <v>9</v>
      </c>
      <c r="X4" s="2">
        <v>2</v>
      </c>
      <c r="Y4" s="2" t="s">
        <v>12</v>
      </c>
      <c r="Z4" s="2" t="s">
        <v>101</v>
      </c>
      <c r="AA4" s="2" t="s">
        <v>188</v>
      </c>
      <c r="AB4" s="2" t="s">
        <v>15</v>
      </c>
      <c r="AC4" s="2" t="s">
        <v>15</v>
      </c>
      <c r="AD4" s="2" t="s">
        <v>15</v>
      </c>
      <c r="AE4" s="2" t="s">
        <v>15</v>
      </c>
      <c r="AF4" s="2">
        <v>2</v>
      </c>
      <c r="AG4" s="2" t="s">
        <v>1366</v>
      </c>
      <c r="AH4" s="2" t="s">
        <v>17</v>
      </c>
      <c r="AI4" s="4">
        <v>0.15476000000000001</v>
      </c>
      <c r="AJ4" s="2" t="s">
        <v>17</v>
      </c>
      <c r="AK4" s="2" t="s">
        <v>9</v>
      </c>
      <c r="AL4" s="2" t="s">
        <v>17</v>
      </c>
      <c r="AM4" s="2" t="s">
        <v>9</v>
      </c>
      <c r="AN4" s="2" t="s">
        <v>17</v>
      </c>
      <c r="AO4" s="2" t="s">
        <v>17</v>
      </c>
      <c r="AP4" s="2" t="s">
        <v>17</v>
      </c>
      <c r="AQ4" s="2" t="s">
        <v>17</v>
      </c>
      <c r="AR4" s="2" t="s">
        <v>17</v>
      </c>
      <c r="AS4" s="2" t="s">
        <v>17</v>
      </c>
      <c r="AT4" s="2">
        <v>0</v>
      </c>
      <c r="AU4" s="5">
        <v>37500</v>
      </c>
      <c r="AV4" s="5">
        <v>460000</v>
      </c>
      <c r="AW4" s="2">
        <v>0</v>
      </c>
      <c r="AX4" s="2">
        <v>11</v>
      </c>
      <c r="AY4" s="2">
        <v>0</v>
      </c>
      <c r="AZ4" s="2">
        <v>18</v>
      </c>
      <c r="BA4" s="2">
        <v>0</v>
      </c>
      <c r="BB4" s="2">
        <v>1</v>
      </c>
      <c r="BC4" s="2">
        <v>0</v>
      </c>
      <c r="BD4" s="2">
        <v>0</v>
      </c>
      <c r="BE4" s="2">
        <v>0</v>
      </c>
      <c r="BF4" s="2">
        <v>1</v>
      </c>
      <c r="BG4" s="2">
        <v>0</v>
      </c>
      <c r="BH4" s="2">
        <v>0</v>
      </c>
      <c r="BI4" s="2">
        <v>13</v>
      </c>
      <c r="BJ4" s="2">
        <v>1</v>
      </c>
      <c r="BK4" s="2">
        <v>0</v>
      </c>
      <c r="BL4" s="2">
        <v>3</v>
      </c>
      <c r="BM4" s="2">
        <v>1</v>
      </c>
      <c r="BN4" s="2">
        <v>11</v>
      </c>
      <c r="BO4" s="2">
        <v>11</v>
      </c>
      <c r="BP4" s="2">
        <v>0</v>
      </c>
      <c r="BQ4" s="2">
        <v>10</v>
      </c>
      <c r="BR4" s="2">
        <v>12.83</v>
      </c>
      <c r="BS4" s="2">
        <v>0</v>
      </c>
      <c r="BT4" s="4">
        <v>0.06</v>
      </c>
      <c r="BU4" s="2" t="s">
        <v>9</v>
      </c>
      <c r="BV4" s="6">
        <v>169715.25</v>
      </c>
      <c r="BW4" s="2" t="s">
        <v>18</v>
      </c>
      <c r="BX4" s="2" t="s">
        <v>17</v>
      </c>
      <c r="BY4" s="2" t="s">
        <v>17</v>
      </c>
      <c r="BZ4" s="2" t="s">
        <v>17</v>
      </c>
      <c r="CA4" s="2" t="s">
        <v>17</v>
      </c>
      <c r="CB4" s="2" t="s">
        <v>17</v>
      </c>
      <c r="CC4" s="2" t="s">
        <v>17</v>
      </c>
      <c r="CD4" s="2" t="s">
        <v>17</v>
      </c>
      <c r="CE4" s="2" t="s">
        <v>1367</v>
      </c>
      <c r="CF4" s="2" t="s">
        <v>9</v>
      </c>
      <c r="CG4" s="2" t="s">
        <v>1368</v>
      </c>
      <c r="CH4" s="2"/>
      <c r="CI4" s="2"/>
      <c r="CJ4" s="2" t="s">
        <v>9</v>
      </c>
      <c r="CK4" s="2" t="s">
        <v>21</v>
      </c>
      <c r="CL4" s="2" t="s">
        <v>1368</v>
      </c>
      <c r="CM4" s="2" t="s">
        <v>22</v>
      </c>
      <c r="CN4" s="2" t="s">
        <v>23</v>
      </c>
      <c r="CO4" s="2" t="s">
        <v>24</v>
      </c>
      <c r="CP4" s="2"/>
      <c r="CQ4" s="2">
        <v>90</v>
      </c>
      <c r="CR4" s="2" t="s">
        <v>461</v>
      </c>
      <c r="CS4" s="2">
        <v>2017</v>
      </c>
      <c r="CT4" s="2" t="s">
        <v>26</v>
      </c>
      <c r="CU4" s="2" t="s">
        <v>27</v>
      </c>
      <c r="CV4" s="2" t="s">
        <v>28</v>
      </c>
      <c r="CW4" s="2" t="s">
        <v>29</v>
      </c>
      <c r="CX4" s="2" t="s">
        <v>24</v>
      </c>
      <c r="CY4" s="2"/>
      <c r="CZ4" s="2">
        <v>69</v>
      </c>
      <c r="DA4" s="2" t="s">
        <v>461</v>
      </c>
      <c r="DB4" s="2">
        <v>2016</v>
      </c>
      <c r="DC4" s="2" t="s">
        <v>30</v>
      </c>
      <c r="DD4" s="2" t="s">
        <v>27</v>
      </c>
      <c r="DE4" s="2" t="s">
        <v>31</v>
      </c>
      <c r="DF4" s="2" t="s">
        <v>32</v>
      </c>
      <c r="DG4" s="2" t="s">
        <v>24</v>
      </c>
      <c r="DH4" s="2"/>
      <c r="DI4" s="2">
        <v>76</v>
      </c>
      <c r="DJ4" s="2" t="s">
        <v>461</v>
      </c>
      <c r="DK4" s="2">
        <v>2016</v>
      </c>
      <c r="DL4" s="2" t="s">
        <v>30</v>
      </c>
      <c r="DM4" s="2" t="s">
        <v>27</v>
      </c>
      <c r="DN4" s="2" t="s">
        <v>33</v>
      </c>
      <c r="DO4" s="2" t="s">
        <v>34</v>
      </c>
      <c r="DP4" s="2"/>
      <c r="DQ4" s="2" t="s">
        <v>35</v>
      </c>
      <c r="DR4" s="2" t="s">
        <v>36</v>
      </c>
      <c r="DS4" s="2">
        <v>1</v>
      </c>
      <c r="DT4" s="2" t="s">
        <v>37</v>
      </c>
      <c r="DU4" s="2" t="s">
        <v>38</v>
      </c>
      <c r="DV4" s="2" t="s">
        <v>39</v>
      </c>
      <c r="DW4" s="2">
        <v>32405</v>
      </c>
      <c r="DX4" s="2" t="s">
        <v>40</v>
      </c>
      <c r="DY4" s="2"/>
      <c r="DZ4" s="2" t="s">
        <v>41</v>
      </c>
      <c r="EA4" s="2" t="s">
        <v>36</v>
      </c>
      <c r="EB4" s="2" t="s">
        <v>42</v>
      </c>
      <c r="EC4" s="2" t="s">
        <v>43</v>
      </c>
      <c r="ED4" s="2" t="s">
        <v>44</v>
      </c>
      <c r="EE4" s="2">
        <v>84</v>
      </c>
      <c r="EF4" s="2" t="s">
        <v>473</v>
      </c>
      <c r="EG4" s="2">
        <v>6</v>
      </c>
      <c r="EH4" s="2" t="s">
        <v>46</v>
      </c>
      <c r="EI4" s="2" t="s">
        <v>47</v>
      </c>
      <c r="EJ4" s="2" t="s">
        <v>48</v>
      </c>
      <c r="EK4" s="2" t="s">
        <v>49</v>
      </c>
      <c r="EL4" s="2" t="s">
        <v>44</v>
      </c>
      <c r="EM4" s="2">
        <v>112</v>
      </c>
      <c r="EN4" s="2" t="s">
        <v>473</v>
      </c>
      <c r="EO4" s="2">
        <v>5</v>
      </c>
      <c r="EP4" s="2" t="s">
        <v>46</v>
      </c>
      <c r="EQ4" s="2" t="s">
        <v>47</v>
      </c>
      <c r="ER4" s="2" t="s">
        <v>50</v>
      </c>
      <c r="ES4" s="2"/>
      <c r="ET4" s="2" t="s">
        <v>51</v>
      </c>
      <c r="EU4" s="2" t="s">
        <v>52</v>
      </c>
      <c r="EV4" s="2" t="s">
        <v>53</v>
      </c>
      <c r="EW4" s="2" t="s">
        <v>54</v>
      </c>
      <c r="EX4" s="2" t="s">
        <v>55</v>
      </c>
      <c r="EY4" s="2">
        <v>91730</v>
      </c>
      <c r="EZ4" s="2" t="s">
        <v>56</v>
      </c>
      <c r="FA4" s="2"/>
      <c r="FB4" s="2" t="s">
        <v>57</v>
      </c>
      <c r="FC4" s="2" t="s">
        <v>58</v>
      </c>
      <c r="FD4" s="2"/>
      <c r="FE4" s="2" t="s">
        <v>59</v>
      </c>
      <c r="FF4" s="2" t="s">
        <v>52</v>
      </c>
      <c r="FG4" s="2" t="s">
        <v>53</v>
      </c>
      <c r="FH4" s="2" t="s">
        <v>54</v>
      </c>
      <c r="FI4" s="2" t="s">
        <v>55</v>
      </c>
      <c r="FJ4" s="2">
        <v>91730</v>
      </c>
      <c r="FK4" s="2" t="s">
        <v>60</v>
      </c>
      <c r="FL4" s="2"/>
      <c r="FM4" s="2" t="s">
        <v>61</v>
      </c>
      <c r="FN4" s="2" t="s">
        <v>1369</v>
      </c>
      <c r="FO4" s="2" t="s">
        <v>63</v>
      </c>
      <c r="FP4" s="2" t="s">
        <v>64</v>
      </c>
      <c r="FQ4" s="2" t="s">
        <v>9</v>
      </c>
      <c r="FR4" s="2" t="s">
        <v>17</v>
      </c>
      <c r="FS4" s="2" t="s">
        <v>17</v>
      </c>
      <c r="FT4" s="2" t="s">
        <v>9</v>
      </c>
      <c r="FU4" s="2">
        <v>0</v>
      </c>
      <c r="FV4" s="2">
        <v>0</v>
      </c>
      <c r="FW4" s="4">
        <v>0</v>
      </c>
      <c r="FX4" s="4">
        <v>0</v>
      </c>
      <c r="FY4" s="2" t="s">
        <v>65</v>
      </c>
      <c r="FZ4" s="2" t="s">
        <v>66</v>
      </c>
      <c r="GA4" s="2" t="s">
        <v>67</v>
      </c>
      <c r="GB4" s="2"/>
      <c r="GC4" s="2"/>
      <c r="GD4" s="2"/>
      <c r="GE4" s="2" t="s">
        <v>108</v>
      </c>
      <c r="GF4" s="2"/>
      <c r="GG4" s="2"/>
      <c r="GH4" s="2"/>
      <c r="GI4" s="2">
        <v>84</v>
      </c>
      <c r="GJ4" s="2"/>
      <c r="GK4" s="2"/>
      <c r="GL4" s="2"/>
      <c r="GM4" s="2"/>
      <c r="GN4" s="2"/>
      <c r="GO4" s="2"/>
      <c r="GP4" s="2"/>
      <c r="GQ4" s="2">
        <v>84</v>
      </c>
      <c r="GR4" s="2" t="s">
        <v>219</v>
      </c>
      <c r="GS4" s="2" t="s">
        <v>70</v>
      </c>
      <c r="GT4" s="2" t="s">
        <v>1370</v>
      </c>
      <c r="GU4" s="2" t="s">
        <v>221</v>
      </c>
      <c r="GV4" s="2" t="s">
        <v>17</v>
      </c>
      <c r="GW4" s="2">
        <v>30.481335999999999</v>
      </c>
      <c r="GX4" s="2">
        <v>-84.302149</v>
      </c>
      <c r="GY4" s="2"/>
      <c r="GZ4" s="2" t="s">
        <v>17</v>
      </c>
      <c r="HA4" s="2" t="s">
        <v>17</v>
      </c>
      <c r="HB4" s="2">
        <v>0</v>
      </c>
      <c r="HC4" s="2" t="s">
        <v>17</v>
      </c>
      <c r="HD4" s="2"/>
      <c r="HE4" s="2">
        <v>0</v>
      </c>
      <c r="HF4" s="2">
        <v>30.479661</v>
      </c>
      <c r="HG4" s="2">
        <v>-84.301496999999998</v>
      </c>
      <c r="HH4" s="2">
        <v>0.12</v>
      </c>
      <c r="HI4" s="2">
        <v>4</v>
      </c>
      <c r="HJ4" s="2">
        <v>30.48001</v>
      </c>
      <c r="HK4" s="2">
        <v>-84.304255999999995</v>
      </c>
      <c r="HL4" s="2">
        <v>0.15</v>
      </c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 t="s">
        <v>73</v>
      </c>
      <c r="HY4" s="2" t="s">
        <v>17</v>
      </c>
      <c r="HZ4" s="2"/>
      <c r="IA4" s="2" t="s">
        <v>74</v>
      </c>
      <c r="IB4" s="2" t="s">
        <v>1371</v>
      </c>
      <c r="IC4" s="2">
        <v>1.07</v>
      </c>
      <c r="ID4" s="2">
        <v>2</v>
      </c>
      <c r="IE4" s="2" t="s">
        <v>1372</v>
      </c>
      <c r="IF4" s="2">
        <v>0.75</v>
      </c>
      <c r="IG4" s="2">
        <v>3</v>
      </c>
      <c r="IH4" s="2" t="s">
        <v>1118</v>
      </c>
      <c r="II4" s="2">
        <v>0.98</v>
      </c>
      <c r="IJ4" s="2">
        <v>2.5</v>
      </c>
      <c r="IK4" s="2"/>
      <c r="IL4" s="2"/>
      <c r="IM4" s="2"/>
      <c r="IN4" s="2"/>
      <c r="IO4" s="2" t="s">
        <v>17</v>
      </c>
      <c r="IP4" s="2">
        <v>4</v>
      </c>
      <c r="IQ4" s="2">
        <v>7.5</v>
      </c>
      <c r="IR4" s="2">
        <v>0</v>
      </c>
      <c r="IS4" s="2">
        <v>11.5</v>
      </c>
      <c r="IT4" s="2" t="s">
        <v>17</v>
      </c>
      <c r="IU4" s="2" t="s">
        <v>17</v>
      </c>
      <c r="IV4" s="2" t="s">
        <v>17</v>
      </c>
      <c r="IW4" s="2" t="s">
        <v>9</v>
      </c>
      <c r="IX4" s="2" t="s">
        <v>9</v>
      </c>
      <c r="IY4" s="2">
        <v>11.5</v>
      </c>
      <c r="IZ4" s="2">
        <v>84</v>
      </c>
      <c r="JA4" s="2" t="s">
        <v>81</v>
      </c>
      <c r="JB4" s="2" t="s">
        <v>82</v>
      </c>
      <c r="JC4" s="2"/>
      <c r="JD4" s="2"/>
      <c r="JE4" s="2"/>
      <c r="JF4" s="2"/>
      <c r="JG4" s="2"/>
      <c r="JH4" s="7">
        <v>0</v>
      </c>
      <c r="JI4" s="2">
        <v>0</v>
      </c>
      <c r="JJ4" s="7">
        <v>0</v>
      </c>
      <c r="JK4" s="2">
        <v>0</v>
      </c>
      <c r="JL4" s="7">
        <v>0</v>
      </c>
      <c r="JM4" s="2">
        <v>13</v>
      </c>
      <c r="JN4" s="2"/>
      <c r="JO4" s="2"/>
      <c r="JP4" s="2">
        <v>42</v>
      </c>
      <c r="JQ4" s="2">
        <v>19</v>
      </c>
      <c r="JR4" s="2">
        <v>10</v>
      </c>
      <c r="JS4" s="2">
        <v>0</v>
      </c>
      <c r="JT4" s="2">
        <v>0</v>
      </c>
      <c r="JU4" s="2"/>
      <c r="JV4" s="2">
        <v>84</v>
      </c>
      <c r="JW4" s="4">
        <v>1</v>
      </c>
      <c r="JX4" s="2">
        <v>84</v>
      </c>
      <c r="JY4" s="4">
        <v>0.6</v>
      </c>
      <c r="JZ4" s="2">
        <v>0</v>
      </c>
      <c r="KA4" s="2"/>
      <c r="KB4" s="2"/>
      <c r="KC4" s="2"/>
      <c r="KD4" s="2"/>
      <c r="KE4" s="2"/>
      <c r="KF4" s="2"/>
      <c r="KG4" s="2"/>
      <c r="KH4" s="2">
        <v>58</v>
      </c>
      <c r="KI4" s="2">
        <v>26</v>
      </c>
      <c r="KJ4" s="2"/>
      <c r="KK4" s="2"/>
      <c r="KL4" s="2"/>
      <c r="KM4" s="2"/>
      <c r="KN4" s="2"/>
      <c r="KO4" s="2"/>
      <c r="KP4" s="2"/>
      <c r="KQ4" s="2" t="s">
        <v>83</v>
      </c>
      <c r="KR4" s="2" t="s">
        <v>73</v>
      </c>
      <c r="KS4" s="2"/>
      <c r="KT4" s="2">
        <v>1</v>
      </c>
      <c r="KU4" s="2" t="s">
        <v>84</v>
      </c>
      <c r="KV4" s="2" t="s">
        <v>85</v>
      </c>
      <c r="KW4" s="2" t="s">
        <v>86</v>
      </c>
      <c r="KX4" s="2" t="s">
        <v>17</v>
      </c>
      <c r="KY4" s="2" t="s">
        <v>17</v>
      </c>
      <c r="KZ4" s="2" t="s">
        <v>17</v>
      </c>
      <c r="LA4" s="2" t="s">
        <v>17</v>
      </c>
      <c r="LB4" s="2" t="s">
        <v>17</v>
      </c>
      <c r="LC4" s="2" t="s">
        <v>17</v>
      </c>
      <c r="LD4" s="2" t="s">
        <v>17</v>
      </c>
      <c r="LE4" s="2" t="s">
        <v>17</v>
      </c>
      <c r="LF4" s="2" t="s">
        <v>17</v>
      </c>
      <c r="LG4" s="2" t="s">
        <v>17</v>
      </c>
      <c r="LH4" s="2" t="s">
        <v>17</v>
      </c>
      <c r="LI4" s="2" t="s">
        <v>17</v>
      </c>
      <c r="LJ4" s="2" t="s">
        <v>87</v>
      </c>
      <c r="LK4" s="2" t="s">
        <v>17</v>
      </c>
      <c r="LL4" s="2" t="s">
        <v>17</v>
      </c>
      <c r="LM4" s="2">
        <v>0</v>
      </c>
      <c r="LN4" s="2" t="s">
        <v>17</v>
      </c>
      <c r="LO4" s="2" t="s">
        <v>9</v>
      </c>
      <c r="LP4" s="2" t="s">
        <v>9</v>
      </c>
      <c r="LQ4" s="2" t="s">
        <v>17</v>
      </c>
      <c r="LR4" s="2" t="s">
        <v>9</v>
      </c>
      <c r="LS4" s="2" t="s">
        <v>17</v>
      </c>
      <c r="LT4" s="2" t="s">
        <v>17</v>
      </c>
      <c r="LU4" s="2" t="s">
        <v>17</v>
      </c>
      <c r="LV4" s="2" t="s">
        <v>17</v>
      </c>
      <c r="LW4" s="2" t="s">
        <v>17</v>
      </c>
      <c r="LX4" s="2" t="s">
        <v>17</v>
      </c>
      <c r="LY4" s="5">
        <v>6500000</v>
      </c>
      <c r="LZ4" s="5">
        <v>0</v>
      </c>
      <c r="MA4" s="5">
        <v>7200000</v>
      </c>
      <c r="MB4" s="5">
        <v>0</v>
      </c>
      <c r="MC4" s="5">
        <v>0</v>
      </c>
      <c r="MD4" s="5">
        <v>0</v>
      </c>
      <c r="ME4" s="5">
        <v>8820000</v>
      </c>
      <c r="MF4" s="5">
        <v>0</v>
      </c>
      <c r="MG4" s="5">
        <v>0</v>
      </c>
      <c r="MH4" s="5">
        <v>0</v>
      </c>
      <c r="MI4" s="5">
        <v>0</v>
      </c>
      <c r="MJ4" s="5">
        <v>0</v>
      </c>
      <c r="MK4" s="5">
        <v>0</v>
      </c>
      <c r="ML4" s="2">
        <v>0</v>
      </c>
      <c r="MM4" s="5">
        <v>0</v>
      </c>
      <c r="MN4" s="5">
        <v>0</v>
      </c>
      <c r="MO4" s="2">
        <v>0</v>
      </c>
      <c r="MP4" s="2">
        <v>0</v>
      </c>
      <c r="MQ4" s="2">
        <v>0</v>
      </c>
      <c r="MR4" s="5">
        <v>2950000</v>
      </c>
      <c r="MS4" s="5">
        <v>0</v>
      </c>
      <c r="MT4" s="5">
        <v>4600000</v>
      </c>
      <c r="MU4" s="5">
        <v>0</v>
      </c>
      <c r="MV4" s="5">
        <v>0</v>
      </c>
      <c r="MW4" s="5">
        <v>0</v>
      </c>
      <c r="MX4" s="5">
        <v>0</v>
      </c>
      <c r="MY4" s="5">
        <v>2500000</v>
      </c>
      <c r="MZ4" s="5">
        <v>0</v>
      </c>
      <c r="NA4" s="5">
        <v>5000000</v>
      </c>
      <c r="NB4" s="5">
        <v>0</v>
      </c>
      <c r="NC4" s="5">
        <v>0</v>
      </c>
      <c r="ND4" s="5">
        <v>0</v>
      </c>
      <c r="NE4" s="5">
        <v>0</v>
      </c>
      <c r="NF4" s="5">
        <v>0</v>
      </c>
      <c r="NG4" s="5">
        <v>2142000</v>
      </c>
      <c r="NH4" s="5">
        <v>2142000</v>
      </c>
      <c r="NI4" s="5">
        <v>2142000</v>
      </c>
      <c r="NJ4" s="5">
        <v>0</v>
      </c>
      <c r="NK4" s="5"/>
      <c r="NL4" s="2" t="s">
        <v>17</v>
      </c>
      <c r="NM4" s="2" t="s">
        <v>17</v>
      </c>
      <c r="NN4" s="2"/>
      <c r="NO4" s="2" t="s">
        <v>9</v>
      </c>
      <c r="NP4" s="2">
        <v>32312</v>
      </c>
      <c r="NQ4" s="2" t="s">
        <v>1373</v>
      </c>
      <c r="NR4" s="2" t="s">
        <v>17</v>
      </c>
      <c r="NS4" s="2"/>
      <c r="NT4" s="2" t="s">
        <v>17</v>
      </c>
      <c r="NU4" s="2"/>
      <c r="NV4" s="2"/>
      <c r="NW4" s="2"/>
      <c r="NX4" s="2" t="s">
        <v>9</v>
      </c>
      <c r="NY4" s="2" t="s">
        <v>119</v>
      </c>
      <c r="NZ4" s="2">
        <v>16.010000000000002</v>
      </c>
      <c r="OA4" s="2" t="s">
        <v>227</v>
      </c>
      <c r="OB4" s="2" t="s">
        <v>228</v>
      </c>
      <c r="OC4" s="2" t="s">
        <v>228</v>
      </c>
      <c r="OD4" s="2" t="s">
        <v>17</v>
      </c>
      <c r="OE4" s="2" t="s">
        <v>119</v>
      </c>
      <c r="OF4" s="2"/>
      <c r="OG4" s="2" t="s">
        <v>9</v>
      </c>
      <c r="OH4" s="2" t="s">
        <v>557</v>
      </c>
      <c r="OI4" s="2"/>
      <c r="OJ4" s="2"/>
      <c r="OK4" s="2" t="s">
        <v>17</v>
      </c>
      <c r="OL4" s="2" t="s">
        <v>17</v>
      </c>
      <c r="OM4" s="2" t="s">
        <v>85</v>
      </c>
      <c r="ON4" s="6">
        <v>0</v>
      </c>
      <c r="OO4" s="6">
        <v>0</v>
      </c>
      <c r="OP4" s="2" t="s">
        <v>93</v>
      </c>
      <c r="OQ4" s="2" t="s">
        <v>93</v>
      </c>
      <c r="OR4" s="6">
        <v>0</v>
      </c>
      <c r="OS4" s="4">
        <v>0</v>
      </c>
      <c r="OT4" s="2" t="s">
        <v>17</v>
      </c>
      <c r="OU4" s="2" t="s">
        <v>17</v>
      </c>
      <c r="OV4" s="2"/>
      <c r="OW4" s="2"/>
      <c r="OX4" s="5">
        <v>14256081</v>
      </c>
      <c r="OY4" s="6">
        <v>169715.25</v>
      </c>
      <c r="OZ4" s="2"/>
      <c r="PA4" s="2"/>
      <c r="PB4" s="8">
        <v>12845560</v>
      </c>
      <c r="PC4" s="2"/>
      <c r="PD4" s="8">
        <v>12845560</v>
      </c>
      <c r="PE4" s="2"/>
      <c r="PF4" s="2"/>
      <c r="PG4" s="2"/>
      <c r="PH4" s="2"/>
      <c r="PI4" s="2"/>
      <c r="PJ4" s="2"/>
      <c r="PK4" s="8">
        <v>12845560</v>
      </c>
      <c r="PL4" s="2"/>
      <c r="PM4" s="8">
        <v>12845560</v>
      </c>
      <c r="PN4" s="8">
        <v>1798378</v>
      </c>
      <c r="PO4" s="2"/>
      <c r="PP4" s="8">
        <v>1798378</v>
      </c>
      <c r="PQ4" s="6">
        <v>1798378</v>
      </c>
      <c r="PR4" s="8">
        <v>14643938</v>
      </c>
      <c r="PS4" s="2"/>
      <c r="PT4" s="8">
        <v>14643938</v>
      </c>
      <c r="PU4" s="8">
        <v>732196</v>
      </c>
      <c r="PV4" s="2"/>
      <c r="PW4" s="8">
        <v>732196</v>
      </c>
      <c r="PX4" s="6">
        <v>732196.9</v>
      </c>
      <c r="PY4" s="8">
        <v>935668</v>
      </c>
      <c r="PZ4" s="8">
        <v>40000</v>
      </c>
      <c r="QA4" s="8">
        <v>975668</v>
      </c>
      <c r="QB4" s="8">
        <v>267360</v>
      </c>
      <c r="QC4" s="2"/>
      <c r="QD4" s="8">
        <v>267360</v>
      </c>
      <c r="QE4" s="8">
        <v>672000</v>
      </c>
      <c r="QF4" s="2"/>
      <c r="QG4" s="8">
        <v>672000</v>
      </c>
      <c r="QH4" s="2"/>
      <c r="QI4" s="8">
        <v>340810</v>
      </c>
      <c r="QJ4" s="8">
        <v>340810</v>
      </c>
      <c r="QK4" s="2"/>
      <c r="QL4" s="2"/>
      <c r="QM4" s="2"/>
      <c r="QN4" s="2"/>
      <c r="QO4" s="8">
        <v>50000</v>
      </c>
      <c r="QP4" s="8">
        <v>50000</v>
      </c>
      <c r="QQ4" s="8">
        <v>1875028</v>
      </c>
      <c r="QR4" s="8">
        <v>430810</v>
      </c>
      <c r="QS4" s="8">
        <v>2305838</v>
      </c>
      <c r="QT4" s="8">
        <v>115291</v>
      </c>
      <c r="QU4" s="2"/>
      <c r="QV4" s="8">
        <v>115291</v>
      </c>
      <c r="QW4" s="6">
        <v>115291.9</v>
      </c>
      <c r="QX4" s="8">
        <v>906682</v>
      </c>
      <c r="QY4" s="8">
        <v>769399</v>
      </c>
      <c r="QZ4" s="8">
        <v>1676081</v>
      </c>
      <c r="RA4" s="8">
        <v>55200</v>
      </c>
      <c r="RB4" s="8">
        <v>55200</v>
      </c>
      <c r="RC4" s="2"/>
      <c r="RD4" s="2"/>
      <c r="RE4" s="2"/>
      <c r="RF4" s="8">
        <v>906682</v>
      </c>
      <c r="RG4" s="8">
        <v>824599</v>
      </c>
      <c r="RH4" s="8">
        <v>1731281</v>
      </c>
      <c r="RI4" s="2"/>
      <c r="RJ4" s="2"/>
      <c r="RK4" s="2"/>
      <c r="RL4" s="2"/>
      <c r="RM4" s="8">
        <v>18273135</v>
      </c>
      <c r="RN4" s="8">
        <v>1255409</v>
      </c>
      <c r="RO4" s="8">
        <v>19528544</v>
      </c>
      <c r="RP4" s="2"/>
      <c r="RQ4" s="2"/>
      <c r="RR4" s="2">
        <v>0</v>
      </c>
      <c r="RS4" s="6">
        <v>0</v>
      </c>
      <c r="RT4" s="8">
        <v>3124567</v>
      </c>
      <c r="RU4" s="2"/>
      <c r="RV4" s="8">
        <v>3124567</v>
      </c>
      <c r="RW4" s="6">
        <v>3124567</v>
      </c>
      <c r="RX4" s="6">
        <v>0</v>
      </c>
      <c r="RY4" s="8">
        <v>3124567</v>
      </c>
      <c r="RZ4" s="2"/>
      <c r="SA4" s="8">
        <v>3124567</v>
      </c>
      <c r="SB4" s="6">
        <v>3124567</v>
      </c>
      <c r="SC4" s="8">
        <v>294000</v>
      </c>
      <c r="SD4" s="8">
        <v>294000</v>
      </c>
      <c r="SE4" s="6">
        <v>294000</v>
      </c>
      <c r="SF4" s="8">
        <v>1020000</v>
      </c>
      <c r="SG4" s="8">
        <v>1020000</v>
      </c>
      <c r="SH4" s="8">
        <v>21397702</v>
      </c>
      <c r="SI4" s="8">
        <v>2569409</v>
      </c>
      <c r="SJ4" s="8">
        <v>23967111</v>
      </c>
      <c r="SK4" s="2"/>
      <c r="SL4" s="2"/>
      <c r="SM4" s="2" t="s">
        <v>94</v>
      </c>
      <c r="SN4" s="2"/>
      <c r="SO4" s="2"/>
      <c r="SP4" s="8">
        <v>14500000</v>
      </c>
      <c r="SQ4" s="2" t="s">
        <v>95</v>
      </c>
      <c r="SR4" s="2"/>
      <c r="SS4" s="2"/>
      <c r="ST4" s="2"/>
      <c r="SU4" s="2"/>
      <c r="SV4" s="2"/>
      <c r="SW4" s="2"/>
      <c r="SX4" s="2" t="s">
        <v>96</v>
      </c>
      <c r="SY4" s="2" t="s">
        <v>96</v>
      </c>
      <c r="SZ4" s="2" t="s">
        <v>96</v>
      </c>
      <c r="TA4" s="2" t="s">
        <v>96</v>
      </c>
      <c r="TB4" s="8">
        <v>8674233</v>
      </c>
      <c r="TC4" s="2"/>
      <c r="TD4" s="2"/>
      <c r="TE4" s="2"/>
      <c r="TF4" s="2"/>
      <c r="TG4" s="2"/>
      <c r="TH4" s="2"/>
      <c r="TI4" s="8">
        <v>792878</v>
      </c>
      <c r="TJ4" s="8">
        <v>23967111</v>
      </c>
      <c r="TK4" s="2">
        <v>0</v>
      </c>
      <c r="TL4" s="2" t="s">
        <v>9</v>
      </c>
      <c r="TM4" s="8">
        <v>4600000</v>
      </c>
      <c r="TN4" s="2" t="s">
        <v>95</v>
      </c>
      <c r="TO4" s="2"/>
      <c r="TP4" s="2"/>
      <c r="TQ4" s="2"/>
      <c r="TR4" s="2"/>
      <c r="TS4" s="2"/>
      <c r="TT4" s="2"/>
      <c r="TU4" s="2" t="s">
        <v>96</v>
      </c>
      <c r="TV4" s="8">
        <v>19276072</v>
      </c>
      <c r="TW4" s="2"/>
      <c r="TX4" s="2"/>
      <c r="TY4" s="2"/>
      <c r="TZ4" s="2"/>
      <c r="UA4" s="2"/>
      <c r="UB4" s="2"/>
      <c r="UC4" s="8">
        <v>91039</v>
      </c>
      <c r="UD4" s="8">
        <v>23967111</v>
      </c>
      <c r="UE4" s="6">
        <v>4600000</v>
      </c>
      <c r="UF4" s="2">
        <v>0</v>
      </c>
      <c r="UG4" s="2" t="s">
        <v>9</v>
      </c>
      <c r="UH4" s="2">
        <v>84</v>
      </c>
      <c r="UI4" s="5">
        <v>270000</v>
      </c>
      <c r="UJ4" s="6">
        <v>360000</v>
      </c>
      <c r="UK4" s="6">
        <v>360000</v>
      </c>
      <c r="UL4" s="6">
        <v>381600</v>
      </c>
      <c r="UM4" s="6">
        <v>32054400</v>
      </c>
      <c r="UN4" s="6">
        <v>5128704</v>
      </c>
      <c r="UO4" s="6">
        <v>5128704</v>
      </c>
      <c r="UP4" s="6">
        <v>37183104</v>
      </c>
      <c r="UQ4" s="6">
        <v>22653111</v>
      </c>
      <c r="UR4" s="2"/>
      <c r="US4" s="2"/>
      <c r="UT4" s="6">
        <v>0</v>
      </c>
      <c r="UU4" s="2"/>
      <c r="UV4" s="6">
        <v>0</v>
      </c>
      <c r="UW4" s="6">
        <v>0</v>
      </c>
      <c r="UX4" s="6">
        <v>0</v>
      </c>
      <c r="UY4" s="6">
        <v>0</v>
      </c>
      <c r="UZ4" s="2"/>
      <c r="VA4" s="2"/>
      <c r="VB4" s="2"/>
      <c r="VC4" s="2"/>
      <c r="VD4" s="2" t="s">
        <v>17</v>
      </c>
      <c r="VE4" s="2" t="s">
        <v>17</v>
      </c>
      <c r="VF4" s="2"/>
      <c r="VG4" s="2" t="s">
        <v>17</v>
      </c>
      <c r="VH4" s="2"/>
      <c r="VI4" s="388" t="s">
        <v>21</v>
      </c>
      <c r="VJ4" s="2" t="s">
        <v>98</v>
      </c>
      <c r="VK4" s="2" t="s">
        <v>99</v>
      </c>
      <c r="VL4" s="23">
        <f t="shared" si="0"/>
        <v>110</v>
      </c>
      <c r="VM4" s="17">
        <f t="shared" si="1"/>
        <v>1.3095238095238095</v>
      </c>
      <c r="VN4" s="17" t="str">
        <f t="shared" si="12"/>
        <v>NC-MR-F</v>
      </c>
      <c r="VO4" s="17" t="str">
        <f t="shared" si="13"/>
        <v>NC-MR-F-ESS</v>
      </c>
      <c r="VP4" s="12">
        <v>9</v>
      </c>
      <c r="VQ4" s="57">
        <v>1</v>
      </c>
      <c r="VR4" s="57">
        <f t="shared" si="2"/>
        <v>1</v>
      </c>
      <c r="VS4" s="14">
        <f t="shared" si="3"/>
        <v>1</v>
      </c>
      <c r="VT4" s="12">
        <f t="shared" si="4"/>
        <v>0.90210000000000012</v>
      </c>
      <c r="VU4" s="16">
        <f t="shared" si="5"/>
        <v>17390683.800000001</v>
      </c>
      <c r="VV4" s="16">
        <f t="shared" si="6"/>
        <v>207031.95</v>
      </c>
      <c r="VW4" s="12" t="str">
        <f t="shared" si="14"/>
        <v>A</v>
      </c>
      <c r="VX4" s="12" t="str">
        <f t="shared" si="15"/>
        <v>NC-MR-ESS</v>
      </c>
      <c r="VY4" s="351">
        <f t="shared" si="16"/>
        <v>1</v>
      </c>
      <c r="WA4" s="12">
        <f t="shared" si="17"/>
        <v>0</v>
      </c>
      <c r="WB4" s="12">
        <f t="shared" si="18"/>
        <v>0</v>
      </c>
      <c r="WC4" s="12">
        <f t="shared" si="18"/>
        <v>0</v>
      </c>
      <c r="WD4" s="12">
        <f t="shared" si="18"/>
        <v>0</v>
      </c>
      <c r="WE4" s="12">
        <f t="shared" si="19"/>
        <v>1</v>
      </c>
      <c r="WF4" s="12">
        <f t="shared" si="7"/>
        <v>0</v>
      </c>
      <c r="WG4" s="12">
        <f t="shared" si="8"/>
        <v>1</v>
      </c>
      <c r="WH4" s="12">
        <f t="shared" si="9"/>
        <v>0</v>
      </c>
      <c r="WI4" s="31">
        <f t="shared" si="10"/>
        <v>2</v>
      </c>
      <c r="WJ4" s="2"/>
      <c r="WK4" s="446" t="str">
        <f t="shared" si="11"/>
        <v>NC-MR-ESS-BBN-BRN-NPH-F</v>
      </c>
      <c r="WL4" s="446"/>
      <c r="WM4" s="446"/>
      <c r="WN4" s="12"/>
      <c r="WO4" s="380" t="s">
        <v>2617</v>
      </c>
      <c r="WP4" s="144">
        <f>COUNTIFS($WC$2:$WC$72,"=1",$WA$2:$WA$72,"=1")</f>
        <v>0</v>
      </c>
      <c r="WQ4" s="144">
        <f>COUNTIFS($WC$2:$WC$72,"=1",$WB$2:$WB$72,"=1")</f>
        <v>0</v>
      </c>
      <c r="WR4" s="384"/>
      <c r="WS4" s="144">
        <f>COUNTIFS($WC$2:$WC$72,"=1",$WD$2:$WD$72,"=1")</f>
        <v>0</v>
      </c>
      <c r="WT4" s="144">
        <f>COUNTIFS($WC$2:$WC$72,"=1",$WF$2:$WF$72,"=1")</f>
        <v>0</v>
      </c>
      <c r="WU4" s="144">
        <f>COUNTIFS($WC$2:$WC$72,"=1",$WG$2:$WG$72,"=1")</f>
        <v>0</v>
      </c>
      <c r="WV4" s="144">
        <f>COUNTIFS($WC$2:$WC$72,"=1",$WH$2:$WH$72,"=1")</f>
        <v>0</v>
      </c>
      <c r="WW4" s="144">
        <f>COUNTIFS($WA$2:$WA$72,"=1",$WE$2:$WE$72,"=1")</f>
        <v>3</v>
      </c>
      <c r="WX4" s="205">
        <f>COUNTIF($WC$2:$WC$72,"=1")</f>
        <v>0</v>
      </c>
    </row>
    <row r="5" spans="1:622" x14ac:dyDescent="0.25">
      <c r="A5" s="2">
        <v>9367</v>
      </c>
      <c r="B5" s="2" t="s">
        <v>1918</v>
      </c>
      <c r="C5" s="2" t="s">
        <v>8</v>
      </c>
      <c r="D5" s="3">
        <v>45153</v>
      </c>
      <c r="E5" s="2" t="s">
        <v>9</v>
      </c>
      <c r="F5" s="2">
        <v>3</v>
      </c>
      <c r="G5" s="2" t="s">
        <v>9</v>
      </c>
      <c r="H5" s="2">
        <v>3</v>
      </c>
      <c r="I5" s="2" t="s">
        <v>9</v>
      </c>
      <c r="J5" s="2">
        <v>3</v>
      </c>
      <c r="K5" s="2" t="s">
        <v>9</v>
      </c>
      <c r="L5" s="2">
        <v>3</v>
      </c>
      <c r="M5" s="2" t="s">
        <v>10</v>
      </c>
      <c r="N5" s="2">
        <v>0</v>
      </c>
      <c r="O5" s="2" t="s">
        <v>10</v>
      </c>
      <c r="P5" s="2">
        <v>0</v>
      </c>
      <c r="Q5" s="2" t="s">
        <v>11</v>
      </c>
      <c r="R5" s="2">
        <v>0</v>
      </c>
      <c r="S5" s="2" t="s">
        <v>9</v>
      </c>
      <c r="T5" s="2">
        <v>2</v>
      </c>
      <c r="U5" s="2" t="s">
        <v>9</v>
      </c>
      <c r="V5" s="2">
        <v>2</v>
      </c>
      <c r="W5" s="2" t="s">
        <v>9</v>
      </c>
      <c r="X5" s="2">
        <v>2</v>
      </c>
      <c r="Y5" s="2" t="s">
        <v>12</v>
      </c>
      <c r="Z5" s="2" t="s">
        <v>15</v>
      </c>
      <c r="AA5" s="2" t="s">
        <v>15</v>
      </c>
      <c r="AB5" s="2" t="s">
        <v>15</v>
      </c>
      <c r="AC5" s="2" t="s">
        <v>15</v>
      </c>
      <c r="AD5" s="2" t="s">
        <v>15</v>
      </c>
      <c r="AE5" s="2" t="s">
        <v>15</v>
      </c>
      <c r="AF5" s="2">
        <v>0</v>
      </c>
      <c r="AG5" s="2" t="s">
        <v>234</v>
      </c>
      <c r="AH5" s="2" t="s">
        <v>17</v>
      </c>
      <c r="AI5" s="4">
        <v>0.1</v>
      </c>
      <c r="AJ5" s="2" t="s">
        <v>17</v>
      </c>
      <c r="AK5" s="2" t="s">
        <v>9</v>
      </c>
      <c r="AL5" s="2" t="s">
        <v>17</v>
      </c>
      <c r="AM5" s="2" t="s">
        <v>17</v>
      </c>
      <c r="AN5" s="2" t="s">
        <v>17</v>
      </c>
      <c r="AO5" s="2" t="s">
        <v>9</v>
      </c>
      <c r="AP5" s="2" t="s">
        <v>17</v>
      </c>
      <c r="AQ5" s="2" t="s">
        <v>17</v>
      </c>
      <c r="AR5" s="2" t="s">
        <v>17</v>
      </c>
      <c r="AS5" s="2" t="s">
        <v>17</v>
      </c>
      <c r="AT5" s="2">
        <v>0</v>
      </c>
      <c r="AU5" s="5">
        <v>50000</v>
      </c>
      <c r="AV5" s="5">
        <v>460000</v>
      </c>
      <c r="AW5" s="2">
        <v>0</v>
      </c>
      <c r="AX5" s="2">
        <v>8</v>
      </c>
      <c r="AY5" s="2">
        <v>0</v>
      </c>
      <c r="AZ5" s="2">
        <v>17</v>
      </c>
      <c r="BA5" s="2">
        <v>0</v>
      </c>
      <c r="BB5" s="2">
        <v>1</v>
      </c>
      <c r="BC5" s="2">
        <v>0</v>
      </c>
      <c r="BD5" s="2">
        <v>0</v>
      </c>
      <c r="BE5" s="2">
        <v>0</v>
      </c>
      <c r="BF5" s="2">
        <v>1</v>
      </c>
      <c r="BG5" s="2">
        <v>0</v>
      </c>
      <c r="BH5" s="2">
        <v>0</v>
      </c>
      <c r="BI5" s="2">
        <v>13</v>
      </c>
      <c r="BJ5" s="2">
        <v>1</v>
      </c>
      <c r="BK5" s="2">
        <v>0</v>
      </c>
      <c r="BL5" s="2">
        <v>3</v>
      </c>
      <c r="BM5" s="2">
        <v>2</v>
      </c>
      <c r="BN5" s="2">
        <v>12</v>
      </c>
      <c r="BO5" s="2">
        <v>11</v>
      </c>
      <c r="BP5" s="2">
        <v>0</v>
      </c>
      <c r="BQ5" s="2">
        <v>10</v>
      </c>
      <c r="BR5" s="2">
        <v>16.03</v>
      </c>
      <c r="BS5" s="2">
        <v>0</v>
      </c>
      <c r="BT5" s="4">
        <v>0.06</v>
      </c>
      <c r="BU5" s="2" t="s">
        <v>9</v>
      </c>
      <c r="BV5" s="6">
        <v>171619.82</v>
      </c>
      <c r="BW5" s="2" t="s">
        <v>18</v>
      </c>
      <c r="BX5" s="2" t="s">
        <v>17</v>
      </c>
      <c r="BY5" s="2" t="s">
        <v>17</v>
      </c>
      <c r="BZ5" s="2" t="s">
        <v>17</v>
      </c>
      <c r="CA5" s="2" t="s">
        <v>17</v>
      </c>
      <c r="CB5" s="2" t="s">
        <v>17</v>
      </c>
      <c r="CC5" s="2" t="s">
        <v>17</v>
      </c>
      <c r="CD5" s="2" t="s">
        <v>17</v>
      </c>
      <c r="CE5" s="2" t="s">
        <v>1919</v>
      </c>
      <c r="CF5" s="2" t="s">
        <v>17</v>
      </c>
      <c r="CG5" s="2" t="s">
        <v>1920</v>
      </c>
      <c r="CH5" s="2" t="s">
        <v>1921</v>
      </c>
      <c r="CI5" s="2"/>
      <c r="CJ5" s="2" t="s">
        <v>9</v>
      </c>
      <c r="CK5" s="2" t="s">
        <v>1922</v>
      </c>
      <c r="CL5" s="2" t="s">
        <v>1920</v>
      </c>
      <c r="CM5" s="2" t="s">
        <v>1923</v>
      </c>
      <c r="CN5" s="2" t="s">
        <v>1924</v>
      </c>
      <c r="CO5" s="2" t="s">
        <v>24</v>
      </c>
      <c r="CP5" s="2"/>
      <c r="CQ5" s="2">
        <v>110</v>
      </c>
      <c r="CR5" s="2" t="s">
        <v>1925</v>
      </c>
      <c r="CS5" s="2">
        <v>2020</v>
      </c>
      <c r="CT5" s="2" t="s">
        <v>26</v>
      </c>
      <c r="CU5" s="2" t="s">
        <v>27</v>
      </c>
      <c r="CV5" s="2" t="s">
        <v>1926</v>
      </c>
      <c r="CW5" s="2" t="s">
        <v>200</v>
      </c>
      <c r="CX5" s="2" t="s">
        <v>24</v>
      </c>
      <c r="CY5" s="2"/>
      <c r="CZ5" s="2">
        <v>134</v>
      </c>
      <c r="DA5" s="2" t="s">
        <v>1925</v>
      </c>
      <c r="DB5" s="2">
        <v>2018</v>
      </c>
      <c r="DC5" s="2" t="s">
        <v>30</v>
      </c>
      <c r="DD5" s="2" t="s">
        <v>27</v>
      </c>
      <c r="DE5" s="2" t="s">
        <v>1927</v>
      </c>
      <c r="DF5" s="2" t="s">
        <v>1928</v>
      </c>
      <c r="DG5" s="2" t="s">
        <v>24</v>
      </c>
      <c r="DH5" s="2"/>
      <c r="DI5" s="2">
        <v>131</v>
      </c>
      <c r="DJ5" s="2" t="s">
        <v>1925</v>
      </c>
      <c r="DK5" s="2">
        <v>2020</v>
      </c>
      <c r="DL5" s="2" t="s">
        <v>30</v>
      </c>
      <c r="DM5" s="2" t="s">
        <v>27</v>
      </c>
      <c r="DN5" s="2" t="s">
        <v>33</v>
      </c>
      <c r="DO5" s="2" t="s">
        <v>656</v>
      </c>
      <c r="DP5" s="2"/>
      <c r="DQ5" s="2" t="s">
        <v>1929</v>
      </c>
      <c r="DR5" s="2" t="s">
        <v>1930</v>
      </c>
      <c r="DS5" s="2">
        <v>1</v>
      </c>
      <c r="DT5" s="2" t="s">
        <v>1931</v>
      </c>
      <c r="DU5" s="2" t="s">
        <v>1932</v>
      </c>
      <c r="DV5" s="2" t="s">
        <v>1933</v>
      </c>
      <c r="DW5" s="2">
        <v>63102</v>
      </c>
      <c r="DX5" s="2" t="s">
        <v>1934</v>
      </c>
      <c r="DY5" s="2"/>
      <c r="DZ5" s="2" t="s">
        <v>1935</v>
      </c>
      <c r="EA5" s="2" t="s">
        <v>1930</v>
      </c>
      <c r="EB5" s="2" t="s">
        <v>1936</v>
      </c>
      <c r="EC5" s="2" t="s">
        <v>1928</v>
      </c>
      <c r="ED5" s="2" t="s">
        <v>44</v>
      </c>
      <c r="EE5" s="2">
        <v>82</v>
      </c>
      <c r="EF5" s="2" t="s">
        <v>1937</v>
      </c>
      <c r="EG5" s="2">
        <v>18</v>
      </c>
      <c r="EH5" s="2" t="s">
        <v>46</v>
      </c>
      <c r="EI5" s="2" t="s">
        <v>47</v>
      </c>
      <c r="EJ5" s="2" t="s">
        <v>1938</v>
      </c>
      <c r="EK5" s="2" t="s">
        <v>1928</v>
      </c>
      <c r="EL5" s="2" t="s">
        <v>44</v>
      </c>
      <c r="EM5" s="2">
        <v>101</v>
      </c>
      <c r="EN5" s="2" t="s">
        <v>1937</v>
      </c>
      <c r="EO5" s="2">
        <v>40</v>
      </c>
      <c r="EP5" s="2" t="s">
        <v>46</v>
      </c>
      <c r="EQ5" s="2" t="s">
        <v>47</v>
      </c>
      <c r="ER5" s="2" t="s">
        <v>1939</v>
      </c>
      <c r="ES5" s="2" t="s">
        <v>657</v>
      </c>
      <c r="ET5" s="2" t="s">
        <v>1940</v>
      </c>
      <c r="EU5" s="2" t="s">
        <v>1919</v>
      </c>
      <c r="EV5" s="2" t="s">
        <v>1931</v>
      </c>
      <c r="EW5" s="2" t="s">
        <v>1932</v>
      </c>
      <c r="EX5" s="2" t="s">
        <v>1933</v>
      </c>
      <c r="EY5" s="2">
        <v>63102</v>
      </c>
      <c r="EZ5" s="2" t="s">
        <v>1941</v>
      </c>
      <c r="FA5" s="2"/>
      <c r="FB5" s="2" t="s">
        <v>1942</v>
      </c>
      <c r="FC5" s="2" t="s">
        <v>1943</v>
      </c>
      <c r="FD5" s="2" t="s">
        <v>1660</v>
      </c>
      <c r="FE5" s="2" t="s">
        <v>1944</v>
      </c>
      <c r="FF5" s="2" t="s">
        <v>1945</v>
      </c>
      <c r="FG5" s="2" t="s">
        <v>1931</v>
      </c>
      <c r="FH5" s="2" t="s">
        <v>1932</v>
      </c>
      <c r="FI5" s="2" t="s">
        <v>1933</v>
      </c>
      <c r="FJ5" s="2">
        <v>63102</v>
      </c>
      <c r="FK5" s="2" t="s">
        <v>1946</v>
      </c>
      <c r="FL5" s="2"/>
      <c r="FM5" s="2" t="s">
        <v>1947</v>
      </c>
      <c r="FN5" s="2" t="s">
        <v>1948</v>
      </c>
      <c r="FO5" s="2" t="s">
        <v>63</v>
      </c>
      <c r="FP5" s="2" t="s">
        <v>64</v>
      </c>
      <c r="FQ5" s="2" t="s">
        <v>9</v>
      </c>
      <c r="FR5" s="2" t="s">
        <v>17</v>
      </c>
      <c r="FS5" s="2" t="s">
        <v>17</v>
      </c>
      <c r="FT5" s="2" t="s">
        <v>9</v>
      </c>
      <c r="FU5" s="2">
        <v>0</v>
      </c>
      <c r="FV5" s="2">
        <v>0</v>
      </c>
      <c r="FW5" s="4">
        <v>0</v>
      </c>
      <c r="FX5" s="4">
        <v>0</v>
      </c>
      <c r="FY5" s="2" t="s">
        <v>65</v>
      </c>
      <c r="FZ5" s="2" t="s">
        <v>66</v>
      </c>
      <c r="GA5" s="2" t="s">
        <v>67</v>
      </c>
      <c r="GB5" s="2"/>
      <c r="GC5" s="2"/>
      <c r="GD5" s="2"/>
      <c r="GE5" s="2" t="s">
        <v>68</v>
      </c>
      <c r="GF5" s="2">
        <v>85</v>
      </c>
      <c r="GG5" s="2">
        <v>85</v>
      </c>
      <c r="GH5" s="2"/>
      <c r="GI5" s="2"/>
      <c r="GJ5" s="2"/>
      <c r="GK5" s="2"/>
      <c r="GL5" s="2">
        <v>20</v>
      </c>
      <c r="GM5" s="2"/>
      <c r="GN5" s="2"/>
      <c r="GO5" s="2"/>
      <c r="GP5" s="2"/>
      <c r="GQ5" s="2">
        <v>105</v>
      </c>
      <c r="GR5" s="2" t="s">
        <v>1197</v>
      </c>
      <c r="GS5" s="2" t="s">
        <v>70</v>
      </c>
      <c r="GT5" s="2" t="s">
        <v>1949</v>
      </c>
      <c r="GU5" s="2" t="s">
        <v>1469</v>
      </c>
      <c r="GV5" s="2" t="s">
        <v>9</v>
      </c>
      <c r="GW5" s="2">
        <v>26.633524000000001</v>
      </c>
      <c r="GX5" s="2">
        <v>-81.849917000000005</v>
      </c>
      <c r="GY5" s="2" t="s">
        <v>1950</v>
      </c>
      <c r="GZ5" s="2" t="s">
        <v>17</v>
      </c>
      <c r="HA5" s="2" t="s">
        <v>17</v>
      </c>
      <c r="HB5" s="2">
        <v>0</v>
      </c>
      <c r="HC5" s="2" t="s">
        <v>17</v>
      </c>
      <c r="HD5" s="2"/>
      <c r="HE5" s="2">
        <v>0</v>
      </c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 t="s">
        <v>73</v>
      </c>
      <c r="HY5" s="2" t="s">
        <v>17</v>
      </c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 t="s">
        <v>9</v>
      </c>
      <c r="IP5" s="2">
        <v>0</v>
      </c>
      <c r="IQ5" s="2">
        <v>0</v>
      </c>
      <c r="IR5" s="2">
        <v>0</v>
      </c>
      <c r="IS5" s="2">
        <v>0</v>
      </c>
      <c r="IT5" s="2" t="s">
        <v>9</v>
      </c>
      <c r="IU5" s="2" t="s">
        <v>17</v>
      </c>
      <c r="IV5" s="2" t="s">
        <v>17</v>
      </c>
      <c r="IW5" s="2" t="s">
        <v>17</v>
      </c>
      <c r="IX5" s="2" t="s">
        <v>17</v>
      </c>
      <c r="IY5" s="2">
        <v>0</v>
      </c>
      <c r="IZ5" s="2">
        <v>105</v>
      </c>
      <c r="JA5" s="2" t="s">
        <v>81</v>
      </c>
      <c r="JB5" s="2" t="s">
        <v>173</v>
      </c>
      <c r="JC5" s="2"/>
      <c r="JD5" s="2"/>
      <c r="JE5" s="7">
        <v>0.1</v>
      </c>
      <c r="JF5" s="7">
        <v>0.42</v>
      </c>
      <c r="JG5" s="7">
        <v>0.28999999999999998</v>
      </c>
      <c r="JH5" s="7">
        <v>0.2</v>
      </c>
      <c r="JI5" s="2">
        <v>85</v>
      </c>
      <c r="JJ5" s="7">
        <v>0.81</v>
      </c>
      <c r="JK5" s="2">
        <v>105</v>
      </c>
      <c r="JL5" s="7">
        <v>1</v>
      </c>
      <c r="JM5" s="2"/>
      <c r="JN5" s="2"/>
      <c r="JO5" s="2"/>
      <c r="JP5" s="2"/>
      <c r="JQ5" s="2"/>
      <c r="JR5" s="2"/>
      <c r="JS5" s="2">
        <v>0</v>
      </c>
      <c r="JT5" s="2">
        <v>0</v>
      </c>
      <c r="JU5" s="2"/>
      <c r="JV5" s="2">
        <v>0</v>
      </c>
      <c r="JW5" s="4">
        <v>0</v>
      </c>
      <c r="JX5" s="2">
        <v>0</v>
      </c>
      <c r="JY5" s="4">
        <v>0</v>
      </c>
      <c r="JZ5" s="2">
        <v>0</v>
      </c>
      <c r="KA5" s="2"/>
      <c r="KB5" s="2"/>
      <c r="KC5" s="2"/>
      <c r="KD5" s="2"/>
      <c r="KE5" s="2"/>
      <c r="KF5" s="2"/>
      <c r="KG5" s="2"/>
      <c r="KH5" s="2">
        <v>36</v>
      </c>
      <c r="KI5" s="2">
        <v>47</v>
      </c>
      <c r="KJ5" s="2"/>
      <c r="KK5" s="2"/>
      <c r="KL5" s="2">
        <v>1</v>
      </c>
      <c r="KM5" s="2">
        <v>16</v>
      </c>
      <c r="KN5" s="2"/>
      <c r="KO5" s="2">
        <v>5</v>
      </c>
      <c r="KP5" s="2"/>
      <c r="KQ5" s="2" t="s">
        <v>83</v>
      </c>
      <c r="KR5" s="2" t="s">
        <v>73</v>
      </c>
      <c r="KS5" s="2"/>
      <c r="KT5" s="2">
        <v>16</v>
      </c>
      <c r="KU5" s="2" t="s">
        <v>84</v>
      </c>
      <c r="KV5" s="2" t="s">
        <v>85</v>
      </c>
      <c r="KW5" s="2" t="s">
        <v>86</v>
      </c>
      <c r="KX5" s="2" t="s">
        <v>17</v>
      </c>
      <c r="KY5" s="2" t="s">
        <v>17</v>
      </c>
      <c r="KZ5" s="2" t="s">
        <v>17</v>
      </c>
      <c r="LA5" s="2" t="s">
        <v>17</v>
      </c>
      <c r="LB5" s="2" t="s">
        <v>17</v>
      </c>
      <c r="LC5" s="2" t="s">
        <v>17</v>
      </c>
      <c r="LD5" s="2" t="s">
        <v>17</v>
      </c>
      <c r="LE5" s="2" t="s">
        <v>17</v>
      </c>
      <c r="LF5" s="2" t="s">
        <v>17</v>
      </c>
      <c r="LG5" s="2" t="s">
        <v>17</v>
      </c>
      <c r="LH5" s="2" t="s">
        <v>17</v>
      </c>
      <c r="LI5" s="2" t="s">
        <v>17</v>
      </c>
      <c r="LJ5" s="2" t="s">
        <v>87</v>
      </c>
      <c r="LK5" s="2" t="s">
        <v>17</v>
      </c>
      <c r="LL5" s="2" t="s">
        <v>17</v>
      </c>
      <c r="LM5" s="2">
        <v>0</v>
      </c>
      <c r="LN5" s="2" t="s">
        <v>17</v>
      </c>
      <c r="LO5" s="2" t="s">
        <v>17</v>
      </c>
      <c r="LP5" s="2" t="s">
        <v>9</v>
      </c>
      <c r="LQ5" s="2" t="s">
        <v>9</v>
      </c>
      <c r="LR5" s="2" t="s">
        <v>9</v>
      </c>
      <c r="LS5" s="2" t="s">
        <v>17</v>
      </c>
      <c r="LT5" s="2" t="s">
        <v>17</v>
      </c>
      <c r="LU5" s="2" t="s">
        <v>17</v>
      </c>
      <c r="LV5" s="2" t="s">
        <v>17</v>
      </c>
      <c r="LW5" s="2" t="s">
        <v>17</v>
      </c>
      <c r="LX5" s="2" t="s">
        <v>17</v>
      </c>
      <c r="LY5" s="5">
        <v>6500000</v>
      </c>
      <c r="LZ5" s="5">
        <v>0</v>
      </c>
      <c r="MA5" s="5">
        <v>7200000</v>
      </c>
      <c r="MB5" s="5">
        <v>0</v>
      </c>
      <c r="MC5" s="5">
        <v>0</v>
      </c>
      <c r="MD5" s="5">
        <v>0</v>
      </c>
      <c r="ME5" s="5">
        <v>10000000</v>
      </c>
      <c r="MF5" s="5">
        <v>0</v>
      </c>
      <c r="MG5" s="5">
        <v>0</v>
      </c>
      <c r="MH5" s="5">
        <v>0</v>
      </c>
      <c r="MI5" s="5">
        <v>0</v>
      </c>
      <c r="MJ5" s="5">
        <v>0</v>
      </c>
      <c r="MK5" s="5">
        <v>0</v>
      </c>
      <c r="ML5" s="2">
        <v>0</v>
      </c>
      <c r="MM5" s="5">
        <v>0</v>
      </c>
      <c r="MN5" s="5">
        <v>0</v>
      </c>
      <c r="MO5" s="2">
        <v>0</v>
      </c>
      <c r="MP5" s="2">
        <v>0</v>
      </c>
      <c r="MQ5" s="2">
        <v>0</v>
      </c>
      <c r="MR5" s="5">
        <v>2950000</v>
      </c>
      <c r="MS5" s="5">
        <v>0</v>
      </c>
      <c r="MT5" s="5">
        <v>4600000</v>
      </c>
      <c r="MU5" s="5">
        <v>0</v>
      </c>
      <c r="MV5" s="5">
        <v>0</v>
      </c>
      <c r="MW5" s="5">
        <v>0</v>
      </c>
      <c r="MX5" s="5">
        <v>0</v>
      </c>
      <c r="MY5" s="5">
        <v>2500000</v>
      </c>
      <c r="MZ5" s="5">
        <v>0</v>
      </c>
      <c r="NA5" s="5">
        <v>5000000</v>
      </c>
      <c r="NB5" s="5">
        <v>0</v>
      </c>
      <c r="NC5" s="5">
        <v>0</v>
      </c>
      <c r="ND5" s="5">
        <v>0</v>
      </c>
      <c r="NE5" s="5">
        <v>0</v>
      </c>
      <c r="NF5" s="5">
        <v>0</v>
      </c>
      <c r="NG5" s="5">
        <v>2142000</v>
      </c>
      <c r="NH5" s="5">
        <v>2142000</v>
      </c>
      <c r="NI5" s="5">
        <v>2142000</v>
      </c>
      <c r="NJ5" s="5">
        <v>0</v>
      </c>
      <c r="NK5" s="5"/>
      <c r="NL5" s="2" t="s">
        <v>9</v>
      </c>
      <c r="NM5" s="2" t="s">
        <v>17</v>
      </c>
      <c r="NN5" s="2"/>
      <c r="NO5" s="2" t="s">
        <v>17</v>
      </c>
      <c r="NP5" s="2"/>
      <c r="NQ5" s="2"/>
      <c r="NR5" s="2" t="s">
        <v>17</v>
      </c>
      <c r="NS5" s="2"/>
      <c r="NT5" s="2" t="s">
        <v>9</v>
      </c>
      <c r="NU5" s="2" t="s">
        <v>450</v>
      </c>
      <c r="NV5" s="2">
        <v>6</v>
      </c>
      <c r="NW5" s="2" t="s">
        <v>1221</v>
      </c>
      <c r="NX5" s="2"/>
      <c r="NY5" s="2"/>
      <c r="NZ5" s="2"/>
      <c r="OA5" s="2" t="s">
        <v>118</v>
      </c>
      <c r="OB5" s="2" t="s">
        <v>118</v>
      </c>
      <c r="OC5" s="2" t="s">
        <v>118</v>
      </c>
      <c r="OD5" s="2" t="s">
        <v>17</v>
      </c>
      <c r="OE5" s="2" t="s">
        <v>119</v>
      </c>
      <c r="OF5" s="2"/>
      <c r="OG5" s="2" t="s">
        <v>17</v>
      </c>
      <c r="OH5" s="2"/>
      <c r="OI5" s="2"/>
      <c r="OJ5" s="2"/>
      <c r="OK5" s="2" t="s">
        <v>17</v>
      </c>
      <c r="OL5" s="2" t="s">
        <v>17</v>
      </c>
      <c r="OM5" s="2" t="s">
        <v>85</v>
      </c>
      <c r="ON5" s="6">
        <v>0</v>
      </c>
      <c r="OO5" s="6">
        <v>0</v>
      </c>
      <c r="OP5" s="2" t="s">
        <v>93</v>
      </c>
      <c r="OQ5" s="2" t="s">
        <v>93</v>
      </c>
      <c r="OR5" s="6">
        <v>0</v>
      </c>
      <c r="OS5" s="4">
        <v>0</v>
      </c>
      <c r="OT5" s="2" t="s">
        <v>9</v>
      </c>
      <c r="OU5" s="2" t="s">
        <v>9</v>
      </c>
      <c r="OV5" s="2"/>
      <c r="OW5" s="2" t="s">
        <v>1951</v>
      </c>
      <c r="OX5" s="5">
        <v>14587685</v>
      </c>
      <c r="OY5" s="6">
        <v>171619.82</v>
      </c>
      <c r="OZ5" s="2"/>
      <c r="PA5" s="2"/>
      <c r="PB5" s="8">
        <v>26285839</v>
      </c>
      <c r="PC5" s="2"/>
      <c r="PD5" s="8">
        <v>26285839</v>
      </c>
      <c r="PE5" s="8">
        <v>3493020</v>
      </c>
      <c r="PF5" s="2"/>
      <c r="PG5" s="8">
        <v>3493020</v>
      </c>
      <c r="PH5" s="2"/>
      <c r="PI5" s="2"/>
      <c r="PJ5" s="2"/>
      <c r="PK5" s="8">
        <v>29778859</v>
      </c>
      <c r="PL5" s="2"/>
      <c r="PM5" s="8">
        <v>29778859</v>
      </c>
      <c r="PN5" s="8">
        <v>4169040</v>
      </c>
      <c r="PO5" s="2"/>
      <c r="PP5" s="8">
        <v>4169040</v>
      </c>
      <c r="PQ5" s="6">
        <v>4169040</v>
      </c>
      <c r="PR5" s="8">
        <v>33947899</v>
      </c>
      <c r="PS5" s="2"/>
      <c r="PT5" s="8">
        <v>33947899</v>
      </c>
      <c r="PU5" s="8">
        <v>1697394</v>
      </c>
      <c r="PV5" s="2"/>
      <c r="PW5" s="8">
        <v>1697394</v>
      </c>
      <c r="PX5" s="6">
        <v>1697394.95</v>
      </c>
      <c r="PY5" s="8">
        <v>623586</v>
      </c>
      <c r="PZ5" s="8">
        <v>893800</v>
      </c>
      <c r="QA5" s="8">
        <v>1517386</v>
      </c>
      <c r="QB5" s="8">
        <v>87500</v>
      </c>
      <c r="QC5" s="8">
        <v>87500</v>
      </c>
      <c r="QD5" s="8">
        <v>175000</v>
      </c>
      <c r="QE5" s="2"/>
      <c r="QF5" s="2"/>
      <c r="QG5" s="2"/>
      <c r="QH5" s="8">
        <v>417780</v>
      </c>
      <c r="QI5" s="8">
        <v>64650</v>
      </c>
      <c r="QJ5" s="8">
        <v>482430</v>
      </c>
      <c r="QK5" s="2"/>
      <c r="QL5" s="2"/>
      <c r="QM5" s="2"/>
      <c r="QN5" s="8">
        <v>230500</v>
      </c>
      <c r="QO5" s="8">
        <v>377500</v>
      </c>
      <c r="QP5" s="8">
        <v>608000</v>
      </c>
      <c r="QQ5" s="8">
        <v>1359366</v>
      </c>
      <c r="QR5" s="8">
        <v>1423450</v>
      </c>
      <c r="QS5" s="8">
        <v>2782816</v>
      </c>
      <c r="QT5" s="8">
        <v>139095</v>
      </c>
      <c r="QU5" s="2"/>
      <c r="QV5" s="8">
        <v>139095</v>
      </c>
      <c r="QW5" s="6">
        <v>139140.79999999999</v>
      </c>
      <c r="QX5" s="8">
        <v>931382</v>
      </c>
      <c r="QY5" s="8">
        <v>931382</v>
      </c>
      <c r="QZ5" s="8">
        <v>1862764</v>
      </c>
      <c r="RA5" s="8">
        <v>188280</v>
      </c>
      <c r="RB5" s="8">
        <v>188280</v>
      </c>
      <c r="RC5" s="2"/>
      <c r="RD5" s="2"/>
      <c r="RE5" s="2"/>
      <c r="RF5" s="8">
        <v>931382</v>
      </c>
      <c r="RG5" s="8">
        <v>1119662</v>
      </c>
      <c r="RH5" s="8">
        <v>2051044</v>
      </c>
      <c r="RI5" s="2"/>
      <c r="RJ5" s="2"/>
      <c r="RK5" s="2"/>
      <c r="RL5" s="2"/>
      <c r="RM5" s="8">
        <v>38075136</v>
      </c>
      <c r="RN5" s="8">
        <v>2543112</v>
      </c>
      <c r="RO5" s="8">
        <v>40618248</v>
      </c>
      <c r="RP5" s="2"/>
      <c r="RQ5" s="2"/>
      <c r="RR5" s="2">
        <v>0</v>
      </c>
      <c r="RS5" s="6">
        <v>0</v>
      </c>
      <c r="RT5" s="8">
        <v>6498919</v>
      </c>
      <c r="RU5" s="2"/>
      <c r="RV5" s="8">
        <v>6498919</v>
      </c>
      <c r="RW5" s="6">
        <v>6498919</v>
      </c>
      <c r="RX5" s="6">
        <v>0</v>
      </c>
      <c r="RY5" s="8">
        <v>6498919</v>
      </c>
      <c r="RZ5" s="2"/>
      <c r="SA5" s="8">
        <v>6498919</v>
      </c>
      <c r="SB5" s="6">
        <v>6498919</v>
      </c>
      <c r="SC5" s="2"/>
      <c r="SD5" s="2"/>
      <c r="SE5" s="6">
        <v>367500</v>
      </c>
      <c r="SF5" s="2">
        <v>125</v>
      </c>
      <c r="SG5" s="2">
        <v>125</v>
      </c>
      <c r="SH5" s="8">
        <v>44574055</v>
      </c>
      <c r="SI5" s="8">
        <v>2543237</v>
      </c>
      <c r="SJ5" s="8">
        <v>47117292</v>
      </c>
      <c r="SK5" s="2" t="s">
        <v>1952</v>
      </c>
      <c r="SL5" s="2"/>
      <c r="SM5" s="2" t="s">
        <v>1953</v>
      </c>
      <c r="SN5" s="2"/>
      <c r="SO5" s="2"/>
      <c r="SP5" s="8">
        <v>19698293</v>
      </c>
      <c r="SQ5" s="2" t="s">
        <v>95</v>
      </c>
      <c r="SR5" s="8">
        <v>16908935</v>
      </c>
      <c r="SS5" s="2" t="s">
        <v>413</v>
      </c>
      <c r="ST5" s="8">
        <v>460000</v>
      </c>
      <c r="SU5" s="2" t="s">
        <v>180</v>
      </c>
      <c r="SV5" s="2"/>
      <c r="SW5" s="2"/>
      <c r="SX5" s="2" t="s">
        <v>96</v>
      </c>
      <c r="SY5" s="2" t="s">
        <v>96</v>
      </c>
      <c r="SZ5" s="2" t="s">
        <v>96</v>
      </c>
      <c r="TA5" s="2" t="s">
        <v>96</v>
      </c>
      <c r="TB5" s="8">
        <v>4069400</v>
      </c>
      <c r="TC5" s="2"/>
      <c r="TD5" s="2"/>
      <c r="TE5" s="2"/>
      <c r="TF5" s="2"/>
      <c r="TG5" s="2"/>
      <c r="TH5" s="2"/>
      <c r="TI5" s="8">
        <v>5980664</v>
      </c>
      <c r="TJ5" s="8">
        <v>47117292</v>
      </c>
      <c r="TK5" s="2">
        <v>0</v>
      </c>
      <c r="TL5" s="2" t="s">
        <v>9</v>
      </c>
      <c r="TM5" s="8">
        <v>6828000</v>
      </c>
      <c r="TN5" s="2" t="s">
        <v>95</v>
      </c>
      <c r="TO5" s="8">
        <v>16908935</v>
      </c>
      <c r="TP5" s="2" t="s">
        <v>413</v>
      </c>
      <c r="TQ5" s="8">
        <v>460000</v>
      </c>
      <c r="TR5" s="2" t="s">
        <v>180</v>
      </c>
      <c r="TS5" s="2"/>
      <c r="TT5" s="2"/>
      <c r="TU5" s="2" t="s">
        <v>96</v>
      </c>
      <c r="TV5" s="8">
        <v>20346965</v>
      </c>
      <c r="TW5" s="2"/>
      <c r="TX5" s="2"/>
      <c r="TY5" s="2"/>
      <c r="TZ5" s="2"/>
      <c r="UA5" s="2"/>
      <c r="UB5" s="2"/>
      <c r="UC5" s="8">
        <v>2573392</v>
      </c>
      <c r="UD5" s="8">
        <v>47117292</v>
      </c>
      <c r="UE5" s="6">
        <v>24196935</v>
      </c>
      <c r="UF5" s="2">
        <v>0</v>
      </c>
      <c r="UG5" s="2" t="s">
        <v>9</v>
      </c>
      <c r="UH5" s="2">
        <v>105</v>
      </c>
      <c r="UI5" s="5">
        <v>240000</v>
      </c>
      <c r="UJ5" s="6">
        <v>320000</v>
      </c>
      <c r="UK5" s="6">
        <v>327500</v>
      </c>
      <c r="UL5" s="6">
        <v>347150</v>
      </c>
      <c r="UM5" s="6">
        <v>36450750</v>
      </c>
      <c r="UN5" s="6">
        <v>5832120</v>
      </c>
      <c r="UO5" s="6">
        <v>5832120</v>
      </c>
      <c r="UP5" s="6">
        <v>42282870</v>
      </c>
      <c r="UQ5" s="6">
        <v>47117167</v>
      </c>
      <c r="UR5" s="6">
        <v>460000</v>
      </c>
      <c r="US5" s="2"/>
      <c r="UT5" s="6">
        <v>460000</v>
      </c>
      <c r="UU5" s="2"/>
      <c r="UV5" s="6">
        <v>0</v>
      </c>
      <c r="UW5" s="6">
        <v>460000</v>
      </c>
      <c r="UX5" s="6">
        <v>0</v>
      </c>
      <c r="UY5" s="6">
        <v>460000</v>
      </c>
      <c r="UZ5" s="2" t="s">
        <v>1954</v>
      </c>
      <c r="VA5" s="2" t="s">
        <v>182</v>
      </c>
      <c r="VB5" s="2"/>
      <c r="VC5" s="2"/>
      <c r="VD5" s="2" t="s">
        <v>9</v>
      </c>
      <c r="VE5" s="2" t="s">
        <v>17</v>
      </c>
      <c r="VF5" s="2"/>
      <c r="VG5" s="2" t="s">
        <v>9</v>
      </c>
      <c r="VH5" s="2" t="s">
        <v>1955</v>
      </c>
      <c r="VI5" s="388" t="s">
        <v>1922</v>
      </c>
      <c r="VJ5" s="2" t="s">
        <v>98</v>
      </c>
      <c r="VK5" s="2" t="s">
        <v>1956</v>
      </c>
      <c r="VL5" s="23">
        <f t="shared" si="0"/>
        <v>201</v>
      </c>
      <c r="VM5" s="17">
        <f t="shared" si="1"/>
        <v>1.9142857142857144</v>
      </c>
      <c r="VN5" s="17" t="str">
        <f t="shared" si="12"/>
        <v>NC-GA-F</v>
      </c>
      <c r="VO5" s="17" t="str">
        <f t="shared" si="13"/>
        <v>NC-GA-F-ESS</v>
      </c>
      <c r="VP5" s="12">
        <v>9</v>
      </c>
      <c r="VQ5" s="57">
        <v>1</v>
      </c>
      <c r="VR5" s="57">
        <f t="shared" si="2"/>
        <v>1</v>
      </c>
      <c r="VS5" s="14">
        <f t="shared" si="3"/>
        <v>0.97</v>
      </c>
      <c r="VT5" s="12">
        <f t="shared" si="4"/>
        <v>0.93</v>
      </c>
      <c r="VU5" s="16">
        <f t="shared" si="5"/>
        <v>17390683.800000001</v>
      </c>
      <c r="VV5" s="16">
        <f t="shared" si="6"/>
        <v>204596.28</v>
      </c>
      <c r="VW5" s="12" t="str">
        <f t="shared" si="14"/>
        <v>A</v>
      </c>
      <c r="VX5" s="12" t="str">
        <f t="shared" si="15"/>
        <v>NC-GA-ESS</v>
      </c>
      <c r="VY5" s="351">
        <f t="shared" si="16"/>
        <v>1</v>
      </c>
      <c r="WA5" s="12">
        <f t="shared" si="17"/>
        <v>0</v>
      </c>
      <c r="WB5" s="12">
        <f t="shared" si="18"/>
        <v>0</v>
      </c>
      <c r="WC5" s="12">
        <f t="shared" si="18"/>
        <v>0</v>
      </c>
      <c r="WD5" s="12">
        <f t="shared" si="18"/>
        <v>1</v>
      </c>
      <c r="WE5" s="12">
        <f t="shared" si="19"/>
        <v>1</v>
      </c>
      <c r="WF5" s="12">
        <f t="shared" si="7"/>
        <v>1</v>
      </c>
      <c r="WG5" s="12">
        <f t="shared" si="8"/>
        <v>0</v>
      </c>
      <c r="WH5" s="12">
        <f t="shared" si="9"/>
        <v>0</v>
      </c>
      <c r="WI5" s="31">
        <f t="shared" si="10"/>
        <v>3</v>
      </c>
      <c r="WJ5" s="2"/>
      <c r="WK5" s="443" t="str">
        <f t="shared" si="11"/>
        <v>NC-GA-ESS-BBN-BRN-PHA-F</v>
      </c>
      <c r="WL5" s="443"/>
      <c r="WM5" s="443"/>
      <c r="WN5" s="12"/>
      <c r="WO5" s="380" t="s">
        <v>2618</v>
      </c>
      <c r="WP5" s="144">
        <f>COUNTIFS($WD$2:$WD$72,"=1",$WA$2:$WA$72,"=1")</f>
        <v>3</v>
      </c>
      <c r="WQ5" s="144">
        <f>COUNTIFS($WD$2:$WD$72,"=1",$WB$2:$WB$72,"=1")</f>
        <v>0</v>
      </c>
      <c r="WR5" s="144">
        <f>COUNTIFS($WD$2:$WD$72,"=1",$WC$2:$WC$72,"=1")</f>
        <v>0</v>
      </c>
      <c r="WS5" s="384"/>
      <c r="WT5" s="144">
        <f>COUNTIFS($WD$2:$WD$72,"=1",$WF$2:$WF$72,"=1")</f>
        <v>9</v>
      </c>
      <c r="WU5" s="144">
        <f>COUNTIFS($WD$2:$WD$72,"=1",$WG$2:$WG$72,"=1")</f>
        <v>1</v>
      </c>
      <c r="WV5" s="144">
        <f>COUNTIFS($WD$2:$WD$72,"=1",$WH$2:$WH$72,"=1")</f>
        <v>0</v>
      </c>
      <c r="WW5" s="144">
        <f>COUNTIFS($WD$2:$WD$72,"=1",$WE$2:$WE$72,"=1")</f>
        <v>4</v>
      </c>
      <c r="WX5" s="205">
        <f>COUNTIF($WD$2:$WD$72,"=1")</f>
        <v>10</v>
      </c>
    </row>
    <row r="6" spans="1:622" x14ac:dyDescent="0.25">
      <c r="A6" s="2">
        <v>9441</v>
      </c>
      <c r="B6" s="15" t="s">
        <v>784</v>
      </c>
      <c r="C6" s="2" t="s">
        <v>8</v>
      </c>
      <c r="D6" s="3">
        <v>45153</v>
      </c>
      <c r="E6" s="2" t="s">
        <v>9</v>
      </c>
      <c r="F6" s="2">
        <v>3</v>
      </c>
      <c r="G6" s="2" t="s">
        <v>9</v>
      </c>
      <c r="H6" s="2">
        <v>3</v>
      </c>
      <c r="I6" s="2" t="s">
        <v>11</v>
      </c>
      <c r="J6" s="2">
        <v>0</v>
      </c>
      <c r="K6" s="2" t="s">
        <v>9</v>
      </c>
      <c r="L6" s="2">
        <v>3</v>
      </c>
      <c r="M6" s="2" t="s">
        <v>10</v>
      </c>
      <c r="N6" s="2">
        <v>0</v>
      </c>
      <c r="O6" s="2" t="s">
        <v>10</v>
      </c>
      <c r="P6" s="2">
        <v>0</v>
      </c>
      <c r="Q6" s="2" t="s">
        <v>11</v>
      </c>
      <c r="R6" s="2">
        <v>0</v>
      </c>
      <c r="S6" s="2" t="s">
        <v>9</v>
      </c>
      <c r="T6" s="2">
        <v>2</v>
      </c>
      <c r="U6" s="2" t="s">
        <v>9</v>
      </c>
      <c r="V6" s="2">
        <v>2</v>
      </c>
      <c r="W6" s="2" t="s">
        <v>9</v>
      </c>
      <c r="X6" s="2">
        <v>2</v>
      </c>
      <c r="Y6" s="2" t="s">
        <v>12</v>
      </c>
      <c r="Z6" s="2" t="s">
        <v>187</v>
      </c>
      <c r="AA6" s="2" t="s">
        <v>785</v>
      </c>
      <c r="AB6" s="2" t="s">
        <v>786</v>
      </c>
      <c r="AC6" s="2" t="s">
        <v>15</v>
      </c>
      <c r="AD6" s="2" t="s">
        <v>15</v>
      </c>
      <c r="AE6" s="2" t="s">
        <v>15</v>
      </c>
      <c r="AF6" s="2">
        <v>3</v>
      </c>
      <c r="AG6" s="2" t="s">
        <v>787</v>
      </c>
      <c r="AH6" s="2" t="s">
        <v>17</v>
      </c>
      <c r="AI6" s="4">
        <v>0.1</v>
      </c>
      <c r="AJ6" s="2" t="s">
        <v>17</v>
      </c>
      <c r="AK6" s="2" t="s">
        <v>9</v>
      </c>
      <c r="AL6" s="2" t="s">
        <v>17</v>
      </c>
      <c r="AM6" s="2" t="s">
        <v>17</v>
      </c>
      <c r="AN6" s="2" t="s">
        <v>17</v>
      </c>
      <c r="AO6" s="2" t="s">
        <v>17</v>
      </c>
      <c r="AP6" s="2" t="s">
        <v>17</v>
      </c>
      <c r="AQ6" s="2" t="s">
        <v>17</v>
      </c>
      <c r="AR6" s="2" t="s">
        <v>9</v>
      </c>
      <c r="AS6" s="2" t="s">
        <v>9</v>
      </c>
      <c r="AT6" s="2">
        <v>0</v>
      </c>
      <c r="AU6" s="5">
        <v>37500</v>
      </c>
      <c r="AV6" s="5">
        <v>460000</v>
      </c>
      <c r="AW6" s="2">
        <v>0</v>
      </c>
      <c r="AX6" s="2">
        <v>5</v>
      </c>
      <c r="AY6" s="2">
        <v>0</v>
      </c>
      <c r="AZ6" s="2">
        <v>18</v>
      </c>
      <c r="BA6" s="2">
        <v>0</v>
      </c>
      <c r="BB6" s="2">
        <v>1</v>
      </c>
      <c r="BC6" s="2">
        <v>0</v>
      </c>
      <c r="BD6" s="2">
        <v>0</v>
      </c>
      <c r="BE6" s="2">
        <v>0</v>
      </c>
      <c r="BF6" s="2">
        <v>1</v>
      </c>
      <c r="BG6" s="2">
        <v>0</v>
      </c>
      <c r="BH6" s="2">
        <v>0</v>
      </c>
      <c r="BI6" s="2">
        <v>13</v>
      </c>
      <c r="BJ6" s="2">
        <v>1</v>
      </c>
      <c r="BK6" s="2">
        <v>0</v>
      </c>
      <c r="BL6" s="2">
        <v>3</v>
      </c>
      <c r="BM6" s="2">
        <v>0</v>
      </c>
      <c r="BN6" s="2">
        <v>10</v>
      </c>
      <c r="BO6" s="2">
        <v>11</v>
      </c>
      <c r="BP6" s="2">
        <v>0</v>
      </c>
      <c r="BQ6" s="2">
        <v>10</v>
      </c>
      <c r="BR6" s="2">
        <v>14.66</v>
      </c>
      <c r="BS6" s="2">
        <v>0</v>
      </c>
      <c r="BT6" s="4">
        <v>0.06</v>
      </c>
      <c r="BU6" s="2" t="s">
        <v>9</v>
      </c>
      <c r="BV6" s="6">
        <v>171815.18</v>
      </c>
      <c r="BW6" s="2" t="s">
        <v>18</v>
      </c>
      <c r="BX6" s="2" t="s">
        <v>17</v>
      </c>
      <c r="BY6" s="2" t="s">
        <v>17</v>
      </c>
      <c r="BZ6" s="2" t="s">
        <v>17</v>
      </c>
      <c r="CA6" s="2" t="s">
        <v>17</v>
      </c>
      <c r="CB6" s="2" t="s">
        <v>17</v>
      </c>
      <c r="CC6" s="2" t="s">
        <v>17</v>
      </c>
      <c r="CD6" s="2" t="s">
        <v>17</v>
      </c>
      <c r="CE6" s="2" t="s">
        <v>788</v>
      </c>
      <c r="CF6" s="2" t="s">
        <v>17</v>
      </c>
      <c r="CG6" s="2" t="s">
        <v>789</v>
      </c>
      <c r="CH6" s="2" t="s">
        <v>790</v>
      </c>
      <c r="CI6" s="2"/>
      <c r="CJ6" s="2" t="s">
        <v>9</v>
      </c>
      <c r="CK6" s="2" t="s">
        <v>791</v>
      </c>
      <c r="CL6" s="2" t="s">
        <v>789</v>
      </c>
      <c r="CM6" s="2" t="s">
        <v>792</v>
      </c>
      <c r="CN6" s="2" t="s">
        <v>793</v>
      </c>
      <c r="CO6" s="2" t="s">
        <v>24</v>
      </c>
      <c r="CP6" s="2" t="s">
        <v>794</v>
      </c>
      <c r="CQ6" s="2">
        <v>153</v>
      </c>
      <c r="CR6" s="2" t="s">
        <v>795</v>
      </c>
      <c r="CS6" s="2">
        <v>2014</v>
      </c>
      <c r="CT6" s="2" t="s">
        <v>26</v>
      </c>
      <c r="CU6" s="2" t="s">
        <v>27</v>
      </c>
      <c r="CV6" s="2" t="s">
        <v>796</v>
      </c>
      <c r="CW6" s="2" t="s">
        <v>797</v>
      </c>
      <c r="CX6" s="2" t="s">
        <v>24</v>
      </c>
      <c r="CY6" s="2" t="s">
        <v>794</v>
      </c>
      <c r="CZ6" s="2">
        <v>72</v>
      </c>
      <c r="DA6" s="2" t="s">
        <v>795</v>
      </c>
      <c r="DB6" s="2">
        <v>2012</v>
      </c>
      <c r="DC6" s="2" t="s">
        <v>243</v>
      </c>
      <c r="DD6" s="2" t="s">
        <v>27</v>
      </c>
      <c r="DE6" s="2" t="s">
        <v>798</v>
      </c>
      <c r="DF6" s="2" t="s">
        <v>799</v>
      </c>
      <c r="DG6" s="2" t="s">
        <v>800</v>
      </c>
      <c r="DH6" s="2" t="s">
        <v>794</v>
      </c>
      <c r="DI6" s="2">
        <v>120</v>
      </c>
      <c r="DJ6" s="2" t="s">
        <v>795</v>
      </c>
      <c r="DK6" s="2">
        <v>2009</v>
      </c>
      <c r="DL6" s="2" t="s">
        <v>26</v>
      </c>
      <c r="DM6" s="2" t="s">
        <v>27</v>
      </c>
      <c r="DN6" s="2" t="s">
        <v>33</v>
      </c>
      <c r="DO6" s="2" t="s">
        <v>801</v>
      </c>
      <c r="DP6" s="2"/>
      <c r="DQ6" s="2" t="s">
        <v>802</v>
      </c>
      <c r="DR6" s="2" t="s">
        <v>803</v>
      </c>
      <c r="DS6" s="2">
        <v>1</v>
      </c>
      <c r="DT6" s="2" t="s">
        <v>804</v>
      </c>
      <c r="DU6" s="2" t="s">
        <v>805</v>
      </c>
      <c r="DV6" s="2" t="s">
        <v>260</v>
      </c>
      <c r="DW6" s="2">
        <v>75019</v>
      </c>
      <c r="DX6" s="2" t="s">
        <v>806</v>
      </c>
      <c r="DY6" s="2"/>
      <c r="DZ6" s="2" t="s">
        <v>807</v>
      </c>
      <c r="EA6" s="2" t="s">
        <v>803</v>
      </c>
      <c r="EB6" s="2" t="s">
        <v>808</v>
      </c>
      <c r="EC6" s="2" t="s">
        <v>809</v>
      </c>
      <c r="ED6" s="2" t="s">
        <v>44</v>
      </c>
      <c r="EE6" s="2">
        <v>171</v>
      </c>
      <c r="EF6" s="2" t="s">
        <v>810</v>
      </c>
      <c r="EG6" s="2">
        <v>14.5</v>
      </c>
      <c r="EH6" s="2" t="s">
        <v>46</v>
      </c>
      <c r="EI6" s="2" t="s">
        <v>47</v>
      </c>
      <c r="EJ6" s="2" t="s">
        <v>792</v>
      </c>
      <c r="EK6" s="2" t="s">
        <v>793</v>
      </c>
      <c r="EL6" s="2" t="s">
        <v>811</v>
      </c>
      <c r="EM6" s="2">
        <v>153</v>
      </c>
      <c r="EN6" s="2" t="s">
        <v>810</v>
      </c>
      <c r="EO6" s="2">
        <v>5</v>
      </c>
      <c r="EP6" s="2" t="s">
        <v>46</v>
      </c>
      <c r="EQ6" s="2" t="s">
        <v>47</v>
      </c>
      <c r="ER6" s="2" t="s">
        <v>812</v>
      </c>
      <c r="ES6" s="2"/>
      <c r="ET6" s="2" t="s">
        <v>813</v>
      </c>
      <c r="EU6" s="2" t="s">
        <v>788</v>
      </c>
      <c r="EV6" s="2" t="s">
        <v>814</v>
      </c>
      <c r="EW6" s="2" t="s">
        <v>396</v>
      </c>
      <c r="EX6" s="2" t="s">
        <v>39</v>
      </c>
      <c r="EY6" s="2">
        <v>33607</v>
      </c>
      <c r="EZ6" s="2" t="s">
        <v>815</v>
      </c>
      <c r="FA6" s="2">
        <v>1</v>
      </c>
      <c r="FB6" s="2" t="s">
        <v>816</v>
      </c>
      <c r="FC6" s="2" t="s">
        <v>817</v>
      </c>
      <c r="FD6" s="2"/>
      <c r="FE6" s="2" t="s">
        <v>818</v>
      </c>
      <c r="FF6" s="2" t="s">
        <v>789</v>
      </c>
      <c r="FG6" s="2" t="s">
        <v>814</v>
      </c>
      <c r="FH6" s="2" t="s">
        <v>396</v>
      </c>
      <c r="FI6" s="2" t="s">
        <v>39</v>
      </c>
      <c r="FJ6" s="2">
        <v>33607</v>
      </c>
      <c r="FK6" s="2" t="s">
        <v>819</v>
      </c>
      <c r="FL6" s="2">
        <v>3</v>
      </c>
      <c r="FM6" s="2" t="s">
        <v>820</v>
      </c>
      <c r="FN6" s="2" t="s">
        <v>821</v>
      </c>
      <c r="FO6" s="2" t="s">
        <v>63</v>
      </c>
      <c r="FP6" s="2" t="s">
        <v>64</v>
      </c>
      <c r="FQ6" s="2" t="s">
        <v>9</v>
      </c>
      <c r="FR6" s="2" t="s">
        <v>17</v>
      </c>
      <c r="FS6" s="2" t="s">
        <v>17</v>
      </c>
      <c r="FT6" s="2" t="s">
        <v>9</v>
      </c>
      <c r="FU6" s="2">
        <v>0</v>
      </c>
      <c r="FV6" s="2">
        <v>0</v>
      </c>
      <c r="FW6" s="4">
        <v>0</v>
      </c>
      <c r="FX6" s="4">
        <v>0</v>
      </c>
      <c r="FY6" s="2" t="s">
        <v>65</v>
      </c>
      <c r="FZ6" s="2" t="s">
        <v>66</v>
      </c>
      <c r="GA6" s="2" t="s">
        <v>67</v>
      </c>
      <c r="GB6" s="2"/>
      <c r="GC6" s="2"/>
      <c r="GD6" s="2"/>
      <c r="GE6" s="2" t="s">
        <v>68</v>
      </c>
      <c r="GF6" s="2"/>
      <c r="GG6" s="2"/>
      <c r="GH6" s="2">
        <v>96</v>
      </c>
      <c r="GI6" s="2"/>
      <c r="GJ6" s="2"/>
      <c r="GK6" s="2"/>
      <c r="GL6" s="2"/>
      <c r="GM6" s="2"/>
      <c r="GN6" s="2"/>
      <c r="GO6" s="2"/>
      <c r="GP6" s="2"/>
      <c r="GQ6" s="2">
        <v>96</v>
      </c>
      <c r="GR6" s="2" t="s">
        <v>69</v>
      </c>
      <c r="GS6" s="2" t="s">
        <v>70</v>
      </c>
      <c r="GT6" s="2" t="s">
        <v>822</v>
      </c>
      <c r="GU6" s="2" t="s">
        <v>72</v>
      </c>
      <c r="GV6" s="2" t="s">
        <v>9</v>
      </c>
      <c r="GW6" s="2">
        <v>29.632549000000001</v>
      </c>
      <c r="GX6" s="2">
        <v>-82.317751999999999</v>
      </c>
      <c r="GY6" s="2" t="s">
        <v>823</v>
      </c>
      <c r="GZ6" s="2" t="s">
        <v>17</v>
      </c>
      <c r="HA6" s="2" t="s">
        <v>9</v>
      </c>
      <c r="HB6" s="2">
        <v>3</v>
      </c>
      <c r="HC6" s="2" t="s">
        <v>17</v>
      </c>
      <c r="HD6" s="2"/>
      <c r="HE6" s="2">
        <v>0</v>
      </c>
      <c r="HF6" s="2">
        <v>29.633997000000001</v>
      </c>
      <c r="HG6" s="2">
        <v>-82.315950000000001</v>
      </c>
      <c r="HH6" s="2">
        <v>0.15</v>
      </c>
      <c r="HI6" s="2">
        <v>6</v>
      </c>
      <c r="HJ6" s="2">
        <v>29.634157999999999</v>
      </c>
      <c r="HK6" s="2">
        <v>-82.319111000000007</v>
      </c>
      <c r="HL6" s="2">
        <v>0.14000000000000001</v>
      </c>
      <c r="HM6" s="2">
        <v>29.632331000000001</v>
      </c>
      <c r="HN6" s="2">
        <v>-82.320504999999997</v>
      </c>
      <c r="HO6" s="2">
        <v>0.17</v>
      </c>
      <c r="HP6" s="2"/>
      <c r="HQ6" s="2"/>
      <c r="HR6" s="2"/>
      <c r="HS6" s="2"/>
      <c r="HT6" s="2"/>
      <c r="HU6" s="2"/>
      <c r="HV6" s="2"/>
      <c r="HW6" s="2"/>
      <c r="HX6" s="2" t="s">
        <v>73</v>
      </c>
      <c r="HY6" s="2" t="s">
        <v>17</v>
      </c>
      <c r="HZ6" s="2"/>
      <c r="IA6" s="2" t="s">
        <v>167</v>
      </c>
      <c r="IB6" s="2" t="s">
        <v>824</v>
      </c>
      <c r="IC6" s="2">
        <v>0.73</v>
      </c>
      <c r="ID6" s="2">
        <v>3</v>
      </c>
      <c r="IE6" s="2"/>
      <c r="IF6" s="2"/>
      <c r="IG6" s="2"/>
      <c r="IH6" s="2" t="s">
        <v>167</v>
      </c>
      <c r="II6" s="2">
        <v>0.73</v>
      </c>
      <c r="IJ6" s="2">
        <v>3</v>
      </c>
      <c r="IK6" s="2" t="s">
        <v>825</v>
      </c>
      <c r="IL6" s="2" t="s">
        <v>826</v>
      </c>
      <c r="IM6" s="2">
        <v>0.8</v>
      </c>
      <c r="IN6" s="2">
        <v>3</v>
      </c>
      <c r="IO6" s="2" t="s">
        <v>9</v>
      </c>
      <c r="IP6" s="2">
        <v>6</v>
      </c>
      <c r="IQ6" s="2">
        <v>9</v>
      </c>
      <c r="IR6" s="2">
        <v>3</v>
      </c>
      <c r="IS6" s="2">
        <v>18</v>
      </c>
      <c r="IT6" s="2" t="s">
        <v>9</v>
      </c>
      <c r="IU6" s="2" t="s">
        <v>17</v>
      </c>
      <c r="IV6" s="2" t="s">
        <v>9</v>
      </c>
      <c r="IW6" s="2" t="s">
        <v>9</v>
      </c>
      <c r="IX6" s="2" t="s">
        <v>9</v>
      </c>
      <c r="IY6" s="2">
        <v>15</v>
      </c>
      <c r="IZ6" s="2">
        <v>96</v>
      </c>
      <c r="JA6" s="2" t="s">
        <v>81</v>
      </c>
      <c r="JB6" s="2" t="s">
        <v>173</v>
      </c>
      <c r="JC6" s="2"/>
      <c r="JD6" s="2"/>
      <c r="JE6" s="7">
        <v>0.1</v>
      </c>
      <c r="JF6" s="2"/>
      <c r="JG6" s="7">
        <v>0.9</v>
      </c>
      <c r="JH6" s="7">
        <v>0</v>
      </c>
      <c r="JI6" s="2">
        <v>96</v>
      </c>
      <c r="JJ6" s="7">
        <v>1</v>
      </c>
      <c r="JK6" s="2">
        <v>96</v>
      </c>
      <c r="JL6" s="7">
        <v>1</v>
      </c>
      <c r="JM6" s="2"/>
      <c r="JN6" s="2"/>
      <c r="JO6" s="2"/>
      <c r="JP6" s="2"/>
      <c r="JQ6" s="2"/>
      <c r="JR6" s="2"/>
      <c r="JS6" s="2">
        <v>0</v>
      </c>
      <c r="JT6" s="2">
        <v>0</v>
      </c>
      <c r="JU6" s="2"/>
      <c r="JV6" s="2">
        <v>0</v>
      </c>
      <c r="JW6" s="4">
        <v>0</v>
      </c>
      <c r="JX6" s="2">
        <v>0</v>
      </c>
      <c r="JY6" s="4">
        <v>0</v>
      </c>
      <c r="JZ6" s="2">
        <v>0</v>
      </c>
      <c r="KA6" s="2"/>
      <c r="KB6" s="2"/>
      <c r="KC6" s="2"/>
      <c r="KD6" s="2"/>
      <c r="KE6" s="2"/>
      <c r="KF6" s="2"/>
      <c r="KG6" s="2"/>
      <c r="KH6" s="2">
        <v>24</v>
      </c>
      <c r="KI6" s="2"/>
      <c r="KJ6" s="2"/>
      <c r="KK6" s="2">
        <v>44</v>
      </c>
      <c r="KL6" s="2">
        <v>28</v>
      </c>
      <c r="KM6" s="2"/>
      <c r="KN6" s="2"/>
      <c r="KO6" s="2"/>
      <c r="KP6" s="2"/>
      <c r="KQ6" s="2" t="s">
        <v>83</v>
      </c>
      <c r="KR6" s="2" t="s">
        <v>73</v>
      </c>
      <c r="KS6" s="2"/>
      <c r="KT6" s="2">
        <v>4</v>
      </c>
      <c r="KU6" s="2" t="s">
        <v>84</v>
      </c>
      <c r="KV6" s="2" t="s">
        <v>85</v>
      </c>
      <c r="KW6" s="2" t="s">
        <v>86</v>
      </c>
      <c r="KX6" s="2" t="s">
        <v>17</v>
      </c>
      <c r="KY6" s="2" t="s">
        <v>17</v>
      </c>
      <c r="KZ6" s="2" t="s">
        <v>17</v>
      </c>
      <c r="LA6" s="2" t="s">
        <v>17</v>
      </c>
      <c r="LB6" s="2" t="s">
        <v>17</v>
      </c>
      <c r="LC6" s="2" t="s">
        <v>17</v>
      </c>
      <c r="LD6" s="2" t="s">
        <v>17</v>
      </c>
      <c r="LE6" s="2" t="s">
        <v>17</v>
      </c>
      <c r="LF6" s="2" t="s">
        <v>17</v>
      </c>
      <c r="LG6" s="2" t="s">
        <v>17</v>
      </c>
      <c r="LH6" s="2" t="s">
        <v>17</v>
      </c>
      <c r="LI6" s="2" t="s">
        <v>17</v>
      </c>
      <c r="LJ6" s="2" t="s">
        <v>87</v>
      </c>
      <c r="LK6" s="2" t="s">
        <v>17</v>
      </c>
      <c r="LL6" s="2" t="s">
        <v>17</v>
      </c>
      <c r="LM6" s="2">
        <v>0</v>
      </c>
      <c r="LN6" s="2" t="s">
        <v>17</v>
      </c>
      <c r="LO6" s="2" t="s">
        <v>17</v>
      </c>
      <c r="LP6" s="2" t="s">
        <v>9</v>
      </c>
      <c r="LQ6" s="2" t="s">
        <v>17</v>
      </c>
      <c r="LR6" s="2" t="s">
        <v>9</v>
      </c>
      <c r="LS6" s="2" t="s">
        <v>9</v>
      </c>
      <c r="LT6" s="2" t="s">
        <v>17</v>
      </c>
      <c r="LU6" s="2" t="s">
        <v>17</v>
      </c>
      <c r="LV6" s="2" t="s">
        <v>17</v>
      </c>
      <c r="LW6" s="2" t="s">
        <v>17</v>
      </c>
      <c r="LX6" s="2" t="s">
        <v>17</v>
      </c>
      <c r="LY6" s="5">
        <v>6500000</v>
      </c>
      <c r="LZ6" s="5">
        <v>0</v>
      </c>
      <c r="MA6" s="5">
        <v>7200000</v>
      </c>
      <c r="MB6" s="5">
        <v>0</v>
      </c>
      <c r="MC6" s="5">
        <v>0</v>
      </c>
      <c r="MD6" s="5">
        <v>0</v>
      </c>
      <c r="ME6" s="5">
        <v>10000000</v>
      </c>
      <c r="MF6" s="5">
        <v>0</v>
      </c>
      <c r="MG6" s="5">
        <v>0</v>
      </c>
      <c r="MH6" s="5">
        <v>0</v>
      </c>
      <c r="MI6" s="5">
        <v>0</v>
      </c>
      <c r="MJ6" s="5">
        <v>0</v>
      </c>
      <c r="MK6" s="5">
        <v>0</v>
      </c>
      <c r="ML6" s="2">
        <v>0</v>
      </c>
      <c r="MM6" s="5">
        <v>0</v>
      </c>
      <c r="MN6" s="5">
        <v>0</v>
      </c>
      <c r="MO6" s="2">
        <v>0</v>
      </c>
      <c r="MP6" s="2">
        <v>0</v>
      </c>
      <c r="MQ6" s="2">
        <v>0</v>
      </c>
      <c r="MR6" s="5">
        <v>2950000</v>
      </c>
      <c r="MS6" s="5">
        <v>0</v>
      </c>
      <c r="MT6" s="5">
        <v>4600000</v>
      </c>
      <c r="MU6" s="5">
        <v>0</v>
      </c>
      <c r="MV6" s="5">
        <v>0</v>
      </c>
      <c r="MW6" s="5">
        <v>0</v>
      </c>
      <c r="MX6" s="5">
        <v>0</v>
      </c>
      <c r="MY6" s="5">
        <v>2500000</v>
      </c>
      <c r="MZ6" s="5">
        <v>0</v>
      </c>
      <c r="NA6" s="5">
        <v>5000000</v>
      </c>
      <c r="NB6" s="5">
        <v>0</v>
      </c>
      <c r="NC6" s="5">
        <v>0</v>
      </c>
      <c r="ND6" s="5">
        <v>0</v>
      </c>
      <c r="NE6" s="5">
        <v>0</v>
      </c>
      <c r="NF6" s="5">
        <v>0</v>
      </c>
      <c r="NG6" s="5">
        <v>2142000</v>
      </c>
      <c r="NH6" s="5">
        <v>2142000</v>
      </c>
      <c r="NI6" s="5">
        <v>2142000</v>
      </c>
      <c r="NJ6" s="5">
        <v>0</v>
      </c>
      <c r="NK6" s="5"/>
      <c r="NL6" s="2" t="s">
        <v>17</v>
      </c>
      <c r="NM6" s="2" t="s">
        <v>17</v>
      </c>
      <c r="NN6" s="2"/>
      <c r="NO6" s="2" t="s">
        <v>17</v>
      </c>
      <c r="NP6" s="2"/>
      <c r="NQ6" s="2"/>
      <c r="NR6" s="2" t="s">
        <v>17</v>
      </c>
      <c r="NS6" s="2"/>
      <c r="NT6" s="2" t="s">
        <v>17</v>
      </c>
      <c r="NU6" s="2"/>
      <c r="NV6" s="2"/>
      <c r="NW6" s="2"/>
      <c r="NX6" s="2" t="s">
        <v>17</v>
      </c>
      <c r="NY6" s="2"/>
      <c r="NZ6" s="2"/>
      <c r="OA6" s="2" t="s">
        <v>118</v>
      </c>
      <c r="OB6" s="2" t="s">
        <v>118</v>
      </c>
      <c r="OC6" s="2" t="s">
        <v>118</v>
      </c>
      <c r="OD6" s="2" t="s">
        <v>9</v>
      </c>
      <c r="OE6" s="2" t="s">
        <v>320</v>
      </c>
      <c r="OF6" s="2" t="s">
        <v>17</v>
      </c>
      <c r="OG6" s="2" t="s">
        <v>17</v>
      </c>
      <c r="OH6" s="2"/>
      <c r="OI6" s="2"/>
      <c r="OJ6" s="2"/>
      <c r="OK6" s="2" t="s">
        <v>17</v>
      </c>
      <c r="OL6" s="2" t="s">
        <v>17</v>
      </c>
      <c r="OM6" s="2" t="s">
        <v>85</v>
      </c>
      <c r="ON6" s="6">
        <v>0</v>
      </c>
      <c r="OO6" s="6">
        <v>0</v>
      </c>
      <c r="OP6" s="2" t="s">
        <v>93</v>
      </c>
      <c r="OQ6" s="2" t="s">
        <v>93</v>
      </c>
      <c r="OR6" s="6">
        <v>0</v>
      </c>
      <c r="OS6" s="4">
        <v>0</v>
      </c>
      <c r="OT6" s="2" t="s">
        <v>9</v>
      </c>
      <c r="OU6" s="2" t="s">
        <v>9</v>
      </c>
      <c r="OV6" s="2"/>
      <c r="OW6" s="2" t="s">
        <v>827</v>
      </c>
      <c r="OX6" s="5">
        <v>16494257</v>
      </c>
      <c r="OY6" s="6">
        <v>171815.18</v>
      </c>
      <c r="OZ6" s="8">
        <v>445000</v>
      </c>
      <c r="PA6" s="8">
        <v>445000</v>
      </c>
      <c r="PB6" s="8">
        <v>13656160</v>
      </c>
      <c r="PC6" s="2"/>
      <c r="PD6" s="8">
        <v>13656160</v>
      </c>
      <c r="PE6" s="8">
        <v>1421375</v>
      </c>
      <c r="PF6" s="8">
        <v>407125</v>
      </c>
      <c r="PG6" s="8">
        <v>1828500</v>
      </c>
      <c r="PH6" s="2"/>
      <c r="PI6" s="2"/>
      <c r="PJ6" s="2"/>
      <c r="PK6" s="8">
        <v>15077535</v>
      </c>
      <c r="PL6" s="8">
        <v>852125</v>
      </c>
      <c r="PM6" s="8">
        <v>15929660</v>
      </c>
      <c r="PN6" s="8">
        <v>2183575</v>
      </c>
      <c r="PO6" s="2"/>
      <c r="PP6" s="8">
        <v>2183575</v>
      </c>
      <c r="PQ6" s="6">
        <v>2230152</v>
      </c>
      <c r="PR6" s="8">
        <v>17261110</v>
      </c>
      <c r="PS6" s="8">
        <v>852125</v>
      </c>
      <c r="PT6" s="8">
        <v>18113235</v>
      </c>
      <c r="PU6" s="8">
        <v>904412</v>
      </c>
      <c r="PV6" s="2"/>
      <c r="PW6" s="8">
        <v>904412</v>
      </c>
      <c r="PX6" s="6">
        <v>905661.75</v>
      </c>
      <c r="PY6" s="8">
        <v>905000</v>
      </c>
      <c r="PZ6" s="8">
        <v>50000</v>
      </c>
      <c r="QA6" s="8">
        <v>955000</v>
      </c>
      <c r="QB6" s="8">
        <v>250000</v>
      </c>
      <c r="QC6" s="2"/>
      <c r="QD6" s="8">
        <v>250000</v>
      </c>
      <c r="QE6" s="8">
        <v>360000</v>
      </c>
      <c r="QF6" s="2"/>
      <c r="QG6" s="8">
        <v>360000</v>
      </c>
      <c r="QH6" s="2"/>
      <c r="QI6" s="8">
        <v>435780</v>
      </c>
      <c r="QJ6" s="8">
        <v>435780</v>
      </c>
      <c r="QK6" s="8">
        <v>400000</v>
      </c>
      <c r="QL6" s="2"/>
      <c r="QM6" s="8">
        <v>400000</v>
      </c>
      <c r="QN6" s="2"/>
      <c r="QO6" s="8">
        <v>75000</v>
      </c>
      <c r="QP6" s="8">
        <v>75000</v>
      </c>
      <c r="QQ6" s="8">
        <v>1915000</v>
      </c>
      <c r="QR6" s="8">
        <v>560780</v>
      </c>
      <c r="QS6" s="8">
        <v>2475780</v>
      </c>
      <c r="QT6" s="8">
        <v>106539</v>
      </c>
      <c r="QU6" s="2"/>
      <c r="QV6" s="8">
        <v>106539</v>
      </c>
      <c r="QW6" s="6">
        <v>123789</v>
      </c>
      <c r="QX6" s="8">
        <v>1750000</v>
      </c>
      <c r="QY6" s="8">
        <v>345000</v>
      </c>
      <c r="QZ6" s="8">
        <v>2095000</v>
      </c>
      <c r="RA6" s="8">
        <v>371000</v>
      </c>
      <c r="RB6" s="8">
        <v>371000</v>
      </c>
      <c r="RC6" s="2"/>
      <c r="RD6" s="2"/>
      <c r="RE6" s="2"/>
      <c r="RF6" s="8">
        <v>1750000</v>
      </c>
      <c r="RG6" s="8">
        <v>716000</v>
      </c>
      <c r="RH6" s="8">
        <v>2466000</v>
      </c>
      <c r="RI6" s="2"/>
      <c r="RJ6" s="2"/>
      <c r="RK6" s="2"/>
      <c r="RL6" s="2"/>
      <c r="RM6" s="8">
        <v>21937061</v>
      </c>
      <c r="RN6" s="8">
        <v>2128905</v>
      </c>
      <c r="RO6" s="8">
        <v>24065966</v>
      </c>
      <c r="RP6" s="2"/>
      <c r="RQ6" s="2"/>
      <c r="RR6" s="2">
        <v>0</v>
      </c>
      <c r="RS6" s="6">
        <v>0</v>
      </c>
      <c r="RT6" s="8">
        <v>3808315</v>
      </c>
      <c r="RU6" s="2"/>
      <c r="RV6" s="8">
        <v>3808315</v>
      </c>
      <c r="RW6" s="6">
        <v>3850554</v>
      </c>
      <c r="RX6" s="6">
        <v>0</v>
      </c>
      <c r="RY6" s="8">
        <v>3808315</v>
      </c>
      <c r="RZ6" s="2"/>
      <c r="SA6" s="8">
        <v>3808315</v>
      </c>
      <c r="SB6" s="6">
        <v>3850554</v>
      </c>
      <c r="SC6" s="8">
        <v>336000</v>
      </c>
      <c r="SD6" s="8">
        <v>336000</v>
      </c>
      <c r="SE6" s="6">
        <v>336000</v>
      </c>
      <c r="SF6" s="2">
        <v>50</v>
      </c>
      <c r="SG6" s="2">
        <v>50</v>
      </c>
      <c r="SH6" s="8">
        <v>25745376</v>
      </c>
      <c r="SI6" s="8">
        <v>2464955</v>
      </c>
      <c r="SJ6" s="8">
        <v>28210331</v>
      </c>
      <c r="SK6" s="2" t="s">
        <v>828</v>
      </c>
      <c r="SL6" s="2"/>
      <c r="SM6" s="2" t="s">
        <v>829</v>
      </c>
      <c r="SN6" s="2"/>
      <c r="SO6" s="2"/>
      <c r="SP6" s="8">
        <v>23500000</v>
      </c>
      <c r="SQ6" s="2" t="s">
        <v>95</v>
      </c>
      <c r="SR6" s="8">
        <v>460000</v>
      </c>
      <c r="SS6" s="2" t="s">
        <v>180</v>
      </c>
      <c r="ST6" s="2"/>
      <c r="SU6" s="2"/>
      <c r="SV6" s="2"/>
      <c r="SW6" s="2"/>
      <c r="SX6" s="2" t="s">
        <v>96</v>
      </c>
      <c r="SY6" s="2" t="s">
        <v>96</v>
      </c>
      <c r="SZ6" s="2" t="s">
        <v>96</v>
      </c>
      <c r="TA6" s="2" t="s">
        <v>96</v>
      </c>
      <c r="TB6" s="8">
        <v>2971729</v>
      </c>
      <c r="TC6" s="2"/>
      <c r="TD6" s="2"/>
      <c r="TE6" s="2"/>
      <c r="TF6" s="2"/>
      <c r="TG6" s="2"/>
      <c r="TH6" s="2"/>
      <c r="TI6" s="8">
        <v>1278602</v>
      </c>
      <c r="TJ6" s="8">
        <v>28210331</v>
      </c>
      <c r="TK6" s="2">
        <v>0</v>
      </c>
      <c r="TL6" s="2" t="s">
        <v>9</v>
      </c>
      <c r="TM6" s="8">
        <v>6800000</v>
      </c>
      <c r="TN6" s="2" t="s">
        <v>95</v>
      </c>
      <c r="TO6" s="8">
        <v>460000</v>
      </c>
      <c r="TP6" s="2" t="s">
        <v>180</v>
      </c>
      <c r="TQ6" s="2"/>
      <c r="TR6" s="2"/>
      <c r="TS6" s="2"/>
      <c r="TT6" s="2"/>
      <c r="TU6" s="2" t="s">
        <v>96</v>
      </c>
      <c r="TV6" s="8">
        <v>19811519</v>
      </c>
      <c r="TW6" s="2"/>
      <c r="TX6" s="2"/>
      <c r="TY6" s="2"/>
      <c r="TZ6" s="2"/>
      <c r="UA6" s="2"/>
      <c r="UB6" s="2"/>
      <c r="UC6" s="8">
        <v>1138812</v>
      </c>
      <c r="UD6" s="8">
        <v>28210331</v>
      </c>
      <c r="UE6" s="6">
        <v>7260000</v>
      </c>
      <c r="UF6" s="2">
        <v>0</v>
      </c>
      <c r="UG6" s="2" t="s">
        <v>9</v>
      </c>
      <c r="UH6" s="2">
        <v>96</v>
      </c>
      <c r="UI6" s="5">
        <v>220000</v>
      </c>
      <c r="UJ6" s="6">
        <v>293333.33</v>
      </c>
      <c r="UK6" s="6">
        <v>300833.33</v>
      </c>
      <c r="UL6" s="6">
        <v>318883.33</v>
      </c>
      <c r="UM6" s="6">
        <v>30612800</v>
      </c>
      <c r="UN6" s="6">
        <v>4898048</v>
      </c>
      <c r="UO6" s="6">
        <v>4898048</v>
      </c>
      <c r="UP6" s="6">
        <v>35510848</v>
      </c>
      <c r="UQ6" s="6">
        <v>27029281</v>
      </c>
      <c r="UR6" s="6">
        <v>460000</v>
      </c>
      <c r="US6" s="6">
        <v>460000</v>
      </c>
      <c r="UT6" s="6">
        <v>0</v>
      </c>
      <c r="UU6" s="2"/>
      <c r="UV6" s="6">
        <v>0</v>
      </c>
      <c r="UW6" s="6">
        <v>460000</v>
      </c>
      <c r="UX6" s="6">
        <v>460000</v>
      </c>
      <c r="UY6" s="6">
        <v>0</v>
      </c>
      <c r="UZ6" s="2" t="s">
        <v>830</v>
      </c>
      <c r="VA6" s="2" t="s">
        <v>182</v>
      </c>
      <c r="VB6" s="2"/>
      <c r="VC6" s="2"/>
      <c r="VD6" s="2" t="s">
        <v>9</v>
      </c>
      <c r="VE6" s="2" t="s">
        <v>9</v>
      </c>
      <c r="VF6" s="2" t="s">
        <v>831</v>
      </c>
      <c r="VG6" s="2" t="s">
        <v>17</v>
      </c>
      <c r="VH6" s="2"/>
      <c r="VI6" s="388" t="s">
        <v>832</v>
      </c>
      <c r="VJ6" s="2" t="s">
        <v>98</v>
      </c>
      <c r="VK6" s="2" t="s">
        <v>232</v>
      </c>
      <c r="VL6" s="23">
        <f t="shared" si="0"/>
        <v>196</v>
      </c>
      <c r="VM6" s="17">
        <f t="shared" si="1"/>
        <v>2.0416666666666665</v>
      </c>
      <c r="VN6" s="17" t="str">
        <f t="shared" si="12"/>
        <v>NC-GA-F</v>
      </c>
      <c r="VO6" s="17" t="str">
        <f t="shared" si="13"/>
        <v>NC-GA-F-Non</v>
      </c>
      <c r="VP6" s="12">
        <v>9</v>
      </c>
      <c r="VQ6" s="57">
        <v>1</v>
      </c>
      <c r="VR6" s="57">
        <f t="shared" si="2"/>
        <v>1</v>
      </c>
      <c r="VS6" s="14">
        <f t="shared" si="3"/>
        <v>0.97</v>
      </c>
      <c r="VT6" s="12">
        <f t="shared" si="4"/>
        <v>1</v>
      </c>
      <c r="VU6" s="16">
        <f t="shared" si="5"/>
        <v>18699660</v>
      </c>
      <c r="VV6" s="16">
        <f t="shared" si="6"/>
        <v>194788.125</v>
      </c>
      <c r="VW6" s="12" t="str">
        <f t="shared" si="14"/>
        <v>A</v>
      </c>
      <c r="VX6" s="12" t="str">
        <f t="shared" si="15"/>
        <v>NC-GA-Non</v>
      </c>
      <c r="VY6" s="351">
        <f t="shared" si="16"/>
        <v>1</v>
      </c>
      <c r="WA6" s="12">
        <f t="shared" si="17"/>
        <v>0</v>
      </c>
      <c r="WB6" s="12">
        <f t="shared" si="18"/>
        <v>0</v>
      </c>
      <c r="WC6" s="12">
        <f t="shared" si="18"/>
        <v>0</v>
      </c>
      <c r="WD6" s="12">
        <f t="shared" si="18"/>
        <v>1</v>
      </c>
      <c r="WE6" s="12">
        <f t="shared" si="19"/>
        <v>0</v>
      </c>
      <c r="WF6" s="12">
        <f t="shared" si="7"/>
        <v>1</v>
      </c>
      <c r="WG6" s="12">
        <f t="shared" si="8"/>
        <v>0</v>
      </c>
      <c r="WH6" s="12">
        <f t="shared" si="9"/>
        <v>0</v>
      </c>
      <c r="WI6" s="31">
        <f t="shared" si="10"/>
        <v>2</v>
      </c>
      <c r="WJ6" s="2"/>
      <c r="WK6" s="443" t="str">
        <f t="shared" si="11"/>
        <v>NC-GA-Non-BBN-BRN-PHA-F</v>
      </c>
      <c r="WL6" s="443"/>
      <c r="WM6" s="443"/>
      <c r="WN6" s="12"/>
      <c r="WO6" s="380" t="s">
        <v>5415</v>
      </c>
      <c r="WP6" s="144">
        <f>COUNTIFS($WF$2:$WF$72,"=1",$WA$2:$WA$72,"=1")</f>
        <v>10</v>
      </c>
      <c r="WQ6" s="144">
        <f>COUNTIFS($WF$2:$WF$72,"=1",$WB$2:$WB$72,"=1")</f>
        <v>0</v>
      </c>
      <c r="WR6" s="144">
        <f>COUNTIFS($WF$2:$WF$72,"=1",$WC$2:$WC$72,"=1")</f>
        <v>0</v>
      </c>
      <c r="WS6" s="144">
        <f>COUNTIFS($WF$2:$WF$72,"=1",$WD$2:$WD$72,"=1")</f>
        <v>9</v>
      </c>
      <c r="WT6" s="384"/>
      <c r="WU6" s="144">
        <f>COUNTIFS($WF$2:$WF$72,"=1",$WG$2:$WG$72,"=1")</f>
        <v>0</v>
      </c>
      <c r="WV6" s="144">
        <f>COUNTIFS($WF$2:$WF$72,"=1",$WH$2:$WH$72,"=1")</f>
        <v>0</v>
      </c>
      <c r="WW6" s="144">
        <f>COUNTIFS($WF$2:$WF$72,"=1",$WE$2:$WE$72,"=1")</f>
        <v>27</v>
      </c>
      <c r="WX6" s="205">
        <f>COUNTIF($WF$2:$WF$72,"=1")</f>
        <v>50</v>
      </c>
    </row>
    <row r="7" spans="1:622" x14ac:dyDescent="0.25">
      <c r="A7" s="2">
        <v>9464</v>
      </c>
      <c r="B7" s="2" t="s">
        <v>841</v>
      </c>
      <c r="C7" s="2" t="s">
        <v>8</v>
      </c>
      <c r="D7" s="3">
        <v>45153</v>
      </c>
      <c r="E7" s="2" t="s">
        <v>9</v>
      </c>
      <c r="F7" s="2">
        <v>3</v>
      </c>
      <c r="G7" s="2" t="s">
        <v>9</v>
      </c>
      <c r="H7" s="2">
        <v>3</v>
      </c>
      <c r="I7" s="2" t="s">
        <v>9</v>
      </c>
      <c r="J7" s="2">
        <v>2</v>
      </c>
      <c r="K7" s="2" t="s">
        <v>9</v>
      </c>
      <c r="L7" s="2">
        <v>3</v>
      </c>
      <c r="M7" s="2" t="s">
        <v>10</v>
      </c>
      <c r="N7" s="2">
        <v>0</v>
      </c>
      <c r="O7" s="2" t="s">
        <v>10</v>
      </c>
      <c r="P7" s="2">
        <v>0</v>
      </c>
      <c r="Q7" s="2" t="s">
        <v>11</v>
      </c>
      <c r="R7" s="2">
        <v>0</v>
      </c>
      <c r="S7" s="2" t="s">
        <v>9</v>
      </c>
      <c r="T7" s="2">
        <v>2</v>
      </c>
      <c r="U7" s="2" t="s">
        <v>9</v>
      </c>
      <c r="V7" s="2">
        <v>2</v>
      </c>
      <c r="W7" s="2" t="s">
        <v>9</v>
      </c>
      <c r="X7" s="2">
        <v>2</v>
      </c>
      <c r="Y7" s="2" t="s">
        <v>12</v>
      </c>
      <c r="Z7" s="2" t="s">
        <v>187</v>
      </c>
      <c r="AA7" s="2" t="s">
        <v>785</v>
      </c>
      <c r="AB7" s="2" t="s">
        <v>842</v>
      </c>
      <c r="AC7" s="2" t="s">
        <v>15</v>
      </c>
      <c r="AD7" s="2" t="s">
        <v>15</v>
      </c>
      <c r="AE7" s="2" t="s">
        <v>15</v>
      </c>
      <c r="AF7" s="2">
        <v>3</v>
      </c>
      <c r="AG7" s="2" t="s">
        <v>730</v>
      </c>
      <c r="AH7" s="2" t="s">
        <v>17</v>
      </c>
      <c r="AI7" s="4">
        <v>0.15956999999999999</v>
      </c>
      <c r="AJ7" s="2" t="s">
        <v>17</v>
      </c>
      <c r="AK7" s="2" t="s">
        <v>9</v>
      </c>
      <c r="AL7" s="2" t="s">
        <v>17</v>
      </c>
      <c r="AM7" s="2" t="s">
        <v>17</v>
      </c>
      <c r="AN7" s="2" t="s">
        <v>17</v>
      </c>
      <c r="AO7" s="2" t="s">
        <v>9</v>
      </c>
      <c r="AP7" s="2" t="s">
        <v>17</v>
      </c>
      <c r="AQ7" s="2" t="s">
        <v>17</v>
      </c>
      <c r="AR7" s="2" t="s">
        <v>17</v>
      </c>
      <c r="AS7" s="2" t="s">
        <v>17</v>
      </c>
      <c r="AT7" s="2">
        <v>0</v>
      </c>
      <c r="AU7" s="5">
        <v>37500</v>
      </c>
      <c r="AV7" s="5">
        <v>460000</v>
      </c>
      <c r="AW7" s="2">
        <v>0</v>
      </c>
      <c r="AX7" s="2">
        <v>11</v>
      </c>
      <c r="AY7" s="2">
        <v>0</v>
      </c>
      <c r="AZ7" s="2">
        <v>18</v>
      </c>
      <c r="BA7" s="2">
        <v>0</v>
      </c>
      <c r="BB7" s="2">
        <v>1</v>
      </c>
      <c r="BC7" s="2">
        <v>0</v>
      </c>
      <c r="BD7" s="2">
        <v>0</v>
      </c>
      <c r="BE7" s="2">
        <v>0</v>
      </c>
      <c r="BF7" s="2">
        <v>1</v>
      </c>
      <c r="BG7" s="2">
        <v>0</v>
      </c>
      <c r="BH7" s="2">
        <v>0</v>
      </c>
      <c r="BI7" s="2">
        <v>13</v>
      </c>
      <c r="BJ7" s="2">
        <v>1</v>
      </c>
      <c r="BK7" s="2">
        <v>0</v>
      </c>
      <c r="BL7" s="2">
        <v>2</v>
      </c>
      <c r="BM7" s="2">
        <v>2</v>
      </c>
      <c r="BN7" s="2">
        <v>13</v>
      </c>
      <c r="BO7" s="2">
        <v>11</v>
      </c>
      <c r="BP7" s="2">
        <v>0</v>
      </c>
      <c r="BQ7" s="2">
        <v>10</v>
      </c>
      <c r="BR7" s="2">
        <v>14.36</v>
      </c>
      <c r="BS7" s="2">
        <v>0</v>
      </c>
      <c r="BT7" s="4">
        <v>0.06</v>
      </c>
      <c r="BU7" s="2" t="s">
        <v>9</v>
      </c>
      <c r="BV7" s="6">
        <v>174322.34</v>
      </c>
      <c r="BW7" s="2" t="s">
        <v>126</v>
      </c>
      <c r="BX7" s="2" t="s">
        <v>17</v>
      </c>
      <c r="BY7" s="2" t="s">
        <v>17</v>
      </c>
      <c r="BZ7" s="2" t="s">
        <v>17</v>
      </c>
      <c r="CA7" s="2" t="s">
        <v>17</v>
      </c>
      <c r="CB7" s="2" t="s">
        <v>17</v>
      </c>
      <c r="CC7" s="2" t="s">
        <v>17</v>
      </c>
      <c r="CD7" s="2" t="s">
        <v>17</v>
      </c>
      <c r="CE7" s="2" t="s">
        <v>843</v>
      </c>
      <c r="CF7" s="2" t="s">
        <v>17</v>
      </c>
      <c r="CG7" s="2" t="s">
        <v>844</v>
      </c>
      <c r="CH7" s="2"/>
      <c r="CI7" s="2"/>
      <c r="CJ7" s="2" t="s">
        <v>9</v>
      </c>
      <c r="CK7" s="2" t="s">
        <v>845</v>
      </c>
      <c r="CL7" s="2" t="s">
        <v>846</v>
      </c>
      <c r="CM7" s="2" t="s">
        <v>847</v>
      </c>
      <c r="CN7" s="2" t="s">
        <v>848</v>
      </c>
      <c r="CO7" s="2" t="s">
        <v>24</v>
      </c>
      <c r="CP7" s="2"/>
      <c r="CQ7" s="2">
        <v>92</v>
      </c>
      <c r="CR7" s="2" t="s">
        <v>849</v>
      </c>
      <c r="CS7" s="2">
        <v>2015</v>
      </c>
      <c r="CT7" s="2" t="s">
        <v>26</v>
      </c>
      <c r="CU7" s="2" t="s">
        <v>27</v>
      </c>
      <c r="CV7" s="2" t="s">
        <v>850</v>
      </c>
      <c r="CW7" s="2" t="s">
        <v>848</v>
      </c>
      <c r="CX7" s="2" t="s">
        <v>24</v>
      </c>
      <c r="CY7" s="2"/>
      <c r="CZ7" s="2">
        <v>88</v>
      </c>
      <c r="DA7" s="2" t="s">
        <v>849</v>
      </c>
      <c r="DB7" s="2">
        <v>2020</v>
      </c>
      <c r="DC7" s="2" t="s">
        <v>30</v>
      </c>
      <c r="DD7" s="2" t="s">
        <v>27</v>
      </c>
      <c r="DE7" s="2" t="s">
        <v>851</v>
      </c>
      <c r="DF7" s="2" t="s">
        <v>852</v>
      </c>
      <c r="DG7" s="2" t="s">
        <v>853</v>
      </c>
      <c r="DH7" s="2"/>
      <c r="DI7" s="2">
        <v>50</v>
      </c>
      <c r="DJ7" s="2" t="s">
        <v>849</v>
      </c>
      <c r="DK7" s="2">
        <v>2018</v>
      </c>
      <c r="DL7" s="2" t="s">
        <v>26</v>
      </c>
      <c r="DM7" s="2" t="s">
        <v>27</v>
      </c>
      <c r="DN7" s="2" t="s">
        <v>33</v>
      </c>
      <c r="DO7" s="2" t="s">
        <v>854</v>
      </c>
      <c r="DP7" s="2"/>
      <c r="DQ7" s="2" t="s">
        <v>855</v>
      </c>
      <c r="DR7" s="2" t="s">
        <v>856</v>
      </c>
      <c r="DS7" s="2">
        <v>1</v>
      </c>
      <c r="DT7" s="2" t="s">
        <v>857</v>
      </c>
      <c r="DU7" s="2" t="s">
        <v>858</v>
      </c>
      <c r="DV7" s="2" t="s">
        <v>260</v>
      </c>
      <c r="DW7" s="2">
        <v>78216</v>
      </c>
      <c r="DX7" s="2" t="s">
        <v>859</v>
      </c>
      <c r="DY7" s="2"/>
      <c r="DZ7" s="2" t="s">
        <v>860</v>
      </c>
      <c r="EA7" s="2" t="s">
        <v>861</v>
      </c>
      <c r="EB7" s="2" t="s">
        <v>850</v>
      </c>
      <c r="EC7" s="2" t="s">
        <v>848</v>
      </c>
      <c r="ED7" s="2" t="s">
        <v>44</v>
      </c>
      <c r="EE7" s="2">
        <v>88</v>
      </c>
      <c r="EF7" s="2" t="s">
        <v>862</v>
      </c>
      <c r="EG7" s="2">
        <v>3</v>
      </c>
      <c r="EH7" s="2" t="s">
        <v>46</v>
      </c>
      <c r="EI7" s="2" t="s">
        <v>47</v>
      </c>
      <c r="EJ7" s="2" t="s">
        <v>863</v>
      </c>
      <c r="EK7" s="2" t="s">
        <v>864</v>
      </c>
      <c r="EL7" s="2" t="s">
        <v>44</v>
      </c>
      <c r="EM7" s="2">
        <v>236</v>
      </c>
      <c r="EN7" s="2" t="s">
        <v>862</v>
      </c>
      <c r="EO7" s="2">
        <v>17</v>
      </c>
      <c r="EP7" s="2" t="s">
        <v>46</v>
      </c>
      <c r="EQ7" s="2" t="s">
        <v>47</v>
      </c>
      <c r="ER7" s="2" t="s">
        <v>865</v>
      </c>
      <c r="ES7" s="2"/>
      <c r="ET7" s="2" t="s">
        <v>866</v>
      </c>
      <c r="EU7" s="2" t="s">
        <v>867</v>
      </c>
      <c r="EV7" s="2" t="s">
        <v>868</v>
      </c>
      <c r="EW7" s="2" t="s">
        <v>869</v>
      </c>
      <c r="EX7" s="2" t="s">
        <v>701</v>
      </c>
      <c r="EY7" s="2">
        <v>30080</v>
      </c>
      <c r="EZ7" s="2" t="s">
        <v>870</v>
      </c>
      <c r="FA7" s="2"/>
      <c r="FB7" s="2" t="s">
        <v>871</v>
      </c>
      <c r="FC7" s="2" t="s">
        <v>872</v>
      </c>
      <c r="FD7" s="2"/>
      <c r="FE7" s="2" t="s">
        <v>873</v>
      </c>
      <c r="FF7" s="2" t="s">
        <v>874</v>
      </c>
      <c r="FG7" s="2" t="s">
        <v>875</v>
      </c>
      <c r="FH7" s="2" t="s">
        <v>396</v>
      </c>
      <c r="FI7" s="2" t="s">
        <v>39</v>
      </c>
      <c r="FJ7" s="2">
        <v>33607</v>
      </c>
      <c r="FK7" s="2" t="s">
        <v>876</v>
      </c>
      <c r="FL7" s="2"/>
      <c r="FM7" s="2" t="s">
        <v>877</v>
      </c>
      <c r="FN7" s="2" t="s">
        <v>843</v>
      </c>
      <c r="FO7" s="2" t="s">
        <v>63</v>
      </c>
      <c r="FP7" s="2" t="s">
        <v>64</v>
      </c>
      <c r="FQ7" s="2" t="s">
        <v>9</v>
      </c>
      <c r="FR7" s="2" t="s">
        <v>17</v>
      </c>
      <c r="FS7" s="2" t="s">
        <v>17</v>
      </c>
      <c r="FT7" s="2" t="s">
        <v>9</v>
      </c>
      <c r="FU7" s="2">
        <v>0</v>
      </c>
      <c r="FV7" s="2">
        <v>0</v>
      </c>
      <c r="FW7" s="4">
        <v>0</v>
      </c>
      <c r="FX7" s="4">
        <v>0</v>
      </c>
      <c r="FY7" s="2" t="s">
        <v>65</v>
      </c>
      <c r="FZ7" s="2" t="s">
        <v>66</v>
      </c>
      <c r="GA7" s="2" t="s">
        <v>67</v>
      </c>
      <c r="GB7" s="2"/>
      <c r="GC7" s="2"/>
      <c r="GD7" s="2"/>
      <c r="GE7" s="2" t="s">
        <v>108</v>
      </c>
      <c r="GF7" s="2"/>
      <c r="GG7" s="2"/>
      <c r="GH7" s="2"/>
      <c r="GI7" s="2"/>
      <c r="GJ7" s="2">
        <v>94</v>
      </c>
      <c r="GK7" s="2"/>
      <c r="GL7" s="2"/>
      <c r="GM7" s="2"/>
      <c r="GN7" s="2"/>
      <c r="GO7" s="2"/>
      <c r="GP7" s="2"/>
      <c r="GQ7" s="2">
        <v>94</v>
      </c>
      <c r="GR7" s="2" t="s">
        <v>878</v>
      </c>
      <c r="GS7" s="2" t="s">
        <v>70</v>
      </c>
      <c r="GT7" s="2" t="s">
        <v>879</v>
      </c>
      <c r="GU7" s="2" t="s">
        <v>880</v>
      </c>
      <c r="GV7" s="2" t="s">
        <v>17</v>
      </c>
      <c r="GW7" s="2">
        <v>30.430610562441998</v>
      </c>
      <c r="GX7" s="2">
        <v>-87.2326503645847</v>
      </c>
      <c r="GY7" s="2"/>
      <c r="GZ7" s="2" t="s">
        <v>17</v>
      </c>
      <c r="HA7" s="2" t="s">
        <v>17</v>
      </c>
      <c r="HB7" s="2">
        <v>0</v>
      </c>
      <c r="HC7" s="2" t="s">
        <v>17</v>
      </c>
      <c r="HD7" s="2" t="s">
        <v>17</v>
      </c>
      <c r="HE7" s="2">
        <v>0</v>
      </c>
      <c r="HF7" s="2">
        <v>30.430849767277898</v>
      </c>
      <c r="HG7" s="2">
        <v>-87.235186307185003</v>
      </c>
      <c r="HH7" s="2">
        <v>0.15</v>
      </c>
      <c r="HI7" s="2">
        <v>6</v>
      </c>
      <c r="HJ7" s="2">
        <v>30.430709260886299</v>
      </c>
      <c r="HK7" s="2">
        <v>-87.235031350739007</v>
      </c>
      <c r="HL7" s="2">
        <v>0.14000000000000001</v>
      </c>
      <c r="HM7" s="2">
        <v>30.4304601867161</v>
      </c>
      <c r="HN7" s="2">
        <v>-87.229367105423904</v>
      </c>
      <c r="HO7" s="2">
        <v>0.2</v>
      </c>
      <c r="HP7" s="2"/>
      <c r="HQ7" s="2"/>
      <c r="HR7" s="2"/>
      <c r="HS7" s="2"/>
      <c r="HT7" s="2"/>
      <c r="HU7" s="2"/>
      <c r="HV7" s="2"/>
      <c r="HW7" s="2"/>
      <c r="HX7" s="2" t="s">
        <v>73</v>
      </c>
      <c r="HY7" s="2" t="s">
        <v>17</v>
      </c>
      <c r="HZ7" s="2"/>
      <c r="IA7" s="2" t="s">
        <v>881</v>
      </c>
      <c r="IB7" s="2" t="s">
        <v>882</v>
      </c>
      <c r="IC7" s="2">
        <v>0.46</v>
      </c>
      <c r="ID7" s="2">
        <v>3.5</v>
      </c>
      <c r="IE7" s="2" t="s">
        <v>883</v>
      </c>
      <c r="IF7" s="2">
        <v>0.1</v>
      </c>
      <c r="IG7" s="2">
        <v>4</v>
      </c>
      <c r="IH7" s="2" t="s">
        <v>884</v>
      </c>
      <c r="II7" s="2">
        <v>0.15</v>
      </c>
      <c r="IJ7" s="2">
        <v>4</v>
      </c>
      <c r="IK7" s="2"/>
      <c r="IL7" s="2"/>
      <c r="IM7" s="2"/>
      <c r="IN7" s="2"/>
      <c r="IO7" s="2" t="s">
        <v>17</v>
      </c>
      <c r="IP7" s="2">
        <v>6</v>
      </c>
      <c r="IQ7" s="2">
        <v>11.5</v>
      </c>
      <c r="IR7" s="2">
        <v>0</v>
      </c>
      <c r="IS7" s="2">
        <v>17.5</v>
      </c>
      <c r="IT7" s="2" t="s">
        <v>9</v>
      </c>
      <c r="IU7" s="2" t="s">
        <v>17</v>
      </c>
      <c r="IV7" s="2" t="s">
        <v>17</v>
      </c>
      <c r="IW7" s="2" t="s">
        <v>9</v>
      </c>
      <c r="IX7" s="2" t="s">
        <v>9</v>
      </c>
      <c r="IY7" s="2">
        <v>17.5</v>
      </c>
      <c r="IZ7" s="2">
        <v>94</v>
      </c>
      <c r="JA7" s="2" t="s">
        <v>172</v>
      </c>
      <c r="JB7" s="2" t="s">
        <v>82</v>
      </c>
      <c r="JC7" s="2"/>
      <c r="JD7" s="2"/>
      <c r="JE7" s="2"/>
      <c r="JF7" s="2"/>
      <c r="JG7" s="2"/>
      <c r="JH7" s="7">
        <v>0</v>
      </c>
      <c r="JI7" s="2">
        <v>0</v>
      </c>
      <c r="JJ7" s="7">
        <v>0</v>
      </c>
      <c r="JK7" s="2">
        <v>0</v>
      </c>
      <c r="JL7" s="7">
        <v>0</v>
      </c>
      <c r="JM7" s="2">
        <v>15</v>
      </c>
      <c r="JN7" s="2"/>
      <c r="JO7" s="2"/>
      <c r="JP7" s="2">
        <v>59</v>
      </c>
      <c r="JQ7" s="2"/>
      <c r="JR7" s="2">
        <v>20</v>
      </c>
      <c r="JS7" s="2">
        <v>0</v>
      </c>
      <c r="JT7" s="2">
        <v>0</v>
      </c>
      <c r="JU7" s="2"/>
      <c r="JV7" s="2">
        <v>94</v>
      </c>
      <c r="JW7" s="4">
        <v>1</v>
      </c>
      <c r="JX7" s="2">
        <v>94</v>
      </c>
      <c r="JY7" s="4">
        <v>0.59467999999999999</v>
      </c>
      <c r="JZ7" s="2">
        <v>0</v>
      </c>
      <c r="KA7" s="2"/>
      <c r="KB7" s="2"/>
      <c r="KC7" s="2"/>
      <c r="KD7" s="2"/>
      <c r="KE7" s="2"/>
      <c r="KF7" s="2"/>
      <c r="KG7" s="2"/>
      <c r="KH7" s="2">
        <v>47</v>
      </c>
      <c r="KI7" s="2"/>
      <c r="KJ7" s="2"/>
      <c r="KK7" s="2">
        <v>47</v>
      </c>
      <c r="KL7" s="2"/>
      <c r="KM7" s="2"/>
      <c r="KN7" s="2"/>
      <c r="KO7" s="2"/>
      <c r="KP7" s="2"/>
      <c r="KQ7" s="2" t="s">
        <v>83</v>
      </c>
      <c r="KR7" s="2"/>
      <c r="KS7" s="2" t="s">
        <v>73</v>
      </c>
      <c r="KT7" s="2">
        <v>1</v>
      </c>
      <c r="KU7" s="2" t="s">
        <v>84</v>
      </c>
      <c r="KV7" s="2" t="s">
        <v>85</v>
      </c>
      <c r="KW7" s="2" t="s">
        <v>86</v>
      </c>
      <c r="KX7" s="2" t="s">
        <v>17</v>
      </c>
      <c r="KY7" s="2" t="s">
        <v>17</v>
      </c>
      <c r="KZ7" s="2" t="s">
        <v>17</v>
      </c>
      <c r="LA7" s="2" t="s">
        <v>17</v>
      </c>
      <c r="LB7" s="2" t="s">
        <v>17</v>
      </c>
      <c r="LC7" s="2" t="s">
        <v>17</v>
      </c>
      <c r="LD7" s="2" t="s">
        <v>17</v>
      </c>
      <c r="LE7" s="2" t="s">
        <v>17</v>
      </c>
      <c r="LF7" s="2" t="s">
        <v>17</v>
      </c>
      <c r="LG7" s="2" t="s">
        <v>17</v>
      </c>
      <c r="LH7" s="2" t="s">
        <v>17</v>
      </c>
      <c r="LI7" s="2" t="s">
        <v>17</v>
      </c>
      <c r="LJ7" s="2" t="s">
        <v>87</v>
      </c>
      <c r="LK7" s="2" t="s">
        <v>17</v>
      </c>
      <c r="LL7" s="2" t="s">
        <v>17</v>
      </c>
      <c r="LM7" s="2">
        <v>0</v>
      </c>
      <c r="LN7" s="2" t="s">
        <v>17</v>
      </c>
      <c r="LO7" s="2" t="s">
        <v>17</v>
      </c>
      <c r="LP7" s="2" t="s">
        <v>17</v>
      </c>
      <c r="LQ7" s="2" t="s">
        <v>17</v>
      </c>
      <c r="LR7" s="2" t="s">
        <v>17</v>
      </c>
      <c r="LS7" s="2" t="s">
        <v>17</v>
      </c>
      <c r="LT7" s="2" t="s">
        <v>9</v>
      </c>
      <c r="LU7" s="2" t="s">
        <v>9</v>
      </c>
      <c r="LV7" s="2" t="s">
        <v>9</v>
      </c>
      <c r="LW7" s="2" t="s">
        <v>17</v>
      </c>
      <c r="LX7" s="2" t="s">
        <v>17</v>
      </c>
      <c r="LY7" s="5">
        <v>6500000</v>
      </c>
      <c r="LZ7" s="5">
        <v>0</v>
      </c>
      <c r="MA7" s="5">
        <v>7200000</v>
      </c>
      <c r="MB7" s="5">
        <v>0</v>
      </c>
      <c r="MC7" s="5">
        <v>0</v>
      </c>
      <c r="MD7" s="5">
        <v>0</v>
      </c>
      <c r="ME7" s="5">
        <v>9870000</v>
      </c>
      <c r="MF7" s="5">
        <v>0</v>
      </c>
      <c r="MG7" s="5">
        <v>0</v>
      </c>
      <c r="MH7" s="5">
        <v>0</v>
      </c>
      <c r="MI7" s="5">
        <v>0</v>
      </c>
      <c r="MJ7" s="5">
        <v>0</v>
      </c>
      <c r="MK7" s="5">
        <v>0</v>
      </c>
      <c r="ML7" s="2">
        <v>0</v>
      </c>
      <c r="MM7" s="5">
        <v>0</v>
      </c>
      <c r="MN7" s="5">
        <v>0</v>
      </c>
      <c r="MO7" s="2">
        <v>0</v>
      </c>
      <c r="MP7" s="2">
        <v>0</v>
      </c>
      <c r="MQ7" s="2">
        <v>0</v>
      </c>
      <c r="MR7" s="5">
        <v>2950000</v>
      </c>
      <c r="MS7" s="5">
        <v>0</v>
      </c>
      <c r="MT7" s="5">
        <v>4600000</v>
      </c>
      <c r="MU7" s="5">
        <v>0</v>
      </c>
      <c r="MV7" s="5">
        <v>0</v>
      </c>
      <c r="MW7" s="5">
        <v>0</v>
      </c>
      <c r="MX7" s="5">
        <v>0</v>
      </c>
      <c r="MY7" s="5">
        <v>2500000</v>
      </c>
      <c r="MZ7" s="5">
        <v>0</v>
      </c>
      <c r="NA7" s="5">
        <v>5000000</v>
      </c>
      <c r="NB7" s="5">
        <v>0</v>
      </c>
      <c r="NC7" s="5">
        <v>0</v>
      </c>
      <c r="ND7" s="5">
        <v>0</v>
      </c>
      <c r="NE7" s="5">
        <v>0</v>
      </c>
      <c r="NF7" s="5">
        <v>0</v>
      </c>
      <c r="NG7" s="5">
        <v>2142000</v>
      </c>
      <c r="NH7" s="5">
        <v>2142000</v>
      </c>
      <c r="NI7" s="5">
        <v>2142000</v>
      </c>
      <c r="NJ7" s="5">
        <v>0</v>
      </c>
      <c r="NK7" s="5"/>
      <c r="NL7" s="2" t="s">
        <v>17</v>
      </c>
      <c r="NM7" s="2" t="s">
        <v>17</v>
      </c>
      <c r="NN7" s="2"/>
      <c r="NO7" s="2" t="s">
        <v>17</v>
      </c>
      <c r="NP7" s="2"/>
      <c r="NQ7" s="2"/>
      <c r="NR7" s="2" t="s">
        <v>17</v>
      </c>
      <c r="NS7" s="2"/>
      <c r="NT7" s="2" t="s">
        <v>9</v>
      </c>
      <c r="NU7" s="2" t="s">
        <v>450</v>
      </c>
      <c r="NV7" s="2">
        <v>18</v>
      </c>
      <c r="NW7" s="2" t="s">
        <v>885</v>
      </c>
      <c r="NX7" s="2"/>
      <c r="NY7" s="2"/>
      <c r="NZ7" s="2"/>
      <c r="OA7" s="2" t="s">
        <v>118</v>
      </c>
      <c r="OB7" s="2" t="s">
        <v>118</v>
      </c>
      <c r="OC7" s="2" t="s">
        <v>118</v>
      </c>
      <c r="OD7" s="2" t="s">
        <v>17</v>
      </c>
      <c r="OE7" s="2" t="s">
        <v>119</v>
      </c>
      <c r="OF7" s="2"/>
      <c r="OG7" s="2" t="s">
        <v>17</v>
      </c>
      <c r="OH7" s="2"/>
      <c r="OI7" s="2"/>
      <c r="OJ7" s="2"/>
      <c r="OK7" s="2" t="s">
        <v>17</v>
      </c>
      <c r="OL7" s="2" t="s">
        <v>17</v>
      </c>
      <c r="OM7" s="2" t="s">
        <v>85</v>
      </c>
      <c r="ON7" s="6">
        <v>0</v>
      </c>
      <c r="OO7" s="6">
        <v>0</v>
      </c>
      <c r="OP7" s="2" t="s">
        <v>93</v>
      </c>
      <c r="OQ7" s="2" t="s">
        <v>93</v>
      </c>
      <c r="OR7" s="6">
        <v>0</v>
      </c>
      <c r="OS7" s="4">
        <v>0</v>
      </c>
      <c r="OT7" s="2" t="s">
        <v>17</v>
      </c>
      <c r="OU7" s="2" t="s">
        <v>17</v>
      </c>
      <c r="OV7" s="2"/>
      <c r="OW7" s="2"/>
      <c r="OX7" s="5">
        <v>16386300</v>
      </c>
      <c r="OY7" s="6">
        <v>174322.34</v>
      </c>
      <c r="OZ7" s="2"/>
      <c r="PA7" s="2"/>
      <c r="PB7" s="8">
        <v>14071800</v>
      </c>
      <c r="PC7" s="2"/>
      <c r="PD7" s="8">
        <v>14071800</v>
      </c>
      <c r="PE7" s="8">
        <v>2021000</v>
      </c>
      <c r="PF7" s="2"/>
      <c r="PG7" s="8">
        <v>2021000</v>
      </c>
      <c r="PH7" s="2"/>
      <c r="PI7" s="2"/>
      <c r="PJ7" s="2"/>
      <c r="PK7" s="8">
        <v>16092800</v>
      </c>
      <c r="PL7" s="2"/>
      <c r="PM7" s="8">
        <v>16092800</v>
      </c>
      <c r="PN7" s="8">
        <v>2252992</v>
      </c>
      <c r="PO7" s="2"/>
      <c r="PP7" s="8">
        <v>2252992</v>
      </c>
      <c r="PQ7" s="6">
        <v>2252992</v>
      </c>
      <c r="PR7" s="8">
        <v>18345792</v>
      </c>
      <c r="PS7" s="2"/>
      <c r="PT7" s="8">
        <v>18345792</v>
      </c>
      <c r="PU7" s="8">
        <v>917289</v>
      </c>
      <c r="PV7" s="2"/>
      <c r="PW7" s="8">
        <v>917289</v>
      </c>
      <c r="PX7" s="6">
        <v>917289.6</v>
      </c>
      <c r="PY7" s="8">
        <v>1040100</v>
      </c>
      <c r="PZ7" s="8">
        <v>100100</v>
      </c>
      <c r="QA7" s="8">
        <v>1140200</v>
      </c>
      <c r="QB7" s="8">
        <v>404695</v>
      </c>
      <c r="QC7" s="2"/>
      <c r="QD7" s="8">
        <v>404695</v>
      </c>
      <c r="QE7" s="8">
        <v>384613</v>
      </c>
      <c r="QF7" s="2"/>
      <c r="QG7" s="8">
        <v>384613</v>
      </c>
      <c r="QH7" s="2"/>
      <c r="QI7" s="8">
        <v>426080</v>
      </c>
      <c r="QJ7" s="8">
        <v>426080</v>
      </c>
      <c r="QK7" s="2">
        <v>0</v>
      </c>
      <c r="QL7" s="2">
        <v>0</v>
      </c>
      <c r="QM7" s="2"/>
      <c r="QN7" s="8">
        <v>161594</v>
      </c>
      <c r="QO7" s="2"/>
      <c r="QP7" s="8">
        <v>161594</v>
      </c>
      <c r="QQ7" s="8">
        <v>1991002</v>
      </c>
      <c r="QR7" s="8">
        <v>526180</v>
      </c>
      <c r="QS7" s="8">
        <v>2517182</v>
      </c>
      <c r="QT7" s="8">
        <v>88274</v>
      </c>
      <c r="QU7" s="2"/>
      <c r="QV7" s="8">
        <v>88274</v>
      </c>
      <c r="QW7" s="6">
        <v>125859.1</v>
      </c>
      <c r="QX7" s="8">
        <v>1236030</v>
      </c>
      <c r="QY7" s="8">
        <v>464970</v>
      </c>
      <c r="QZ7" s="8">
        <v>1701000</v>
      </c>
      <c r="RA7" s="8">
        <v>143000</v>
      </c>
      <c r="RB7" s="8">
        <v>143000</v>
      </c>
      <c r="RC7" s="2"/>
      <c r="RD7" s="2"/>
      <c r="RE7" s="2"/>
      <c r="RF7" s="8">
        <v>1236030</v>
      </c>
      <c r="RG7" s="8">
        <v>607970</v>
      </c>
      <c r="RH7" s="8">
        <v>1844000</v>
      </c>
      <c r="RI7" s="2">
        <v>0</v>
      </c>
      <c r="RJ7" s="2">
        <v>0</v>
      </c>
      <c r="RK7" s="2">
        <v>0</v>
      </c>
      <c r="RL7" s="2">
        <v>0</v>
      </c>
      <c r="RM7" s="8">
        <v>22578387</v>
      </c>
      <c r="RN7" s="8">
        <v>1134150</v>
      </c>
      <c r="RO7" s="8">
        <v>23712537</v>
      </c>
      <c r="RP7" s="2">
        <v>0</v>
      </c>
      <c r="RQ7" s="2">
        <v>0</v>
      </c>
      <c r="RR7" s="2">
        <v>0</v>
      </c>
      <c r="RS7" s="6">
        <v>0</v>
      </c>
      <c r="RT7" s="8">
        <v>3794005</v>
      </c>
      <c r="RU7" s="2"/>
      <c r="RV7" s="8">
        <v>3794005</v>
      </c>
      <c r="RW7" s="6">
        <v>3794005</v>
      </c>
      <c r="RX7" s="6">
        <v>0</v>
      </c>
      <c r="RY7" s="8">
        <v>3794005</v>
      </c>
      <c r="RZ7" s="2"/>
      <c r="SA7" s="8">
        <v>3794005</v>
      </c>
      <c r="SB7" s="6">
        <v>3794005</v>
      </c>
      <c r="SC7" s="2"/>
      <c r="SD7" s="2"/>
      <c r="SE7" s="6">
        <v>329000</v>
      </c>
      <c r="SF7" s="8">
        <v>1200000</v>
      </c>
      <c r="SG7" s="8">
        <v>1200000</v>
      </c>
      <c r="SH7" s="8">
        <v>26372392</v>
      </c>
      <c r="SI7" s="8">
        <v>2334150</v>
      </c>
      <c r="SJ7" s="8">
        <v>28706542</v>
      </c>
      <c r="SK7" s="2" t="s">
        <v>229</v>
      </c>
      <c r="SL7" s="2"/>
      <c r="SM7" s="2" t="s">
        <v>886</v>
      </c>
      <c r="SN7" s="2"/>
      <c r="SO7" s="2"/>
      <c r="SP7" s="8">
        <v>20000000</v>
      </c>
      <c r="SQ7" s="2" t="s">
        <v>95</v>
      </c>
      <c r="SR7" s="8">
        <v>460000</v>
      </c>
      <c r="SS7" s="2" t="s">
        <v>180</v>
      </c>
      <c r="ST7" s="2"/>
      <c r="SU7" s="2"/>
      <c r="SV7" s="2"/>
      <c r="SW7" s="2"/>
      <c r="SX7" s="2" t="s">
        <v>96</v>
      </c>
      <c r="SY7" s="2" t="s">
        <v>96</v>
      </c>
      <c r="SZ7" s="2" t="s">
        <v>96</v>
      </c>
      <c r="TA7" s="2" t="s">
        <v>96</v>
      </c>
      <c r="TB7" s="8">
        <v>5911329</v>
      </c>
      <c r="TC7" s="2"/>
      <c r="TD7" s="2"/>
      <c r="TE7" s="2"/>
      <c r="TF7" s="2"/>
      <c r="TG7" s="2"/>
      <c r="TH7" s="2"/>
      <c r="TI7" s="8">
        <v>2335213</v>
      </c>
      <c r="TJ7" s="8">
        <v>28706542</v>
      </c>
      <c r="TK7" s="2">
        <v>0</v>
      </c>
      <c r="TL7" s="2" t="s">
        <v>9</v>
      </c>
      <c r="TM7" s="8">
        <v>7250000</v>
      </c>
      <c r="TN7" s="2" t="s">
        <v>95</v>
      </c>
      <c r="TO7" s="8">
        <v>460000</v>
      </c>
      <c r="TP7" s="2" t="s">
        <v>180</v>
      </c>
      <c r="TQ7" s="2"/>
      <c r="TR7" s="2"/>
      <c r="TS7" s="2"/>
      <c r="TT7" s="2"/>
      <c r="TU7" s="2" t="s">
        <v>96</v>
      </c>
      <c r="TV7" s="8">
        <v>19704429</v>
      </c>
      <c r="TW7" s="2"/>
      <c r="TX7" s="2"/>
      <c r="TY7" s="2"/>
      <c r="TZ7" s="2"/>
      <c r="UA7" s="2"/>
      <c r="UB7" s="2"/>
      <c r="UC7" s="8">
        <v>1292113</v>
      </c>
      <c r="UD7" s="8">
        <v>28706542</v>
      </c>
      <c r="UE7" s="6">
        <v>7710000</v>
      </c>
      <c r="UF7" s="2">
        <v>0</v>
      </c>
      <c r="UG7" s="2" t="s">
        <v>9</v>
      </c>
      <c r="UH7" s="2">
        <v>94</v>
      </c>
      <c r="UI7" s="5">
        <v>240000</v>
      </c>
      <c r="UJ7" s="6">
        <v>320000</v>
      </c>
      <c r="UK7" s="6">
        <v>320000</v>
      </c>
      <c r="UL7" s="6">
        <v>339200</v>
      </c>
      <c r="UM7" s="6">
        <v>31884800</v>
      </c>
      <c r="UN7" s="6">
        <v>5101568</v>
      </c>
      <c r="UO7" s="6">
        <v>5101568</v>
      </c>
      <c r="UP7" s="6">
        <v>36986368</v>
      </c>
      <c r="UQ7" s="6">
        <v>27506542</v>
      </c>
      <c r="UR7" s="6">
        <v>460000</v>
      </c>
      <c r="US7" s="2"/>
      <c r="UT7" s="6">
        <v>460000</v>
      </c>
      <c r="UU7" s="2"/>
      <c r="UV7" s="6">
        <v>0</v>
      </c>
      <c r="UW7" s="6">
        <v>460000</v>
      </c>
      <c r="UX7" s="6">
        <v>0</v>
      </c>
      <c r="UY7" s="6">
        <v>460000</v>
      </c>
      <c r="UZ7" s="2" t="s">
        <v>887</v>
      </c>
      <c r="VA7" s="2" t="s">
        <v>182</v>
      </c>
      <c r="VB7" s="2"/>
      <c r="VC7" s="2"/>
      <c r="VD7" s="2" t="s">
        <v>9</v>
      </c>
      <c r="VE7" s="2" t="s">
        <v>17</v>
      </c>
      <c r="VF7" s="2"/>
      <c r="VG7" s="2" t="s">
        <v>9</v>
      </c>
      <c r="VH7" s="2" t="s">
        <v>888</v>
      </c>
      <c r="VI7" s="388" t="s">
        <v>889</v>
      </c>
      <c r="VJ7" s="2" t="s">
        <v>98</v>
      </c>
      <c r="VK7" s="2" t="s">
        <v>890</v>
      </c>
      <c r="VL7" s="23">
        <f t="shared" si="0"/>
        <v>141</v>
      </c>
      <c r="VM7" s="17">
        <f t="shared" si="1"/>
        <v>1.5</v>
      </c>
      <c r="VN7" s="17" t="str">
        <f t="shared" si="12"/>
        <v>NC-MR-E</v>
      </c>
      <c r="VO7" s="17" t="str">
        <f t="shared" si="13"/>
        <v>NC-MR-E-Non</v>
      </c>
      <c r="VP7" s="12">
        <v>9</v>
      </c>
      <c r="VQ7" s="57">
        <v>1</v>
      </c>
      <c r="VR7" s="57">
        <f t="shared" si="2"/>
        <v>1</v>
      </c>
      <c r="VS7" s="14">
        <f t="shared" si="3"/>
        <v>1</v>
      </c>
      <c r="VT7" s="12">
        <f t="shared" si="4"/>
        <v>0.97</v>
      </c>
      <c r="VU7" s="16">
        <f t="shared" si="5"/>
        <v>18699660</v>
      </c>
      <c r="VV7" s="16">
        <f t="shared" si="6"/>
        <v>198932.55319148937</v>
      </c>
      <c r="VW7" s="12" t="str">
        <f t="shared" si="14"/>
        <v>A</v>
      </c>
      <c r="VX7" s="12" t="str">
        <f t="shared" si="15"/>
        <v>NC-MR-Non</v>
      </c>
      <c r="VY7" s="351">
        <f t="shared" si="16"/>
        <v>1</v>
      </c>
      <c r="WA7" s="12">
        <f t="shared" si="17"/>
        <v>1</v>
      </c>
      <c r="WB7" s="12">
        <f t="shared" si="18"/>
        <v>0</v>
      </c>
      <c r="WC7" s="12">
        <f t="shared" si="18"/>
        <v>0</v>
      </c>
      <c r="WD7" s="12">
        <f t="shared" si="18"/>
        <v>0</v>
      </c>
      <c r="WE7" s="12">
        <f t="shared" si="19"/>
        <v>0</v>
      </c>
      <c r="WF7" s="12">
        <f t="shared" si="7"/>
        <v>0</v>
      </c>
      <c r="WG7" s="12">
        <f t="shared" si="8"/>
        <v>1</v>
      </c>
      <c r="WH7" s="12">
        <f t="shared" si="9"/>
        <v>0</v>
      </c>
      <c r="WI7" s="31">
        <f t="shared" si="10"/>
        <v>2</v>
      </c>
      <c r="WJ7" s="2"/>
      <c r="WK7" s="445" t="str">
        <f t="shared" si="11"/>
        <v>NC-MR-Non-BBN-BRN-NPH-E</v>
      </c>
      <c r="WL7" s="445"/>
      <c r="WM7" s="445"/>
      <c r="WN7" s="12"/>
      <c r="WO7" s="380" t="s">
        <v>2623</v>
      </c>
      <c r="WP7" s="144">
        <f>COUNTIFS($WG$2:$WG$72,"=1",$WA$2:$WA$72,"=1")</f>
        <v>8</v>
      </c>
      <c r="WQ7" s="144">
        <f>COUNTIFS($WG$2:$WG$72,"=1",$WB$2:$WB$72,"=1")</f>
        <v>0</v>
      </c>
      <c r="WR7" s="144">
        <f>COUNTIFS($WG$2:$WG$72,"=1",$WC$2:$WC$72,"=1")</f>
        <v>0</v>
      </c>
      <c r="WS7" s="144">
        <f>COUNTIFS($WG$2:$WG$72,"=1",$WD$2:$WD$72,"=1")</f>
        <v>1</v>
      </c>
      <c r="WT7" s="144">
        <f>COUNTIFS($WG$2:$WG$72,"=1",$WF$2:$WF$72,"=1")</f>
        <v>0</v>
      </c>
      <c r="WU7" s="384"/>
      <c r="WV7" s="144">
        <f>COUNTIFS($WG$2:$WG$72,"=1",$WH$2:$WH$72,"=1")</f>
        <v>0</v>
      </c>
      <c r="WW7" s="144">
        <f>COUNTIFS($WG$2:$WG$72,"=1",$WE$2:$WE$72,"=1")</f>
        <v>6</v>
      </c>
      <c r="WX7" s="205">
        <f>COUNTIF($WG$2:$WG$72,"=1")</f>
        <v>20</v>
      </c>
    </row>
    <row r="8" spans="1:622" x14ac:dyDescent="0.25">
      <c r="A8" s="2">
        <v>9494</v>
      </c>
      <c r="B8" s="2" t="s">
        <v>1052</v>
      </c>
      <c r="C8" s="2" t="s">
        <v>8</v>
      </c>
      <c r="D8" s="3">
        <v>45153</v>
      </c>
      <c r="E8" s="2" t="s">
        <v>9</v>
      </c>
      <c r="F8" s="2">
        <v>3</v>
      </c>
      <c r="G8" s="2" t="s">
        <v>9</v>
      </c>
      <c r="H8" s="2">
        <v>3</v>
      </c>
      <c r="I8" s="2" t="s">
        <v>9</v>
      </c>
      <c r="J8" s="2">
        <v>3</v>
      </c>
      <c r="K8" s="2" t="s">
        <v>9</v>
      </c>
      <c r="L8" s="2">
        <v>3</v>
      </c>
      <c r="M8" s="2" t="s">
        <v>10</v>
      </c>
      <c r="N8" s="2">
        <v>0</v>
      </c>
      <c r="O8" s="2" t="s">
        <v>10</v>
      </c>
      <c r="P8" s="2">
        <v>0</v>
      </c>
      <c r="Q8" s="2" t="s">
        <v>11</v>
      </c>
      <c r="R8" s="2">
        <v>0</v>
      </c>
      <c r="S8" s="2" t="s">
        <v>9</v>
      </c>
      <c r="T8" s="2">
        <v>2</v>
      </c>
      <c r="U8" s="2" t="s">
        <v>9</v>
      </c>
      <c r="V8" s="2">
        <v>2</v>
      </c>
      <c r="W8" s="2" t="s">
        <v>9</v>
      </c>
      <c r="X8" s="2">
        <v>2</v>
      </c>
      <c r="Y8" s="2" t="s">
        <v>12</v>
      </c>
      <c r="Z8" s="2" t="s">
        <v>15</v>
      </c>
      <c r="AA8" s="2" t="s">
        <v>15</v>
      </c>
      <c r="AB8" s="2" t="s">
        <v>15</v>
      </c>
      <c r="AC8" s="2" t="s">
        <v>1053</v>
      </c>
      <c r="AD8" s="2" t="s">
        <v>15</v>
      </c>
      <c r="AE8" s="2" t="s">
        <v>15</v>
      </c>
      <c r="AF8" s="2">
        <v>0</v>
      </c>
      <c r="AG8" s="2" t="s">
        <v>234</v>
      </c>
      <c r="AH8" s="2" t="s">
        <v>17</v>
      </c>
      <c r="AI8" s="4">
        <v>0.1</v>
      </c>
      <c r="AJ8" s="2" t="s">
        <v>17</v>
      </c>
      <c r="AK8" s="2" t="s">
        <v>9</v>
      </c>
      <c r="AL8" s="2" t="s">
        <v>17</v>
      </c>
      <c r="AM8" s="2" t="s">
        <v>17</v>
      </c>
      <c r="AN8" s="2" t="s">
        <v>17</v>
      </c>
      <c r="AO8" s="2" t="s">
        <v>17</v>
      </c>
      <c r="AP8" s="2" t="s">
        <v>17</v>
      </c>
      <c r="AQ8" s="2" t="s">
        <v>17</v>
      </c>
      <c r="AR8" s="2" t="s">
        <v>9</v>
      </c>
      <c r="AS8" s="2" t="s">
        <v>9</v>
      </c>
      <c r="AT8" s="2">
        <v>0</v>
      </c>
      <c r="AU8" s="5">
        <v>50000</v>
      </c>
      <c r="AV8" s="5">
        <v>460000</v>
      </c>
      <c r="AW8" s="2">
        <v>0</v>
      </c>
      <c r="AX8" s="2">
        <v>6</v>
      </c>
      <c r="AY8" s="2">
        <v>0</v>
      </c>
      <c r="AZ8" s="2">
        <v>18</v>
      </c>
      <c r="BA8" s="2">
        <v>0</v>
      </c>
      <c r="BB8" s="2">
        <v>1</v>
      </c>
      <c r="BC8" s="2">
        <v>0</v>
      </c>
      <c r="BD8" s="2">
        <v>0</v>
      </c>
      <c r="BE8" s="2">
        <v>0</v>
      </c>
      <c r="BF8" s="2">
        <v>1</v>
      </c>
      <c r="BG8" s="2">
        <v>0</v>
      </c>
      <c r="BH8" s="2">
        <v>0</v>
      </c>
      <c r="BI8" s="2">
        <v>13</v>
      </c>
      <c r="BJ8" s="2">
        <v>1</v>
      </c>
      <c r="BK8" s="2">
        <v>0</v>
      </c>
      <c r="BL8" s="2">
        <v>3</v>
      </c>
      <c r="BM8" s="2">
        <v>0</v>
      </c>
      <c r="BN8" s="2">
        <v>11</v>
      </c>
      <c r="BO8" s="2">
        <v>11</v>
      </c>
      <c r="BP8" s="2">
        <v>0</v>
      </c>
      <c r="BQ8" s="2">
        <v>10</v>
      </c>
      <c r="BR8" s="2">
        <v>13.13</v>
      </c>
      <c r="BS8" s="2">
        <v>0</v>
      </c>
      <c r="BT8" s="4">
        <v>0.06</v>
      </c>
      <c r="BU8" s="2" t="s">
        <v>9</v>
      </c>
      <c r="BV8" s="6">
        <v>177200.69</v>
      </c>
      <c r="BW8" s="2" t="s">
        <v>18</v>
      </c>
      <c r="BX8" s="2" t="s">
        <v>17</v>
      </c>
      <c r="BY8" s="2" t="s">
        <v>17</v>
      </c>
      <c r="BZ8" s="2" t="s">
        <v>17</v>
      </c>
      <c r="CA8" s="2" t="s">
        <v>17</v>
      </c>
      <c r="CB8" s="2" t="s">
        <v>17</v>
      </c>
      <c r="CC8" s="2" t="s">
        <v>17</v>
      </c>
      <c r="CD8" s="2" t="s">
        <v>17</v>
      </c>
      <c r="CE8" s="2" t="s">
        <v>1054</v>
      </c>
      <c r="CF8" s="2" t="s">
        <v>9</v>
      </c>
      <c r="CG8" s="2" t="s">
        <v>1055</v>
      </c>
      <c r="CH8" s="2" t="s">
        <v>1056</v>
      </c>
      <c r="CI8" s="2"/>
      <c r="CJ8" s="2" t="s">
        <v>9</v>
      </c>
      <c r="CK8" s="2" t="s">
        <v>286</v>
      </c>
      <c r="CL8" s="2" t="s">
        <v>1055</v>
      </c>
      <c r="CM8" s="2" t="s">
        <v>1057</v>
      </c>
      <c r="CN8" s="2" t="s">
        <v>288</v>
      </c>
      <c r="CO8" s="2" t="s">
        <v>24</v>
      </c>
      <c r="CP8" s="2"/>
      <c r="CQ8" s="2">
        <v>100</v>
      </c>
      <c r="CR8" s="2" t="s">
        <v>1058</v>
      </c>
      <c r="CS8" s="2">
        <v>2021</v>
      </c>
      <c r="CT8" s="2" t="s">
        <v>26</v>
      </c>
      <c r="CU8" s="2" t="s">
        <v>27</v>
      </c>
      <c r="CV8" s="2" t="s">
        <v>290</v>
      </c>
      <c r="CW8" s="2" t="s">
        <v>291</v>
      </c>
      <c r="CX8" s="2" t="s">
        <v>24</v>
      </c>
      <c r="CY8" s="2"/>
      <c r="CZ8" s="2">
        <v>110</v>
      </c>
      <c r="DA8" s="2" t="s">
        <v>1058</v>
      </c>
      <c r="DB8" s="2">
        <v>2021</v>
      </c>
      <c r="DC8" s="2" t="s">
        <v>30</v>
      </c>
      <c r="DD8" s="2" t="s">
        <v>27</v>
      </c>
      <c r="DE8" s="2" t="s">
        <v>292</v>
      </c>
      <c r="DF8" s="2" t="s">
        <v>293</v>
      </c>
      <c r="DG8" s="2" t="s">
        <v>24</v>
      </c>
      <c r="DH8" s="2"/>
      <c r="DI8" s="2">
        <v>132</v>
      </c>
      <c r="DJ8" s="2" t="s">
        <v>1058</v>
      </c>
      <c r="DK8" s="2">
        <v>2020</v>
      </c>
      <c r="DL8" s="2" t="s">
        <v>30</v>
      </c>
      <c r="DM8" s="2" t="s">
        <v>27</v>
      </c>
      <c r="DN8" s="2" t="s">
        <v>33</v>
      </c>
      <c r="DO8" s="2" t="s">
        <v>1059</v>
      </c>
      <c r="DP8" s="2" t="s">
        <v>295</v>
      </c>
      <c r="DQ8" s="2" t="s">
        <v>296</v>
      </c>
      <c r="DR8" s="2" t="s">
        <v>297</v>
      </c>
      <c r="DS8" s="2">
        <v>1</v>
      </c>
      <c r="DT8" s="2" t="s">
        <v>1060</v>
      </c>
      <c r="DU8" s="2" t="s">
        <v>299</v>
      </c>
      <c r="DV8" s="2" t="s">
        <v>39</v>
      </c>
      <c r="DW8" s="2">
        <v>33133</v>
      </c>
      <c r="DX8" s="2" t="s">
        <v>1061</v>
      </c>
      <c r="DY8" s="2">
        <v>125</v>
      </c>
      <c r="DZ8" s="2" t="s">
        <v>301</v>
      </c>
      <c r="EA8" s="2" t="s">
        <v>297</v>
      </c>
      <c r="EB8" s="2" t="s">
        <v>302</v>
      </c>
      <c r="EC8" s="2" t="s">
        <v>291</v>
      </c>
      <c r="ED8" s="2" t="s">
        <v>44</v>
      </c>
      <c r="EE8" s="2">
        <v>144</v>
      </c>
      <c r="EF8" s="2" t="s">
        <v>1062</v>
      </c>
      <c r="EG8" s="2">
        <v>7</v>
      </c>
      <c r="EH8" s="2" t="s">
        <v>46</v>
      </c>
      <c r="EI8" s="2" t="s">
        <v>47</v>
      </c>
      <c r="EJ8" s="2" t="s">
        <v>304</v>
      </c>
      <c r="EK8" s="2" t="s">
        <v>305</v>
      </c>
      <c r="EL8" s="2" t="s">
        <v>44</v>
      </c>
      <c r="EM8" s="2">
        <v>150</v>
      </c>
      <c r="EN8" s="2" t="s">
        <v>1062</v>
      </c>
      <c r="EO8" s="2">
        <v>5</v>
      </c>
      <c r="EP8" s="2" t="s">
        <v>46</v>
      </c>
      <c r="EQ8" s="2" t="s">
        <v>47</v>
      </c>
      <c r="ER8" s="2" t="s">
        <v>294</v>
      </c>
      <c r="ES8" s="2" t="s">
        <v>295</v>
      </c>
      <c r="ET8" s="2" t="s">
        <v>296</v>
      </c>
      <c r="EU8" s="2" t="s">
        <v>1054</v>
      </c>
      <c r="EV8" s="2" t="s">
        <v>1060</v>
      </c>
      <c r="EW8" s="2" t="s">
        <v>299</v>
      </c>
      <c r="EX8" s="2" t="s">
        <v>39</v>
      </c>
      <c r="EY8" s="2">
        <v>33133</v>
      </c>
      <c r="EZ8" s="2" t="s">
        <v>1061</v>
      </c>
      <c r="FA8" s="2">
        <v>125</v>
      </c>
      <c r="FB8" s="2" t="s">
        <v>301</v>
      </c>
      <c r="FC8" s="2" t="s">
        <v>307</v>
      </c>
      <c r="FD8" s="2"/>
      <c r="FE8" s="2" t="s">
        <v>308</v>
      </c>
      <c r="FF8" s="2" t="s">
        <v>309</v>
      </c>
      <c r="FG8" s="2" t="s">
        <v>1060</v>
      </c>
      <c r="FH8" s="2" t="s">
        <v>299</v>
      </c>
      <c r="FI8" s="2" t="s">
        <v>39</v>
      </c>
      <c r="FJ8" s="2">
        <v>33133</v>
      </c>
      <c r="FK8" s="2" t="s">
        <v>1063</v>
      </c>
      <c r="FL8" s="2"/>
      <c r="FM8" s="2" t="s">
        <v>311</v>
      </c>
      <c r="FN8" s="2" t="s">
        <v>1064</v>
      </c>
      <c r="FO8" s="2" t="s">
        <v>63</v>
      </c>
      <c r="FP8" s="2" t="s">
        <v>64</v>
      </c>
      <c r="FQ8" s="2" t="s">
        <v>9</v>
      </c>
      <c r="FR8" s="2" t="s">
        <v>17</v>
      </c>
      <c r="FS8" s="2" t="s">
        <v>17</v>
      </c>
      <c r="FT8" s="2" t="s">
        <v>9</v>
      </c>
      <c r="FU8" s="2">
        <v>0</v>
      </c>
      <c r="FV8" s="2">
        <v>0</v>
      </c>
      <c r="FW8" s="4">
        <v>0</v>
      </c>
      <c r="FX8" s="4">
        <v>0</v>
      </c>
      <c r="FY8" s="2" t="s">
        <v>65</v>
      </c>
      <c r="FZ8" s="2" t="s">
        <v>66</v>
      </c>
      <c r="GA8" s="2" t="s">
        <v>67</v>
      </c>
      <c r="GB8" s="2"/>
      <c r="GC8" s="2"/>
      <c r="GD8" s="2"/>
      <c r="GE8" s="2" t="s">
        <v>108</v>
      </c>
      <c r="GF8" s="2"/>
      <c r="GG8" s="2"/>
      <c r="GH8" s="2"/>
      <c r="GI8" s="2"/>
      <c r="GJ8" s="2">
        <v>86</v>
      </c>
      <c r="GK8" s="2"/>
      <c r="GL8" s="2"/>
      <c r="GM8" s="2"/>
      <c r="GN8" s="2"/>
      <c r="GO8" s="2"/>
      <c r="GP8" s="2"/>
      <c r="GQ8" s="2">
        <v>86</v>
      </c>
      <c r="GR8" s="2" t="s">
        <v>1065</v>
      </c>
      <c r="GS8" s="2" t="s">
        <v>70</v>
      </c>
      <c r="GT8" s="2" t="s">
        <v>1066</v>
      </c>
      <c r="GU8" s="2" t="s">
        <v>1067</v>
      </c>
      <c r="GV8" s="2" t="s">
        <v>9</v>
      </c>
      <c r="GW8" s="2">
        <v>28.037610999999998</v>
      </c>
      <c r="GX8" s="2">
        <v>-81.970018999999994</v>
      </c>
      <c r="GY8" s="2" t="s">
        <v>1068</v>
      </c>
      <c r="GZ8" s="2" t="s">
        <v>17</v>
      </c>
      <c r="HA8" s="2" t="s">
        <v>9</v>
      </c>
      <c r="HB8" s="2">
        <v>3</v>
      </c>
      <c r="HC8" s="2" t="s">
        <v>17</v>
      </c>
      <c r="HD8" s="2"/>
      <c r="HE8" s="2">
        <v>0</v>
      </c>
      <c r="HF8" s="2"/>
      <c r="HG8" s="2"/>
      <c r="HH8" s="2"/>
      <c r="HI8" s="2"/>
      <c r="HJ8" s="2"/>
      <c r="HK8" s="2"/>
      <c r="HL8" s="2"/>
      <c r="HM8" s="2"/>
      <c r="HN8" s="2"/>
      <c r="HO8" s="2"/>
      <c r="HP8" s="2">
        <v>28.045175</v>
      </c>
      <c r="HQ8" s="2">
        <v>-81.957802999999998</v>
      </c>
      <c r="HR8" s="2">
        <v>0.92</v>
      </c>
      <c r="HS8" s="2">
        <v>4.5</v>
      </c>
      <c r="HT8" s="2"/>
      <c r="HU8" s="2"/>
      <c r="HV8" s="2"/>
      <c r="HW8" s="2"/>
      <c r="HX8" s="2" t="s">
        <v>73</v>
      </c>
      <c r="HY8" s="2" t="s">
        <v>17</v>
      </c>
      <c r="HZ8" s="2"/>
      <c r="IA8" s="2" t="s">
        <v>1069</v>
      </c>
      <c r="IB8" s="2" t="s">
        <v>1070</v>
      </c>
      <c r="IC8" s="2">
        <v>0.82</v>
      </c>
      <c r="ID8" s="2">
        <v>2.5</v>
      </c>
      <c r="IE8" s="2"/>
      <c r="IF8" s="2"/>
      <c r="IG8" s="2"/>
      <c r="IH8" s="2" t="s">
        <v>1071</v>
      </c>
      <c r="II8" s="2">
        <v>0.94</v>
      </c>
      <c r="IJ8" s="2">
        <v>2.5</v>
      </c>
      <c r="IK8" s="2" t="s">
        <v>1073</v>
      </c>
      <c r="IL8" s="2" t="s">
        <v>1074</v>
      </c>
      <c r="IM8" s="2">
        <v>0.23</v>
      </c>
      <c r="IN8" s="2">
        <v>4</v>
      </c>
      <c r="IO8" s="2" t="s">
        <v>9</v>
      </c>
      <c r="IP8" s="2">
        <v>4.5</v>
      </c>
      <c r="IQ8" s="2">
        <v>9</v>
      </c>
      <c r="IR8" s="2">
        <v>3</v>
      </c>
      <c r="IS8" s="2">
        <v>16.5</v>
      </c>
      <c r="IT8" s="2" t="s">
        <v>9</v>
      </c>
      <c r="IU8" s="2" t="s">
        <v>17</v>
      </c>
      <c r="IV8" s="2" t="s">
        <v>17</v>
      </c>
      <c r="IW8" s="2" t="s">
        <v>9</v>
      </c>
      <c r="IX8" s="2" t="s">
        <v>9</v>
      </c>
      <c r="IY8" s="2">
        <v>13.5</v>
      </c>
      <c r="IZ8" s="2">
        <v>86</v>
      </c>
      <c r="JA8" s="2" t="s">
        <v>81</v>
      </c>
      <c r="JB8" s="2" t="s">
        <v>173</v>
      </c>
      <c r="JC8" s="2"/>
      <c r="JD8" s="2"/>
      <c r="JE8" s="7">
        <v>0.1</v>
      </c>
      <c r="JF8" s="2"/>
      <c r="JG8" s="7">
        <v>0.9</v>
      </c>
      <c r="JH8" s="7">
        <v>0</v>
      </c>
      <c r="JI8" s="2">
        <v>86</v>
      </c>
      <c r="JJ8" s="7">
        <v>1</v>
      </c>
      <c r="JK8" s="2">
        <v>86</v>
      </c>
      <c r="JL8" s="7">
        <v>1</v>
      </c>
      <c r="JM8" s="2"/>
      <c r="JN8" s="2"/>
      <c r="JO8" s="2"/>
      <c r="JP8" s="2"/>
      <c r="JQ8" s="2"/>
      <c r="JR8" s="2"/>
      <c r="JS8" s="2">
        <v>0</v>
      </c>
      <c r="JT8" s="2">
        <v>0</v>
      </c>
      <c r="JU8" s="2"/>
      <c r="JV8" s="2">
        <v>0</v>
      </c>
      <c r="JW8" s="4">
        <v>0</v>
      </c>
      <c r="JX8" s="2">
        <v>0</v>
      </c>
      <c r="JY8" s="4">
        <v>0</v>
      </c>
      <c r="JZ8" s="2">
        <v>0</v>
      </c>
      <c r="KA8" s="2"/>
      <c r="KB8" s="2"/>
      <c r="KC8" s="2"/>
      <c r="KD8" s="2"/>
      <c r="KE8" s="2"/>
      <c r="KF8" s="2"/>
      <c r="KG8" s="2"/>
      <c r="KH8" s="2">
        <v>14</v>
      </c>
      <c r="KI8" s="2"/>
      <c r="KJ8" s="2"/>
      <c r="KK8" s="2">
        <v>36</v>
      </c>
      <c r="KL8" s="2">
        <v>36</v>
      </c>
      <c r="KM8" s="2"/>
      <c r="KN8" s="2"/>
      <c r="KO8" s="2"/>
      <c r="KP8" s="2"/>
      <c r="KQ8" s="2" t="s">
        <v>83</v>
      </c>
      <c r="KR8" s="2" t="s">
        <v>73</v>
      </c>
      <c r="KS8" s="2"/>
      <c r="KT8" s="2">
        <v>4</v>
      </c>
      <c r="KU8" s="2" t="s">
        <v>84</v>
      </c>
      <c r="KV8" s="2" t="s">
        <v>85</v>
      </c>
      <c r="KW8" s="2" t="s">
        <v>86</v>
      </c>
      <c r="KX8" s="2" t="s">
        <v>17</v>
      </c>
      <c r="KY8" s="2" t="s">
        <v>17</v>
      </c>
      <c r="KZ8" s="2" t="s">
        <v>17</v>
      </c>
      <c r="LA8" s="2" t="s">
        <v>17</v>
      </c>
      <c r="LB8" s="2" t="s">
        <v>17</v>
      </c>
      <c r="LC8" s="2" t="s">
        <v>17</v>
      </c>
      <c r="LD8" s="2" t="s">
        <v>17</v>
      </c>
      <c r="LE8" s="2" t="s">
        <v>17</v>
      </c>
      <c r="LF8" s="2" t="s">
        <v>17</v>
      </c>
      <c r="LG8" s="2" t="s">
        <v>17</v>
      </c>
      <c r="LH8" s="2" t="s">
        <v>17</v>
      </c>
      <c r="LI8" s="2" t="s">
        <v>17</v>
      </c>
      <c r="LJ8" s="2" t="s">
        <v>87</v>
      </c>
      <c r="LK8" s="2" t="s">
        <v>17</v>
      </c>
      <c r="LL8" s="2" t="s">
        <v>17</v>
      </c>
      <c r="LM8" s="2">
        <v>0</v>
      </c>
      <c r="LN8" s="2" t="s">
        <v>17</v>
      </c>
      <c r="LO8" s="2" t="s">
        <v>9</v>
      </c>
      <c r="LP8" s="2" t="s">
        <v>9</v>
      </c>
      <c r="LQ8" s="2" t="s">
        <v>17</v>
      </c>
      <c r="LR8" s="2" t="s">
        <v>9</v>
      </c>
      <c r="LS8" s="2" t="s">
        <v>17</v>
      </c>
      <c r="LT8" s="2" t="s">
        <v>17</v>
      </c>
      <c r="LU8" s="2" t="s">
        <v>17</v>
      </c>
      <c r="LV8" s="2" t="s">
        <v>17</v>
      </c>
      <c r="LW8" s="2" t="s">
        <v>17</v>
      </c>
      <c r="LX8" s="2" t="s">
        <v>17</v>
      </c>
      <c r="LY8" s="5">
        <v>6500000</v>
      </c>
      <c r="LZ8" s="5">
        <v>0</v>
      </c>
      <c r="MA8" s="5">
        <v>7200000</v>
      </c>
      <c r="MB8" s="5">
        <v>0</v>
      </c>
      <c r="MC8" s="5">
        <v>0</v>
      </c>
      <c r="MD8" s="5">
        <v>0</v>
      </c>
      <c r="ME8" s="5">
        <v>9030000</v>
      </c>
      <c r="MF8" s="5">
        <v>0</v>
      </c>
      <c r="MG8" s="5">
        <v>0</v>
      </c>
      <c r="MH8" s="5">
        <v>0</v>
      </c>
      <c r="MI8" s="5">
        <v>0</v>
      </c>
      <c r="MJ8" s="5">
        <v>0</v>
      </c>
      <c r="MK8" s="5">
        <v>0</v>
      </c>
      <c r="ML8" s="2">
        <v>0</v>
      </c>
      <c r="MM8" s="5">
        <v>0</v>
      </c>
      <c r="MN8" s="5">
        <v>0</v>
      </c>
      <c r="MO8" s="2">
        <v>0</v>
      </c>
      <c r="MP8" s="2">
        <v>0</v>
      </c>
      <c r="MQ8" s="2">
        <v>0</v>
      </c>
      <c r="MR8" s="5">
        <v>2950000</v>
      </c>
      <c r="MS8" s="5">
        <v>0</v>
      </c>
      <c r="MT8" s="5">
        <v>4600000</v>
      </c>
      <c r="MU8" s="5">
        <v>0</v>
      </c>
      <c r="MV8" s="5">
        <v>0</v>
      </c>
      <c r="MW8" s="5">
        <v>0</v>
      </c>
      <c r="MX8" s="5">
        <v>0</v>
      </c>
      <c r="MY8" s="5">
        <v>2500000</v>
      </c>
      <c r="MZ8" s="5">
        <v>0</v>
      </c>
      <c r="NA8" s="5">
        <v>5000000</v>
      </c>
      <c r="NB8" s="5">
        <v>0</v>
      </c>
      <c r="NC8" s="5">
        <v>0</v>
      </c>
      <c r="ND8" s="5">
        <v>0</v>
      </c>
      <c r="NE8" s="5">
        <v>0</v>
      </c>
      <c r="NF8" s="5">
        <v>0</v>
      </c>
      <c r="NG8" s="5">
        <v>2142000</v>
      </c>
      <c r="NH8" s="5">
        <v>2142000</v>
      </c>
      <c r="NI8" s="5">
        <v>2142000</v>
      </c>
      <c r="NJ8" s="5">
        <v>0</v>
      </c>
      <c r="NK8" s="5"/>
      <c r="NL8" s="2" t="s">
        <v>17</v>
      </c>
      <c r="NM8" s="2" t="s">
        <v>17</v>
      </c>
      <c r="NN8" s="2"/>
      <c r="NO8" s="2" t="s">
        <v>17</v>
      </c>
      <c r="NP8" s="2"/>
      <c r="NQ8" s="2"/>
      <c r="NR8" s="2" t="s">
        <v>17</v>
      </c>
      <c r="NS8" s="2"/>
      <c r="NT8" s="2" t="s">
        <v>17</v>
      </c>
      <c r="NU8" s="2"/>
      <c r="NV8" s="2"/>
      <c r="NW8" s="2"/>
      <c r="NX8" s="2" t="s">
        <v>9</v>
      </c>
      <c r="NY8" s="2" t="s">
        <v>762</v>
      </c>
      <c r="NZ8" s="2">
        <v>108</v>
      </c>
      <c r="OA8" s="2" t="s">
        <v>1075</v>
      </c>
      <c r="OB8" s="2" t="s">
        <v>1076</v>
      </c>
      <c r="OC8" s="2" t="s">
        <v>1076</v>
      </c>
      <c r="OD8" s="2" t="s">
        <v>9</v>
      </c>
      <c r="OE8" s="2" t="s">
        <v>320</v>
      </c>
      <c r="OF8" s="2" t="s">
        <v>9</v>
      </c>
      <c r="OG8" s="2" t="s">
        <v>9</v>
      </c>
      <c r="OH8" s="2" t="s">
        <v>92</v>
      </c>
      <c r="OI8" s="2"/>
      <c r="OJ8" s="2"/>
      <c r="OK8" s="2" t="s">
        <v>17</v>
      </c>
      <c r="OL8" s="2" t="s">
        <v>17</v>
      </c>
      <c r="OM8" s="2" t="s">
        <v>85</v>
      </c>
      <c r="ON8" s="6">
        <v>0</v>
      </c>
      <c r="OO8" s="6">
        <v>0</v>
      </c>
      <c r="OP8" s="2" t="s">
        <v>93</v>
      </c>
      <c r="OQ8" s="2" t="s">
        <v>93</v>
      </c>
      <c r="OR8" s="6">
        <v>0</v>
      </c>
      <c r="OS8" s="4">
        <v>0</v>
      </c>
      <c r="OT8" s="2" t="s">
        <v>9</v>
      </c>
      <c r="OU8" s="2" t="s">
        <v>9</v>
      </c>
      <c r="OV8" s="2"/>
      <c r="OW8" s="2" t="s">
        <v>1077</v>
      </c>
      <c r="OX8" s="5">
        <v>15239259</v>
      </c>
      <c r="OY8" s="6">
        <v>177200.69</v>
      </c>
      <c r="OZ8" s="2"/>
      <c r="PA8" s="2"/>
      <c r="PB8" s="8">
        <v>13869387</v>
      </c>
      <c r="PC8" s="8">
        <v>137249</v>
      </c>
      <c r="PD8" s="8">
        <v>14006636</v>
      </c>
      <c r="PE8" s="8">
        <v>1000000</v>
      </c>
      <c r="PF8" s="8">
        <v>250000</v>
      </c>
      <c r="PG8" s="8">
        <v>1250000</v>
      </c>
      <c r="PH8" s="8">
        <v>250000</v>
      </c>
      <c r="PI8" s="2"/>
      <c r="PJ8" s="8">
        <v>250000</v>
      </c>
      <c r="PK8" s="8">
        <v>15119387</v>
      </c>
      <c r="PL8" s="8">
        <v>387249</v>
      </c>
      <c r="PM8" s="8">
        <v>15506636</v>
      </c>
      <c r="PN8" s="8">
        <v>2096485</v>
      </c>
      <c r="PO8" s="2"/>
      <c r="PP8" s="8">
        <v>2096485</v>
      </c>
      <c r="PQ8" s="6">
        <v>2170929</v>
      </c>
      <c r="PR8" s="8">
        <v>17215872</v>
      </c>
      <c r="PS8" s="8">
        <v>387249</v>
      </c>
      <c r="PT8" s="8">
        <v>17603121</v>
      </c>
      <c r="PU8" s="8">
        <v>867656</v>
      </c>
      <c r="PV8" s="2"/>
      <c r="PW8" s="8">
        <v>867656</v>
      </c>
      <c r="PX8" s="6">
        <v>880156.05</v>
      </c>
      <c r="PY8" s="8">
        <v>861963</v>
      </c>
      <c r="PZ8" s="8">
        <v>155872</v>
      </c>
      <c r="QA8" s="8">
        <v>1017835</v>
      </c>
      <c r="QB8" s="8">
        <v>376624</v>
      </c>
      <c r="QC8" s="2"/>
      <c r="QD8" s="8">
        <v>376624</v>
      </c>
      <c r="QE8" s="8">
        <v>259364</v>
      </c>
      <c r="QF8" s="2"/>
      <c r="QG8" s="8">
        <v>259364</v>
      </c>
      <c r="QH8" s="2"/>
      <c r="QI8" s="8">
        <v>238445</v>
      </c>
      <c r="QJ8" s="8">
        <v>238445</v>
      </c>
      <c r="QK8" s="2"/>
      <c r="QL8" s="2"/>
      <c r="QM8" s="2"/>
      <c r="QN8" s="2"/>
      <c r="QO8" s="2"/>
      <c r="QP8" s="2"/>
      <c r="QQ8" s="8">
        <v>1497951</v>
      </c>
      <c r="QR8" s="8">
        <v>394317</v>
      </c>
      <c r="QS8" s="8">
        <v>1892268</v>
      </c>
      <c r="QT8" s="8">
        <v>74711</v>
      </c>
      <c r="QU8" s="8">
        <v>18678</v>
      </c>
      <c r="QV8" s="8">
        <v>93389</v>
      </c>
      <c r="QW8" s="6">
        <v>94613.4</v>
      </c>
      <c r="QX8" s="8">
        <v>614874</v>
      </c>
      <c r="QY8" s="8">
        <v>596335</v>
      </c>
      <c r="QZ8" s="8">
        <v>1211209</v>
      </c>
      <c r="RA8" s="8">
        <v>50960</v>
      </c>
      <c r="RB8" s="8">
        <v>50960</v>
      </c>
      <c r="RC8" s="2"/>
      <c r="RD8" s="2"/>
      <c r="RE8" s="2"/>
      <c r="RF8" s="8">
        <v>614874</v>
      </c>
      <c r="RG8" s="8">
        <v>647295</v>
      </c>
      <c r="RH8" s="8">
        <v>1262169</v>
      </c>
      <c r="RI8" s="2"/>
      <c r="RJ8" s="2"/>
      <c r="RK8" s="2"/>
      <c r="RL8" s="2"/>
      <c r="RM8" s="8">
        <v>20271064</v>
      </c>
      <c r="RN8" s="8">
        <v>1447539</v>
      </c>
      <c r="RO8" s="8">
        <v>21718603</v>
      </c>
      <c r="RP8" s="2"/>
      <c r="RQ8" s="2"/>
      <c r="RR8" s="2">
        <v>0</v>
      </c>
      <c r="RS8" s="6">
        <v>0</v>
      </c>
      <c r="RT8" s="8">
        <v>3474592</v>
      </c>
      <c r="RU8" s="2"/>
      <c r="RV8" s="8">
        <v>3474592</v>
      </c>
      <c r="RW8" s="6">
        <v>3474976</v>
      </c>
      <c r="RX8" s="6">
        <v>0</v>
      </c>
      <c r="RY8" s="8">
        <v>3474592</v>
      </c>
      <c r="RZ8" s="2"/>
      <c r="SA8" s="8">
        <v>3474592</v>
      </c>
      <c r="SB8" s="6">
        <v>3474976</v>
      </c>
      <c r="SC8" s="8">
        <v>219254</v>
      </c>
      <c r="SD8" s="8">
        <v>219254</v>
      </c>
      <c r="SE8" s="6">
        <v>301000</v>
      </c>
      <c r="SF8" s="2">
        <v>10</v>
      </c>
      <c r="SG8" s="2">
        <v>10</v>
      </c>
      <c r="SH8" s="8">
        <v>23745656</v>
      </c>
      <c r="SI8" s="8">
        <v>1666803</v>
      </c>
      <c r="SJ8" s="8">
        <v>25412459</v>
      </c>
      <c r="SK8" s="2" t="s">
        <v>1078</v>
      </c>
      <c r="SL8" s="2" t="s">
        <v>1079</v>
      </c>
      <c r="SM8" s="2"/>
      <c r="SN8" s="2"/>
      <c r="SO8" s="2"/>
      <c r="SP8" s="8">
        <v>20000000</v>
      </c>
      <c r="SQ8" s="2" t="s">
        <v>95</v>
      </c>
      <c r="SR8" s="8">
        <v>460000</v>
      </c>
      <c r="SS8" s="2" t="s">
        <v>180</v>
      </c>
      <c r="ST8" s="2"/>
      <c r="SU8" s="2"/>
      <c r="SV8" s="2"/>
      <c r="SW8" s="2"/>
      <c r="SX8" s="2" t="s">
        <v>96</v>
      </c>
      <c r="SY8" s="2" t="s">
        <v>96</v>
      </c>
      <c r="SZ8" s="2" t="s">
        <v>96</v>
      </c>
      <c r="TA8" s="2" t="s">
        <v>96</v>
      </c>
      <c r="TB8" s="8">
        <v>9638050</v>
      </c>
      <c r="TC8" s="2"/>
      <c r="TD8" s="2"/>
      <c r="TE8" s="2"/>
      <c r="TF8" s="2"/>
      <c r="TG8" s="2"/>
      <c r="TH8" s="2"/>
      <c r="TI8" s="2">
        <v>0</v>
      </c>
      <c r="TJ8" s="8">
        <v>30098050</v>
      </c>
      <c r="TK8" s="8">
        <v>4685591</v>
      </c>
      <c r="TL8" s="2" t="s">
        <v>9</v>
      </c>
      <c r="TM8" s="8">
        <v>6000000</v>
      </c>
      <c r="TN8" s="2" t="s">
        <v>95</v>
      </c>
      <c r="TO8" s="8">
        <v>460000</v>
      </c>
      <c r="TP8" s="2" t="s">
        <v>180</v>
      </c>
      <c r="TQ8" s="2"/>
      <c r="TR8" s="2"/>
      <c r="TS8" s="2"/>
      <c r="TT8" s="2"/>
      <c r="TU8" s="2" t="s">
        <v>96</v>
      </c>
      <c r="TV8" s="8">
        <v>19276100</v>
      </c>
      <c r="TW8" s="2"/>
      <c r="TX8" s="2"/>
      <c r="TY8" s="2"/>
      <c r="TZ8" s="2"/>
      <c r="UA8" s="2"/>
      <c r="UB8" s="2"/>
      <c r="UC8" s="2">
        <v>0</v>
      </c>
      <c r="UD8" s="8">
        <v>25736100</v>
      </c>
      <c r="UE8" s="6">
        <v>6460000</v>
      </c>
      <c r="UF8" s="8">
        <v>323641</v>
      </c>
      <c r="UG8" s="2" t="s">
        <v>9</v>
      </c>
      <c r="UH8" s="2">
        <v>86</v>
      </c>
      <c r="UI8" s="5">
        <v>240000</v>
      </c>
      <c r="UJ8" s="6">
        <v>320000</v>
      </c>
      <c r="UK8" s="6">
        <v>327500</v>
      </c>
      <c r="UL8" s="6">
        <v>347150</v>
      </c>
      <c r="UM8" s="6">
        <v>29854900</v>
      </c>
      <c r="UN8" s="6">
        <v>4776784</v>
      </c>
      <c r="UO8" s="6">
        <v>4776784</v>
      </c>
      <c r="UP8" s="6">
        <v>34631684</v>
      </c>
      <c r="UQ8" s="6">
        <v>25193195</v>
      </c>
      <c r="UR8" s="6">
        <v>460000</v>
      </c>
      <c r="US8" s="2"/>
      <c r="UT8" s="6">
        <v>460000</v>
      </c>
      <c r="UU8" s="2"/>
      <c r="UV8" s="6">
        <v>0</v>
      </c>
      <c r="UW8" s="6">
        <v>460000</v>
      </c>
      <c r="UX8" s="6">
        <v>0</v>
      </c>
      <c r="UY8" s="6">
        <v>460000</v>
      </c>
      <c r="UZ8" s="2" t="s">
        <v>1080</v>
      </c>
      <c r="VA8" s="2" t="s">
        <v>182</v>
      </c>
      <c r="VB8" s="2"/>
      <c r="VC8" s="2"/>
      <c r="VD8" s="2" t="s">
        <v>9</v>
      </c>
      <c r="VE8" s="2" t="s">
        <v>17</v>
      </c>
      <c r="VF8" s="2"/>
      <c r="VG8" s="2" t="s">
        <v>17</v>
      </c>
      <c r="VH8" s="2"/>
      <c r="VI8" s="388" t="s">
        <v>286</v>
      </c>
      <c r="VJ8" s="2" t="s">
        <v>98</v>
      </c>
      <c r="VK8" s="2" t="s">
        <v>1081</v>
      </c>
      <c r="VL8" s="23">
        <f t="shared" si="0"/>
        <v>194</v>
      </c>
      <c r="VM8" s="17">
        <f t="shared" si="1"/>
        <v>2.2558139534883721</v>
      </c>
      <c r="VN8" s="17" t="str">
        <f t="shared" si="12"/>
        <v>NC-MR-F</v>
      </c>
      <c r="VO8" s="17" t="str">
        <f t="shared" si="13"/>
        <v>NC-MR-F-Non</v>
      </c>
      <c r="VP8" s="12">
        <v>9</v>
      </c>
      <c r="VQ8" s="57">
        <v>1</v>
      </c>
      <c r="VR8" s="57">
        <f t="shared" si="2"/>
        <v>1</v>
      </c>
      <c r="VS8" s="14">
        <f t="shared" si="3"/>
        <v>0.97</v>
      </c>
      <c r="VT8" s="12">
        <f t="shared" si="4"/>
        <v>0.97</v>
      </c>
      <c r="VU8" s="16">
        <f t="shared" si="5"/>
        <v>18138670.199999999</v>
      </c>
      <c r="VV8" s="16">
        <f t="shared" si="6"/>
        <v>210914.76976744185</v>
      </c>
      <c r="VW8" s="12" t="str">
        <f t="shared" si="14"/>
        <v>A</v>
      </c>
      <c r="VX8" s="12" t="str">
        <f t="shared" si="15"/>
        <v>NC-MR-Non</v>
      </c>
      <c r="VY8" s="351">
        <f t="shared" si="16"/>
        <v>2</v>
      </c>
      <c r="WA8" s="12">
        <f t="shared" si="17"/>
        <v>0</v>
      </c>
      <c r="WB8" s="12">
        <f t="shared" si="18"/>
        <v>0</v>
      </c>
      <c r="WC8" s="12">
        <f t="shared" si="18"/>
        <v>0</v>
      </c>
      <c r="WD8" s="12">
        <f t="shared" si="18"/>
        <v>1</v>
      </c>
      <c r="WE8" s="12">
        <f t="shared" si="19"/>
        <v>0</v>
      </c>
      <c r="WF8" s="12">
        <f t="shared" si="7"/>
        <v>0</v>
      </c>
      <c r="WG8" s="12">
        <f t="shared" si="8"/>
        <v>1</v>
      </c>
      <c r="WH8" s="12">
        <f t="shared" si="9"/>
        <v>0</v>
      </c>
      <c r="WI8" s="31">
        <f t="shared" si="10"/>
        <v>2</v>
      </c>
      <c r="WJ8" s="2"/>
      <c r="WK8" s="445" t="str">
        <f t="shared" si="11"/>
        <v>NC-MR-Non-BBN-BRN-PHA-F</v>
      </c>
      <c r="WL8" s="445"/>
      <c r="WM8" s="445"/>
      <c r="WN8" s="12"/>
      <c r="WO8" s="380" t="s">
        <v>2621</v>
      </c>
      <c r="WP8" s="144">
        <f>COUNTIFS($WH$2:$WH$72,"=1",$WA$2:$WA$72,"=1")</f>
        <v>0</v>
      </c>
      <c r="WQ8" s="144">
        <f>COUNTIFS($WH$2:$WH$72,"=1",$WB$2:$WB$72,"=1")</f>
        <v>0</v>
      </c>
      <c r="WR8" s="144">
        <f>COUNTIFS($WH$2:$WH$72,"=1",$WC$2:$WC$72,"=1")</f>
        <v>0</v>
      </c>
      <c r="WS8" s="144">
        <f>COUNTIFS($WH$2:$WH$72,"=1",$WD$2:$WD$72,"=1")</f>
        <v>0</v>
      </c>
      <c r="WT8" s="144">
        <f>COUNTIFS($WH$2:$WH$72,"=1",$WF$2:$WF$72,"=1")</f>
        <v>0</v>
      </c>
      <c r="WU8" s="144">
        <f>COUNTIFS($WH$2:$WH$72,"=1",$WG$2:$WG$72,"=1")</f>
        <v>0</v>
      </c>
      <c r="WV8" s="384"/>
      <c r="WW8" s="144">
        <f>COUNTIFS($WH$2:$WH$72,"=1",$WE$2:$WE$72,"=1")</f>
        <v>0</v>
      </c>
      <c r="WX8" s="205">
        <f>COUNTIF($WH$2:$WH$72,"=1")</f>
        <v>0</v>
      </c>
    </row>
    <row r="9" spans="1:622" x14ac:dyDescent="0.25">
      <c r="A9" s="2">
        <v>9540</v>
      </c>
      <c r="B9" s="2" t="s">
        <v>1607</v>
      </c>
      <c r="C9" s="2" t="s">
        <v>8</v>
      </c>
      <c r="D9" s="3">
        <v>45153</v>
      </c>
      <c r="E9" s="2" t="s">
        <v>9</v>
      </c>
      <c r="F9" s="2">
        <v>3</v>
      </c>
      <c r="G9" s="2" t="s">
        <v>9</v>
      </c>
      <c r="H9" s="2">
        <v>3</v>
      </c>
      <c r="I9" s="2" t="s">
        <v>9</v>
      </c>
      <c r="J9" s="2">
        <v>3</v>
      </c>
      <c r="K9" s="2" t="s">
        <v>9</v>
      </c>
      <c r="L9" s="2">
        <v>3</v>
      </c>
      <c r="M9" s="2" t="s">
        <v>10</v>
      </c>
      <c r="N9" s="2">
        <v>0</v>
      </c>
      <c r="O9" s="2" t="s">
        <v>10</v>
      </c>
      <c r="P9" s="2">
        <v>0</v>
      </c>
      <c r="Q9" s="2" t="s">
        <v>11</v>
      </c>
      <c r="R9" s="2">
        <v>0</v>
      </c>
      <c r="S9" s="2" t="s">
        <v>9</v>
      </c>
      <c r="T9" s="2">
        <v>2</v>
      </c>
      <c r="U9" s="2" t="s">
        <v>9</v>
      </c>
      <c r="V9" s="2">
        <v>2</v>
      </c>
      <c r="W9" s="2" t="s">
        <v>9</v>
      </c>
      <c r="X9" s="2">
        <v>2</v>
      </c>
      <c r="Y9" s="2" t="s">
        <v>12</v>
      </c>
      <c r="Z9" s="2" t="s">
        <v>1608</v>
      </c>
      <c r="AA9" s="2" t="s">
        <v>1227</v>
      </c>
      <c r="AB9" s="2" t="s">
        <v>15</v>
      </c>
      <c r="AC9" s="2" t="s">
        <v>15</v>
      </c>
      <c r="AD9" s="2" t="s">
        <v>15</v>
      </c>
      <c r="AE9" s="2" t="s">
        <v>15</v>
      </c>
      <c r="AF9" s="2">
        <v>2</v>
      </c>
      <c r="AG9" s="2" t="s">
        <v>436</v>
      </c>
      <c r="AH9" s="2" t="s">
        <v>17</v>
      </c>
      <c r="AI9" s="4">
        <v>0.15</v>
      </c>
      <c r="AJ9" s="2" t="s">
        <v>17</v>
      </c>
      <c r="AK9" s="2" t="s">
        <v>9</v>
      </c>
      <c r="AL9" s="2" t="s">
        <v>17</v>
      </c>
      <c r="AM9" s="2" t="s">
        <v>9</v>
      </c>
      <c r="AN9" s="2" t="s">
        <v>17</v>
      </c>
      <c r="AO9" s="2" t="s">
        <v>17</v>
      </c>
      <c r="AP9" s="2" t="s">
        <v>17</v>
      </c>
      <c r="AQ9" s="2" t="s">
        <v>17</v>
      </c>
      <c r="AR9" s="2" t="s">
        <v>17</v>
      </c>
      <c r="AS9" s="2" t="s">
        <v>17</v>
      </c>
      <c r="AT9" s="2">
        <v>0</v>
      </c>
      <c r="AU9" s="5">
        <v>50000</v>
      </c>
      <c r="AV9" s="5">
        <v>460000</v>
      </c>
      <c r="AW9" s="2">
        <v>0</v>
      </c>
      <c r="AX9" s="2">
        <v>5</v>
      </c>
      <c r="AY9" s="2">
        <v>0</v>
      </c>
      <c r="AZ9" s="2">
        <v>18</v>
      </c>
      <c r="BA9" s="2">
        <v>0</v>
      </c>
      <c r="BB9" s="2">
        <v>1</v>
      </c>
      <c r="BC9" s="2">
        <v>0</v>
      </c>
      <c r="BD9" s="2">
        <v>0</v>
      </c>
      <c r="BE9" s="2">
        <v>0</v>
      </c>
      <c r="BF9" s="2">
        <v>1</v>
      </c>
      <c r="BG9" s="2">
        <v>0</v>
      </c>
      <c r="BH9" s="2">
        <v>0</v>
      </c>
      <c r="BI9" s="2">
        <v>13</v>
      </c>
      <c r="BJ9" s="2">
        <v>1</v>
      </c>
      <c r="BK9" s="2">
        <v>0</v>
      </c>
      <c r="BL9" s="2">
        <v>3</v>
      </c>
      <c r="BM9" s="2">
        <v>0</v>
      </c>
      <c r="BN9" s="2">
        <v>9</v>
      </c>
      <c r="BO9" s="2">
        <v>11</v>
      </c>
      <c r="BP9" s="2">
        <v>0</v>
      </c>
      <c r="BQ9" s="2">
        <v>10</v>
      </c>
      <c r="BR9" s="2">
        <v>12.22</v>
      </c>
      <c r="BS9" s="2">
        <v>0</v>
      </c>
      <c r="BT9" s="4">
        <v>0.06</v>
      </c>
      <c r="BU9" s="2" t="s">
        <v>9</v>
      </c>
      <c r="BV9" s="6">
        <v>178201.01</v>
      </c>
      <c r="BW9" s="2" t="s">
        <v>18</v>
      </c>
      <c r="BX9" s="2" t="s">
        <v>17</v>
      </c>
      <c r="BY9" s="2" t="s">
        <v>17</v>
      </c>
      <c r="BZ9" s="2" t="s">
        <v>17</v>
      </c>
      <c r="CA9" s="2" t="s">
        <v>17</v>
      </c>
      <c r="CB9" s="2" t="s">
        <v>17</v>
      </c>
      <c r="CC9" s="2" t="s">
        <v>17</v>
      </c>
      <c r="CD9" s="2" t="s">
        <v>17</v>
      </c>
      <c r="CE9" s="2" t="s">
        <v>1609</v>
      </c>
      <c r="CF9" s="2" t="s">
        <v>17</v>
      </c>
      <c r="CG9" s="2" t="s">
        <v>1610</v>
      </c>
      <c r="CH9" s="2"/>
      <c r="CI9" s="2"/>
      <c r="CJ9" s="2" t="s">
        <v>9</v>
      </c>
      <c r="CK9" s="2" t="s">
        <v>1408</v>
      </c>
      <c r="CL9" s="2" t="s">
        <v>1610</v>
      </c>
      <c r="CM9" s="2" t="s">
        <v>1409</v>
      </c>
      <c r="CN9" s="2" t="s">
        <v>1410</v>
      </c>
      <c r="CO9" s="2" t="s">
        <v>24</v>
      </c>
      <c r="CP9" s="2"/>
      <c r="CQ9" s="2">
        <v>123</v>
      </c>
      <c r="CR9" s="2" t="s">
        <v>375</v>
      </c>
      <c r="CS9" s="2">
        <v>2015</v>
      </c>
      <c r="CT9" s="2" t="s">
        <v>26</v>
      </c>
      <c r="CU9" s="2" t="s">
        <v>27</v>
      </c>
      <c r="CV9" s="2" t="s">
        <v>1411</v>
      </c>
      <c r="CW9" s="2" t="s">
        <v>1412</v>
      </c>
      <c r="CX9" s="2" t="s">
        <v>24</v>
      </c>
      <c r="CY9" s="2"/>
      <c r="CZ9" s="2">
        <v>80</v>
      </c>
      <c r="DA9" s="2" t="s">
        <v>375</v>
      </c>
      <c r="DB9" s="2">
        <v>2017</v>
      </c>
      <c r="DC9" s="2" t="s">
        <v>30</v>
      </c>
      <c r="DD9" s="2" t="s">
        <v>27</v>
      </c>
      <c r="DE9" s="2" t="s">
        <v>1413</v>
      </c>
      <c r="DF9" s="2" t="s">
        <v>1412</v>
      </c>
      <c r="DG9" s="2" t="s">
        <v>24</v>
      </c>
      <c r="DH9" s="2"/>
      <c r="DI9" s="2">
        <v>120</v>
      </c>
      <c r="DJ9" s="2" t="s">
        <v>375</v>
      </c>
      <c r="DK9" s="2">
        <v>2017</v>
      </c>
      <c r="DL9" s="2" t="s">
        <v>30</v>
      </c>
      <c r="DM9" s="2" t="s">
        <v>27</v>
      </c>
      <c r="DN9" s="2" t="s">
        <v>33</v>
      </c>
      <c r="DO9" s="2" t="s">
        <v>1414</v>
      </c>
      <c r="DP9" s="2" t="s">
        <v>1415</v>
      </c>
      <c r="DQ9" s="2" t="s">
        <v>1416</v>
      </c>
      <c r="DR9" s="2" t="s">
        <v>1417</v>
      </c>
      <c r="DS9" s="2">
        <v>1</v>
      </c>
      <c r="DT9" s="2" t="s">
        <v>1418</v>
      </c>
      <c r="DU9" s="2" t="s">
        <v>1419</v>
      </c>
      <c r="DV9" s="2" t="s">
        <v>39</v>
      </c>
      <c r="DW9" s="2">
        <v>32714</v>
      </c>
      <c r="DX9" s="2" t="s">
        <v>1420</v>
      </c>
      <c r="DY9" s="2">
        <v>294</v>
      </c>
      <c r="DZ9" s="2" t="s">
        <v>1421</v>
      </c>
      <c r="EA9" s="2" t="s">
        <v>1417</v>
      </c>
      <c r="EB9" s="2" t="s">
        <v>1422</v>
      </c>
      <c r="EC9" s="2" t="s">
        <v>1423</v>
      </c>
      <c r="ED9" s="2" t="s">
        <v>44</v>
      </c>
      <c r="EE9" s="2">
        <v>200</v>
      </c>
      <c r="EF9" s="2" t="s">
        <v>390</v>
      </c>
      <c r="EG9" s="2">
        <v>14</v>
      </c>
      <c r="EH9" s="2" t="s">
        <v>46</v>
      </c>
      <c r="EI9" s="2" t="s">
        <v>47</v>
      </c>
      <c r="EJ9" s="2" t="s">
        <v>1424</v>
      </c>
      <c r="EK9" s="2" t="s">
        <v>464</v>
      </c>
      <c r="EL9" s="2" t="s">
        <v>44</v>
      </c>
      <c r="EM9" s="2">
        <v>120</v>
      </c>
      <c r="EN9" s="2" t="s">
        <v>390</v>
      </c>
      <c r="EO9" s="2">
        <v>12</v>
      </c>
      <c r="EP9" s="2" t="s">
        <v>46</v>
      </c>
      <c r="EQ9" s="2" t="s">
        <v>47</v>
      </c>
      <c r="ER9" s="2" t="s">
        <v>738</v>
      </c>
      <c r="ES9" s="2" t="s">
        <v>951</v>
      </c>
      <c r="ET9" s="2" t="s">
        <v>1425</v>
      </c>
      <c r="EU9" s="2" t="s">
        <v>1426</v>
      </c>
      <c r="EV9" s="2" t="s">
        <v>1418</v>
      </c>
      <c r="EW9" s="2" t="s">
        <v>1419</v>
      </c>
      <c r="EX9" s="2" t="s">
        <v>39</v>
      </c>
      <c r="EY9" s="2">
        <v>32714</v>
      </c>
      <c r="EZ9" s="2" t="s">
        <v>1420</v>
      </c>
      <c r="FA9" s="2">
        <v>202</v>
      </c>
      <c r="FB9" s="2" t="s">
        <v>1427</v>
      </c>
      <c r="FC9" s="2" t="s">
        <v>1428</v>
      </c>
      <c r="FD9" s="2" t="s">
        <v>1429</v>
      </c>
      <c r="FE9" s="2" t="s">
        <v>1430</v>
      </c>
      <c r="FF9" s="2" t="s">
        <v>1426</v>
      </c>
      <c r="FG9" s="2" t="s">
        <v>1418</v>
      </c>
      <c r="FH9" s="2" t="s">
        <v>1419</v>
      </c>
      <c r="FI9" s="2" t="s">
        <v>39</v>
      </c>
      <c r="FJ9" s="2">
        <v>32714</v>
      </c>
      <c r="FK9" s="2" t="s">
        <v>1420</v>
      </c>
      <c r="FL9" s="2">
        <v>210</v>
      </c>
      <c r="FM9" s="2" t="s">
        <v>1431</v>
      </c>
      <c r="FN9" s="2" t="s">
        <v>1611</v>
      </c>
      <c r="FO9" s="2" t="s">
        <v>63</v>
      </c>
      <c r="FP9" s="2" t="s">
        <v>64</v>
      </c>
      <c r="FQ9" s="2" t="s">
        <v>9</v>
      </c>
      <c r="FR9" s="2" t="s">
        <v>17</v>
      </c>
      <c r="FS9" s="2" t="s">
        <v>17</v>
      </c>
      <c r="FT9" s="2" t="s">
        <v>9</v>
      </c>
      <c r="FU9" s="2">
        <v>0</v>
      </c>
      <c r="FV9" s="2">
        <v>0</v>
      </c>
      <c r="FW9" s="4">
        <v>0</v>
      </c>
      <c r="FX9" s="4">
        <v>0</v>
      </c>
      <c r="FY9" s="2" t="s">
        <v>65</v>
      </c>
      <c r="FZ9" s="2" t="s">
        <v>66</v>
      </c>
      <c r="GA9" s="2" t="s">
        <v>67</v>
      </c>
      <c r="GB9" s="2"/>
      <c r="GC9" s="2"/>
      <c r="GD9" s="2"/>
      <c r="GE9" s="2" t="s">
        <v>1612</v>
      </c>
      <c r="GF9" s="2"/>
      <c r="GG9" s="2"/>
      <c r="GH9" s="2"/>
      <c r="GI9" s="2">
        <v>80</v>
      </c>
      <c r="GJ9" s="2"/>
      <c r="GK9" s="2"/>
      <c r="GL9" s="2"/>
      <c r="GM9" s="2"/>
      <c r="GN9" s="2"/>
      <c r="GO9" s="2"/>
      <c r="GP9" s="2"/>
      <c r="GQ9" s="2">
        <v>80</v>
      </c>
      <c r="GR9" s="2" t="s">
        <v>756</v>
      </c>
      <c r="GS9" s="2" t="s">
        <v>70</v>
      </c>
      <c r="GT9" s="2" t="s">
        <v>1613</v>
      </c>
      <c r="GU9" s="2" t="s">
        <v>1419</v>
      </c>
      <c r="GV9" s="2" t="s">
        <v>17</v>
      </c>
      <c r="GW9" s="2">
        <v>28.661113</v>
      </c>
      <c r="GX9" s="2">
        <v>-81.390023999999997</v>
      </c>
      <c r="GY9" s="2"/>
      <c r="GZ9" s="2" t="s">
        <v>17</v>
      </c>
      <c r="HA9" s="2" t="s">
        <v>17</v>
      </c>
      <c r="HB9" s="2">
        <v>0</v>
      </c>
      <c r="HC9" s="2" t="s">
        <v>17</v>
      </c>
      <c r="HD9" s="2"/>
      <c r="HE9" s="2">
        <v>0</v>
      </c>
      <c r="HF9" s="2">
        <v>28.659866000000001</v>
      </c>
      <c r="HG9" s="2">
        <v>-81.393209999999996</v>
      </c>
      <c r="HH9" s="2">
        <v>0.21</v>
      </c>
      <c r="HI9" s="2">
        <v>4</v>
      </c>
      <c r="HJ9" s="2">
        <v>28.659517999999998</v>
      </c>
      <c r="HK9" s="2">
        <v>-81.393360000000001</v>
      </c>
      <c r="HL9" s="2">
        <v>0.23</v>
      </c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 t="s">
        <v>73</v>
      </c>
      <c r="HY9" s="2" t="s">
        <v>17</v>
      </c>
      <c r="HZ9" s="2"/>
      <c r="IA9" s="2" t="s">
        <v>1614</v>
      </c>
      <c r="IB9" s="2" t="s">
        <v>1615</v>
      </c>
      <c r="IC9" s="2">
        <v>0.57999999999999996</v>
      </c>
      <c r="ID9" s="2">
        <v>3</v>
      </c>
      <c r="IE9" s="2" t="s">
        <v>1616</v>
      </c>
      <c r="IF9" s="2">
        <v>0.52</v>
      </c>
      <c r="IG9" s="2">
        <v>3</v>
      </c>
      <c r="IH9" s="2" t="s">
        <v>224</v>
      </c>
      <c r="II9" s="2">
        <v>0.06</v>
      </c>
      <c r="IJ9" s="2">
        <v>4</v>
      </c>
      <c r="IK9" s="2"/>
      <c r="IL9" s="2"/>
      <c r="IM9" s="2"/>
      <c r="IN9" s="2"/>
      <c r="IO9" s="2" t="s">
        <v>17</v>
      </c>
      <c r="IP9" s="2">
        <v>4</v>
      </c>
      <c r="IQ9" s="2">
        <v>10</v>
      </c>
      <c r="IR9" s="2">
        <v>0</v>
      </c>
      <c r="IS9" s="2">
        <v>14</v>
      </c>
      <c r="IT9" s="2" t="s">
        <v>17</v>
      </c>
      <c r="IU9" s="2" t="s">
        <v>17</v>
      </c>
      <c r="IV9" s="2" t="s">
        <v>17</v>
      </c>
      <c r="IW9" s="2" t="s">
        <v>9</v>
      </c>
      <c r="IX9" s="2" t="s">
        <v>9</v>
      </c>
      <c r="IY9" s="2">
        <v>14</v>
      </c>
      <c r="IZ9" s="2">
        <v>80</v>
      </c>
      <c r="JA9" s="2" t="s">
        <v>81</v>
      </c>
      <c r="JB9" s="2" t="s">
        <v>82</v>
      </c>
      <c r="JC9" s="2"/>
      <c r="JD9" s="2"/>
      <c r="JE9" s="2"/>
      <c r="JF9" s="2"/>
      <c r="JG9" s="2"/>
      <c r="JH9" s="7">
        <v>0</v>
      </c>
      <c r="JI9" s="2">
        <v>0</v>
      </c>
      <c r="JJ9" s="7">
        <v>0</v>
      </c>
      <c r="JK9" s="2">
        <v>0</v>
      </c>
      <c r="JL9" s="7">
        <v>0</v>
      </c>
      <c r="JM9" s="2">
        <v>12</v>
      </c>
      <c r="JN9" s="2"/>
      <c r="JO9" s="2"/>
      <c r="JP9" s="2">
        <v>50</v>
      </c>
      <c r="JQ9" s="2"/>
      <c r="JR9" s="2">
        <v>18</v>
      </c>
      <c r="JS9" s="2">
        <v>0</v>
      </c>
      <c r="JT9" s="2">
        <v>0</v>
      </c>
      <c r="JU9" s="2"/>
      <c r="JV9" s="2">
        <v>80</v>
      </c>
      <c r="JW9" s="4">
        <v>1</v>
      </c>
      <c r="JX9" s="2">
        <v>80</v>
      </c>
      <c r="JY9" s="4">
        <v>0.6</v>
      </c>
      <c r="JZ9" s="2">
        <v>0</v>
      </c>
      <c r="KA9" s="2"/>
      <c r="KB9" s="2"/>
      <c r="KC9" s="2"/>
      <c r="KD9" s="2"/>
      <c r="KE9" s="2"/>
      <c r="KF9" s="2"/>
      <c r="KG9" s="2"/>
      <c r="KH9" s="2">
        <v>20</v>
      </c>
      <c r="KI9" s="2"/>
      <c r="KJ9" s="2"/>
      <c r="KK9" s="2">
        <v>40</v>
      </c>
      <c r="KL9" s="2">
        <v>20</v>
      </c>
      <c r="KM9" s="2"/>
      <c r="KN9" s="2"/>
      <c r="KO9" s="2"/>
      <c r="KP9" s="2"/>
      <c r="KQ9" s="2" t="s">
        <v>83</v>
      </c>
      <c r="KR9" s="2" t="s">
        <v>73</v>
      </c>
      <c r="KS9" s="2"/>
      <c r="KT9" s="2">
        <v>1</v>
      </c>
      <c r="KU9" s="2" t="s">
        <v>84</v>
      </c>
      <c r="KV9" s="2" t="s">
        <v>85</v>
      </c>
      <c r="KW9" s="2" t="s">
        <v>530</v>
      </c>
      <c r="KX9" s="2" t="s">
        <v>17</v>
      </c>
      <c r="KY9" s="2" t="s">
        <v>17</v>
      </c>
      <c r="KZ9" s="2" t="s">
        <v>17</v>
      </c>
      <c r="LA9" s="2" t="s">
        <v>17</v>
      </c>
      <c r="LB9" s="2" t="s">
        <v>17</v>
      </c>
      <c r="LC9" s="2" t="s">
        <v>17</v>
      </c>
      <c r="LD9" s="2" t="s">
        <v>17</v>
      </c>
      <c r="LE9" s="2" t="s">
        <v>17</v>
      </c>
      <c r="LF9" s="2" t="s">
        <v>17</v>
      </c>
      <c r="LG9" s="2" t="s">
        <v>17</v>
      </c>
      <c r="LH9" s="2" t="s">
        <v>17</v>
      </c>
      <c r="LI9" s="2" t="s">
        <v>17</v>
      </c>
      <c r="LJ9" s="2" t="s">
        <v>87</v>
      </c>
      <c r="LK9" s="2" t="s">
        <v>17</v>
      </c>
      <c r="LL9" s="2" t="s">
        <v>17</v>
      </c>
      <c r="LM9" s="2">
        <v>0</v>
      </c>
      <c r="LN9" s="2" t="s">
        <v>17</v>
      </c>
      <c r="LO9" s="2" t="s">
        <v>9</v>
      </c>
      <c r="LP9" s="2" t="s">
        <v>9</v>
      </c>
      <c r="LQ9" s="2" t="s">
        <v>17</v>
      </c>
      <c r="LR9" s="2" t="s">
        <v>9</v>
      </c>
      <c r="LS9" s="2" t="s">
        <v>17</v>
      </c>
      <c r="LT9" s="2" t="s">
        <v>17</v>
      </c>
      <c r="LU9" s="2" t="s">
        <v>17</v>
      </c>
      <c r="LV9" s="2" t="s">
        <v>17</v>
      </c>
      <c r="LW9" s="2" t="s">
        <v>17</v>
      </c>
      <c r="LX9" s="2" t="s">
        <v>17</v>
      </c>
      <c r="LY9" s="5">
        <v>6400000</v>
      </c>
      <c r="LZ9" s="5">
        <v>0</v>
      </c>
      <c r="MA9" s="5">
        <v>7200000</v>
      </c>
      <c r="MB9" s="5">
        <v>0</v>
      </c>
      <c r="MC9" s="5">
        <v>0</v>
      </c>
      <c r="MD9" s="5">
        <v>0</v>
      </c>
      <c r="ME9" s="5">
        <v>8400000</v>
      </c>
      <c r="MF9" s="5">
        <v>0</v>
      </c>
      <c r="MG9" s="5">
        <v>0</v>
      </c>
      <c r="MH9" s="5">
        <v>0</v>
      </c>
      <c r="MI9" s="5">
        <v>0</v>
      </c>
      <c r="MJ9" s="5">
        <v>0</v>
      </c>
      <c r="MK9" s="5">
        <v>0</v>
      </c>
      <c r="ML9" s="2">
        <v>0</v>
      </c>
      <c r="MM9" s="5">
        <v>0</v>
      </c>
      <c r="MN9" s="5">
        <v>0</v>
      </c>
      <c r="MO9" s="2">
        <v>0</v>
      </c>
      <c r="MP9" s="2">
        <v>0</v>
      </c>
      <c r="MQ9" s="2">
        <v>0</v>
      </c>
      <c r="MR9" s="5">
        <v>2950000</v>
      </c>
      <c r="MS9" s="5">
        <v>0</v>
      </c>
      <c r="MT9" s="5">
        <v>4600000</v>
      </c>
      <c r="MU9" s="5">
        <v>0</v>
      </c>
      <c r="MV9" s="5">
        <v>0</v>
      </c>
      <c r="MW9" s="5">
        <v>0</v>
      </c>
      <c r="MX9" s="5">
        <v>0</v>
      </c>
      <c r="MY9" s="5">
        <v>2500000</v>
      </c>
      <c r="MZ9" s="5">
        <v>0</v>
      </c>
      <c r="NA9" s="5">
        <v>5000000</v>
      </c>
      <c r="NB9" s="5">
        <v>0</v>
      </c>
      <c r="NC9" s="5">
        <v>0</v>
      </c>
      <c r="ND9" s="5">
        <v>0</v>
      </c>
      <c r="NE9" s="5">
        <v>0</v>
      </c>
      <c r="NF9" s="5">
        <v>0</v>
      </c>
      <c r="NG9" s="5">
        <v>2142000</v>
      </c>
      <c r="NH9" s="5">
        <v>2142000</v>
      </c>
      <c r="NI9" s="5">
        <v>2142000</v>
      </c>
      <c r="NJ9" s="5">
        <v>0</v>
      </c>
      <c r="NK9" s="5"/>
      <c r="NL9" s="2" t="s">
        <v>17</v>
      </c>
      <c r="NM9" s="2" t="s">
        <v>17</v>
      </c>
      <c r="NN9" s="2"/>
      <c r="NO9" s="2" t="s">
        <v>9</v>
      </c>
      <c r="NP9" s="2">
        <v>32714</v>
      </c>
      <c r="NQ9" s="2" t="s">
        <v>1617</v>
      </c>
      <c r="NR9" s="2" t="s">
        <v>17</v>
      </c>
      <c r="NS9" s="2"/>
      <c r="NT9" s="2" t="s">
        <v>17</v>
      </c>
      <c r="NU9" s="2"/>
      <c r="NV9" s="2"/>
      <c r="NW9" s="2"/>
      <c r="NX9" s="2" t="s">
        <v>17</v>
      </c>
      <c r="NY9" s="2"/>
      <c r="NZ9" s="2"/>
      <c r="OA9" s="2" t="s">
        <v>118</v>
      </c>
      <c r="OB9" s="2" t="s">
        <v>118</v>
      </c>
      <c r="OC9" s="2" t="s">
        <v>118</v>
      </c>
      <c r="OD9" s="2" t="s">
        <v>17</v>
      </c>
      <c r="OE9" s="2" t="s">
        <v>119</v>
      </c>
      <c r="OF9" s="2" t="s">
        <v>17</v>
      </c>
      <c r="OG9" s="2" t="s">
        <v>9</v>
      </c>
      <c r="OH9" s="2" t="s">
        <v>120</v>
      </c>
      <c r="OI9" s="2"/>
      <c r="OJ9" s="2"/>
      <c r="OK9" s="2" t="s">
        <v>17</v>
      </c>
      <c r="OL9" s="2" t="s">
        <v>17</v>
      </c>
      <c r="OM9" s="2" t="s">
        <v>85</v>
      </c>
      <c r="ON9" s="6">
        <v>0</v>
      </c>
      <c r="OO9" s="6">
        <v>0</v>
      </c>
      <c r="OP9" s="2" t="s">
        <v>93</v>
      </c>
      <c r="OQ9" s="2" t="s">
        <v>93</v>
      </c>
      <c r="OR9" s="6">
        <v>0</v>
      </c>
      <c r="OS9" s="4">
        <v>0</v>
      </c>
      <c r="OT9" s="2" t="s">
        <v>17</v>
      </c>
      <c r="OU9" s="2" t="s">
        <v>17</v>
      </c>
      <c r="OV9" s="2"/>
      <c r="OW9" s="2"/>
      <c r="OX9" s="5">
        <v>14256081</v>
      </c>
      <c r="OY9" s="6">
        <v>178201.01</v>
      </c>
      <c r="OZ9" s="2"/>
      <c r="PA9" s="2"/>
      <c r="PB9" s="8">
        <v>11350000</v>
      </c>
      <c r="PC9" s="2"/>
      <c r="PD9" s="8">
        <v>11350000</v>
      </c>
      <c r="PE9" s="8">
        <v>2000000</v>
      </c>
      <c r="PF9" s="2"/>
      <c r="PG9" s="8">
        <v>2000000</v>
      </c>
      <c r="PH9" s="2"/>
      <c r="PI9" s="2"/>
      <c r="PJ9" s="2"/>
      <c r="PK9" s="8">
        <v>13350000</v>
      </c>
      <c r="PL9" s="2"/>
      <c r="PM9" s="8">
        <v>13350000</v>
      </c>
      <c r="PN9" s="8">
        <v>1848000</v>
      </c>
      <c r="PO9" s="2"/>
      <c r="PP9" s="8">
        <v>1848000</v>
      </c>
      <c r="PQ9" s="6">
        <v>1869000</v>
      </c>
      <c r="PR9" s="8">
        <v>15198000</v>
      </c>
      <c r="PS9" s="2"/>
      <c r="PT9" s="8">
        <v>15198000</v>
      </c>
      <c r="PU9" s="8">
        <v>752400</v>
      </c>
      <c r="PV9" s="2"/>
      <c r="PW9" s="8">
        <v>752400</v>
      </c>
      <c r="PX9" s="6">
        <v>759900</v>
      </c>
      <c r="PY9" s="8">
        <v>851000</v>
      </c>
      <c r="PZ9" s="8">
        <v>260000</v>
      </c>
      <c r="QA9" s="8">
        <v>1111000</v>
      </c>
      <c r="QB9" s="8">
        <v>200000</v>
      </c>
      <c r="QC9" s="2"/>
      <c r="QD9" s="8">
        <v>200000</v>
      </c>
      <c r="QE9" s="8">
        <v>1205200</v>
      </c>
      <c r="QF9" s="2"/>
      <c r="QG9" s="8">
        <v>1205200</v>
      </c>
      <c r="QH9" s="2"/>
      <c r="QI9" s="8">
        <v>436398</v>
      </c>
      <c r="QJ9" s="8">
        <v>436398</v>
      </c>
      <c r="QK9" s="2"/>
      <c r="QL9" s="2"/>
      <c r="QM9" s="2"/>
      <c r="QN9" s="2"/>
      <c r="QO9" s="8">
        <v>625000</v>
      </c>
      <c r="QP9" s="8">
        <v>625000</v>
      </c>
      <c r="QQ9" s="8">
        <v>2256200</v>
      </c>
      <c r="QR9" s="8">
        <v>1321398</v>
      </c>
      <c r="QS9" s="8">
        <v>3577598</v>
      </c>
      <c r="QT9" s="2"/>
      <c r="QU9" s="8">
        <v>82840</v>
      </c>
      <c r="QV9" s="8">
        <v>82840</v>
      </c>
      <c r="QW9" s="6">
        <v>178879.9</v>
      </c>
      <c r="QX9" s="8">
        <v>711669</v>
      </c>
      <c r="QY9" s="2"/>
      <c r="QZ9" s="8">
        <v>711669</v>
      </c>
      <c r="RA9" s="8">
        <v>1005063</v>
      </c>
      <c r="RB9" s="8">
        <v>1005063</v>
      </c>
      <c r="RC9" s="2"/>
      <c r="RD9" s="8">
        <v>55000</v>
      </c>
      <c r="RE9" s="8">
        <v>55000</v>
      </c>
      <c r="RF9" s="8">
        <v>711669</v>
      </c>
      <c r="RG9" s="8">
        <v>1060063</v>
      </c>
      <c r="RH9" s="8">
        <v>1771732</v>
      </c>
      <c r="RI9" s="2"/>
      <c r="RJ9" s="2"/>
      <c r="RK9" s="2"/>
      <c r="RL9" s="2"/>
      <c r="RM9" s="8">
        <v>18918269</v>
      </c>
      <c r="RN9" s="8">
        <v>2464301</v>
      </c>
      <c r="RO9" s="8">
        <v>21382570</v>
      </c>
      <c r="RP9" s="2"/>
      <c r="RQ9" s="2"/>
      <c r="RR9" s="2">
        <v>0</v>
      </c>
      <c r="RS9" s="6">
        <v>0</v>
      </c>
      <c r="RT9" s="8">
        <v>3421211</v>
      </c>
      <c r="RU9" s="2"/>
      <c r="RV9" s="8">
        <v>3421211</v>
      </c>
      <c r="RW9" s="6">
        <v>3421211</v>
      </c>
      <c r="RX9" s="6">
        <v>0</v>
      </c>
      <c r="RY9" s="8">
        <v>3421211</v>
      </c>
      <c r="RZ9" s="2"/>
      <c r="SA9" s="8">
        <v>3421211</v>
      </c>
      <c r="SB9" s="6">
        <v>3421211</v>
      </c>
      <c r="SC9" s="8">
        <v>240000</v>
      </c>
      <c r="SD9" s="8">
        <v>240000</v>
      </c>
      <c r="SE9" s="6">
        <v>280000</v>
      </c>
      <c r="SF9" s="8">
        <v>2500000</v>
      </c>
      <c r="SG9" s="8">
        <v>2500000</v>
      </c>
      <c r="SH9" s="8">
        <v>22339480</v>
      </c>
      <c r="SI9" s="8">
        <v>5204301</v>
      </c>
      <c r="SJ9" s="8">
        <v>27543781</v>
      </c>
      <c r="SK9" s="2" t="s">
        <v>229</v>
      </c>
      <c r="SL9" s="2"/>
      <c r="SM9" s="2" t="s">
        <v>1441</v>
      </c>
      <c r="SN9" s="2" t="s">
        <v>1442</v>
      </c>
      <c r="SO9" s="2"/>
      <c r="SP9" s="8">
        <v>21000000</v>
      </c>
      <c r="SQ9" s="2" t="s">
        <v>95</v>
      </c>
      <c r="SR9" s="2"/>
      <c r="SS9" s="2"/>
      <c r="ST9" s="2"/>
      <c r="SU9" s="2"/>
      <c r="SV9" s="2"/>
      <c r="SW9" s="2"/>
      <c r="SX9" s="2" t="s">
        <v>96</v>
      </c>
      <c r="SY9" s="2" t="s">
        <v>96</v>
      </c>
      <c r="SZ9" s="2" t="s">
        <v>96</v>
      </c>
      <c r="TA9" s="2" t="s">
        <v>96</v>
      </c>
      <c r="TB9" s="8">
        <v>3855214</v>
      </c>
      <c r="TC9" s="2"/>
      <c r="TD9" s="2"/>
      <c r="TE9" s="2"/>
      <c r="TF9" s="2"/>
      <c r="TG9" s="2"/>
      <c r="TH9" s="2"/>
      <c r="TI9" s="8">
        <v>2688567</v>
      </c>
      <c r="TJ9" s="8">
        <v>27543781</v>
      </c>
      <c r="TK9" s="2">
        <v>0</v>
      </c>
      <c r="TL9" s="2" t="s">
        <v>9</v>
      </c>
      <c r="TM9" s="8">
        <v>6000000</v>
      </c>
      <c r="TN9" s="2" t="s">
        <v>95</v>
      </c>
      <c r="TO9" s="2"/>
      <c r="TP9" s="2"/>
      <c r="TQ9" s="2"/>
      <c r="TR9" s="2"/>
      <c r="TS9" s="2"/>
      <c r="TT9" s="2"/>
      <c r="TU9" s="2" t="s">
        <v>96</v>
      </c>
      <c r="TV9" s="8">
        <v>19276072</v>
      </c>
      <c r="TW9" s="2"/>
      <c r="TX9" s="2"/>
      <c r="TY9" s="2"/>
      <c r="TZ9" s="2"/>
      <c r="UA9" s="2"/>
      <c r="UB9" s="2"/>
      <c r="UC9" s="8">
        <v>2267709</v>
      </c>
      <c r="UD9" s="8">
        <v>27543781</v>
      </c>
      <c r="UE9" s="6">
        <v>6000000</v>
      </c>
      <c r="UF9" s="2">
        <v>0</v>
      </c>
      <c r="UG9" s="2" t="s">
        <v>9</v>
      </c>
      <c r="UH9" s="2">
        <v>80</v>
      </c>
      <c r="UI9" s="5">
        <v>270000</v>
      </c>
      <c r="UJ9" s="6">
        <v>360000</v>
      </c>
      <c r="UK9" s="6">
        <v>360000</v>
      </c>
      <c r="UL9" s="6">
        <v>381600</v>
      </c>
      <c r="UM9" s="6">
        <v>30528000</v>
      </c>
      <c r="UN9" s="6">
        <v>4884480</v>
      </c>
      <c r="UO9" s="6">
        <v>4884480</v>
      </c>
      <c r="UP9" s="6">
        <v>35412480</v>
      </c>
      <c r="UQ9" s="6">
        <v>24803781</v>
      </c>
      <c r="UR9" s="2"/>
      <c r="US9" s="2"/>
      <c r="UT9" s="6">
        <v>0</v>
      </c>
      <c r="UU9" s="2"/>
      <c r="UV9" s="6">
        <v>0</v>
      </c>
      <c r="UW9" s="6">
        <v>0</v>
      </c>
      <c r="UX9" s="6">
        <v>0</v>
      </c>
      <c r="UY9" s="6">
        <v>0</v>
      </c>
      <c r="UZ9" s="2"/>
      <c r="VA9" s="2"/>
      <c r="VB9" s="2"/>
      <c r="VC9" s="2"/>
      <c r="VD9" s="2"/>
      <c r="VE9" s="2" t="s">
        <v>17</v>
      </c>
      <c r="VF9" s="2"/>
      <c r="VG9" s="2" t="s">
        <v>17</v>
      </c>
      <c r="VH9" s="2"/>
      <c r="VI9" s="388" t="s">
        <v>1408</v>
      </c>
      <c r="VJ9" s="2" t="s">
        <v>98</v>
      </c>
      <c r="VK9" s="2" t="s">
        <v>1618</v>
      </c>
      <c r="VL9" s="23">
        <f t="shared" si="0"/>
        <v>160</v>
      </c>
      <c r="VM9" s="17">
        <f t="shared" si="1"/>
        <v>2</v>
      </c>
      <c r="VN9" s="17" t="str">
        <f t="shared" si="12"/>
        <v>NC-MR-F</v>
      </c>
      <c r="VO9" s="17" t="str">
        <f t="shared" si="13"/>
        <v>NC-MR-F-ESS</v>
      </c>
      <c r="VP9" s="12">
        <v>9</v>
      </c>
      <c r="VQ9" s="57">
        <v>1</v>
      </c>
      <c r="VR9" s="57">
        <f t="shared" si="2"/>
        <v>1</v>
      </c>
      <c r="VS9" s="14">
        <f t="shared" si="3"/>
        <v>1</v>
      </c>
      <c r="VT9" s="12">
        <f t="shared" si="4"/>
        <v>0.9020999999999999</v>
      </c>
      <c r="VU9" s="16">
        <f t="shared" si="5"/>
        <v>17390683.799999997</v>
      </c>
      <c r="VV9" s="16">
        <f t="shared" si="6"/>
        <v>217383.54749999996</v>
      </c>
      <c r="VW9" s="12" t="str">
        <f t="shared" si="14"/>
        <v>A</v>
      </c>
      <c r="VX9" s="12" t="str">
        <f t="shared" si="15"/>
        <v>NC-MR-ESS</v>
      </c>
      <c r="VY9" s="351">
        <f t="shared" si="16"/>
        <v>2</v>
      </c>
      <c r="WA9" s="12">
        <f t="shared" si="17"/>
        <v>0</v>
      </c>
      <c r="WB9" s="12">
        <f t="shared" si="18"/>
        <v>0</v>
      </c>
      <c r="WC9" s="12">
        <f t="shared" si="18"/>
        <v>0</v>
      </c>
      <c r="WD9" s="12">
        <f t="shared" si="18"/>
        <v>0</v>
      </c>
      <c r="WE9" s="12">
        <f t="shared" si="19"/>
        <v>1</v>
      </c>
      <c r="WF9" s="12">
        <f t="shared" si="7"/>
        <v>0</v>
      </c>
      <c r="WG9" s="12">
        <f t="shared" si="8"/>
        <v>1</v>
      </c>
      <c r="WH9" s="12">
        <f t="shared" si="9"/>
        <v>0</v>
      </c>
      <c r="WI9" s="31">
        <f t="shared" si="10"/>
        <v>2</v>
      </c>
      <c r="WJ9" s="2"/>
      <c r="WK9" s="446" t="str">
        <f t="shared" si="11"/>
        <v>NC-MR-ESS-BBN-BRN-NPH-F</v>
      </c>
      <c r="WL9" s="446"/>
      <c r="WM9" s="446"/>
      <c r="WN9" s="12"/>
      <c r="WO9" s="380" t="s">
        <v>2628</v>
      </c>
      <c r="WP9" s="144">
        <f>COUNTIFS($WE$2:$WE$72,"=1",$WA$2:$WA$72,"=1")</f>
        <v>3</v>
      </c>
      <c r="WQ9" s="144">
        <f>COUNTIFS($WE$2:$WE$72,"=1",$WB$2:$WB$72,"=1")</f>
        <v>0</v>
      </c>
      <c r="WR9" s="144">
        <f>COUNTIFS($WE$2:$WE$72,"=1",$WC$2:$WC$72,"=1")</f>
        <v>0</v>
      </c>
      <c r="WS9" s="144">
        <f>COUNTIFS($WE$2:$WE$72,"=1",$WD$2:$WD$72,"=1")</f>
        <v>4</v>
      </c>
      <c r="WT9" s="144">
        <f>COUNTIFS($WE$2:$WE$72,"=1",$WF$2:$WF$72,"=1")</f>
        <v>27</v>
      </c>
      <c r="WU9" s="144">
        <f>COUNTIFS($WE$2:$WE$72,"=1",$WG$2:$WG$72,"=1")</f>
        <v>6</v>
      </c>
      <c r="WV9" s="144">
        <f>COUNTIFS($WE$2:$WE$72,"=1",$WH$2:$WH$72,"=1")</f>
        <v>0</v>
      </c>
      <c r="WW9" s="384"/>
      <c r="WX9" s="205">
        <f>COUNTIF($WE$2:$WE$72,"=1")</f>
        <v>34</v>
      </c>
    </row>
    <row r="10" spans="1:622" x14ac:dyDescent="0.25">
      <c r="A10" s="2">
        <v>9559</v>
      </c>
      <c r="B10" s="2" t="s">
        <v>1815</v>
      </c>
      <c r="C10" s="2" t="s">
        <v>8</v>
      </c>
      <c r="D10" s="3">
        <v>45153</v>
      </c>
      <c r="E10" s="2" t="s">
        <v>9</v>
      </c>
      <c r="F10" s="2">
        <v>3</v>
      </c>
      <c r="G10" s="2" t="s">
        <v>9</v>
      </c>
      <c r="H10" s="2">
        <v>3</v>
      </c>
      <c r="I10" s="2" t="s">
        <v>9</v>
      </c>
      <c r="J10" s="2">
        <v>2</v>
      </c>
      <c r="K10" s="2" t="s">
        <v>9</v>
      </c>
      <c r="L10" s="2">
        <v>3</v>
      </c>
      <c r="M10" s="2" t="s">
        <v>10</v>
      </c>
      <c r="N10" s="2">
        <v>0</v>
      </c>
      <c r="O10" s="2" t="s">
        <v>10</v>
      </c>
      <c r="P10" s="2">
        <v>0</v>
      </c>
      <c r="Q10" s="2" t="s">
        <v>11</v>
      </c>
      <c r="R10" s="2">
        <v>0</v>
      </c>
      <c r="S10" s="2" t="s">
        <v>9</v>
      </c>
      <c r="T10" s="2">
        <v>2</v>
      </c>
      <c r="U10" s="2" t="s">
        <v>9</v>
      </c>
      <c r="V10" s="2">
        <v>2</v>
      </c>
      <c r="W10" s="2" t="s">
        <v>9</v>
      </c>
      <c r="X10" s="2">
        <v>2</v>
      </c>
      <c r="Y10" s="2" t="s">
        <v>12</v>
      </c>
      <c r="Z10" s="2" t="s">
        <v>187</v>
      </c>
      <c r="AA10" s="2" t="s">
        <v>15</v>
      </c>
      <c r="AB10" s="2" t="s">
        <v>15</v>
      </c>
      <c r="AC10" s="2" t="s">
        <v>15</v>
      </c>
      <c r="AD10" s="2" t="s">
        <v>15</v>
      </c>
      <c r="AE10" s="2" t="s">
        <v>15</v>
      </c>
      <c r="AF10" s="2">
        <v>1</v>
      </c>
      <c r="AG10" s="2" t="s">
        <v>1366</v>
      </c>
      <c r="AH10" s="2" t="s">
        <v>17</v>
      </c>
      <c r="AI10" s="4">
        <v>0.15</v>
      </c>
      <c r="AJ10" s="2" t="s">
        <v>17</v>
      </c>
      <c r="AK10" s="2" t="s">
        <v>9</v>
      </c>
      <c r="AL10" s="2" t="s">
        <v>17</v>
      </c>
      <c r="AM10" s="2" t="s">
        <v>17</v>
      </c>
      <c r="AN10" s="2" t="s">
        <v>17</v>
      </c>
      <c r="AO10" s="2" t="s">
        <v>9</v>
      </c>
      <c r="AP10" s="2" t="s">
        <v>17</v>
      </c>
      <c r="AQ10" s="2" t="s">
        <v>17</v>
      </c>
      <c r="AR10" s="2" t="s">
        <v>17</v>
      </c>
      <c r="AS10" s="2" t="s">
        <v>17</v>
      </c>
      <c r="AT10" s="2">
        <v>0</v>
      </c>
      <c r="AU10" s="5">
        <v>50000</v>
      </c>
      <c r="AV10" s="5">
        <v>460000</v>
      </c>
      <c r="AW10" s="2">
        <v>0</v>
      </c>
      <c r="AX10" s="2">
        <v>9</v>
      </c>
      <c r="AY10" s="2">
        <v>0</v>
      </c>
      <c r="AZ10" s="2">
        <v>18</v>
      </c>
      <c r="BA10" s="2">
        <v>0</v>
      </c>
      <c r="BB10" s="2">
        <v>1</v>
      </c>
      <c r="BC10" s="2">
        <v>1</v>
      </c>
      <c r="BD10" s="2">
        <v>0</v>
      </c>
      <c r="BE10" s="2">
        <v>0</v>
      </c>
      <c r="BF10" s="2">
        <v>1</v>
      </c>
      <c r="BG10" s="2">
        <v>0</v>
      </c>
      <c r="BH10" s="2">
        <v>0</v>
      </c>
      <c r="BI10" s="2">
        <v>13</v>
      </c>
      <c r="BJ10" s="2">
        <v>1</v>
      </c>
      <c r="BK10" s="2">
        <v>0</v>
      </c>
      <c r="BL10" s="2">
        <v>3</v>
      </c>
      <c r="BM10" s="2">
        <v>0</v>
      </c>
      <c r="BN10" s="2">
        <v>11</v>
      </c>
      <c r="BO10" s="2">
        <v>11</v>
      </c>
      <c r="BP10" s="2">
        <v>0</v>
      </c>
      <c r="BQ10" s="2">
        <v>10</v>
      </c>
      <c r="BR10" s="2">
        <v>12.22</v>
      </c>
      <c r="BS10" s="2">
        <v>0</v>
      </c>
      <c r="BT10" s="4">
        <v>0.06</v>
      </c>
      <c r="BU10" s="2" t="s">
        <v>9</v>
      </c>
      <c r="BV10" s="6">
        <v>178201.01</v>
      </c>
      <c r="BW10" s="2" t="s">
        <v>18</v>
      </c>
      <c r="BX10" s="2" t="s">
        <v>17</v>
      </c>
      <c r="BY10" s="2" t="s">
        <v>17</v>
      </c>
      <c r="BZ10" s="2" t="s">
        <v>17</v>
      </c>
      <c r="CA10" s="2" t="s">
        <v>17</v>
      </c>
      <c r="CB10" s="2" t="s">
        <v>17</v>
      </c>
      <c r="CC10" s="2" t="s">
        <v>17</v>
      </c>
      <c r="CD10" s="2" t="s">
        <v>17</v>
      </c>
      <c r="CE10" s="2" t="s">
        <v>1816</v>
      </c>
      <c r="CF10" s="2" t="s">
        <v>17</v>
      </c>
      <c r="CG10" s="2" t="s">
        <v>1817</v>
      </c>
      <c r="CH10" s="2" t="s">
        <v>1818</v>
      </c>
      <c r="CI10" s="2" t="s">
        <v>1819</v>
      </c>
      <c r="CJ10" s="2" t="s">
        <v>9</v>
      </c>
      <c r="CK10" s="2" t="s">
        <v>1820</v>
      </c>
      <c r="CL10" s="2" t="s">
        <v>1817</v>
      </c>
      <c r="CM10" s="2" t="s">
        <v>1821</v>
      </c>
      <c r="CN10" s="2" t="s">
        <v>1822</v>
      </c>
      <c r="CO10" s="2" t="s">
        <v>24</v>
      </c>
      <c r="CP10" s="2"/>
      <c r="CQ10" s="2">
        <v>117</v>
      </c>
      <c r="CR10" s="2" t="s">
        <v>375</v>
      </c>
      <c r="CS10" s="2">
        <v>2019</v>
      </c>
      <c r="CT10" s="2" t="s">
        <v>26</v>
      </c>
      <c r="CU10" s="2" t="s">
        <v>27</v>
      </c>
      <c r="CV10" s="2" t="s">
        <v>1823</v>
      </c>
      <c r="CW10" s="2" t="s">
        <v>1824</v>
      </c>
      <c r="CX10" s="2" t="s">
        <v>800</v>
      </c>
      <c r="CY10" s="2"/>
      <c r="CZ10" s="2">
        <v>92</v>
      </c>
      <c r="DA10" s="2" t="s">
        <v>375</v>
      </c>
      <c r="DB10" s="2">
        <v>2017</v>
      </c>
      <c r="DC10" s="2" t="s">
        <v>26</v>
      </c>
      <c r="DD10" s="2" t="s">
        <v>27</v>
      </c>
      <c r="DE10" s="2" t="s">
        <v>1825</v>
      </c>
      <c r="DF10" s="2" t="s">
        <v>1824</v>
      </c>
      <c r="DG10" s="2" t="s">
        <v>24</v>
      </c>
      <c r="DH10" s="2"/>
      <c r="DI10" s="2">
        <v>116</v>
      </c>
      <c r="DJ10" s="2" t="s">
        <v>375</v>
      </c>
      <c r="DK10" s="2">
        <v>2018</v>
      </c>
      <c r="DL10" s="2" t="s">
        <v>30</v>
      </c>
      <c r="DM10" s="2" t="s">
        <v>27</v>
      </c>
      <c r="DN10" s="2" t="s">
        <v>33</v>
      </c>
      <c r="DO10" s="2" t="s">
        <v>1826</v>
      </c>
      <c r="DP10" s="2"/>
      <c r="DQ10" s="2" t="s">
        <v>1827</v>
      </c>
      <c r="DR10" s="2" t="s">
        <v>1828</v>
      </c>
      <c r="DS10" s="2">
        <v>1</v>
      </c>
      <c r="DT10" s="2" t="s">
        <v>1829</v>
      </c>
      <c r="DU10" s="2" t="s">
        <v>1830</v>
      </c>
      <c r="DV10" s="2" t="s">
        <v>701</v>
      </c>
      <c r="DW10" s="2">
        <v>30005</v>
      </c>
      <c r="DX10" s="2" t="s">
        <v>1831</v>
      </c>
      <c r="DY10" s="2"/>
      <c r="DZ10" s="2" t="s">
        <v>1832</v>
      </c>
      <c r="EA10" s="2" t="s">
        <v>1828</v>
      </c>
      <c r="EB10" s="2" t="s">
        <v>1833</v>
      </c>
      <c r="EC10" s="2" t="s">
        <v>1834</v>
      </c>
      <c r="ED10" s="2" t="s">
        <v>44</v>
      </c>
      <c r="EE10" s="2">
        <v>100</v>
      </c>
      <c r="EF10" s="2" t="s">
        <v>390</v>
      </c>
      <c r="EG10" s="2">
        <v>8</v>
      </c>
      <c r="EH10" s="2" t="s">
        <v>46</v>
      </c>
      <c r="EI10" s="2" t="s">
        <v>47</v>
      </c>
      <c r="EJ10" s="2" t="s">
        <v>1821</v>
      </c>
      <c r="EK10" s="2" t="s">
        <v>1822</v>
      </c>
      <c r="EL10" s="2" t="s">
        <v>44</v>
      </c>
      <c r="EM10" s="2">
        <v>117</v>
      </c>
      <c r="EN10" s="2" t="s">
        <v>390</v>
      </c>
      <c r="EO10" s="2">
        <v>4</v>
      </c>
      <c r="EP10" s="2" t="s">
        <v>46</v>
      </c>
      <c r="EQ10" s="2" t="s">
        <v>47</v>
      </c>
      <c r="ER10" s="2" t="s">
        <v>1826</v>
      </c>
      <c r="ES10" s="2"/>
      <c r="ET10" s="2" t="s">
        <v>1827</v>
      </c>
      <c r="EU10" s="2" t="s">
        <v>1816</v>
      </c>
      <c r="EV10" s="2" t="s">
        <v>1829</v>
      </c>
      <c r="EW10" s="2" t="s">
        <v>1835</v>
      </c>
      <c r="EX10" s="2" t="s">
        <v>701</v>
      </c>
      <c r="EY10" s="2">
        <v>30005</v>
      </c>
      <c r="EZ10" s="2" t="s">
        <v>1831</v>
      </c>
      <c r="FA10" s="2"/>
      <c r="FB10" s="2" t="s">
        <v>1832</v>
      </c>
      <c r="FC10" s="2" t="s">
        <v>1836</v>
      </c>
      <c r="FD10" s="2"/>
      <c r="FE10" s="2" t="s">
        <v>1837</v>
      </c>
      <c r="FF10" s="2" t="s">
        <v>1816</v>
      </c>
      <c r="FG10" s="2" t="s">
        <v>1838</v>
      </c>
      <c r="FH10" s="2" t="s">
        <v>1839</v>
      </c>
      <c r="FI10" s="2" t="s">
        <v>39</v>
      </c>
      <c r="FJ10" s="2">
        <v>33411</v>
      </c>
      <c r="FK10" s="2" t="s">
        <v>1840</v>
      </c>
      <c r="FL10" s="2"/>
      <c r="FM10" s="2" t="s">
        <v>1841</v>
      </c>
      <c r="FN10" s="2" t="s">
        <v>1842</v>
      </c>
      <c r="FO10" s="2" t="s">
        <v>63</v>
      </c>
      <c r="FP10" s="2" t="s">
        <v>64</v>
      </c>
      <c r="FQ10" s="2" t="s">
        <v>9</v>
      </c>
      <c r="FR10" s="2" t="s">
        <v>17</v>
      </c>
      <c r="FS10" s="2" t="s">
        <v>17</v>
      </c>
      <c r="FT10" s="2" t="s">
        <v>9</v>
      </c>
      <c r="FU10" s="2">
        <v>0</v>
      </c>
      <c r="FV10" s="2">
        <v>0</v>
      </c>
      <c r="FW10" s="4">
        <v>0</v>
      </c>
      <c r="FX10" s="4">
        <v>0</v>
      </c>
      <c r="FY10" s="2" t="s">
        <v>65</v>
      </c>
      <c r="FZ10" s="2" t="s">
        <v>66</v>
      </c>
      <c r="GA10" s="2" t="s">
        <v>67</v>
      </c>
      <c r="GB10" s="2"/>
      <c r="GC10" s="2"/>
      <c r="GD10" s="2"/>
      <c r="GE10" s="2" t="s">
        <v>108</v>
      </c>
      <c r="GF10" s="2"/>
      <c r="GG10" s="2"/>
      <c r="GH10" s="2"/>
      <c r="GI10" s="2">
        <v>80</v>
      </c>
      <c r="GJ10" s="2"/>
      <c r="GK10" s="2"/>
      <c r="GL10" s="2"/>
      <c r="GM10" s="2"/>
      <c r="GN10" s="2"/>
      <c r="GO10" s="2"/>
      <c r="GP10" s="2"/>
      <c r="GQ10" s="2">
        <v>80</v>
      </c>
      <c r="GR10" s="2" t="s">
        <v>1773</v>
      </c>
      <c r="GS10" s="2" t="s">
        <v>70</v>
      </c>
      <c r="GT10" s="2" t="s">
        <v>1843</v>
      </c>
      <c r="GU10" s="2" t="s">
        <v>1844</v>
      </c>
      <c r="GV10" s="2" t="s">
        <v>17</v>
      </c>
      <c r="GW10" s="2">
        <v>28.346581</v>
      </c>
      <c r="GX10" s="2">
        <v>-82.187034999999995</v>
      </c>
      <c r="GY10" s="2"/>
      <c r="GZ10" s="2" t="s">
        <v>17</v>
      </c>
      <c r="HA10" s="2" t="s">
        <v>17</v>
      </c>
      <c r="HB10" s="2">
        <v>0</v>
      </c>
      <c r="HC10" s="2" t="s">
        <v>17</v>
      </c>
      <c r="HD10" s="2"/>
      <c r="HE10" s="2">
        <v>0</v>
      </c>
      <c r="HF10" s="2">
        <v>28.344487999999998</v>
      </c>
      <c r="HG10" s="2">
        <v>-82.187268000000003</v>
      </c>
      <c r="HH10" s="2">
        <v>0.15</v>
      </c>
      <c r="HI10" s="2">
        <v>2</v>
      </c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 t="s">
        <v>73</v>
      </c>
      <c r="HY10" s="2" t="s">
        <v>17</v>
      </c>
      <c r="HZ10" s="2"/>
      <c r="IA10" s="2" t="s">
        <v>359</v>
      </c>
      <c r="IB10" s="2" t="s">
        <v>1845</v>
      </c>
      <c r="IC10" s="2">
        <v>0.31</v>
      </c>
      <c r="ID10" s="2">
        <v>3.5</v>
      </c>
      <c r="IE10" s="2"/>
      <c r="IF10" s="2"/>
      <c r="IG10" s="2"/>
      <c r="IH10" s="2" t="s">
        <v>527</v>
      </c>
      <c r="II10" s="2">
        <v>0.22</v>
      </c>
      <c r="IJ10" s="2">
        <v>4</v>
      </c>
      <c r="IK10" s="2" t="s">
        <v>1846</v>
      </c>
      <c r="IL10" s="2" t="s">
        <v>1847</v>
      </c>
      <c r="IM10" s="2">
        <v>1.19</v>
      </c>
      <c r="IN10" s="2">
        <v>2.5</v>
      </c>
      <c r="IO10" s="2" t="s">
        <v>17</v>
      </c>
      <c r="IP10" s="2">
        <v>2</v>
      </c>
      <c r="IQ10" s="2">
        <v>10</v>
      </c>
      <c r="IR10" s="2">
        <v>0</v>
      </c>
      <c r="IS10" s="2">
        <v>12</v>
      </c>
      <c r="IT10" s="2" t="s">
        <v>17</v>
      </c>
      <c r="IU10" s="2" t="s">
        <v>17</v>
      </c>
      <c r="IV10" s="2" t="s">
        <v>17</v>
      </c>
      <c r="IW10" s="2" t="s">
        <v>9</v>
      </c>
      <c r="IX10" s="2" t="s">
        <v>9</v>
      </c>
      <c r="IY10" s="2">
        <v>12</v>
      </c>
      <c r="IZ10" s="2">
        <v>80</v>
      </c>
      <c r="JA10" s="2" t="s">
        <v>81</v>
      </c>
      <c r="JB10" s="2" t="s">
        <v>82</v>
      </c>
      <c r="JC10" s="2"/>
      <c r="JD10" s="2"/>
      <c r="JE10" s="2"/>
      <c r="JF10" s="2"/>
      <c r="JG10" s="2"/>
      <c r="JH10" s="7">
        <v>0</v>
      </c>
      <c r="JI10" s="2">
        <v>0</v>
      </c>
      <c r="JJ10" s="7">
        <v>0</v>
      </c>
      <c r="JK10" s="2">
        <v>0</v>
      </c>
      <c r="JL10" s="7">
        <v>0</v>
      </c>
      <c r="JM10" s="2">
        <v>12</v>
      </c>
      <c r="JN10" s="2"/>
      <c r="JO10" s="2"/>
      <c r="JP10" s="2">
        <v>50</v>
      </c>
      <c r="JQ10" s="2"/>
      <c r="JR10" s="2">
        <v>18</v>
      </c>
      <c r="JS10" s="2">
        <v>0</v>
      </c>
      <c r="JT10" s="2">
        <v>0</v>
      </c>
      <c r="JU10" s="2"/>
      <c r="JV10" s="2">
        <v>80</v>
      </c>
      <c r="JW10" s="4">
        <v>1</v>
      </c>
      <c r="JX10" s="2">
        <v>80</v>
      </c>
      <c r="JY10" s="4">
        <v>0.6</v>
      </c>
      <c r="JZ10" s="2">
        <v>0</v>
      </c>
      <c r="KA10" s="2"/>
      <c r="KB10" s="2"/>
      <c r="KC10" s="2"/>
      <c r="KD10" s="2"/>
      <c r="KE10" s="2"/>
      <c r="KF10" s="2"/>
      <c r="KG10" s="2"/>
      <c r="KH10" s="2">
        <v>10</v>
      </c>
      <c r="KI10" s="2"/>
      <c r="KJ10" s="2"/>
      <c r="KK10" s="2">
        <v>51</v>
      </c>
      <c r="KL10" s="2">
        <v>19</v>
      </c>
      <c r="KM10" s="2"/>
      <c r="KN10" s="2"/>
      <c r="KO10" s="2"/>
      <c r="KP10" s="2"/>
      <c r="KQ10" s="2" t="s">
        <v>83</v>
      </c>
      <c r="KR10" s="2" t="s">
        <v>73</v>
      </c>
      <c r="KS10" s="2"/>
      <c r="KT10" s="2">
        <v>1</v>
      </c>
      <c r="KU10" s="2" t="s">
        <v>84</v>
      </c>
      <c r="KV10" s="2" t="s">
        <v>85</v>
      </c>
      <c r="KW10" s="2" t="s">
        <v>530</v>
      </c>
      <c r="KX10" s="2" t="s">
        <v>17</v>
      </c>
      <c r="KY10" s="2" t="s">
        <v>17</v>
      </c>
      <c r="KZ10" s="2" t="s">
        <v>17</v>
      </c>
      <c r="LA10" s="2" t="s">
        <v>17</v>
      </c>
      <c r="LB10" s="2" t="s">
        <v>17</v>
      </c>
      <c r="LC10" s="2" t="s">
        <v>17</v>
      </c>
      <c r="LD10" s="2" t="s">
        <v>17</v>
      </c>
      <c r="LE10" s="2" t="s">
        <v>17</v>
      </c>
      <c r="LF10" s="2" t="s">
        <v>17</v>
      </c>
      <c r="LG10" s="2" t="s">
        <v>17</v>
      </c>
      <c r="LH10" s="2" t="s">
        <v>17</v>
      </c>
      <c r="LI10" s="2" t="s">
        <v>17</v>
      </c>
      <c r="LJ10" s="2" t="s">
        <v>87</v>
      </c>
      <c r="LK10" s="2" t="s">
        <v>17</v>
      </c>
      <c r="LL10" s="2" t="s">
        <v>17</v>
      </c>
      <c r="LM10" s="2">
        <v>0</v>
      </c>
      <c r="LN10" s="2" t="s">
        <v>9</v>
      </c>
      <c r="LO10" s="2" t="s">
        <v>9</v>
      </c>
      <c r="LP10" s="2" t="s">
        <v>9</v>
      </c>
      <c r="LQ10" s="2" t="s">
        <v>17</v>
      </c>
      <c r="LR10" s="2" t="s">
        <v>17</v>
      </c>
      <c r="LS10" s="2" t="s">
        <v>17</v>
      </c>
      <c r="LT10" s="2" t="s">
        <v>17</v>
      </c>
      <c r="LU10" s="2" t="s">
        <v>17</v>
      </c>
      <c r="LV10" s="2" t="s">
        <v>17</v>
      </c>
      <c r="LW10" s="2" t="s">
        <v>17</v>
      </c>
      <c r="LX10" s="2" t="s">
        <v>17</v>
      </c>
      <c r="LY10" s="5">
        <v>6400000</v>
      </c>
      <c r="LZ10" s="5">
        <v>0</v>
      </c>
      <c r="MA10" s="5">
        <v>7200000</v>
      </c>
      <c r="MB10" s="5">
        <v>0</v>
      </c>
      <c r="MC10" s="5">
        <v>0</v>
      </c>
      <c r="MD10" s="5">
        <v>0</v>
      </c>
      <c r="ME10" s="5">
        <v>8400000</v>
      </c>
      <c r="MF10" s="5">
        <v>0</v>
      </c>
      <c r="MG10" s="5">
        <v>0</v>
      </c>
      <c r="MH10" s="5">
        <v>0</v>
      </c>
      <c r="MI10" s="5">
        <v>0</v>
      </c>
      <c r="MJ10" s="5">
        <v>0</v>
      </c>
      <c r="MK10" s="5">
        <v>0</v>
      </c>
      <c r="ML10" s="2">
        <v>0</v>
      </c>
      <c r="MM10" s="5">
        <v>0</v>
      </c>
      <c r="MN10" s="5">
        <v>0</v>
      </c>
      <c r="MO10" s="2">
        <v>0</v>
      </c>
      <c r="MP10" s="2">
        <v>0</v>
      </c>
      <c r="MQ10" s="2">
        <v>0</v>
      </c>
      <c r="MR10" s="5">
        <v>2950000</v>
      </c>
      <c r="MS10" s="5">
        <v>0</v>
      </c>
      <c r="MT10" s="5">
        <v>4600000</v>
      </c>
      <c r="MU10" s="5">
        <v>0</v>
      </c>
      <c r="MV10" s="5">
        <v>0</v>
      </c>
      <c r="MW10" s="5">
        <v>0</v>
      </c>
      <c r="MX10" s="5">
        <v>0</v>
      </c>
      <c r="MY10" s="5">
        <v>2500000</v>
      </c>
      <c r="MZ10" s="5">
        <v>0</v>
      </c>
      <c r="NA10" s="5">
        <v>5000000</v>
      </c>
      <c r="NB10" s="5">
        <v>0</v>
      </c>
      <c r="NC10" s="5">
        <v>0</v>
      </c>
      <c r="ND10" s="5">
        <v>0</v>
      </c>
      <c r="NE10" s="5">
        <v>0</v>
      </c>
      <c r="NF10" s="5">
        <v>0</v>
      </c>
      <c r="NG10" s="5">
        <v>2142000</v>
      </c>
      <c r="NH10" s="5">
        <v>2142000</v>
      </c>
      <c r="NI10" s="5">
        <v>2142000</v>
      </c>
      <c r="NJ10" s="5">
        <v>0</v>
      </c>
      <c r="NK10" s="5"/>
      <c r="NL10" s="2" t="s">
        <v>17</v>
      </c>
      <c r="NM10" s="2" t="s">
        <v>17</v>
      </c>
      <c r="NN10" s="2"/>
      <c r="NO10" s="2" t="s">
        <v>17</v>
      </c>
      <c r="NP10" s="2"/>
      <c r="NQ10" s="2"/>
      <c r="NR10" s="2" t="s">
        <v>17</v>
      </c>
      <c r="NS10" s="2"/>
      <c r="NT10" s="2" t="s">
        <v>9</v>
      </c>
      <c r="NU10" s="2" t="s">
        <v>450</v>
      </c>
      <c r="NV10" s="2">
        <v>326.02</v>
      </c>
      <c r="NW10" s="2" t="s">
        <v>1848</v>
      </c>
      <c r="NX10" s="2" t="s">
        <v>9</v>
      </c>
      <c r="NY10" s="2" t="s">
        <v>119</v>
      </c>
      <c r="NZ10" s="2">
        <v>326.02</v>
      </c>
      <c r="OA10" s="2" t="s">
        <v>1849</v>
      </c>
      <c r="OB10" s="2" t="s">
        <v>1780</v>
      </c>
      <c r="OC10" s="2" t="s">
        <v>1780</v>
      </c>
      <c r="OD10" s="2" t="s">
        <v>17</v>
      </c>
      <c r="OE10" s="2" t="s">
        <v>119</v>
      </c>
      <c r="OF10" s="2" t="s">
        <v>17</v>
      </c>
      <c r="OG10" s="2" t="s">
        <v>9</v>
      </c>
      <c r="OH10" s="2" t="s">
        <v>92</v>
      </c>
      <c r="OI10" s="2"/>
      <c r="OJ10" s="2"/>
      <c r="OK10" s="2" t="s">
        <v>17</v>
      </c>
      <c r="OL10" s="2" t="s">
        <v>17</v>
      </c>
      <c r="OM10" s="2" t="s">
        <v>85</v>
      </c>
      <c r="ON10" s="6">
        <v>0</v>
      </c>
      <c r="OO10" s="6">
        <v>0</v>
      </c>
      <c r="OP10" s="2" t="s">
        <v>93</v>
      </c>
      <c r="OQ10" s="2" t="s">
        <v>93</v>
      </c>
      <c r="OR10" s="6">
        <v>0</v>
      </c>
      <c r="OS10" s="4">
        <v>0</v>
      </c>
      <c r="OT10" s="2" t="s">
        <v>17</v>
      </c>
      <c r="OU10" s="2" t="s">
        <v>17</v>
      </c>
      <c r="OV10" s="2"/>
      <c r="OW10" s="2"/>
      <c r="OX10" s="5">
        <v>14256081</v>
      </c>
      <c r="OY10" s="6">
        <v>178201.01</v>
      </c>
      <c r="OZ10" s="2"/>
      <c r="PA10" s="2"/>
      <c r="PB10" s="8">
        <v>15200000</v>
      </c>
      <c r="PC10" s="2"/>
      <c r="PD10" s="8">
        <v>15200000</v>
      </c>
      <c r="PE10" s="2"/>
      <c r="PF10" s="2"/>
      <c r="PG10" s="2"/>
      <c r="PH10" s="2"/>
      <c r="PI10" s="2"/>
      <c r="PJ10" s="2"/>
      <c r="PK10" s="8">
        <v>15200000</v>
      </c>
      <c r="PL10" s="2"/>
      <c r="PM10" s="8">
        <v>15200000</v>
      </c>
      <c r="PN10" s="8">
        <v>2128000</v>
      </c>
      <c r="PO10" s="2"/>
      <c r="PP10" s="8">
        <v>2128000</v>
      </c>
      <c r="PQ10" s="6">
        <v>2128000</v>
      </c>
      <c r="PR10" s="8">
        <v>17328000</v>
      </c>
      <c r="PS10" s="2"/>
      <c r="PT10" s="8">
        <v>17328000</v>
      </c>
      <c r="PU10" s="8">
        <v>866400</v>
      </c>
      <c r="PV10" s="2"/>
      <c r="PW10" s="8">
        <v>866400</v>
      </c>
      <c r="PX10" s="6">
        <v>866400</v>
      </c>
      <c r="PY10" s="8">
        <v>1062400</v>
      </c>
      <c r="PZ10" s="8">
        <v>75000</v>
      </c>
      <c r="QA10" s="8">
        <v>1137400</v>
      </c>
      <c r="QB10" s="8">
        <v>250000</v>
      </c>
      <c r="QC10" s="2"/>
      <c r="QD10" s="8">
        <v>250000</v>
      </c>
      <c r="QE10" s="8">
        <v>911560</v>
      </c>
      <c r="QF10" s="8">
        <v>150000</v>
      </c>
      <c r="QG10" s="8">
        <v>1061560</v>
      </c>
      <c r="QH10" s="2"/>
      <c r="QI10" s="8">
        <v>403780</v>
      </c>
      <c r="QJ10" s="8">
        <v>403780</v>
      </c>
      <c r="QK10" s="2"/>
      <c r="QL10" s="2"/>
      <c r="QM10" s="2"/>
      <c r="QN10" s="8">
        <v>175000</v>
      </c>
      <c r="QO10" s="2"/>
      <c r="QP10" s="8">
        <v>175000</v>
      </c>
      <c r="QQ10" s="8">
        <v>2398960</v>
      </c>
      <c r="QR10" s="8">
        <v>628780</v>
      </c>
      <c r="QS10" s="8">
        <v>3027740</v>
      </c>
      <c r="QT10" s="8">
        <v>151387</v>
      </c>
      <c r="QU10" s="2"/>
      <c r="QV10" s="8">
        <v>151387</v>
      </c>
      <c r="QW10" s="6">
        <v>151387</v>
      </c>
      <c r="QX10" s="8">
        <v>971769</v>
      </c>
      <c r="QY10" s="8">
        <v>321587</v>
      </c>
      <c r="QZ10" s="8">
        <v>1293356</v>
      </c>
      <c r="RA10" s="8">
        <v>46500</v>
      </c>
      <c r="RB10" s="8">
        <v>46500</v>
      </c>
      <c r="RC10" s="2"/>
      <c r="RD10" s="2"/>
      <c r="RE10" s="2"/>
      <c r="RF10" s="8">
        <v>971769</v>
      </c>
      <c r="RG10" s="8">
        <v>368087</v>
      </c>
      <c r="RH10" s="8">
        <v>1339856</v>
      </c>
      <c r="RI10" s="2"/>
      <c r="RJ10" s="2"/>
      <c r="RK10" s="2"/>
      <c r="RL10" s="2"/>
      <c r="RM10" s="8">
        <v>21716516</v>
      </c>
      <c r="RN10" s="8">
        <v>996867</v>
      </c>
      <c r="RO10" s="8">
        <v>22713383</v>
      </c>
      <c r="RP10" s="2"/>
      <c r="RQ10" s="2"/>
      <c r="RR10" s="2">
        <v>0</v>
      </c>
      <c r="RS10" s="6">
        <v>0</v>
      </c>
      <c r="RT10" s="8">
        <v>3634141</v>
      </c>
      <c r="RU10" s="2"/>
      <c r="RV10" s="8">
        <v>3634141</v>
      </c>
      <c r="RW10" s="6">
        <v>3634141</v>
      </c>
      <c r="RX10" s="6">
        <v>0</v>
      </c>
      <c r="RY10" s="8">
        <v>3634141</v>
      </c>
      <c r="RZ10" s="2"/>
      <c r="SA10" s="8">
        <v>3634141</v>
      </c>
      <c r="SB10" s="6">
        <v>3634141</v>
      </c>
      <c r="SC10" s="2"/>
      <c r="SD10" s="2"/>
      <c r="SE10" s="6">
        <v>280000</v>
      </c>
      <c r="SF10" s="8">
        <v>1350000</v>
      </c>
      <c r="SG10" s="8">
        <v>1350000</v>
      </c>
      <c r="SH10" s="8">
        <v>25350657</v>
      </c>
      <c r="SI10" s="8">
        <v>2346867</v>
      </c>
      <c r="SJ10" s="8">
        <v>27697524</v>
      </c>
      <c r="SK10" s="2"/>
      <c r="SL10" s="2"/>
      <c r="SM10" s="2" t="s">
        <v>1850</v>
      </c>
      <c r="SN10" s="2"/>
      <c r="SO10" s="2"/>
      <c r="SP10" s="8">
        <v>22125255</v>
      </c>
      <c r="SQ10" s="2" t="s">
        <v>95</v>
      </c>
      <c r="SR10" s="2"/>
      <c r="SS10" s="2"/>
      <c r="ST10" s="2"/>
      <c r="SU10" s="2"/>
      <c r="SV10" s="2"/>
      <c r="SW10" s="2"/>
      <c r="SX10" s="2" t="s">
        <v>96</v>
      </c>
      <c r="SY10" s="2" t="s">
        <v>96</v>
      </c>
      <c r="SZ10" s="2" t="s">
        <v>96</v>
      </c>
      <c r="TA10" s="2" t="s">
        <v>96</v>
      </c>
      <c r="TB10" s="8">
        <v>6821588</v>
      </c>
      <c r="TC10" s="2"/>
      <c r="TD10" s="2"/>
      <c r="TE10" s="2"/>
      <c r="TF10" s="2"/>
      <c r="TG10" s="2"/>
      <c r="TH10" s="2"/>
      <c r="TI10" s="2">
        <v>0</v>
      </c>
      <c r="TJ10" s="8">
        <v>28946843</v>
      </c>
      <c r="TK10" s="8">
        <v>1249319</v>
      </c>
      <c r="TL10" s="2" t="s">
        <v>9</v>
      </c>
      <c r="TM10" s="8">
        <v>6200000</v>
      </c>
      <c r="TN10" s="2" t="s">
        <v>95</v>
      </c>
      <c r="TO10" s="2"/>
      <c r="TP10" s="2"/>
      <c r="TQ10" s="2"/>
      <c r="TR10" s="2"/>
      <c r="TS10" s="2"/>
      <c r="TT10" s="2"/>
      <c r="TU10" s="2" t="s">
        <v>96</v>
      </c>
      <c r="TV10" s="8">
        <v>19490251</v>
      </c>
      <c r="TW10" s="2"/>
      <c r="TX10" s="2"/>
      <c r="TY10" s="2"/>
      <c r="TZ10" s="2"/>
      <c r="UA10" s="2"/>
      <c r="UB10" s="2"/>
      <c r="UC10" s="8">
        <v>2007273</v>
      </c>
      <c r="UD10" s="8">
        <v>27697524</v>
      </c>
      <c r="UE10" s="6">
        <v>6200000</v>
      </c>
      <c r="UF10" s="2">
        <v>0</v>
      </c>
      <c r="UG10" s="2" t="s">
        <v>9</v>
      </c>
      <c r="UH10" s="2">
        <v>80</v>
      </c>
      <c r="UI10" s="5">
        <v>270000</v>
      </c>
      <c r="UJ10" s="6">
        <v>360000</v>
      </c>
      <c r="UK10" s="6">
        <v>360000</v>
      </c>
      <c r="UL10" s="6">
        <v>381600</v>
      </c>
      <c r="UM10" s="6">
        <v>30528000</v>
      </c>
      <c r="UN10" s="6">
        <v>4884480</v>
      </c>
      <c r="UO10" s="6">
        <v>4884480</v>
      </c>
      <c r="UP10" s="6">
        <v>35412480</v>
      </c>
      <c r="UQ10" s="6">
        <v>26347524</v>
      </c>
      <c r="UR10" s="2"/>
      <c r="US10" s="2"/>
      <c r="UT10" s="6">
        <v>0</v>
      </c>
      <c r="UU10" s="2"/>
      <c r="UV10" s="6">
        <v>0</v>
      </c>
      <c r="UW10" s="6">
        <v>0</v>
      </c>
      <c r="UX10" s="6">
        <v>0</v>
      </c>
      <c r="UY10" s="6">
        <v>0</v>
      </c>
      <c r="UZ10" s="2"/>
      <c r="VA10" s="2"/>
      <c r="VB10" s="2"/>
      <c r="VC10" s="2"/>
      <c r="VD10" s="2" t="s">
        <v>17</v>
      </c>
      <c r="VE10" s="2" t="s">
        <v>17</v>
      </c>
      <c r="VF10" s="2"/>
      <c r="VG10" s="2" t="s">
        <v>17</v>
      </c>
      <c r="VH10" s="2"/>
      <c r="VI10" s="388" t="s">
        <v>1820</v>
      </c>
      <c r="VJ10" s="2" t="s">
        <v>98</v>
      </c>
      <c r="VK10" s="2" t="s">
        <v>1851</v>
      </c>
      <c r="VL10" s="23">
        <f t="shared" si="0"/>
        <v>169</v>
      </c>
      <c r="VM10" s="17">
        <f t="shared" si="1"/>
        <v>2.1124999999999998</v>
      </c>
      <c r="VN10" s="17" t="str">
        <f t="shared" si="12"/>
        <v>NC-MR-F</v>
      </c>
      <c r="VO10" s="17" t="str">
        <f t="shared" si="13"/>
        <v>NC-MR-F-ESS</v>
      </c>
      <c r="VP10" s="12">
        <v>9</v>
      </c>
      <c r="VQ10" s="57">
        <v>1</v>
      </c>
      <c r="VR10" s="57">
        <f t="shared" si="2"/>
        <v>1</v>
      </c>
      <c r="VS10" s="14">
        <f t="shared" si="3"/>
        <v>1</v>
      </c>
      <c r="VT10" s="12">
        <f t="shared" si="4"/>
        <v>0.9020999999999999</v>
      </c>
      <c r="VU10" s="16">
        <f t="shared" si="5"/>
        <v>17390683.799999997</v>
      </c>
      <c r="VV10" s="16">
        <f t="shared" si="6"/>
        <v>217383.54749999996</v>
      </c>
      <c r="VW10" s="12" t="str">
        <f t="shared" si="14"/>
        <v>A</v>
      </c>
      <c r="VX10" s="12" t="str">
        <f t="shared" si="15"/>
        <v>NC-MR-ESS</v>
      </c>
      <c r="VY10" s="351">
        <f t="shared" si="16"/>
        <v>2</v>
      </c>
      <c r="WA10" s="12">
        <f t="shared" si="17"/>
        <v>0</v>
      </c>
      <c r="WB10" s="12">
        <f t="shared" si="18"/>
        <v>0</v>
      </c>
      <c r="WC10" s="12">
        <f t="shared" si="18"/>
        <v>0</v>
      </c>
      <c r="WD10" s="12">
        <f t="shared" si="18"/>
        <v>0</v>
      </c>
      <c r="WE10" s="12">
        <f t="shared" si="19"/>
        <v>1</v>
      </c>
      <c r="WF10" s="12">
        <f t="shared" si="7"/>
        <v>0</v>
      </c>
      <c r="WG10" s="12">
        <f t="shared" si="8"/>
        <v>1</v>
      </c>
      <c r="WH10" s="12">
        <f t="shared" si="9"/>
        <v>0</v>
      </c>
      <c r="WI10" s="31">
        <f t="shared" si="10"/>
        <v>2</v>
      </c>
      <c r="WJ10" s="2"/>
      <c r="WK10" s="446" t="str">
        <f t="shared" si="11"/>
        <v>NC-MR-ESS-BBN-BRN-NPH-F</v>
      </c>
      <c r="WL10" s="446"/>
      <c r="WM10" s="446"/>
      <c r="WN10" s="12"/>
      <c r="WO10" s="381" t="s">
        <v>4945</v>
      </c>
      <c r="WP10" s="206">
        <f>COUNTIF($WA$2:$WA$72,"=1")</f>
        <v>18</v>
      </c>
      <c r="WQ10" s="204">
        <f>COUNTIF($WB$2:$WB$72,"=1")</f>
        <v>0</v>
      </c>
      <c r="WR10" s="204">
        <f>COUNTIF($WC$2:$WC$72,"=1")</f>
        <v>0</v>
      </c>
      <c r="WS10" s="204">
        <f>COUNTIF($WD$2:$WD$72,"=1")</f>
        <v>10</v>
      </c>
      <c r="WT10" s="204">
        <f>COUNTIF($WF$2:$WF$72,"=1")</f>
        <v>50</v>
      </c>
      <c r="WU10" s="204">
        <f>COUNTIF($WG$2:$WG$72,"=1")</f>
        <v>20</v>
      </c>
      <c r="WV10" s="204">
        <f>COUNTIF($WH$2:$WH$72,"=1")</f>
        <v>0</v>
      </c>
      <c r="WW10" s="208">
        <f>COUNTIF($WE$2:$WE$72,"=1")</f>
        <v>34</v>
      </c>
      <c r="WX10" s="385"/>
    </row>
    <row r="11" spans="1:622" x14ac:dyDescent="0.25">
      <c r="A11" s="2">
        <v>9495</v>
      </c>
      <c r="B11" s="2" t="s">
        <v>1082</v>
      </c>
      <c r="C11" s="2" t="s">
        <v>8</v>
      </c>
      <c r="D11" s="3">
        <v>45153</v>
      </c>
      <c r="E11" s="2" t="s">
        <v>9</v>
      </c>
      <c r="F11" s="2">
        <v>3</v>
      </c>
      <c r="G11" s="2" t="s">
        <v>9</v>
      </c>
      <c r="H11" s="2">
        <v>3</v>
      </c>
      <c r="I11" s="2" t="s">
        <v>9</v>
      </c>
      <c r="J11" s="2">
        <v>2</v>
      </c>
      <c r="K11" s="2" t="s">
        <v>9</v>
      </c>
      <c r="L11" s="2">
        <v>3</v>
      </c>
      <c r="M11" s="2" t="s">
        <v>10</v>
      </c>
      <c r="N11" s="2">
        <v>0</v>
      </c>
      <c r="O11" s="2" t="s">
        <v>10</v>
      </c>
      <c r="P11" s="2">
        <v>0</v>
      </c>
      <c r="Q11" s="2" t="s">
        <v>11</v>
      </c>
      <c r="R11" s="2">
        <v>0</v>
      </c>
      <c r="S11" s="2" t="s">
        <v>9</v>
      </c>
      <c r="T11" s="2">
        <v>2</v>
      </c>
      <c r="U11" s="2" t="s">
        <v>9</v>
      </c>
      <c r="V11" s="2">
        <v>2</v>
      </c>
      <c r="W11" s="2" t="s">
        <v>9</v>
      </c>
      <c r="X11" s="2">
        <v>2</v>
      </c>
      <c r="Y11" s="2" t="s">
        <v>12</v>
      </c>
      <c r="Z11" s="2" t="s">
        <v>15</v>
      </c>
      <c r="AA11" s="2" t="s">
        <v>15</v>
      </c>
      <c r="AB11" s="2" t="s">
        <v>15</v>
      </c>
      <c r="AC11" s="2" t="s">
        <v>15</v>
      </c>
      <c r="AD11" s="2" t="s">
        <v>15</v>
      </c>
      <c r="AE11" s="2" t="s">
        <v>15</v>
      </c>
      <c r="AF11" s="2">
        <v>0</v>
      </c>
      <c r="AG11" s="2" t="s">
        <v>234</v>
      </c>
      <c r="AH11" s="2" t="s">
        <v>17</v>
      </c>
      <c r="AI11" s="4">
        <v>0.15476000000000001</v>
      </c>
      <c r="AJ11" s="2" t="s">
        <v>17</v>
      </c>
      <c r="AK11" s="2" t="s">
        <v>9</v>
      </c>
      <c r="AL11" s="2" t="s">
        <v>17</v>
      </c>
      <c r="AM11" s="2" t="s">
        <v>9</v>
      </c>
      <c r="AN11" s="2" t="s">
        <v>17</v>
      </c>
      <c r="AO11" s="2" t="s">
        <v>17</v>
      </c>
      <c r="AP11" s="2" t="s">
        <v>17</v>
      </c>
      <c r="AQ11" s="2" t="s">
        <v>17</v>
      </c>
      <c r="AR11" s="2" t="s">
        <v>17</v>
      </c>
      <c r="AS11" s="2" t="s">
        <v>17</v>
      </c>
      <c r="AT11" s="2">
        <v>0</v>
      </c>
      <c r="AU11" s="5">
        <v>37500</v>
      </c>
      <c r="AV11" s="5">
        <v>460000</v>
      </c>
      <c r="AW11" s="2">
        <v>0</v>
      </c>
      <c r="AX11" s="2">
        <v>10</v>
      </c>
      <c r="AY11" s="2">
        <v>0</v>
      </c>
      <c r="AZ11" s="2">
        <v>18</v>
      </c>
      <c r="BA11" s="2">
        <v>0</v>
      </c>
      <c r="BB11" s="2">
        <v>1</v>
      </c>
      <c r="BC11" s="2">
        <v>0</v>
      </c>
      <c r="BD11" s="2">
        <v>0</v>
      </c>
      <c r="BE11" s="2">
        <v>0</v>
      </c>
      <c r="BF11" s="2">
        <v>1</v>
      </c>
      <c r="BG11" s="2">
        <v>0</v>
      </c>
      <c r="BH11" s="2">
        <v>0</v>
      </c>
      <c r="BI11" s="2">
        <v>13</v>
      </c>
      <c r="BJ11" s="2">
        <v>1</v>
      </c>
      <c r="BK11" s="2">
        <v>0</v>
      </c>
      <c r="BL11" s="2">
        <v>3</v>
      </c>
      <c r="BM11" s="2">
        <v>0</v>
      </c>
      <c r="BN11" s="2">
        <v>11</v>
      </c>
      <c r="BO11" s="2">
        <v>11</v>
      </c>
      <c r="BP11" s="2">
        <v>0</v>
      </c>
      <c r="BQ11" s="2">
        <v>10</v>
      </c>
      <c r="BR11" s="2">
        <v>12.83</v>
      </c>
      <c r="BS11" s="2">
        <v>0</v>
      </c>
      <c r="BT11" s="4">
        <v>0.06</v>
      </c>
      <c r="BU11" s="2" t="s">
        <v>9</v>
      </c>
      <c r="BV11" s="6">
        <v>183691.8</v>
      </c>
      <c r="BW11" s="2" t="s">
        <v>18</v>
      </c>
      <c r="BX11" s="2" t="s">
        <v>17</v>
      </c>
      <c r="BY11" s="2" t="s">
        <v>17</v>
      </c>
      <c r="BZ11" s="2" t="s">
        <v>17</v>
      </c>
      <c r="CA11" s="2" t="s">
        <v>17</v>
      </c>
      <c r="CB11" s="2" t="s">
        <v>17</v>
      </c>
      <c r="CC11" s="2" t="s">
        <v>17</v>
      </c>
      <c r="CD11" s="2" t="s">
        <v>17</v>
      </c>
      <c r="CE11" s="2" t="s">
        <v>1083</v>
      </c>
      <c r="CF11" s="2" t="s">
        <v>17</v>
      </c>
      <c r="CG11" s="2" t="s">
        <v>1084</v>
      </c>
      <c r="CH11" s="2"/>
      <c r="CI11" s="2"/>
      <c r="CJ11" s="2" t="s">
        <v>9</v>
      </c>
      <c r="CK11" s="2" t="s">
        <v>1085</v>
      </c>
      <c r="CL11" s="2" t="s">
        <v>1086</v>
      </c>
      <c r="CM11" s="2" t="s">
        <v>1087</v>
      </c>
      <c r="CN11" s="2" t="s">
        <v>147</v>
      </c>
      <c r="CO11" s="2" t="s">
        <v>24</v>
      </c>
      <c r="CP11" s="2"/>
      <c r="CQ11" s="2">
        <v>112</v>
      </c>
      <c r="CR11" s="2" t="s">
        <v>461</v>
      </c>
      <c r="CS11" s="2">
        <v>2014</v>
      </c>
      <c r="CT11" s="2" t="s">
        <v>26</v>
      </c>
      <c r="CU11" s="2" t="s">
        <v>27</v>
      </c>
      <c r="CV11" s="2" t="s">
        <v>1088</v>
      </c>
      <c r="CW11" s="2" t="s">
        <v>1089</v>
      </c>
      <c r="CX11" s="2" t="s">
        <v>24</v>
      </c>
      <c r="CY11" s="2"/>
      <c r="CZ11" s="2">
        <v>73</v>
      </c>
      <c r="DA11" s="2" t="s">
        <v>461</v>
      </c>
      <c r="DB11" s="2">
        <v>2017</v>
      </c>
      <c r="DC11" s="2" t="s">
        <v>30</v>
      </c>
      <c r="DD11" s="2" t="s">
        <v>27</v>
      </c>
      <c r="DE11" s="2" t="s">
        <v>1090</v>
      </c>
      <c r="DF11" s="2" t="s">
        <v>330</v>
      </c>
      <c r="DG11" s="2" t="s">
        <v>24</v>
      </c>
      <c r="DH11" s="2"/>
      <c r="DI11" s="2">
        <v>99</v>
      </c>
      <c r="DJ11" s="2" t="s">
        <v>461</v>
      </c>
      <c r="DK11" s="2">
        <v>2012</v>
      </c>
      <c r="DL11" s="2" t="s">
        <v>243</v>
      </c>
      <c r="DM11" s="2" t="s">
        <v>27</v>
      </c>
      <c r="DN11" s="2" t="s">
        <v>33</v>
      </c>
      <c r="DO11" s="2" t="s">
        <v>1091</v>
      </c>
      <c r="DP11" s="2"/>
      <c r="DQ11" s="2" t="s">
        <v>1092</v>
      </c>
      <c r="DR11" s="2" t="s">
        <v>1093</v>
      </c>
      <c r="DS11" s="2">
        <v>1</v>
      </c>
      <c r="DT11" s="2" t="s">
        <v>1094</v>
      </c>
      <c r="DU11" s="2" t="s">
        <v>1095</v>
      </c>
      <c r="DV11" s="2" t="s">
        <v>260</v>
      </c>
      <c r="DW11" s="2">
        <v>77024</v>
      </c>
      <c r="DX11" s="2" t="s">
        <v>1096</v>
      </c>
      <c r="DY11" s="2"/>
      <c r="DZ11" s="2" t="s">
        <v>1097</v>
      </c>
      <c r="EA11" s="2" t="s">
        <v>1093</v>
      </c>
      <c r="EB11" s="2" t="s">
        <v>1098</v>
      </c>
      <c r="EC11" s="2" t="s">
        <v>333</v>
      </c>
      <c r="ED11" s="2" t="s">
        <v>44</v>
      </c>
      <c r="EE11" s="2">
        <v>188</v>
      </c>
      <c r="EF11" s="2" t="s">
        <v>473</v>
      </c>
      <c r="EG11" s="2">
        <v>7</v>
      </c>
      <c r="EH11" s="2" t="s">
        <v>46</v>
      </c>
      <c r="EI11" s="2" t="s">
        <v>47</v>
      </c>
      <c r="EJ11" s="2" t="s">
        <v>1099</v>
      </c>
      <c r="EK11" s="2" t="s">
        <v>389</v>
      </c>
      <c r="EL11" s="2" t="s">
        <v>44</v>
      </c>
      <c r="EM11" s="2">
        <v>160</v>
      </c>
      <c r="EN11" s="2" t="s">
        <v>473</v>
      </c>
      <c r="EO11" s="2">
        <v>3</v>
      </c>
      <c r="EP11" s="2" t="s">
        <v>46</v>
      </c>
      <c r="EQ11" s="2" t="s">
        <v>47</v>
      </c>
      <c r="ER11" s="2" t="s">
        <v>1100</v>
      </c>
      <c r="ES11" s="2" t="s">
        <v>951</v>
      </c>
      <c r="ET11" s="2" t="s">
        <v>1101</v>
      </c>
      <c r="EU11" s="2" t="s">
        <v>1102</v>
      </c>
      <c r="EV11" s="2" t="s">
        <v>1103</v>
      </c>
      <c r="EW11" s="2" t="s">
        <v>299</v>
      </c>
      <c r="EX11" s="2" t="s">
        <v>39</v>
      </c>
      <c r="EY11" s="2">
        <v>33131</v>
      </c>
      <c r="EZ11" s="2" t="s">
        <v>1104</v>
      </c>
      <c r="FA11" s="2"/>
      <c r="FB11" s="2" t="s">
        <v>1105</v>
      </c>
      <c r="FC11" s="2" t="s">
        <v>1106</v>
      </c>
      <c r="FD11" s="2"/>
      <c r="FE11" s="2" t="s">
        <v>1107</v>
      </c>
      <c r="FF11" s="2" t="s">
        <v>1108</v>
      </c>
      <c r="FG11" s="2" t="s">
        <v>1103</v>
      </c>
      <c r="FH11" s="2" t="s">
        <v>299</v>
      </c>
      <c r="FI11" s="2" t="s">
        <v>39</v>
      </c>
      <c r="FJ11" s="2">
        <v>33131</v>
      </c>
      <c r="FK11" s="2" t="s">
        <v>1109</v>
      </c>
      <c r="FL11" s="2"/>
      <c r="FM11" s="2" t="s">
        <v>1110</v>
      </c>
      <c r="FN11" s="2" t="s">
        <v>1111</v>
      </c>
      <c r="FO11" s="2" t="s">
        <v>63</v>
      </c>
      <c r="FP11" s="2" t="s">
        <v>64</v>
      </c>
      <c r="FQ11" s="2" t="s">
        <v>9</v>
      </c>
      <c r="FR11" s="2" t="s">
        <v>17</v>
      </c>
      <c r="FS11" s="2" t="s">
        <v>17</v>
      </c>
      <c r="FT11" s="2" t="s">
        <v>9</v>
      </c>
      <c r="FU11" s="2">
        <v>0</v>
      </c>
      <c r="FV11" s="2">
        <v>0</v>
      </c>
      <c r="FW11" s="4">
        <v>0</v>
      </c>
      <c r="FX11" s="4">
        <v>0</v>
      </c>
      <c r="FY11" s="2" t="s">
        <v>65</v>
      </c>
      <c r="FZ11" s="2" t="s">
        <v>66</v>
      </c>
      <c r="GA11" s="2" t="s">
        <v>67</v>
      </c>
      <c r="GB11" s="2"/>
      <c r="GC11" s="2"/>
      <c r="GD11" s="2"/>
      <c r="GE11" s="2" t="s">
        <v>68</v>
      </c>
      <c r="GF11" s="2">
        <v>84</v>
      </c>
      <c r="GG11" s="2">
        <v>84</v>
      </c>
      <c r="GH11" s="2"/>
      <c r="GI11" s="2"/>
      <c r="GJ11" s="2"/>
      <c r="GK11" s="2"/>
      <c r="GL11" s="2"/>
      <c r="GM11" s="2"/>
      <c r="GN11" s="2"/>
      <c r="GO11" s="2"/>
      <c r="GP11" s="2"/>
      <c r="GQ11" s="2">
        <v>84</v>
      </c>
      <c r="GR11" s="2" t="s">
        <v>1112</v>
      </c>
      <c r="GS11" s="2" t="s">
        <v>70</v>
      </c>
      <c r="GT11" s="2" t="s">
        <v>1113</v>
      </c>
      <c r="GU11" s="2" t="s">
        <v>1114</v>
      </c>
      <c r="GV11" s="2" t="s">
        <v>17</v>
      </c>
      <c r="GW11" s="2">
        <v>26.229286999999999</v>
      </c>
      <c r="GX11" s="2">
        <v>-81.608129000000005</v>
      </c>
      <c r="GY11" s="2"/>
      <c r="GZ11" s="2" t="s">
        <v>17</v>
      </c>
      <c r="HA11" s="2" t="s">
        <v>17</v>
      </c>
      <c r="HB11" s="2">
        <v>0</v>
      </c>
      <c r="HC11" s="2" t="s">
        <v>17</v>
      </c>
      <c r="HD11" s="2"/>
      <c r="HE11" s="2">
        <v>0</v>
      </c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 t="s">
        <v>73</v>
      </c>
      <c r="HY11" s="2" t="s">
        <v>17</v>
      </c>
      <c r="HZ11" s="2"/>
      <c r="IA11" s="2" t="s">
        <v>1115</v>
      </c>
      <c r="IB11" s="2" t="s">
        <v>1116</v>
      </c>
      <c r="IC11" s="2">
        <v>0.15</v>
      </c>
      <c r="ID11" s="2">
        <v>4</v>
      </c>
      <c r="IE11" s="2" t="s">
        <v>1117</v>
      </c>
      <c r="IF11" s="2">
        <v>0.13</v>
      </c>
      <c r="IG11" s="2">
        <v>4</v>
      </c>
      <c r="IH11" s="2" t="s">
        <v>1118</v>
      </c>
      <c r="II11" s="2">
        <v>0.06</v>
      </c>
      <c r="IJ11" s="2">
        <v>4</v>
      </c>
      <c r="IK11" s="2"/>
      <c r="IL11" s="2"/>
      <c r="IM11" s="2"/>
      <c r="IN11" s="2"/>
      <c r="IO11" s="2" t="s">
        <v>17</v>
      </c>
      <c r="IP11" s="2">
        <v>0</v>
      </c>
      <c r="IQ11" s="2">
        <v>12</v>
      </c>
      <c r="IR11" s="2">
        <v>0</v>
      </c>
      <c r="IS11" s="2">
        <v>12</v>
      </c>
      <c r="IT11" s="2" t="s">
        <v>17</v>
      </c>
      <c r="IU11" s="2" t="s">
        <v>17</v>
      </c>
      <c r="IV11" s="2" t="s">
        <v>17</v>
      </c>
      <c r="IW11" s="2" t="s">
        <v>9</v>
      </c>
      <c r="IX11" s="2" t="s">
        <v>9</v>
      </c>
      <c r="IY11" s="2">
        <v>12</v>
      </c>
      <c r="IZ11" s="2">
        <v>84</v>
      </c>
      <c r="JA11" s="2" t="s">
        <v>81</v>
      </c>
      <c r="JB11" s="2" t="s">
        <v>82</v>
      </c>
      <c r="JC11" s="2"/>
      <c r="JD11" s="2"/>
      <c r="JE11" s="2"/>
      <c r="JF11" s="2"/>
      <c r="JG11" s="2"/>
      <c r="JH11" s="7">
        <v>0</v>
      </c>
      <c r="JI11" s="2">
        <v>0</v>
      </c>
      <c r="JJ11" s="7">
        <v>0</v>
      </c>
      <c r="JK11" s="2">
        <v>0</v>
      </c>
      <c r="JL11" s="7">
        <v>0</v>
      </c>
      <c r="JM11" s="2">
        <v>13</v>
      </c>
      <c r="JN11" s="2"/>
      <c r="JO11" s="2">
        <v>9</v>
      </c>
      <c r="JP11" s="2">
        <v>38</v>
      </c>
      <c r="JQ11" s="2"/>
      <c r="JR11" s="2">
        <v>24</v>
      </c>
      <c r="JS11" s="2">
        <v>0</v>
      </c>
      <c r="JT11" s="2">
        <v>0</v>
      </c>
      <c r="JU11" s="2"/>
      <c r="JV11" s="2">
        <v>84</v>
      </c>
      <c r="JW11" s="4">
        <v>1</v>
      </c>
      <c r="JX11" s="2">
        <v>84</v>
      </c>
      <c r="JY11" s="4">
        <v>0.6</v>
      </c>
      <c r="JZ11" s="2">
        <v>0</v>
      </c>
      <c r="KA11" s="2"/>
      <c r="KB11" s="2"/>
      <c r="KC11" s="2"/>
      <c r="KD11" s="2"/>
      <c r="KE11" s="2"/>
      <c r="KF11" s="2"/>
      <c r="KG11" s="2"/>
      <c r="KH11" s="2">
        <v>48</v>
      </c>
      <c r="KI11" s="2"/>
      <c r="KJ11" s="2"/>
      <c r="KK11" s="2">
        <v>24</v>
      </c>
      <c r="KL11" s="2">
        <v>12</v>
      </c>
      <c r="KM11" s="2"/>
      <c r="KN11" s="2"/>
      <c r="KO11" s="2"/>
      <c r="KP11" s="2"/>
      <c r="KQ11" s="2" t="s">
        <v>83</v>
      </c>
      <c r="KR11" s="2" t="s">
        <v>73</v>
      </c>
      <c r="KS11" s="2"/>
      <c r="KT11" s="2">
        <v>3</v>
      </c>
      <c r="KU11" s="2" t="s">
        <v>84</v>
      </c>
      <c r="KV11" s="2" t="s">
        <v>85</v>
      </c>
      <c r="KW11" s="2" t="s">
        <v>86</v>
      </c>
      <c r="KX11" s="2" t="s">
        <v>17</v>
      </c>
      <c r="KY11" s="2" t="s">
        <v>17</v>
      </c>
      <c r="KZ11" s="2" t="s">
        <v>17</v>
      </c>
      <c r="LA11" s="2" t="s">
        <v>17</v>
      </c>
      <c r="LB11" s="2" t="s">
        <v>17</v>
      </c>
      <c r="LC11" s="2" t="s">
        <v>17</v>
      </c>
      <c r="LD11" s="2" t="s">
        <v>17</v>
      </c>
      <c r="LE11" s="2" t="s">
        <v>17</v>
      </c>
      <c r="LF11" s="2" t="s">
        <v>17</v>
      </c>
      <c r="LG11" s="2" t="s">
        <v>17</v>
      </c>
      <c r="LH11" s="2" t="s">
        <v>17</v>
      </c>
      <c r="LI11" s="2" t="s">
        <v>17</v>
      </c>
      <c r="LJ11" s="2" t="s">
        <v>87</v>
      </c>
      <c r="LK11" s="2" t="s">
        <v>17</v>
      </c>
      <c r="LL11" s="2" t="s">
        <v>17</v>
      </c>
      <c r="LM11" s="2">
        <v>0</v>
      </c>
      <c r="LN11" s="2" t="s">
        <v>17</v>
      </c>
      <c r="LO11" s="2" t="s">
        <v>9</v>
      </c>
      <c r="LP11" s="2" t="s">
        <v>9</v>
      </c>
      <c r="LQ11" s="2" t="s">
        <v>17</v>
      </c>
      <c r="LR11" s="2" t="s">
        <v>9</v>
      </c>
      <c r="LS11" s="2" t="s">
        <v>17</v>
      </c>
      <c r="LT11" s="2" t="s">
        <v>17</v>
      </c>
      <c r="LU11" s="2" t="s">
        <v>17</v>
      </c>
      <c r="LV11" s="2" t="s">
        <v>17</v>
      </c>
      <c r="LW11" s="2" t="s">
        <v>17</v>
      </c>
      <c r="LX11" s="2" t="s">
        <v>17</v>
      </c>
      <c r="LY11" s="5">
        <v>6500000</v>
      </c>
      <c r="LZ11" s="5">
        <v>0</v>
      </c>
      <c r="MA11" s="5">
        <v>7200000</v>
      </c>
      <c r="MB11" s="5">
        <v>0</v>
      </c>
      <c r="MC11" s="5">
        <v>0</v>
      </c>
      <c r="MD11" s="5">
        <v>0</v>
      </c>
      <c r="ME11" s="5">
        <v>8820000</v>
      </c>
      <c r="MF11" s="5">
        <v>0</v>
      </c>
      <c r="MG11" s="5">
        <v>0</v>
      </c>
      <c r="MH11" s="5">
        <v>0</v>
      </c>
      <c r="MI11" s="5">
        <v>0</v>
      </c>
      <c r="MJ11" s="5">
        <v>0</v>
      </c>
      <c r="MK11" s="5">
        <v>0</v>
      </c>
      <c r="ML11" s="2">
        <v>0</v>
      </c>
      <c r="MM11" s="5">
        <v>0</v>
      </c>
      <c r="MN11" s="5">
        <v>0</v>
      </c>
      <c r="MO11" s="2">
        <v>0</v>
      </c>
      <c r="MP11" s="2">
        <v>0</v>
      </c>
      <c r="MQ11" s="2">
        <v>0</v>
      </c>
      <c r="MR11" s="5">
        <v>2950000</v>
      </c>
      <c r="MS11" s="5">
        <v>0</v>
      </c>
      <c r="MT11" s="5">
        <v>4600000</v>
      </c>
      <c r="MU11" s="5">
        <v>0</v>
      </c>
      <c r="MV11" s="5">
        <v>0</v>
      </c>
      <c r="MW11" s="5">
        <v>0</v>
      </c>
      <c r="MX11" s="5">
        <v>0</v>
      </c>
      <c r="MY11" s="5">
        <v>2500000</v>
      </c>
      <c r="MZ11" s="5">
        <v>0</v>
      </c>
      <c r="NA11" s="5">
        <v>5000000</v>
      </c>
      <c r="NB11" s="5">
        <v>0</v>
      </c>
      <c r="NC11" s="5">
        <v>0</v>
      </c>
      <c r="ND11" s="5">
        <v>0</v>
      </c>
      <c r="NE11" s="5">
        <v>0</v>
      </c>
      <c r="NF11" s="5">
        <v>0</v>
      </c>
      <c r="NG11" s="5">
        <v>2142000</v>
      </c>
      <c r="NH11" s="5">
        <v>2142000</v>
      </c>
      <c r="NI11" s="5">
        <v>2142000</v>
      </c>
      <c r="NJ11" s="5">
        <v>0</v>
      </c>
      <c r="NK11" s="5"/>
      <c r="NL11" s="2" t="s">
        <v>9</v>
      </c>
      <c r="NM11" s="2" t="s">
        <v>17</v>
      </c>
      <c r="NN11" s="2"/>
      <c r="NO11" s="2" t="s">
        <v>9</v>
      </c>
      <c r="NP11" s="2">
        <v>34117</v>
      </c>
      <c r="NQ11" s="2" t="s">
        <v>1119</v>
      </c>
      <c r="NR11" s="2" t="s">
        <v>17</v>
      </c>
      <c r="NS11" s="2"/>
      <c r="NT11" s="2" t="s">
        <v>17</v>
      </c>
      <c r="NU11" s="2"/>
      <c r="NV11" s="2"/>
      <c r="NW11" s="2"/>
      <c r="NX11" s="2" t="s">
        <v>9</v>
      </c>
      <c r="NY11" s="2" t="s">
        <v>119</v>
      </c>
      <c r="NZ11" s="2">
        <v>104.26</v>
      </c>
      <c r="OA11" s="2" t="s">
        <v>1120</v>
      </c>
      <c r="OB11" s="2" t="s">
        <v>1121</v>
      </c>
      <c r="OC11" s="2" t="s">
        <v>1121</v>
      </c>
      <c r="OD11" s="2" t="s">
        <v>17</v>
      </c>
      <c r="OE11" s="2" t="s">
        <v>119</v>
      </c>
      <c r="OF11" s="2" t="s">
        <v>17</v>
      </c>
      <c r="OG11" s="2" t="s">
        <v>9</v>
      </c>
      <c r="OH11" s="2" t="s">
        <v>557</v>
      </c>
      <c r="OI11" s="2"/>
      <c r="OJ11" s="2"/>
      <c r="OK11" s="2" t="s">
        <v>17</v>
      </c>
      <c r="OL11" s="2" t="s">
        <v>17</v>
      </c>
      <c r="OM11" s="2" t="s">
        <v>85</v>
      </c>
      <c r="ON11" s="6">
        <v>0</v>
      </c>
      <c r="OO11" s="6">
        <v>0</v>
      </c>
      <c r="OP11" s="2" t="s">
        <v>93</v>
      </c>
      <c r="OQ11" s="2" t="s">
        <v>93</v>
      </c>
      <c r="OR11" s="6">
        <v>0</v>
      </c>
      <c r="OS11" s="4">
        <v>0</v>
      </c>
      <c r="OT11" s="2" t="s">
        <v>17</v>
      </c>
      <c r="OU11" s="2" t="s">
        <v>17</v>
      </c>
      <c r="OV11" s="2"/>
      <c r="OW11" s="2"/>
      <c r="OX11" s="5">
        <v>15430111</v>
      </c>
      <c r="OY11" s="6">
        <v>183691.8</v>
      </c>
      <c r="OZ11" s="2"/>
      <c r="PA11" s="2"/>
      <c r="PB11" s="8">
        <v>14817434</v>
      </c>
      <c r="PC11" s="2"/>
      <c r="PD11" s="8">
        <v>14817434</v>
      </c>
      <c r="PE11" s="2"/>
      <c r="PF11" s="2"/>
      <c r="PG11" s="2"/>
      <c r="PH11" s="8">
        <v>305000</v>
      </c>
      <c r="PI11" s="2"/>
      <c r="PJ11" s="8">
        <v>305000</v>
      </c>
      <c r="PK11" s="8">
        <v>15122434</v>
      </c>
      <c r="PL11" s="2"/>
      <c r="PM11" s="8">
        <v>15122434</v>
      </c>
      <c r="PN11" s="8">
        <v>2074441</v>
      </c>
      <c r="PO11" s="2"/>
      <c r="PP11" s="8">
        <v>2074441</v>
      </c>
      <c r="PQ11" s="6">
        <v>2117140</v>
      </c>
      <c r="PR11" s="8">
        <v>17196875</v>
      </c>
      <c r="PS11" s="2"/>
      <c r="PT11" s="8">
        <v>17196875</v>
      </c>
      <c r="PU11" s="8">
        <v>844594</v>
      </c>
      <c r="PV11" s="2"/>
      <c r="PW11" s="8">
        <v>844594</v>
      </c>
      <c r="PX11" s="6">
        <v>859843.75</v>
      </c>
      <c r="PY11" s="8">
        <v>863315</v>
      </c>
      <c r="PZ11" s="8">
        <v>7500</v>
      </c>
      <c r="QA11" s="8">
        <v>870815</v>
      </c>
      <c r="QB11" s="8">
        <v>176689</v>
      </c>
      <c r="QC11" s="2"/>
      <c r="QD11" s="8">
        <v>176689</v>
      </c>
      <c r="QE11" s="8">
        <v>998016</v>
      </c>
      <c r="QF11" s="2"/>
      <c r="QG11" s="8">
        <v>998016</v>
      </c>
      <c r="QH11" s="2"/>
      <c r="QI11" s="8">
        <v>485780</v>
      </c>
      <c r="QJ11" s="8">
        <v>485780</v>
      </c>
      <c r="QK11" s="2"/>
      <c r="QL11" s="2"/>
      <c r="QM11" s="2"/>
      <c r="QN11" s="8">
        <v>264800</v>
      </c>
      <c r="QO11" s="8">
        <v>515100</v>
      </c>
      <c r="QP11" s="8">
        <v>779900</v>
      </c>
      <c r="QQ11" s="8">
        <v>2302820</v>
      </c>
      <c r="QR11" s="8">
        <v>1008380</v>
      </c>
      <c r="QS11" s="8">
        <v>3311200</v>
      </c>
      <c r="QT11" s="8">
        <v>111867</v>
      </c>
      <c r="QU11" s="2"/>
      <c r="QV11" s="8">
        <v>111867</v>
      </c>
      <c r="QW11" s="6">
        <v>165560</v>
      </c>
      <c r="QX11" s="8">
        <v>318368</v>
      </c>
      <c r="QY11" s="2"/>
      <c r="QZ11" s="8">
        <v>318368</v>
      </c>
      <c r="RA11" s="8">
        <v>249141</v>
      </c>
      <c r="RB11" s="8">
        <v>249141</v>
      </c>
      <c r="RC11" s="8">
        <v>1104321</v>
      </c>
      <c r="RD11" s="8">
        <v>550747</v>
      </c>
      <c r="RE11" s="8">
        <v>1655068</v>
      </c>
      <c r="RF11" s="8">
        <v>1422689</v>
      </c>
      <c r="RG11" s="8">
        <v>799888</v>
      </c>
      <c r="RH11" s="8">
        <v>2222577</v>
      </c>
      <c r="RI11" s="2"/>
      <c r="RJ11" s="2"/>
      <c r="RK11" s="2"/>
      <c r="RL11" s="2"/>
      <c r="RM11" s="8">
        <v>21878845</v>
      </c>
      <c r="RN11" s="8">
        <v>1808268</v>
      </c>
      <c r="RO11" s="8">
        <v>23687113</v>
      </c>
      <c r="RP11" s="2"/>
      <c r="RQ11" s="2"/>
      <c r="RR11" s="2">
        <v>0</v>
      </c>
      <c r="RS11" s="6">
        <v>0</v>
      </c>
      <c r="RT11" s="8">
        <v>3789938</v>
      </c>
      <c r="RU11" s="2"/>
      <c r="RV11" s="8">
        <v>3789938</v>
      </c>
      <c r="RW11" s="6">
        <v>3789938</v>
      </c>
      <c r="RX11" s="6">
        <v>0</v>
      </c>
      <c r="RY11" s="8">
        <v>3789938</v>
      </c>
      <c r="RZ11" s="2"/>
      <c r="SA11" s="8">
        <v>3789938</v>
      </c>
      <c r="SB11" s="6">
        <v>3789938</v>
      </c>
      <c r="SC11" s="8">
        <v>274699</v>
      </c>
      <c r="SD11" s="8">
        <v>274699</v>
      </c>
      <c r="SE11" s="6">
        <v>294000</v>
      </c>
      <c r="SF11" s="8">
        <v>3050000</v>
      </c>
      <c r="SG11" s="8">
        <v>3050000</v>
      </c>
      <c r="SH11" s="8">
        <v>25668783</v>
      </c>
      <c r="SI11" s="8">
        <v>5132967</v>
      </c>
      <c r="SJ11" s="8">
        <v>30801750</v>
      </c>
      <c r="SK11" s="2"/>
      <c r="SL11" s="2" t="s">
        <v>1122</v>
      </c>
      <c r="SM11" s="2" t="s">
        <v>1123</v>
      </c>
      <c r="SN11" s="2" t="s">
        <v>1124</v>
      </c>
      <c r="SO11" s="2"/>
      <c r="SP11" s="8">
        <v>24000000</v>
      </c>
      <c r="SQ11" s="2" t="s">
        <v>95</v>
      </c>
      <c r="SR11" s="2"/>
      <c r="SS11" s="2"/>
      <c r="ST11" s="2"/>
      <c r="SU11" s="2"/>
      <c r="SV11" s="2"/>
      <c r="SW11" s="2"/>
      <c r="SX11" s="2" t="s">
        <v>96</v>
      </c>
      <c r="SY11" s="2" t="s">
        <v>96</v>
      </c>
      <c r="SZ11" s="2" t="s">
        <v>96</v>
      </c>
      <c r="TA11" s="2" t="s">
        <v>96</v>
      </c>
      <c r="TB11" s="8">
        <v>5193831</v>
      </c>
      <c r="TC11" s="2"/>
      <c r="TD11" s="2"/>
      <c r="TE11" s="2"/>
      <c r="TF11" s="2"/>
      <c r="TG11" s="2"/>
      <c r="TH11" s="2"/>
      <c r="TI11" s="8">
        <v>1607919</v>
      </c>
      <c r="TJ11" s="8">
        <v>30801750</v>
      </c>
      <c r="TK11" s="2">
        <v>0</v>
      </c>
      <c r="TL11" s="2" t="s">
        <v>9</v>
      </c>
      <c r="TM11" s="8">
        <v>8000000</v>
      </c>
      <c r="TN11" s="2" t="s">
        <v>95</v>
      </c>
      <c r="TO11" s="2"/>
      <c r="TP11" s="2"/>
      <c r="TQ11" s="2"/>
      <c r="TR11" s="2"/>
      <c r="TS11" s="2"/>
      <c r="TT11" s="2"/>
      <c r="TU11" s="2" t="s">
        <v>96</v>
      </c>
      <c r="TV11" s="8">
        <v>20775321</v>
      </c>
      <c r="TW11" s="2"/>
      <c r="TX11" s="2"/>
      <c r="TY11" s="2"/>
      <c r="TZ11" s="2"/>
      <c r="UA11" s="2"/>
      <c r="UB11" s="2"/>
      <c r="UC11" s="8">
        <v>2026429</v>
      </c>
      <c r="UD11" s="8">
        <v>30801750</v>
      </c>
      <c r="UE11" s="6">
        <v>8000000</v>
      </c>
      <c r="UF11" s="2">
        <v>0</v>
      </c>
      <c r="UG11" s="2" t="s">
        <v>9</v>
      </c>
      <c r="UH11" s="2">
        <v>84</v>
      </c>
      <c r="UI11" s="5">
        <v>240000</v>
      </c>
      <c r="UJ11" s="6">
        <v>320000</v>
      </c>
      <c r="UK11" s="6">
        <v>320000</v>
      </c>
      <c r="UL11" s="6">
        <v>339200</v>
      </c>
      <c r="UM11" s="6">
        <v>28492800</v>
      </c>
      <c r="UN11" s="6">
        <v>4558848</v>
      </c>
      <c r="UO11" s="6">
        <v>4558848</v>
      </c>
      <c r="UP11" s="6">
        <v>33051648</v>
      </c>
      <c r="UQ11" s="6">
        <v>27477051</v>
      </c>
      <c r="UR11" s="2"/>
      <c r="US11" s="2"/>
      <c r="UT11" s="6">
        <v>0</v>
      </c>
      <c r="UU11" s="2"/>
      <c r="UV11" s="6">
        <v>0</v>
      </c>
      <c r="UW11" s="6">
        <v>0</v>
      </c>
      <c r="UX11" s="6">
        <v>0</v>
      </c>
      <c r="UY11" s="6">
        <v>0</v>
      </c>
      <c r="UZ11" s="2"/>
      <c r="VA11" s="2"/>
      <c r="VB11" s="2"/>
      <c r="VC11" s="2"/>
      <c r="VD11" s="2" t="s">
        <v>17</v>
      </c>
      <c r="VE11" s="2" t="s">
        <v>17</v>
      </c>
      <c r="VF11" s="2"/>
      <c r="VG11" s="2" t="s">
        <v>17</v>
      </c>
      <c r="VH11" s="2"/>
      <c r="VI11" s="388" t="s">
        <v>1125</v>
      </c>
      <c r="VJ11" s="2" t="s">
        <v>98</v>
      </c>
      <c r="VK11" s="2" t="s">
        <v>1126</v>
      </c>
      <c r="VL11" s="23">
        <f t="shared" si="0"/>
        <v>132</v>
      </c>
      <c r="VM11" s="17">
        <f t="shared" si="1"/>
        <v>1.5714285714285714</v>
      </c>
      <c r="VN11" s="17" t="str">
        <f t="shared" si="12"/>
        <v>NC-GA-F</v>
      </c>
      <c r="VO11" s="17" t="str">
        <f t="shared" si="13"/>
        <v>NC-GA-F-ESS</v>
      </c>
      <c r="VP11" s="12">
        <v>9</v>
      </c>
      <c r="VQ11" s="57">
        <v>1</v>
      </c>
      <c r="VR11" s="57">
        <f t="shared" si="2"/>
        <v>1</v>
      </c>
      <c r="VS11" s="14">
        <f t="shared" si="3"/>
        <v>1</v>
      </c>
      <c r="VT11" s="12">
        <f t="shared" si="4"/>
        <v>0.93</v>
      </c>
      <c r="VU11" s="16">
        <f t="shared" si="5"/>
        <v>17928540</v>
      </c>
      <c r="VV11" s="16">
        <f t="shared" si="6"/>
        <v>213435</v>
      </c>
      <c r="VW11" s="12" t="str">
        <f t="shared" si="14"/>
        <v>A</v>
      </c>
      <c r="VX11" s="12" t="str">
        <f t="shared" si="15"/>
        <v>NC-GA-ESS</v>
      </c>
      <c r="VY11" s="351">
        <f t="shared" si="16"/>
        <v>2</v>
      </c>
      <c r="WA11" s="12">
        <f t="shared" si="17"/>
        <v>0</v>
      </c>
      <c r="WB11" s="12">
        <f t="shared" si="18"/>
        <v>0</v>
      </c>
      <c r="WC11" s="12">
        <f t="shared" si="18"/>
        <v>0</v>
      </c>
      <c r="WD11" s="12">
        <f t="shared" si="18"/>
        <v>0</v>
      </c>
      <c r="WE11" s="12">
        <f t="shared" si="19"/>
        <v>1</v>
      </c>
      <c r="WF11" s="12">
        <f t="shared" si="7"/>
        <v>1</v>
      </c>
      <c r="WG11" s="12">
        <f t="shared" si="8"/>
        <v>0</v>
      </c>
      <c r="WH11" s="12">
        <f t="shared" si="9"/>
        <v>0</v>
      </c>
      <c r="WI11" s="31">
        <f t="shared" si="10"/>
        <v>2</v>
      </c>
      <c r="WJ11" s="2"/>
      <c r="WK11" s="443" t="str">
        <f t="shared" ref="WK11:WK68" si="20">VX11&amp;"-"&amp;IF(VQ11&gt;1,"BBY","BBN")&amp;"-"&amp;IF(VR11=1,"BRN","BRY")&amp;"-"&amp;IF(VS11=1,"NPH","PHA")&amp;"-"&amp;IF(BW11="Family","F","E")</f>
        <v>NC-GA-ESS-BBN-BRN-NPH-F</v>
      </c>
      <c r="WL11" s="443"/>
      <c r="WM11" s="443"/>
    </row>
    <row r="12" spans="1:622" x14ac:dyDescent="0.25">
      <c r="A12" s="2">
        <v>9504</v>
      </c>
      <c r="B12" s="2" t="s">
        <v>1210</v>
      </c>
      <c r="C12" s="2" t="s">
        <v>8</v>
      </c>
      <c r="D12" s="3">
        <v>45153</v>
      </c>
      <c r="E12" s="2" t="s">
        <v>9</v>
      </c>
      <c r="F12" s="2">
        <v>3</v>
      </c>
      <c r="G12" s="2" t="s">
        <v>9</v>
      </c>
      <c r="H12" s="2">
        <v>3</v>
      </c>
      <c r="I12" s="2" t="s">
        <v>9</v>
      </c>
      <c r="J12" s="2">
        <v>1</v>
      </c>
      <c r="K12" s="2" t="s">
        <v>9</v>
      </c>
      <c r="L12" s="2">
        <v>3</v>
      </c>
      <c r="M12" s="2" t="s">
        <v>10</v>
      </c>
      <c r="N12" s="2">
        <v>0</v>
      </c>
      <c r="O12" s="2" t="s">
        <v>10</v>
      </c>
      <c r="P12" s="2">
        <v>0</v>
      </c>
      <c r="Q12" s="2" t="s">
        <v>11</v>
      </c>
      <c r="R12" s="2">
        <v>0</v>
      </c>
      <c r="S12" s="2" t="s">
        <v>9</v>
      </c>
      <c r="T12" s="2">
        <v>2</v>
      </c>
      <c r="U12" s="2" t="s">
        <v>9</v>
      </c>
      <c r="V12" s="2">
        <v>2</v>
      </c>
      <c r="W12" s="2" t="s">
        <v>9</v>
      </c>
      <c r="X12" s="2">
        <v>2</v>
      </c>
      <c r="Y12" s="2" t="s">
        <v>12</v>
      </c>
      <c r="Z12" s="2" t="s">
        <v>1211</v>
      </c>
      <c r="AA12" s="2" t="s">
        <v>15</v>
      </c>
      <c r="AB12" s="2" t="s">
        <v>15</v>
      </c>
      <c r="AC12" s="2" t="s">
        <v>15</v>
      </c>
      <c r="AD12" s="2" t="s">
        <v>15</v>
      </c>
      <c r="AE12" s="2" t="s">
        <v>15</v>
      </c>
      <c r="AF12" s="2">
        <v>1</v>
      </c>
      <c r="AG12" s="2" t="s">
        <v>1212</v>
      </c>
      <c r="AH12" s="2" t="s">
        <v>17</v>
      </c>
      <c r="AI12" s="4">
        <v>0.1</v>
      </c>
      <c r="AJ12" s="2" t="s">
        <v>17</v>
      </c>
      <c r="AK12" s="2" t="s">
        <v>9</v>
      </c>
      <c r="AL12" s="2" t="s">
        <v>17</v>
      </c>
      <c r="AM12" s="2" t="s">
        <v>17</v>
      </c>
      <c r="AN12" s="2" t="s">
        <v>17</v>
      </c>
      <c r="AO12" s="2" t="s">
        <v>9</v>
      </c>
      <c r="AP12" s="2" t="s">
        <v>17</v>
      </c>
      <c r="AQ12" s="2" t="s">
        <v>17</v>
      </c>
      <c r="AR12" s="2" t="s">
        <v>17</v>
      </c>
      <c r="AS12" s="2" t="s">
        <v>17</v>
      </c>
      <c r="AT12" s="2">
        <v>0</v>
      </c>
      <c r="AU12" s="5">
        <v>50000</v>
      </c>
      <c r="AV12" s="5">
        <v>460000</v>
      </c>
      <c r="AW12" s="2">
        <v>0</v>
      </c>
      <c r="AX12" s="2">
        <v>17</v>
      </c>
      <c r="AY12" s="2">
        <v>0</v>
      </c>
      <c r="AZ12" s="2">
        <v>18</v>
      </c>
      <c r="BA12" s="2">
        <v>0</v>
      </c>
      <c r="BB12" s="2">
        <v>1</v>
      </c>
      <c r="BC12" s="2">
        <v>1</v>
      </c>
      <c r="BD12" s="2">
        <v>0</v>
      </c>
      <c r="BE12" s="2">
        <v>0</v>
      </c>
      <c r="BF12" s="2">
        <v>1</v>
      </c>
      <c r="BG12" s="2">
        <v>0</v>
      </c>
      <c r="BH12" s="2">
        <v>0</v>
      </c>
      <c r="BI12" s="2">
        <v>13</v>
      </c>
      <c r="BJ12" s="2">
        <v>1</v>
      </c>
      <c r="BK12" s="2">
        <v>0</v>
      </c>
      <c r="BL12" s="2">
        <v>3</v>
      </c>
      <c r="BM12" s="2">
        <v>2</v>
      </c>
      <c r="BN12" s="2">
        <v>12</v>
      </c>
      <c r="BO12" s="2">
        <v>11</v>
      </c>
      <c r="BP12" s="2">
        <v>0</v>
      </c>
      <c r="BQ12" s="2">
        <v>10</v>
      </c>
      <c r="BR12" s="2">
        <v>11.89</v>
      </c>
      <c r="BS12" s="2">
        <v>0</v>
      </c>
      <c r="BT12" s="4">
        <v>0.06</v>
      </c>
      <c r="BU12" s="2" t="s">
        <v>9</v>
      </c>
      <c r="BV12" s="6">
        <v>184232.07</v>
      </c>
      <c r="BW12" s="2" t="s">
        <v>18</v>
      </c>
      <c r="BX12" s="2" t="s">
        <v>17</v>
      </c>
      <c r="BY12" s="2" t="s">
        <v>17</v>
      </c>
      <c r="BZ12" s="2" t="s">
        <v>17</v>
      </c>
      <c r="CA12" s="2" t="s">
        <v>17</v>
      </c>
      <c r="CB12" s="2" t="s">
        <v>17</v>
      </c>
      <c r="CC12" s="2" t="s">
        <v>17</v>
      </c>
      <c r="CD12" s="2" t="s">
        <v>17</v>
      </c>
      <c r="CE12" s="2" t="s">
        <v>1213</v>
      </c>
      <c r="CF12" s="2" t="s">
        <v>17</v>
      </c>
      <c r="CG12" s="2" t="s">
        <v>1171</v>
      </c>
      <c r="CH12" s="2" t="s">
        <v>1214</v>
      </c>
      <c r="CI12" s="2"/>
      <c r="CJ12" s="2" t="s">
        <v>9</v>
      </c>
      <c r="CK12" s="2" t="s">
        <v>1215</v>
      </c>
      <c r="CL12" s="2" t="s">
        <v>1214</v>
      </c>
      <c r="CM12" s="2" t="s">
        <v>1216</v>
      </c>
      <c r="CN12" s="2" t="s">
        <v>1020</v>
      </c>
      <c r="CO12" s="2" t="s">
        <v>24</v>
      </c>
      <c r="CP12" s="2"/>
      <c r="CQ12" s="2">
        <v>86</v>
      </c>
      <c r="CR12" s="2" t="s">
        <v>965</v>
      </c>
      <c r="CS12" s="2">
        <v>2014</v>
      </c>
      <c r="CT12" s="2" t="s">
        <v>26</v>
      </c>
      <c r="CU12" s="2" t="s">
        <v>27</v>
      </c>
      <c r="CV12" s="2" t="s">
        <v>1217</v>
      </c>
      <c r="CW12" s="2" t="s">
        <v>1020</v>
      </c>
      <c r="CX12" s="2" t="s">
        <v>24</v>
      </c>
      <c r="CY12" s="2"/>
      <c r="CZ12" s="2">
        <v>96</v>
      </c>
      <c r="DA12" s="2" t="s">
        <v>965</v>
      </c>
      <c r="DB12" s="2">
        <v>2011</v>
      </c>
      <c r="DC12" s="2" t="s">
        <v>243</v>
      </c>
      <c r="DD12" s="2" t="s">
        <v>27</v>
      </c>
      <c r="DE12" s="2" t="s">
        <v>798</v>
      </c>
      <c r="DF12" s="2" t="s">
        <v>1020</v>
      </c>
      <c r="DG12" s="2" t="s">
        <v>853</v>
      </c>
      <c r="DH12" s="2"/>
      <c r="DI12" s="2">
        <v>120</v>
      </c>
      <c r="DJ12" s="2" t="s">
        <v>965</v>
      </c>
      <c r="DK12" s="2">
        <v>2009</v>
      </c>
      <c r="DL12" s="2" t="s">
        <v>26</v>
      </c>
      <c r="DM12" s="2" t="s">
        <v>27</v>
      </c>
      <c r="DN12" s="2" t="s">
        <v>33</v>
      </c>
      <c r="DO12" s="2" t="s">
        <v>1179</v>
      </c>
      <c r="DP12" s="2" t="s">
        <v>951</v>
      </c>
      <c r="DQ12" s="2" t="s">
        <v>1180</v>
      </c>
      <c r="DR12" s="2" t="s">
        <v>1181</v>
      </c>
      <c r="DS12" s="2">
        <v>1</v>
      </c>
      <c r="DT12" s="2" t="s">
        <v>1182</v>
      </c>
      <c r="DU12" s="2" t="s">
        <v>299</v>
      </c>
      <c r="DV12" s="2" t="s">
        <v>39</v>
      </c>
      <c r="DW12" s="2">
        <v>33176</v>
      </c>
      <c r="DX12" s="2" t="s">
        <v>1183</v>
      </c>
      <c r="DY12" s="2">
        <v>218</v>
      </c>
      <c r="DZ12" s="2" t="s">
        <v>1184</v>
      </c>
      <c r="EA12" s="2" t="s">
        <v>1181</v>
      </c>
      <c r="EB12" s="2" t="s">
        <v>1185</v>
      </c>
      <c r="EC12" s="2" t="s">
        <v>1089</v>
      </c>
      <c r="ED12" s="2" t="s">
        <v>44</v>
      </c>
      <c r="EE12" s="2">
        <v>300</v>
      </c>
      <c r="EF12" s="2" t="s">
        <v>966</v>
      </c>
      <c r="EG12" s="2">
        <v>11</v>
      </c>
      <c r="EH12" s="2" t="s">
        <v>46</v>
      </c>
      <c r="EI12" s="2" t="s">
        <v>47</v>
      </c>
      <c r="EJ12" s="2" t="s">
        <v>1186</v>
      </c>
      <c r="EK12" s="2" t="s">
        <v>692</v>
      </c>
      <c r="EL12" s="2" t="s">
        <v>44</v>
      </c>
      <c r="EM12" s="2">
        <v>420</v>
      </c>
      <c r="EN12" s="2" t="s">
        <v>966</v>
      </c>
      <c r="EO12" s="2">
        <v>18</v>
      </c>
      <c r="EP12" s="2" t="s">
        <v>46</v>
      </c>
      <c r="EQ12" s="2" t="s">
        <v>47</v>
      </c>
      <c r="ER12" s="2" t="s">
        <v>50</v>
      </c>
      <c r="ES12" s="2"/>
      <c r="ET12" s="2" t="s">
        <v>1187</v>
      </c>
      <c r="EU12" s="2" t="s">
        <v>1213</v>
      </c>
      <c r="EV12" s="2" t="s">
        <v>1188</v>
      </c>
      <c r="EW12" s="2" t="s">
        <v>396</v>
      </c>
      <c r="EX12" s="2" t="s">
        <v>39</v>
      </c>
      <c r="EY12" s="2">
        <v>33618</v>
      </c>
      <c r="EZ12" s="2" t="s">
        <v>1189</v>
      </c>
      <c r="FA12" s="2"/>
      <c r="FB12" s="2" t="s">
        <v>1190</v>
      </c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 t="s">
        <v>1218</v>
      </c>
      <c r="FO12" s="2" t="s">
        <v>63</v>
      </c>
      <c r="FP12" s="2" t="s">
        <v>64</v>
      </c>
      <c r="FQ12" s="2" t="s">
        <v>9</v>
      </c>
      <c r="FR12" s="2" t="s">
        <v>17</v>
      </c>
      <c r="FS12" s="2" t="s">
        <v>17</v>
      </c>
      <c r="FT12" s="2" t="s">
        <v>9</v>
      </c>
      <c r="FU12" s="2">
        <v>0</v>
      </c>
      <c r="FV12" s="2">
        <v>0</v>
      </c>
      <c r="FW12" s="4">
        <v>0</v>
      </c>
      <c r="FX12" s="4">
        <v>0</v>
      </c>
      <c r="FY12" s="2" t="s">
        <v>65</v>
      </c>
      <c r="FZ12" s="2" t="s">
        <v>66</v>
      </c>
      <c r="GA12" s="2" t="s">
        <v>67</v>
      </c>
      <c r="GB12" s="2"/>
      <c r="GC12" s="2"/>
      <c r="GD12" s="2"/>
      <c r="GE12" s="2" t="s">
        <v>68</v>
      </c>
      <c r="GF12" s="2">
        <v>60</v>
      </c>
      <c r="GG12" s="2">
        <v>60</v>
      </c>
      <c r="GH12" s="2"/>
      <c r="GI12" s="2"/>
      <c r="GJ12" s="2"/>
      <c r="GK12" s="2"/>
      <c r="GL12" s="2"/>
      <c r="GM12" s="2"/>
      <c r="GN12" s="2"/>
      <c r="GO12" s="2"/>
      <c r="GP12" s="2"/>
      <c r="GQ12" s="2">
        <v>60</v>
      </c>
      <c r="GR12" s="2" t="s">
        <v>1197</v>
      </c>
      <c r="GS12" s="2" t="s">
        <v>70</v>
      </c>
      <c r="GT12" s="2" t="s">
        <v>1219</v>
      </c>
      <c r="GU12" s="2" t="s">
        <v>1199</v>
      </c>
      <c r="GV12" s="2" t="s">
        <v>17</v>
      </c>
      <c r="GW12" s="2">
        <v>26.683622</v>
      </c>
      <c r="GX12" s="2">
        <v>-81.876462000000004</v>
      </c>
      <c r="GY12" s="2"/>
      <c r="GZ12" s="2" t="s">
        <v>17</v>
      </c>
      <c r="HA12" s="2" t="s">
        <v>17</v>
      </c>
      <c r="HB12" s="2">
        <v>0</v>
      </c>
      <c r="HC12" s="2" t="s">
        <v>17</v>
      </c>
      <c r="HD12" s="2"/>
      <c r="HE12" s="2">
        <v>0</v>
      </c>
      <c r="HF12" s="2">
        <v>26.682341999999998</v>
      </c>
      <c r="HG12" s="2">
        <v>-81.881604999999993</v>
      </c>
      <c r="HH12" s="2">
        <v>0.33</v>
      </c>
      <c r="HI12" s="2">
        <v>1.5</v>
      </c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 t="s">
        <v>73</v>
      </c>
      <c r="HY12" s="2" t="s">
        <v>17</v>
      </c>
      <c r="HZ12" s="2"/>
      <c r="IA12" s="2" t="s">
        <v>359</v>
      </c>
      <c r="IB12" s="2" t="s">
        <v>1220</v>
      </c>
      <c r="IC12" s="2">
        <v>0.84</v>
      </c>
      <c r="ID12" s="2">
        <v>2.5</v>
      </c>
      <c r="IE12" s="2"/>
      <c r="IF12" s="2"/>
      <c r="IG12" s="2"/>
      <c r="IH12" s="2" t="s">
        <v>359</v>
      </c>
      <c r="II12" s="2">
        <v>0.84</v>
      </c>
      <c r="IJ12" s="2">
        <v>2.5</v>
      </c>
      <c r="IK12" s="2" t="s">
        <v>1202</v>
      </c>
      <c r="IL12" s="2" t="s">
        <v>1203</v>
      </c>
      <c r="IM12" s="2">
        <v>0.74</v>
      </c>
      <c r="IN12" s="2">
        <v>3.5</v>
      </c>
      <c r="IO12" s="2" t="s">
        <v>17</v>
      </c>
      <c r="IP12" s="2">
        <v>1.5</v>
      </c>
      <c r="IQ12" s="2">
        <v>8.5</v>
      </c>
      <c r="IR12" s="2">
        <v>0</v>
      </c>
      <c r="IS12" s="2">
        <v>10</v>
      </c>
      <c r="IT12" s="2" t="s">
        <v>17</v>
      </c>
      <c r="IU12" s="2" t="s">
        <v>17</v>
      </c>
      <c r="IV12" s="2" t="s">
        <v>17</v>
      </c>
      <c r="IW12" s="2" t="s">
        <v>9</v>
      </c>
      <c r="IX12" s="2" t="s">
        <v>9</v>
      </c>
      <c r="IY12" s="2">
        <v>10</v>
      </c>
      <c r="IZ12" s="2">
        <v>60</v>
      </c>
      <c r="JA12" s="2" t="s">
        <v>81</v>
      </c>
      <c r="JB12" s="2" t="s">
        <v>173</v>
      </c>
      <c r="JC12" s="2"/>
      <c r="JD12" s="2"/>
      <c r="JE12" s="7">
        <v>0.1</v>
      </c>
      <c r="JF12" s="2"/>
      <c r="JG12" s="7">
        <v>0.9</v>
      </c>
      <c r="JH12" s="7">
        <v>0</v>
      </c>
      <c r="JI12" s="2">
        <v>60</v>
      </c>
      <c r="JJ12" s="7">
        <v>1</v>
      </c>
      <c r="JK12" s="2">
        <v>60</v>
      </c>
      <c r="JL12" s="7">
        <v>1</v>
      </c>
      <c r="JM12" s="2"/>
      <c r="JN12" s="2"/>
      <c r="JO12" s="2"/>
      <c r="JP12" s="2"/>
      <c r="JQ12" s="2"/>
      <c r="JR12" s="2"/>
      <c r="JS12" s="2">
        <v>0</v>
      </c>
      <c r="JT12" s="2">
        <v>0</v>
      </c>
      <c r="JU12" s="2"/>
      <c r="JV12" s="2">
        <v>0</v>
      </c>
      <c r="JW12" s="4">
        <v>0</v>
      </c>
      <c r="JX12" s="2">
        <v>0</v>
      </c>
      <c r="JY12" s="4">
        <v>0</v>
      </c>
      <c r="JZ12" s="2">
        <v>0</v>
      </c>
      <c r="KA12" s="2"/>
      <c r="KB12" s="2"/>
      <c r="KC12" s="2"/>
      <c r="KD12" s="2"/>
      <c r="KE12" s="2"/>
      <c r="KF12" s="2"/>
      <c r="KG12" s="2"/>
      <c r="KH12" s="2">
        <v>30</v>
      </c>
      <c r="KI12" s="2"/>
      <c r="KJ12" s="2"/>
      <c r="KK12" s="2">
        <v>24</v>
      </c>
      <c r="KL12" s="2">
        <v>6</v>
      </c>
      <c r="KM12" s="2"/>
      <c r="KN12" s="2"/>
      <c r="KO12" s="2"/>
      <c r="KP12" s="2"/>
      <c r="KQ12" s="2" t="s">
        <v>83</v>
      </c>
      <c r="KR12" s="2" t="s">
        <v>73</v>
      </c>
      <c r="KS12" s="2"/>
      <c r="KT12" s="2">
        <v>1</v>
      </c>
      <c r="KU12" s="2" t="s">
        <v>84</v>
      </c>
      <c r="KV12" s="2" t="s">
        <v>85</v>
      </c>
      <c r="KW12" s="2" t="s">
        <v>86</v>
      </c>
      <c r="KX12" s="2" t="s">
        <v>17</v>
      </c>
      <c r="KY12" s="2" t="s">
        <v>17</v>
      </c>
      <c r="KZ12" s="2" t="s">
        <v>17</v>
      </c>
      <c r="LA12" s="2" t="s">
        <v>17</v>
      </c>
      <c r="LB12" s="2" t="s">
        <v>17</v>
      </c>
      <c r="LC12" s="2" t="s">
        <v>17</v>
      </c>
      <c r="LD12" s="2" t="s">
        <v>17</v>
      </c>
      <c r="LE12" s="2" t="s">
        <v>17</v>
      </c>
      <c r="LF12" s="2" t="s">
        <v>17</v>
      </c>
      <c r="LG12" s="2" t="s">
        <v>17</v>
      </c>
      <c r="LH12" s="2" t="s">
        <v>17</v>
      </c>
      <c r="LI12" s="2" t="s">
        <v>17</v>
      </c>
      <c r="LJ12" s="2" t="s">
        <v>87</v>
      </c>
      <c r="LK12" s="2" t="s">
        <v>17</v>
      </c>
      <c r="LL12" s="2" t="s">
        <v>17</v>
      </c>
      <c r="LM12" s="2">
        <v>0</v>
      </c>
      <c r="LN12" s="2" t="s">
        <v>17</v>
      </c>
      <c r="LO12" s="2" t="s">
        <v>9</v>
      </c>
      <c r="LP12" s="2" t="s">
        <v>9</v>
      </c>
      <c r="LQ12" s="2" t="s">
        <v>17</v>
      </c>
      <c r="LR12" s="2" t="s">
        <v>9</v>
      </c>
      <c r="LS12" s="2" t="s">
        <v>17</v>
      </c>
      <c r="LT12" s="2" t="s">
        <v>17</v>
      </c>
      <c r="LU12" s="2" t="s">
        <v>17</v>
      </c>
      <c r="LV12" s="2" t="s">
        <v>17</v>
      </c>
      <c r="LW12" s="2" t="s">
        <v>17</v>
      </c>
      <c r="LX12" s="2" t="s">
        <v>17</v>
      </c>
      <c r="LY12" s="5">
        <v>4800000</v>
      </c>
      <c r="LZ12" s="5">
        <v>0</v>
      </c>
      <c r="MA12" s="5">
        <v>6000000</v>
      </c>
      <c r="MB12" s="5">
        <v>0</v>
      </c>
      <c r="MC12" s="5">
        <v>0</v>
      </c>
      <c r="MD12" s="5">
        <v>0</v>
      </c>
      <c r="ME12" s="5">
        <v>6300000</v>
      </c>
      <c r="MF12" s="5">
        <v>0</v>
      </c>
      <c r="MG12" s="5">
        <v>0</v>
      </c>
      <c r="MH12" s="5">
        <v>0</v>
      </c>
      <c r="MI12" s="5">
        <v>0</v>
      </c>
      <c r="MJ12" s="5">
        <v>0</v>
      </c>
      <c r="MK12" s="5">
        <v>0</v>
      </c>
      <c r="ML12" s="2">
        <v>0</v>
      </c>
      <c r="MM12" s="5">
        <v>0</v>
      </c>
      <c r="MN12" s="5">
        <v>0</v>
      </c>
      <c r="MO12" s="2">
        <v>0</v>
      </c>
      <c r="MP12" s="2">
        <v>0</v>
      </c>
      <c r="MQ12" s="2">
        <v>0</v>
      </c>
      <c r="MR12" s="5">
        <v>2950000</v>
      </c>
      <c r="MS12" s="5">
        <v>0</v>
      </c>
      <c r="MT12" s="5">
        <v>4600000</v>
      </c>
      <c r="MU12" s="5">
        <v>0</v>
      </c>
      <c r="MV12" s="5">
        <v>0</v>
      </c>
      <c r="MW12" s="5">
        <v>0</v>
      </c>
      <c r="MX12" s="5">
        <v>0</v>
      </c>
      <c r="MY12" s="5">
        <v>2500000</v>
      </c>
      <c r="MZ12" s="5">
        <v>0</v>
      </c>
      <c r="NA12" s="5">
        <v>5000000</v>
      </c>
      <c r="NB12" s="5">
        <v>0</v>
      </c>
      <c r="NC12" s="5">
        <v>0</v>
      </c>
      <c r="ND12" s="5">
        <v>0</v>
      </c>
      <c r="NE12" s="5">
        <v>0</v>
      </c>
      <c r="NF12" s="5">
        <v>0</v>
      </c>
      <c r="NG12" s="5">
        <v>2142000</v>
      </c>
      <c r="NH12" s="5">
        <v>1650000</v>
      </c>
      <c r="NI12" s="5">
        <v>1650000</v>
      </c>
      <c r="NJ12" s="5">
        <v>0</v>
      </c>
      <c r="NK12" s="5"/>
      <c r="NL12" s="2" t="s">
        <v>9</v>
      </c>
      <c r="NM12" s="2" t="s">
        <v>17</v>
      </c>
      <c r="NN12" s="2"/>
      <c r="NO12" s="2" t="s">
        <v>17</v>
      </c>
      <c r="NP12" s="2"/>
      <c r="NQ12" s="2"/>
      <c r="NR12" s="2" t="s">
        <v>17</v>
      </c>
      <c r="NS12" s="2"/>
      <c r="NT12" s="2" t="s">
        <v>9</v>
      </c>
      <c r="NU12" s="2" t="s">
        <v>450</v>
      </c>
      <c r="NV12" s="2">
        <v>205.01</v>
      </c>
      <c r="NW12" s="2" t="s">
        <v>1221</v>
      </c>
      <c r="NX12" s="2"/>
      <c r="NY12" s="2"/>
      <c r="NZ12" s="2"/>
      <c r="OA12" s="2" t="s">
        <v>118</v>
      </c>
      <c r="OB12" s="2" t="s">
        <v>118</v>
      </c>
      <c r="OC12" s="2" t="s">
        <v>118</v>
      </c>
      <c r="OD12" s="2" t="s">
        <v>17</v>
      </c>
      <c r="OE12" s="2" t="s">
        <v>119</v>
      </c>
      <c r="OF12" s="2"/>
      <c r="OG12" s="2" t="s">
        <v>17</v>
      </c>
      <c r="OH12" s="2"/>
      <c r="OI12" s="2"/>
      <c r="OJ12" s="2"/>
      <c r="OK12" s="2" t="s">
        <v>17</v>
      </c>
      <c r="OL12" s="2" t="s">
        <v>17</v>
      </c>
      <c r="OM12" s="2" t="s">
        <v>85</v>
      </c>
      <c r="ON12" s="6">
        <v>0</v>
      </c>
      <c r="OO12" s="6">
        <v>0</v>
      </c>
      <c r="OP12" s="2" t="s">
        <v>93</v>
      </c>
      <c r="OQ12" s="2" t="s">
        <v>93</v>
      </c>
      <c r="OR12" s="6">
        <v>0</v>
      </c>
      <c r="OS12" s="4">
        <v>0</v>
      </c>
      <c r="OT12" s="2" t="s">
        <v>17</v>
      </c>
      <c r="OU12" s="2" t="s">
        <v>9</v>
      </c>
      <c r="OV12" s="2"/>
      <c r="OW12" s="2" t="s">
        <v>1222</v>
      </c>
      <c r="OX12" s="5">
        <v>11053924</v>
      </c>
      <c r="OY12" s="6">
        <v>184232.07</v>
      </c>
      <c r="OZ12" s="2"/>
      <c r="PA12" s="2"/>
      <c r="PB12" s="8">
        <v>8727380</v>
      </c>
      <c r="PC12" s="8">
        <v>129000</v>
      </c>
      <c r="PD12" s="8">
        <v>8856380</v>
      </c>
      <c r="PE12" s="2"/>
      <c r="PF12" s="2"/>
      <c r="PG12" s="2"/>
      <c r="PH12" s="2"/>
      <c r="PI12" s="2"/>
      <c r="PJ12" s="2"/>
      <c r="PK12" s="8">
        <v>8727380</v>
      </c>
      <c r="PL12" s="8">
        <v>129000</v>
      </c>
      <c r="PM12" s="8">
        <v>8856380</v>
      </c>
      <c r="PN12" s="8">
        <v>1239893</v>
      </c>
      <c r="PO12" s="2"/>
      <c r="PP12" s="8">
        <v>1239893</v>
      </c>
      <c r="PQ12" s="6">
        <v>1239893</v>
      </c>
      <c r="PR12" s="8">
        <v>9967273</v>
      </c>
      <c r="PS12" s="8">
        <v>129000</v>
      </c>
      <c r="PT12" s="8">
        <v>10096273</v>
      </c>
      <c r="PU12" s="8">
        <v>498485</v>
      </c>
      <c r="PV12" s="2"/>
      <c r="PW12" s="8">
        <v>498485</v>
      </c>
      <c r="PX12" s="6">
        <v>504813.65</v>
      </c>
      <c r="PY12" s="8">
        <v>534819</v>
      </c>
      <c r="PZ12" s="8">
        <v>309181</v>
      </c>
      <c r="QA12" s="8">
        <v>844000</v>
      </c>
      <c r="QB12" s="8">
        <v>180000</v>
      </c>
      <c r="QC12" s="8">
        <v>105000</v>
      </c>
      <c r="QD12" s="8">
        <v>285000</v>
      </c>
      <c r="QE12" s="8">
        <v>642500</v>
      </c>
      <c r="QF12" s="8">
        <v>12500</v>
      </c>
      <c r="QG12" s="8">
        <v>655000</v>
      </c>
      <c r="QH12" s="2"/>
      <c r="QI12" s="8">
        <v>409232</v>
      </c>
      <c r="QJ12" s="8">
        <v>409232</v>
      </c>
      <c r="QK12" s="2"/>
      <c r="QL12" s="2"/>
      <c r="QM12" s="2"/>
      <c r="QN12" s="8">
        <v>195279</v>
      </c>
      <c r="QO12" s="2"/>
      <c r="QP12" s="8">
        <v>195279</v>
      </c>
      <c r="QQ12" s="8">
        <v>1552598</v>
      </c>
      <c r="QR12" s="8">
        <v>835913</v>
      </c>
      <c r="QS12" s="8">
        <v>2388511</v>
      </c>
      <c r="QT12" s="2"/>
      <c r="QU12" s="2"/>
      <c r="QV12" s="2"/>
      <c r="QW12" s="6">
        <v>119425.55</v>
      </c>
      <c r="QX12" s="8">
        <v>975661</v>
      </c>
      <c r="QY12" s="8">
        <v>239339</v>
      </c>
      <c r="QZ12" s="8">
        <v>1215000</v>
      </c>
      <c r="RA12" s="8">
        <v>115550</v>
      </c>
      <c r="RB12" s="8">
        <v>115550</v>
      </c>
      <c r="RC12" s="2"/>
      <c r="RD12" s="8">
        <v>50000</v>
      </c>
      <c r="RE12" s="8">
        <v>50000</v>
      </c>
      <c r="RF12" s="8">
        <v>975661</v>
      </c>
      <c r="RG12" s="8">
        <v>404889</v>
      </c>
      <c r="RH12" s="8">
        <v>1380550</v>
      </c>
      <c r="RI12" s="2"/>
      <c r="RJ12" s="2"/>
      <c r="RK12" s="2"/>
      <c r="RL12" s="2"/>
      <c r="RM12" s="8">
        <v>12994017</v>
      </c>
      <c r="RN12" s="8">
        <v>1369802</v>
      </c>
      <c r="RO12" s="8">
        <v>14363819</v>
      </c>
      <c r="RP12" s="2"/>
      <c r="RQ12" s="2"/>
      <c r="RR12" s="2">
        <v>0</v>
      </c>
      <c r="RS12" s="6">
        <v>0</v>
      </c>
      <c r="RT12" s="8">
        <v>2298211</v>
      </c>
      <c r="RU12" s="2"/>
      <c r="RV12" s="8">
        <v>2298211</v>
      </c>
      <c r="RW12" s="6">
        <v>2298211</v>
      </c>
      <c r="RX12" s="6">
        <v>0</v>
      </c>
      <c r="RY12" s="8">
        <v>2298211</v>
      </c>
      <c r="RZ12" s="2"/>
      <c r="SA12" s="8">
        <v>2298211</v>
      </c>
      <c r="SB12" s="6">
        <v>2298211</v>
      </c>
      <c r="SC12" s="2"/>
      <c r="SD12" s="2"/>
      <c r="SE12" s="6">
        <v>210000</v>
      </c>
      <c r="SF12" s="8">
        <v>900000</v>
      </c>
      <c r="SG12" s="8">
        <v>900000</v>
      </c>
      <c r="SH12" s="8">
        <v>15292228</v>
      </c>
      <c r="SI12" s="8">
        <v>2269802</v>
      </c>
      <c r="SJ12" s="8">
        <v>17562030</v>
      </c>
      <c r="SK12" s="2"/>
      <c r="SL12" s="2"/>
      <c r="SM12" s="2" t="s">
        <v>1223</v>
      </c>
      <c r="SN12" s="2" t="s">
        <v>1207</v>
      </c>
      <c r="SO12" s="2"/>
      <c r="SP12" s="8">
        <v>14000000</v>
      </c>
      <c r="SQ12" s="2" t="s">
        <v>95</v>
      </c>
      <c r="SR12" s="2"/>
      <c r="SS12" s="2"/>
      <c r="ST12" s="2"/>
      <c r="SU12" s="2"/>
      <c r="SV12" s="2"/>
      <c r="SW12" s="2"/>
      <c r="SX12" s="2" t="s">
        <v>96</v>
      </c>
      <c r="SY12" s="2" t="s">
        <v>96</v>
      </c>
      <c r="SZ12" s="2" t="s">
        <v>96</v>
      </c>
      <c r="TA12" s="2" t="s">
        <v>96</v>
      </c>
      <c r="TB12" s="8">
        <v>2177783</v>
      </c>
      <c r="TC12" s="2"/>
      <c r="TD12" s="2"/>
      <c r="TE12" s="2"/>
      <c r="TF12" s="2"/>
      <c r="TG12" s="2"/>
      <c r="TH12" s="2"/>
      <c r="TI12" s="8">
        <v>1384247</v>
      </c>
      <c r="TJ12" s="8">
        <v>17562030</v>
      </c>
      <c r="TK12" s="2">
        <v>0</v>
      </c>
      <c r="TL12" s="2" t="s">
        <v>9</v>
      </c>
      <c r="TM12" s="8">
        <v>2350000</v>
      </c>
      <c r="TN12" s="2" t="s">
        <v>95</v>
      </c>
      <c r="TO12" s="2"/>
      <c r="TP12" s="2"/>
      <c r="TQ12" s="2"/>
      <c r="TR12" s="2"/>
      <c r="TS12" s="2"/>
      <c r="TT12" s="2"/>
      <c r="TU12" s="2" t="s">
        <v>96</v>
      </c>
      <c r="TV12" s="8">
        <v>14518548</v>
      </c>
      <c r="TW12" s="2"/>
      <c r="TX12" s="2"/>
      <c r="TY12" s="2"/>
      <c r="TZ12" s="2"/>
      <c r="UA12" s="2"/>
      <c r="UB12" s="2"/>
      <c r="UC12" s="8">
        <v>693482</v>
      </c>
      <c r="UD12" s="8">
        <v>17562030</v>
      </c>
      <c r="UE12" s="6">
        <v>2350000</v>
      </c>
      <c r="UF12" s="2">
        <v>0</v>
      </c>
      <c r="UG12" s="2" t="s">
        <v>9</v>
      </c>
      <c r="UH12" s="2">
        <v>60</v>
      </c>
      <c r="UI12" s="5">
        <v>240000</v>
      </c>
      <c r="UJ12" s="6">
        <v>320000</v>
      </c>
      <c r="UK12" s="6">
        <v>327500</v>
      </c>
      <c r="UL12" s="6">
        <v>347150</v>
      </c>
      <c r="UM12" s="6">
        <v>20829000</v>
      </c>
      <c r="UN12" s="6">
        <v>3332640</v>
      </c>
      <c r="UO12" s="6">
        <v>3332640</v>
      </c>
      <c r="UP12" s="6">
        <v>24161640</v>
      </c>
      <c r="UQ12" s="6">
        <v>16662030</v>
      </c>
      <c r="UR12" s="2"/>
      <c r="US12" s="2"/>
      <c r="UT12" s="6">
        <v>0</v>
      </c>
      <c r="UU12" s="2"/>
      <c r="UV12" s="6">
        <v>0</v>
      </c>
      <c r="UW12" s="6">
        <v>0</v>
      </c>
      <c r="UX12" s="6">
        <v>0</v>
      </c>
      <c r="UY12" s="6">
        <v>0</v>
      </c>
      <c r="UZ12" s="2"/>
      <c r="VA12" s="2"/>
      <c r="VB12" s="2"/>
      <c r="VC12" s="2"/>
      <c r="VD12" s="2" t="s">
        <v>17</v>
      </c>
      <c r="VE12" s="2" t="s">
        <v>17</v>
      </c>
      <c r="VF12" s="2"/>
      <c r="VG12" s="2" t="s">
        <v>17</v>
      </c>
      <c r="VH12" s="2"/>
      <c r="VI12" s="388" t="s">
        <v>4520</v>
      </c>
      <c r="VJ12" s="2" t="s">
        <v>98</v>
      </c>
      <c r="VK12" s="2" t="s">
        <v>1224</v>
      </c>
      <c r="VL12" s="23">
        <f t="shared" si="0"/>
        <v>96</v>
      </c>
      <c r="VM12" s="17">
        <f t="shared" si="1"/>
        <v>1.6</v>
      </c>
      <c r="VN12" s="17" t="str">
        <f t="shared" si="12"/>
        <v>NC-GA-F</v>
      </c>
      <c r="VO12" s="17" t="str">
        <f t="shared" si="13"/>
        <v>NC-GA-F-ESS</v>
      </c>
      <c r="VP12" s="12">
        <v>9</v>
      </c>
      <c r="VQ12" s="57">
        <v>1</v>
      </c>
      <c r="VR12" s="57">
        <f t="shared" si="2"/>
        <v>1</v>
      </c>
      <c r="VS12" s="14">
        <f t="shared" si="3"/>
        <v>0.97</v>
      </c>
      <c r="VT12" s="12">
        <f t="shared" si="4"/>
        <v>0.93</v>
      </c>
      <c r="VU12" s="16">
        <f t="shared" si="5"/>
        <v>13396185</v>
      </c>
      <c r="VV12" s="16">
        <f t="shared" si="6"/>
        <v>223269.75</v>
      </c>
      <c r="VW12" s="12" t="str">
        <f t="shared" si="14"/>
        <v>A</v>
      </c>
      <c r="VX12" s="12" t="str">
        <f t="shared" si="15"/>
        <v>NC-GA-ESS</v>
      </c>
      <c r="VY12" s="351">
        <f t="shared" si="16"/>
        <v>3</v>
      </c>
      <c r="WA12" s="12">
        <f t="shared" si="17"/>
        <v>0</v>
      </c>
      <c r="WB12" s="12">
        <f t="shared" si="18"/>
        <v>0</v>
      </c>
      <c r="WC12" s="12">
        <f t="shared" si="18"/>
        <v>0</v>
      </c>
      <c r="WD12" s="12">
        <f t="shared" si="18"/>
        <v>1</v>
      </c>
      <c r="WE12" s="12">
        <f t="shared" si="19"/>
        <v>1</v>
      </c>
      <c r="WF12" s="12">
        <f t="shared" si="7"/>
        <v>1</v>
      </c>
      <c r="WG12" s="12">
        <f t="shared" si="8"/>
        <v>0</v>
      </c>
      <c r="WH12" s="12">
        <f t="shared" si="9"/>
        <v>0</v>
      </c>
      <c r="WI12" s="31">
        <f t="shared" si="10"/>
        <v>3</v>
      </c>
      <c r="WJ12" s="2"/>
      <c r="WK12" s="443" t="str">
        <f t="shared" si="20"/>
        <v>NC-GA-ESS-BBN-BRN-PHA-F</v>
      </c>
      <c r="WL12" s="443"/>
      <c r="WM12" s="443"/>
    </row>
    <row r="13" spans="1:622" x14ac:dyDescent="0.25">
      <c r="A13" s="2">
        <v>9548</v>
      </c>
      <c r="B13" s="2" t="s">
        <v>1712</v>
      </c>
      <c r="C13" s="2" t="s">
        <v>8</v>
      </c>
      <c r="D13" s="3">
        <v>45153</v>
      </c>
      <c r="E13" s="2" t="s">
        <v>9</v>
      </c>
      <c r="F13" s="2">
        <v>3</v>
      </c>
      <c r="G13" s="2" t="s">
        <v>9</v>
      </c>
      <c r="H13" s="2">
        <v>3</v>
      </c>
      <c r="I13" s="2" t="s">
        <v>9</v>
      </c>
      <c r="J13" s="2">
        <v>2</v>
      </c>
      <c r="K13" s="2" t="s">
        <v>9</v>
      </c>
      <c r="L13" s="2">
        <v>3</v>
      </c>
      <c r="M13" s="2" t="s">
        <v>10</v>
      </c>
      <c r="N13" s="2">
        <v>0</v>
      </c>
      <c r="O13" s="2" t="s">
        <v>10</v>
      </c>
      <c r="P13" s="2">
        <v>0</v>
      </c>
      <c r="Q13" s="2" t="s">
        <v>11</v>
      </c>
      <c r="R13" s="2">
        <v>0</v>
      </c>
      <c r="S13" s="2" t="s">
        <v>9</v>
      </c>
      <c r="T13" s="2">
        <v>2</v>
      </c>
      <c r="U13" s="2" t="s">
        <v>9</v>
      </c>
      <c r="V13" s="2">
        <v>2</v>
      </c>
      <c r="W13" s="2" t="s">
        <v>9</v>
      </c>
      <c r="X13" s="2">
        <v>2</v>
      </c>
      <c r="Y13" s="2" t="s">
        <v>12</v>
      </c>
      <c r="Z13" s="2" t="s">
        <v>771</v>
      </c>
      <c r="AA13" s="2" t="s">
        <v>15</v>
      </c>
      <c r="AB13" s="2" t="s">
        <v>15</v>
      </c>
      <c r="AC13" s="2" t="s">
        <v>15</v>
      </c>
      <c r="AD13" s="2" t="s">
        <v>15</v>
      </c>
      <c r="AE13" s="2" t="s">
        <v>15</v>
      </c>
      <c r="AF13" s="2">
        <v>1</v>
      </c>
      <c r="AG13" s="2" t="s">
        <v>772</v>
      </c>
      <c r="AH13" s="2" t="s">
        <v>17</v>
      </c>
      <c r="AI13" s="4">
        <v>0.15625</v>
      </c>
      <c r="AJ13" s="2" t="s">
        <v>17</v>
      </c>
      <c r="AK13" s="2" t="s">
        <v>9</v>
      </c>
      <c r="AL13" s="2" t="s">
        <v>17</v>
      </c>
      <c r="AM13" s="2" t="s">
        <v>17</v>
      </c>
      <c r="AN13" s="2" t="s">
        <v>17</v>
      </c>
      <c r="AO13" s="2" t="s">
        <v>17</v>
      </c>
      <c r="AP13" s="2" t="s">
        <v>17</v>
      </c>
      <c r="AQ13" s="2" t="s">
        <v>17</v>
      </c>
      <c r="AR13" s="2" t="s">
        <v>17</v>
      </c>
      <c r="AS13" s="2" t="s">
        <v>17</v>
      </c>
      <c r="AT13" s="2">
        <v>0</v>
      </c>
      <c r="AU13" s="5">
        <v>20000</v>
      </c>
      <c r="AV13" s="5">
        <v>460000</v>
      </c>
      <c r="AW13" s="2">
        <v>0</v>
      </c>
      <c r="AX13" s="2">
        <v>8</v>
      </c>
      <c r="AY13" s="2">
        <v>0</v>
      </c>
      <c r="AZ13" s="2">
        <v>18</v>
      </c>
      <c r="BA13" s="2">
        <v>0</v>
      </c>
      <c r="BB13" s="2">
        <v>1</v>
      </c>
      <c r="BC13" s="2">
        <v>1</v>
      </c>
      <c r="BD13" s="2">
        <v>0</v>
      </c>
      <c r="BE13" s="2">
        <v>0</v>
      </c>
      <c r="BF13" s="2">
        <v>1</v>
      </c>
      <c r="BG13" s="2">
        <v>0</v>
      </c>
      <c r="BH13" s="2">
        <v>0</v>
      </c>
      <c r="BI13" s="2">
        <v>13</v>
      </c>
      <c r="BJ13" s="2">
        <v>1</v>
      </c>
      <c r="BK13" s="2">
        <v>0</v>
      </c>
      <c r="BL13" s="2">
        <v>3</v>
      </c>
      <c r="BM13" s="2">
        <v>0</v>
      </c>
      <c r="BN13" s="2">
        <v>12</v>
      </c>
      <c r="BO13" s="2">
        <v>11</v>
      </c>
      <c r="BP13" s="2">
        <v>0</v>
      </c>
      <c r="BQ13" s="2">
        <v>10</v>
      </c>
      <c r="BR13" s="2">
        <v>14.66</v>
      </c>
      <c r="BS13" s="2">
        <v>0</v>
      </c>
      <c r="BT13" s="4">
        <v>0.06</v>
      </c>
      <c r="BU13" s="2" t="s">
        <v>9</v>
      </c>
      <c r="BV13" s="6">
        <v>184747.5</v>
      </c>
      <c r="BW13" s="2" t="s">
        <v>18</v>
      </c>
      <c r="BX13" s="2" t="s">
        <v>17</v>
      </c>
      <c r="BY13" s="2" t="s">
        <v>17</v>
      </c>
      <c r="BZ13" s="2" t="s">
        <v>17</v>
      </c>
      <c r="CA13" s="2" t="s">
        <v>17</v>
      </c>
      <c r="CB13" s="2" t="s">
        <v>17</v>
      </c>
      <c r="CC13" s="2" t="s">
        <v>17</v>
      </c>
      <c r="CD13" s="2" t="s">
        <v>17</v>
      </c>
      <c r="CE13" s="2" t="s">
        <v>1713</v>
      </c>
      <c r="CF13" s="2" t="s">
        <v>17</v>
      </c>
      <c r="CG13" s="2" t="s">
        <v>1678</v>
      </c>
      <c r="CH13" s="2"/>
      <c r="CI13" s="2"/>
      <c r="CJ13" s="2" t="s">
        <v>9</v>
      </c>
      <c r="CK13" s="2" t="s">
        <v>1680</v>
      </c>
      <c r="CL13" s="2" t="s">
        <v>1678</v>
      </c>
      <c r="CM13" s="2" t="s">
        <v>1681</v>
      </c>
      <c r="CN13" s="2" t="s">
        <v>1682</v>
      </c>
      <c r="CO13" s="2" t="s">
        <v>24</v>
      </c>
      <c r="CP13" s="2"/>
      <c r="CQ13" s="2">
        <v>114</v>
      </c>
      <c r="CR13" s="2" t="s">
        <v>795</v>
      </c>
      <c r="CS13" s="2">
        <v>2018</v>
      </c>
      <c r="CT13" s="2" t="s">
        <v>26</v>
      </c>
      <c r="CU13" s="2" t="s">
        <v>27</v>
      </c>
      <c r="CV13" s="2" t="s">
        <v>1683</v>
      </c>
      <c r="CW13" s="2" t="s">
        <v>1684</v>
      </c>
      <c r="CX13" s="2" t="s">
        <v>24</v>
      </c>
      <c r="CY13" s="2"/>
      <c r="CZ13" s="2">
        <v>80</v>
      </c>
      <c r="DA13" s="2" t="s">
        <v>795</v>
      </c>
      <c r="DB13" s="2">
        <v>2020</v>
      </c>
      <c r="DC13" s="2" t="s">
        <v>30</v>
      </c>
      <c r="DD13" s="2" t="s">
        <v>27</v>
      </c>
      <c r="DE13" s="2" t="s">
        <v>1685</v>
      </c>
      <c r="DF13" s="2" t="s">
        <v>1686</v>
      </c>
      <c r="DG13" s="2" t="s">
        <v>24</v>
      </c>
      <c r="DH13" s="2"/>
      <c r="DI13" s="2">
        <v>82</v>
      </c>
      <c r="DJ13" s="2" t="s">
        <v>795</v>
      </c>
      <c r="DK13" s="2">
        <v>2011</v>
      </c>
      <c r="DL13" s="2" t="s">
        <v>243</v>
      </c>
      <c r="DM13" s="2" t="s">
        <v>27</v>
      </c>
      <c r="DN13" s="2" t="s">
        <v>33</v>
      </c>
      <c r="DO13" s="2" t="s">
        <v>1687</v>
      </c>
      <c r="DP13" s="2" t="s">
        <v>665</v>
      </c>
      <c r="DQ13" s="2" t="s">
        <v>1688</v>
      </c>
      <c r="DR13" s="2" t="s">
        <v>1689</v>
      </c>
      <c r="DS13" s="2">
        <v>1</v>
      </c>
      <c r="DT13" s="2" t="s">
        <v>1690</v>
      </c>
      <c r="DU13" s="2" t="s">
        <v>1691</v>
      </c>
      <c r="DV13" s="2" t="s">
        <v>1692</v>
      </c>
      <c r="DW13" s="2">
        <v>98466</v>
      </c>
      <c r="DX13" s="2" t="s">
        <v>1693</v>
      </c>
      <c r="DY13" s="2"/>
      <c r="DZ13" s="2" t="s">
        <v>1694</v>
      </c>
      <c r="EA13" s="2" t="s">
        <v>1689</v>
      </c>
      <c r="EB13" s="2" t="s">
        <v>1681</v>
      </c>
      <c r="EC13" s="2" t="s">
        <v>1695</v>
      </c>
      <c r="ED13" s="2" t="s">
        <v>44</v>
      </c>
      <c r="EE13" s="2">
        <v>114</v>
      </c>
      <c r="EF13" s="2" t="s">
        <v>810</v>
      </c>
      <c r="EG13" s="2">
        <v>5</v>
      </c>
      <c r="EH13" s="2" t="s">
        <v>46</v>
      </c>
      <c r="EI13" s="2" t="s">
        <v>47</v>
      </c>
      <c r="EJ13" s="2" t="s">
        <v>1696</v>
      </c>
      <c r="EK13" s="2" t="s">
        <v>1697</v>
      </c>
      <c r="EL13" s="2" t="s">
        <v>44</v>
      </c>
      <c r="EM13" s="2">
        <v>344</v>
      </c>
      <c r="EN13" s="2" t="s">
        <v>810</v>
      </c>
      <c r="EO13" s="2">
        <v>9</v>
      </c>
      <c r="EP13" s="2" t="s">
        <v>46</v>
      </c>
      <c r="EQ13" s="2" t="s">
        <v>47</v>
      </c>
      <c r="ER13" s="2" t="s">
        <v>583</v>
      </c>
      <c r="ES13" s="2" t="s">
        <v>656</v>
      </c>
      <c r="ET13" s="2" t="s">
        <v>1698</v>
      </c>
      <c r="EU13" s="2" t="s">
        <v>1713</v>
      </c>
      <c r="EV13" s="2" t="s">
        <v>1699</v>
      </c>
      <c r="EW13" s="2" t="s">
        <v>396</v>
      </c>
      <c r="EX13" s="2" t="s">
        <v>39</v>
      </c>
      <c r="EY13" s="2">
        <v>33609</v>
      </c>
      <c r="EZ13" s="2" t="s">
        <v>1700</v>
      </c>
      <c r="FA13" s="2"/>
      <c r="FB13" s="2" t="s">
        <v>1701</v>
      </c>
      <c r="FC13" s="2" t="s">
        <v>1702</v>
      </c>
      <c r="FD13" s="2" t="s">
        <v>400</v>
      </c>
      <c r="FE13" s="2" t="s">
        <v>1703</v>
      </c>
      <c r="FF13" s="2" t="s">
        <v>1678</v>
      </c>
      <c r="FG13" s="2" t="s">
        <v>1699</v>
      </c>
      <c r="FH13" s="2" t="s">
        <v>396</v>
      </c>
      <c r="FI13" s="2" t="s">
        <v>39</v>
      </c>
      <c r="FJ13" s="2">
        <v>33609</v>
      </c>
      <c r="FK13" s="2" t="s">
        <v>1700</v>
      </c>
      <c r="FL13" s="2"/>
      <c r="FM13" s="2" t="s">
        <v>1704</v>
      </c>
      <c r="FN13" s="2" t="s">
        <v>1714</v>
      </c>
      <c r="FO13" s="2" t="s">
        <v>63</v>
      </c>
      <c r="FP13" s="2" t="s">
        <v>64</v>
      </c>
      <c r="FQ13" s="2" t="s">
        <v>9</v>
      </c>
      <c r="FR13" s="2" t="s">
        <v>17</v>
      </c>
      <c r="FS13" s="2" t="s">
        <v>17</v>
      </c>
      <c r="FT13" s="2" t="s">
        <v>9</v>
      </c>
      <c r="FU13" s="2">
        <v>0</v>
      </c>
      <c r="FV13" s="2">
        <v>0</v>
      </c>
      <c r="FW13" s="4">
        <v>0</v>
      </c>
      <c r="FX13" s="4">
        <v>0</v>
      </c>
      <c r="FY13" s="2" t="s">
        <v>65</v>
      </c>
      <c r="FZ13" s="2" t="s">
        <v>66</v>
      </c>
      <c r="GA13" s="2" t="s">
        <v>67</v>
      </c>
      <c r="GB13" s="2"/>
      <c r="GC13" s="2"/>
      <c r="GD13" s="2"/>
      <c r="GE13" s="2" t="s">
        <v>68</v>
      </c>
      <c r="GF13" s="2"/>
      <c r="GG13" s="2"/>
      <c r="GH13" s="2">
        <v>96</v>
      </c>
      <c r="GI13" s="2"/>
      <c r="GJ13" s="2"/>
      <c r="GK13" s="2"/>
      <c r="GL13" s="2"/>
      <c r="GM13" s="2"/>
      <c r="GN13" s="2"/>
      <c r="GO13" s="2"/>
      <c r="GP13" s="2"/>
      <c r="GQ13" s="2">
        <v>96</v>
      </c>
      <c r="GR13" s="2" t="s">
        <v>1156</v>
      </c>
      <c r="GS13" s="2" t="s">
        <v>70</v>
      </c>
      <c r="GT13" s="2" t="s">
        <v>1715</v>
      </c>
      <c r="GU13" s="2" t="s">
        <v>1158</v>
      </c>
      <c r="GV13" s="2" t="s">
        <v>17</v>
      </c>
      <c r="GW13" s="2">
        <v>27.428083999999998</v>
      </c>
      <c r="GX13" s="2">
        <v>-80.360951999999997</v>
      </c>
      <c r="GY13" s="2"/>
      <c r="GZ13" s="2" t="s">
        <v>17</v>
      </c>
      <c r="HA13" s="2" t="s">
        <v>17</v>
      </c>
      <c r="HB13" s="2">
        <v>0</v>
      </c>
      <c r="HC13" s="2" t="s">
        <v>17</v>
      </c>
      <c r="HD13" s="2"/>
      <c r="HE13" s="2">
        <v>0</v>
      </c>
      <c r="HF13" s="2">
        <v>27.431450000000002</v>
      </c>
      <c r="HG13" s="2">
        <v>-80.358428000000004</v>
      </c>
      <c r="HH13" s="2">
        <v>0.28000000000000003</v>
      </c>
      <c r="HI13" s="2">
        <v>2</v>
      </c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 t="s">
        <v>73</v>
      </c>
      <c r="HY13" s="2" t="s">
        <v>17</v>
      </c>
      <c r="HZ13" s="2"/>
      <c r="IA13" s="2" t="s">
        <v>74</v>
      </c>
      <c r="IB13" s="2" t="s">
        <v>1716</v>
      </c>
      <c r="IC13" s="2">
        <v>1.1100000000000001</v>
      </c>
      <c r="ID13" s="2">
        <v>2</v>
      </c>
      <c r="IE13" s="2"/>
      <c r="IF13" s="2"/>
      <c r="IG13" s="2"/>
      <c r="IH13" s="2" t="s">
        <v>1717</v>
      </c>
      <c r="II13" s="2">
        <v>0.63</v>
      </c>
      <c r="IJ13" s="2">
        <v>3</v>
      </c>
      <c r="IK13" s="2" t="s">
        <v>1718</v>
      </c>
      <c r="IL13" s="2" t="s">
        <v>1719</v>
      </c>
      <c r="IM13" s="2">
        <v>0.23</v>
      </c>
      <c r="IN13" s="2">
        <v>4</v>
      </c>
      <c r="IO13" s="2" t="s">
        <v>17</v>
      </c>
      <c r="IP13" s="2">
        <v>2</v>
      </c>
      <c r="IQ13" s="2">
        <v>9</v>
      </c>
      <c r="IR13" s="2">
        <v>0</v>
      </c>
      <c r="IS13" s="2">
        <v>11</v>
      </c>
      <c r="IT13" s="2" t="s">
        <v>17</v>
      </c>
      <c r="IU13" s="2" t="s">
        <v>17</v>
      </c>
      <c r="IV13" s="2" t="s">
        <v>17</v>
      </c>
      <c r="IW13" s="2" t="s">
        <v>9</v>
      </c>
      <c r="IX13" s="2" t="s">
        <v>9</v>
      </c>
      <c r="IY13" s="2">
        <v>11</v>
      </c>
      <c r="IZ13" s="2">
        <v>96</v>
      </c>
      <c r="JA13" s="2" t="s">
        <v>81</v>
      </c>
      <c r="JB13" s="2" t="s">
        <v>82</v>
      </c>
      <c r="JC13" s="2"/>
      <c r="JD13" s="2"/>
      <c r="JE13" s="2"/>
      <c r="JF13" s="2"/>
      <c r="JG13" s="2"/>
      <c r="JH13" s="7">
        <v>0</v>
      </c>
      <c r="JI13" s="2">
        <v>0</v>
      </c>
      <c r="JJ13" s="7">
        <v>0</v>
      </c>
      <c r="JK13" s="2">
        <v>0</v>
      </c>
      <c r="JL13" s="7">
        <v>0</v>
      </c>
      <c r="JM13" s="2">
        <v>15</v>
      </c>
      <c r="JN13" s="2"/>
      <c r="JO13" s="2">
        <v>5</v>
      </c>
      <c r="JP13" s="2">
        <v>38</v>
      </c>
      <c r="JQ13" s="2">
        <v>29</v>
      </c>
      <c r="JR13" s="2">
        <v>9</v>
      </c>
      <c r="JS13" s="2">
        <v>0</v>
      </c>
      <c r="JT13" s="2">
        <v>0</v>
      </c>
      <c r="JU13" s="2"/>
      <c r="JV13" s="2">
        <v>96</v>
      </c>
      <c r="JW13" s="4">
        <v>1</v>
      </c>
      <c r="JX13" s="2">
        <v>96</v>
      </c>
      <c r="JY13" s="4">
        <v>0.59687999999999997</v>
      </c>
      <c r="JZ13" s="2">
        <v>0</v>
      </c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>
        <v>64</v>
      </c>
      <c r="KL13" s="2">
        <v>32</v>
      </c>
      <c r="KM13" s="2"/>
      <c r="KN13" s="2"/>
      <c r="KO13" s="2"/>
      <c r="KP13" s="2"/>
      <c r="KQ13" s="2" t="s">
        <v>83</v>
      </c>
      <c r="KR13" s="2" t="s">
        <v>73</v>
      </c>
      <c r="KS13" s="2"/>
      <c r="KT13" s="2">
        <v>4</v>
      </c>
      <c r="KU13" s="2" t="s">
        <v>84</v>
      </c>
      <c r="KV13" s="2" t="s">
        <v>85</v>
      </c>
      <c r="KW13" s="2" t="s">
        <v>530</v>
      </c>
      <c r="KX13" s="2" t="s">
        <v>17</v>
      </c>
      <c r="KY13" s="2" t="s">
        <v>17</v>
      </c>
      <c r="KZ13" s="2" t="s">
        <v>17</v>
      </c>
      <c r="LA13" s="2" t="s">
        <v>17</v>
      </c>
      <c r="LB13" s="2" t="s">
        <v>17</v>
      </c>
      <c r="LC13" s="2" t="s">
        <v>17</v>
      </c>
      <c r="LD13" s="2" t="s">
        <v>17</v>
      </c>
      <c r="LE13" s="2" t="s">
        <v>17</v>
      </c>
      <c r="LF13" s="2" t="s">
        <v>17</v>
      </c>
      <c r="LG13" s="2" t="s">
        <v>17</v>
      </c>
      <c r="LH13" s="2" t="s">
        <v>17</v>
      </c>
      <c r="LI13" s="2" t="s">
        <v>17</v>
      </c>
      <c r="LJ13" s="2" t="s">
        <v>87</v>
      </c>
      <c r="LK13" s="2" t="s">
        <v>17</v>
      </c>
      <c r="LL13" s="2" t="s">
        <v>17</v>
      </c>
      <c r="LM13" s="2">
        <v>0</v>
      </c>
      <c r="LN13" s="2" t="s">
        <v>17</v>
      </c>
      <c r="LO13" s="2" t="s">
        <v>9</v>
      </c>
      <c r="LP13" s="2" t="s">
        <v>9</v>
      </c>
      <c r="LQ13" s="2" t="s">
        <v>17</v>
      </c>
      <c r="LR13" s="2" t="s">
        <v>17</v>
      </c>
      <c r="LS13" s="2" t="s">
        <v>9</v>
      </c>
      <c r="LT13" s="2" t="s">
        <v>17</v>
      </c>
      <c r="LU13" s="2" t="s">
        <v>17</v>
      </c>
      <c r="LV13" s="2" t="s">
        <v>17</v>
      </c>
      <c r="LW13" s="2" t="s">
        <v>17</v>
      </c>
      <c r="LX13" s="2" t="s">
        <v>17</v>
      </c>
      <c r="LY13" s="5">
        <v>6500000</v>
      </c>
      <c r="LZ13" s="5">
        <v>0</v>
      </c>
      <c r="MA13" s="5">
        <v>7200000</v>
      </c>
      <c r="MB13" s="5">
        <v>0</v>
      </c>
      <c r="MC13" s="5">
        <v>0</v>
      </c>
      <c r="MD13" s="5">
        <v>0</v>
      </c>
      <c r="ME13" s="5">
        <v>10000000</v>
      </c>
      <c r="MF13" s="5">
        <v>0</v>
      </c>
      <c r="MG13" s="5">
        <v>0</v>
      </c>
      <c r="MH13" s="5">
        <v>0</v>
      </c>
      <c r="MI13" s="5">
        <v>0</v>
      </c>
      <c r="MJ13" s="5">
        <v>0</v>
      </c>
      <c r="MK13" s="5">
        <v>0</v>
      </c>
      <c r="ML13" s="2">
        <v>0</v>
      </c>
      <c r="MM13" s="5">
        <v>0</v>
      </c>
      <c r="MN13" s="5">
        <v>0</v>
      </c>
      <c r="MO13" s="2">
        <v>0</v>
      </c>
      <c r="MP13" s="2">
        <v>0</v>
      </c>
      <c r="MQ13" s="2">
        <v>0</v>
      </c>
      <c r="MR13" s="5">
        <v>2950000</v>
      </c>
      <c r="MS13" s="5">
        <v>0</v>
      </c>
      <c r="MT13" s="5">
        <v>4600000</v>
      </c>
      <c r="MU13" s="5">
        <v>0</v>
      </c>
      <c r="MV13" s="5">
        <v>0</v>
      </c>
      <c r="MW13" s="5">
        <v>0</v>
      </c>
      <c r="MX13" s="5">
        <v>0</v>
      </c>
      <c r="MY13" s="5">
        <v>2500000</v>
      </c>
      <c r="MZ13" s="5">
        <v>0</v>
      </c>
      <c r="NA13" s="5">
        <v>5000000</v>
      </c>
      <c r="NB13" s="5">
        <v>0</v>
      </c>
      <c r="NC13" s="5">
        <v>0</v>
      </c>
      <c r="ND13" s="5">
        <v>0</v>
      </c>
      <c r="NE13" s="5">
        <v>0</v>
      </c>
      <c r="NF13" s="5">
        <v>0</v>
      </c>
      <c r="NG13" s="5">
        <v>2142000</v>
      </c>
      <c r="NH13" s="5">
        <v>2142000</v>
      </c>
      <c r="NI13" s="5">
        <v>2142000</v>
      </c>
      <c r="NJ13" s="5">
        <v>0</v>
      </c>
      <c r="NK13" s="5"/>
      <c r="NL13" s="2" t="s">
        <v>9</v>
      </c>
      <c r="NM13" s="2" t="s">
        <v>17</v>
      </c>
      <c r="NN13" s="2"/>
      <c r="NO13" s="2" t="s">
        <v>17</v>
      </c>
      <c r="NP13" s="2"/>
      <c r="NQ13" s="2"/>
      <c r="NR13" s="2" t="s">
        <v>17</v>
      </c>
      <c r="NS13" s="2"/>
      <c r="NT13" s="2" t="s">
        <v>17</v>
      </c>
      <c r="NU13" s="2"/>
      <c r="NV13" s="2"/>
      <c r="NW13" s="2"/>
      <c r="NX13" s="2" t="s">
        <v>9</v>
      </c>
      <c r="NY13" s="2" t="s">
        <v>762</v>
      </c>
      <c r="NZ13" s="2">
        <v>3807</v>
      </c>
      <c r="OA13" s="2" t="s">
        <v>1720</v>
      </c>
      <c r="OB13" s="2" t="s">
        <v>1721</v>
      </c>
      <c r="OC13" s="2" t="s">
        <v>1721</v>
      </c>
      <c r="OD13" s="2" t="s">
        <v>17</v>
      </c>
      <c r="OE13" s="2" t="s">
        <v>91</v>
      </c>
      <c r="OF13" s="2" t="s">
        <v>17</v>
      </c>
      <c r="OG13" s="2" t="s">
        <v>9</v>
      </c>
      <c r="OH13" s="2" t="s">
        <v>92</v>
      </c>
      <c r="OI13" s="2"/>
      <c r="OJ13" s="2"/>
      <c r="OK13" s="2" t="s">
        <v>17</v>
      </c>
      <c r="OL13" s="2" t="s">
        <v>17</v>
      </c>
      <c r="OM13" s="2" t="s">
        <v>85</v>
      </c>
      <c r="ON13" s="6">
        <v>0</v>
      </c>
      <c r="OO13" s="6">
        <v>0</v>
      </c>
      <c r="OP13" s="2" t="s">
        <v>93</v>
      </c>
      <c r="OQ13" s="2" t="s">
        <v>93</v>
      </c>
      <c r="OR13" s="6">
        <v>0</v>
      </c>
      <c r="OS13" s="4">
        <v>0</v>
      </c>
      <c r="OT13" s="2" t="s">
        <v>17</v>
      </c>
      <c r="OU13" s="2" t="s">
        <v>17</v>
      </c>
      <c r="OV13" s="2"/>
      <c r="OW13" s="2"/>
      <c r="OX13" s="5">
        <v>17735760</v>
      </c>
      <c r="OY13" s="6">
        <v>184747.5</v>
      </c>
      <c r="OZ13" s="2"/>
      <c r="PA13" s="2"/>
      <c r="PB13" s="8">
        <v>15360000</v>
      </c>
      <c r="PC13" s="2"/>
      <c r="PD13" s="8">
        <v>15360000</v>
      </c>
      <c r="PE13" s="2"/>
      <c r="PF13" s="2"/>
      <c r="PG13" s="2"/>
      <c r="PH13" s="2"/>
      <c r="PI13" s="2"/>
      <c r="PJ13" s="2"/>
      <c r="PK13" s="8">
        <v>15360000</v>
      </c>
      <c r="PL13" s="2"/>
      <c r="PM13" s="8">
        <v>15360000</v>
      </c>
      <c r="PN13" s="8">
        <v>2150400</v>
      </c>
      <c r="PO13" s="2"/>
      <c r="PP13" s="8">
        <v>2150400</v>
      </c>
      <c r="PQ13" s="6">
        <v>2150400</v>
      </c>
      <c r="PR13" s="8">
        <v>17510400</v>
      </c>
      <c r="PS13" s="2"/>
      <c r="PT13" s="8">
        <v>17510400</v>
      </c>
      <c r="PU13" s="8">
        <v>875000</v>
      </c>
      <c r="PV13" s="2"/>
      <c r="PW13" s="8">
        <v>875000</v>
      </c>
      <c r="PX13" s="6">
        <v>875520</v>
      </c>
      <c r="PY13" s="8">
        <v>1205000</v>
      </c>
      <c r="PZ13" s="8">
        <v>105000</v>
      </c>
      <c r="QA13" s="8">
        <v>1310000</v>
      </c>
      <c r="QB13" s="8">
        <v>55000</v>
      </c>
      <c r="QC13" s="2"/>
      <c r="QD13" s="8">
        <v>55000</v>
      </c>
      <c r="QE13" s="8">
        <v>2135102</v>
      </c>
      <c r="QF13" s="8">
        <v>75000</v>
      </c>
      <c r="QG13" s="8">
        <v>2210102</v>
      </c>
      <c r="QH13" s="2"/>
      <c r="QI13" s="8">
        <v>342292</v>
      </c>
      <c r="QJ13" s="8">
        <v>342292</v>
      </c>
      <c r="QK13" s="2"/>
      <c r="QL13" s="2"/>
      <c r="QM13" s="2"/>
      <c r="QN13" s="8">
        <v>282784</v>
      </c>
      <c r="QO13" s="2"/>
      <c r="QP13" s="8">
        <v>282784</v>
      </c>
      <c r="QQ13" s="8">
        <v>3677886</v>
      </c>
      <c r="QR13" s="8">
        <v>522292</v>
      </c>
      <c r="QS13" s="8">
        <v>4200178</v>
      </c>
      <c r="QT13" s="8">
        <v>200000</v>
      </c>
      <c r="QU13" s="2"/>
      <c r="QV13" s="8">
        <v>200000</v>
      </c>
      <c r="QW13" s="6">
        <v>210008.9</v>
      </c>
      <c r="QX13" s="8">
        <v>1682500</v>
      </c>
      <c r="QY13" s="2"/>
      <c r="QZ13" s="8">
        <v>1682500</v>
      </c>
      <c r="RA13" s="8">
        <v>106000</v>
      </c>
      <c r="RB13" s="8">
        <v>106000</v>
      </c>
      <c r="RC13" s="2"/>
      <c r="RD13" s="2"/>
      <c r="RE13" s="2"/>
      <c r="RF13" s="8">
        <v>1682500</v>
      </c>
      <c r="RG13" s="8">
        <v>106000</v>
      </c>
      <c r="RH13" s="8">
        <v>1788500</v>
      </c>
      <c r="RI13" s="2"/>
      <c r="RJ13" s="2"/>
      <c r="RK13" s="2"/>
      <c r="RL13" s="2"/>
      <c r="RM13" s="8">
        <v>23945786</v>
      </c>
      <c r="RN13" s="8">
        <v>628292</v>
      </c>
      <c r="RO13" s="8">
        <v>24574078</v>
      </c>
      <c r="RP13" s="2"/>
      <c r="RQ13" s="2"/>
      <c r="RR13" s="2">
        <v>0</v>
      </c>
      <c r="RS13" s="6">
        <v>0</v>
      </c>
      <c r="RT13" s="8">
        <v>3900000</v>
      </c>
      <c r="RU13" s="2"/>
      <c r="RV13" s="8">
        <v>3900000</v>
      </c>
      <c r="RW13" s="6">
        <v>3931852</v>
      </c>
      <c r="RX13" s="6">
        <v>0</v>
      </c>
      <c r="RY13" s="8">
        <v>3900000</v>
      </c>
      <c r="RZ13" s="2"/>
      <c r="SA13" s="8">
        <v>3900000</v>
      </c>
      <c r="SB13" s="6">
        <v>3931852</v>
      </c>
      <c r="SC13" s="2"/>
      <c r="SD13" s="2"/>
      <c r="SE13" s="6">
        <v>336000</v>
      </c>
      <c r="SF13" s="8">
        <v>2000000</v>
      </c>
      <c r="SG13" s="8">
        <v>2000000</v>
      </c>
      <c r="SH13" s="8">
        <v>27845786</v>
      </c>
      <c r="SI13" s="8">
        <v>2628292</v>
      </c>
      <c r="SJ13" s="8">
        <v>30474078</v>
      </c>
      <c r="SK13" s="2"/>
      <c r="SL13" s="2"/>
      <c r="SM13" s="2" t="s">
        <v>1722</v>
      </c>
      <c r="SN13" s="2"/>
      <c r="SO13" s="2"/>
      <c r="SP13" s="8">
        <v>23000000</v>
      </c>
      <c r="SQ13" s="2" t="s">
        <v>95</v>
      </c>
      <c r="SR13" s="2"/>
      <c r="SS13" s="2"/>
      <c r="ST13" s="2"/>
      <c r="SU13" s="2"/>
      <c r="SV13" s="2"/>
      <c r="SW13" s="2"/>
      <c r="SX13" s="2" t="s">
        <v>96</v>
      </c>
      <c r="SY13" s="2" t="s">
        <v>96</v>
      </c>
      <c r="SZ13" s="2" t="s">
        <v>96</v>
      </c>
      <c r="TA13" s="2" t="s">
        <v>96</v>
      </c>
      <c r="TB13" s="8">
        <v>5654314.5099999998</v>
      </c>
      <c r="TC13" s="2"/>
      <c r="TD13" s="2"/>
      <c r="TE13" s="2"/>
      <c r="TF13" s="2"/>
      <c r="TG13" s="2"/>
      <c r="TH13" s="2"/>
      <c r="TI13" s="8">
        <v>1819763.49</v>
      </c>
      <c r="TJ13" s="8">
        <v>30474078</v>
      </c>
      <c r="TK13" s="2">
        <v>0</v>
      </c>
      <c r="TL13" s="2" t="s">
        <v>9</v>
      </c>
      <c r="TM13" s="8">
        <v>8350000</v>
      </c>
      <c r="TN13" s="2" t="s">
        <v>95</v>
      </c>
      <c r="TO13" s="2"/>
      <c r="TP13" s="2"/>
      <c r="TQ13" s="2"/>
      <c r="TR13" s="2"/>
      <c r="TS13" s="2"/>
      <c r="TT13" s="2"/>
      <c r="TU13" s="2" t="s">
        <v>96</v>
      </c>
      <c r="TV13" s="8">
        <v>18847715.039999999</v>
      </c>
      <c r="TW13" s="2"/>
      <c r="TX13" s="2"/>
      <c r="TY13" s="2"/>
      <c r="TZ13" s="2"/>
      <c r="UA13" s="2"/>
      <c r="UB13" s="2"/>
      <c r="UC13" s="8">
        <v>3276362.96</v>
      </c>
      <c r="UD13" s="8">
        <v>30474078</v>
      </c>
      <c r="UE13" s="6">
        <v>8350000</v>
      </c>
      <c r="UF13" s="2">
        <v>0</v>
      </c>
      <c r="UG13" s="2" t="s">
        <v>9</v>
      </c>
      <c r="UH13" s="2">
        <v>96</v>
      </c>
      <c r="UI13" s="5">
        <v>220000</v>
      </c>
      <c r="UJ13" s="6">
        <v>293333.33</v>
      </c>
      <c r="UK13" s="6">
        <v>293333.33</v>
      </c>
      <c r="UL13" s="6">
        <v>310933.33</v>
      </c>
      <c r="UM13" s="6">
        <v>29849600</v>
      </c>
      <c r="UN13" s="6">
        <v>4775936</v>
      </c>
      <c r="UO13" s="6">
        <v>4775936</v>
      </c>
      <c r="UP13" s="6">
        <v>34625536</v>
      </c>
      <c r="UQ13" s="6">
        <v>28474078</v>
      </c>
      <c r="UR13" s="2"/>
      <c r="US13" s="2"/>
      <c r="UT13" s="6">
        <v>0</v>
      </c>
      <c r="UU13" s="2"/>
      <c r="UV13" s="6">
        <v>0</v>
      </c>
      <c r="UW13" s="6">
        <v>0</v>
      </c>
      <c r="UX13" s="6">
        <v>0</v>
      </c>
      <c r="UY13" s="6">
        <v>0</v>
      </c>
      <c r="UZ13" s="2"/>
      <c r="VA13" s="2"/>
      <c r="VB13" s="2"/>
      <c r="VC13" s="2"/>
      <c r="VD13" s="2" t="s">
        <v>17</v>
      </c>
      <c r="VE13" s="2" t="s">
        <v>17</v>
      </c>
      <c r="VF13" s="2"/>
      <c r="VG13" s="2" t="s">
        <v>17</v>
      </c>
      <c r="VH13" s="2"/>
      <c r="VI13" s="388" t="s">
        <v>1680</v>
      </c>
      <c r="VJ13" s="2" t="s">
        <v>98</v>
      </c>
      <c r="VK13" s="2" t="s">
        <v>536</v>
      </c>
      <c r="VL13" s="23">
        <f t="shared" si="0"/>
        <v>224</v>
      </c>
      <c r="VM13" s="17">
        <f t="shared" si="1"/>
        <v>2.3333333333333335</v>
      </c>
      <c r="VN13" s="17" t="str">
        <f t="shared" si="12"/>
        <v>NC-GA-F</v>
      </c>
      <c r="VO13" s="17" t="str">
        <f t="shared" si="13"/>
        <v>NC-GA-F-Non</v>
      </c>
      <c r="VP13" s="12">
        <v>9</v>
      </c>
      <c r="VQ13" s="57">
        <v>1</v>
      </c>
      <c r="VR13" s="57">
        <f t="shared" si="2"/>
        <v>1</v>
      </c>
      <c r="VS13" s="14">
        <f t="shared" si="3"/>
        <v>1</v>
      </c>
      <c r="VT13" s="12">
        <f t="shared" si="4"/>
        <v>1</v>
      </c>
      <c r="VU13" s="16">
        <f t="shared" si="5"/>
        <v>19278000</v>
      </c>
      <c r="VV13" s="16">
        <f t="shared" si="6"/>
        <v>200812.5</v>
      </c>
      <c r="VW13" s="12" t="str">
        <f t="shared" si="14"/>
        <v>A</v>
      </c>
      <c r="VX13" s="12" t="str">
        <f t="shared" si="15"/>
        <v>NC-GA-Non</v>
      </c>
      <c r="VY13" s="351">
        <f t="shared" si="16"/>
        <v>1</v>
      </c>
      <c r="WA13" s="12">
        <f t="shared" si="17"/>
        <v>0</v>
      </c>
      <c r="WB13" s="12">
        <f t="shared" si="18"/>
        <v>0</v>
      </c>
      <c r="WC13" s="12">
        <f t="shared" si="18"/>
        <v>0</v>
      </c>
      <c r="WD13" s="12">
        <f t="shared" si="18"/>
        <v>0</v>
      </c>
      <c r="WE13" s="12">
        <f t="shared" si="19"/>
        <v>0</v>
      </c>
      <c r="WF13" s="12">
        <f t="shared" si="7"/>
        <v>1</v>
      </c>
      <c r="WG13" s="12">
        <f t="shared" si="8"/>
        <v>0</v>
      </c>
      <c r="WH13" s="12">
        <f t="shared" si="9"/>
        <v>0</v>
      </c>
      <c r="WI13" s="31">
        <f t="shared" si="10"/>
        <v>1</v>
      </c>
      <c r="WJ13" s="2"/>
      <c r="WK13" s="443" t="str">
        <f t="shared" si="20"/>
        <v>NC-GA-Non-BBN-BRN-NPH-F</v>
      </c>
      <c r="WL13" s="443"/>
      <c r="WM13" s="443"/>
    </row>
    <row r="14" spans="1:622" x14ac:dyDescent="0.25">
      <c r="A14" s="2">
        <v>9491</v>
      </c>
      <c r="B14" s="2" t="s">
        <v>977</v>
      </c>
      <c r="C14" s="2" t="s">
        <v>8</v>
      </c>
      <c r="D14" s="3">
        <v>45153</v>
      </c>
      <c r="E14" s="2" t="s">
        <v>9</v>
      </c>
      <c r="F14" s="2">
        <v>3</v>
      </c>
      <c r="G14" s="2" t="s">
        <v>9</v>
      </c>
      <c r="H14" s="2">
        <v>3</v>
      </c>
      <c r="I14" s="2" t="s">
        <v>9</v>
      </c>
      <c r="J14" s="2">
        <v>3</v>
      </c>
      <c r="K14" s="2" t="s">
        <v>9</v>
      </c>
      <c r="L14" s="2">
        <v>3</v>
      </c>
      <c r="M14" s="2" t="s">
        <v>10</v>
      </c>
      <c r="N14" s="2">
        <v>0</v>
      </c>
      <c r="O14" s="2" t="s">
        <v>10</v>
      </c>
      <c r="P14" s="2">
        <v>0</v>
      </c>
      <c r="Q14" s="2" t="s">
        <v>11</v>
      </c>
      <c r="R14" s="2">
        <v>0</v>
      </c>
      <c r="S14" s="2" t="s">
        <v>9</v>
      </c>
      <c r="T14" s="2">
        <v>2</v>
      </c>
      <c r="U14" s="2" t="s">
        <v>9</v>
      </c>
      <c r="V14" s="2">
        <v>2</v>
      </c>
      <c r="W14" s="2" t="s">
        <v>9</v>
      </c>
      <c r="X14" s="2">
        <v>2</v>
      </c>
      <c r="Y14" s="2" t="s">
        <v>12</v>
      </c>
      <c r="Z14" s="2" t="s">
        <v>978</v>
      </c>
      <c r="AA14" s="2" t="s">
        <v>785</v>
      </c>
      <c r="AB14" s="2" t="s">
        <v>15</v>
      </c>
      <c r="AC14" s="2" t="s">
        <v>15</v>
      </c>
      <c r="AD14" s="2" t="s">
        <v>15</v>
      </c>
      <c r="AE14" s="2" t="s">
        <v>15</v>
      </c>
      <c r="AF14" s="2">
        <v>2</v>
      </c>
      <c r="AG14" s="2" t="s">
        <v>979</v>
      </c>
      <c r="AH14" s="2" t="s">
        <v>17</v>
      </c>
      <c r="AI14" s="4">
        <v>0.15909000000000001</v>
      </c>
      <c r="AJ14" s="2" t="s">
        <v>17</v>
      </c>
      <c r="AK14" s="2" t="s">
        <v>9</v>
      </c>
      <c r="AL14" s="2" t="s">
        <v>17</v>
      </c>
      <c r="AM14" s="2" t="s">
        <v>17</v>
      </c>
      <c r="AN14" s="2" t="s">
        <v>17</v>
      </c>
      <c r="AO14" s="2" t="s">
        <v>17</v>
      </c>
      <c r="AP14" s="2" t="s">
        <v>9</v>
      </c>
      <c r="AQ14" s="2" t="s">
        <v>17</v>
      </c>
      <c r="AR14" s="2" t="s">
        <v>17</v>
      </c>
      <c r="AS14" s="2" t="s">
        <v>17</v>
      </c>
      <c r="AT14" s="2">
        <v>0</v>
      </c>
      <c r="AU14" s="5">
        <v>50000</v>
      </c>
      <c r="AV14" s="5">
        <v>460000</v>
      </c>
      <c r="AW14" s="2">
        <v>0</v>
      </c>
      <c r="AX14" s="2">
        <v>9</v>
      </c>
      <c r="AY14" s="2">
        <v>0</v>
      </c>
      <c r="AZ14" s="2">
        <v>18</v>
      </c>
      <c r="BA14" s="2">
        <v>0</v>
      </c>
      <c r="BB14" s="2">
        <v>1</v>
      </c>
      <c r="BC14" s="2">
        <v>1</v>
      </c>
      <c r="BD14" s="2">
        <v>0</v>
      </c>
      <c r="BE14" s="2">
        <v>0</v>
      </c>
      <c r="BF14" s="2">
        <v>1</v>
      </c>
      <c r="BG14" s="2">
        <v>0</v>
      </c>
      <c r="BH14" s="2">
        <v>0</v>
      </c>
      <c r="BI14" s="2">
        <v>13</v>
      </c>
      <c r="BJ14" s="2">
        <v>1</v>
      </c>
      <c r="BK14" s="2">
        <v>0</v>
      </c>
      <c r="BL14" s="2">
        <v>3</v>
      </c>
      <c r="BM14" s="2">
        <v>0</v>
      </c>
      <c r="BN14" s="2">
        <v>12</v>
      </c>
      <c r="BO14" s="2">
        <v>11</v>
      </c>
      <c r="BP14" s="2">
        <v>0</v>
      </c>
      <c r="BQ14" s="2">
        <v>10</v>
      </c>
      <c r="BR14" s="2">
        <v>13.44</v>
      </c>
      <c r="BS14" s="2">
        <v>0</v>
      </c>
      <c r="BT14" s="4">
        <v>0.06</v>
      </c>
      <c r="BU14" s="2" t="s">
        <v>9</v>
      </c>
      <c r="BV14" s="6">
        <v>186207.95</v>
      </c>
      <c r="BW14" s="2" t="s">
        <v>18</v>
      </c>
      <c r="BX14" s="2" t="s">
        <v>17</v>
      </c>
      <c r="BY14" s="2" t="s">
        <v>17</v>
      </c>
      <c r="BZ14" s="2" t="s">
        <v>17</v>
      </c>
      <c r="CA14" s="2" t="s">
        <v>17</v>
      </c>
      <c r="CB14" s="2" t="s">
        <v>17</v>
      </c>
      <c r="CC14" s="2" t="s">
        <v>17</v>
      </c>
      <c r="CD14" s="2" t="s">
        <v>17</v>
      </c>
      <c r="CE14" s="2" t="s">
        <v>980</v>
      </c>
      <c r="CF14" s="2" t="s">
        <v>17</v>
      </c>
      <c r="CG14" s="2" t="s">
        <v>981</v>
      </c>
      <c r="CH14" s="2"/>
      <c r="CI14" s="2"/>
      <c r="CJ14" s="2" t="s">
        <v>9</v>
      </c>
      <c r="CK14" s="2" t="s">
        <v>982</v>
      </c>
      <c r="CL14" s="2" t="s">
        <v>981</v>
      </c>
      <c r="CM14" s="2" t="s">
        <v>983</v>
      </c>
      <c r="CN14" s="2" t="s">
        <v>389</v>
      </c>
      <c r="CO14" s="2" t="s">
        <v>24</v>
      </c>
      <c r="CP14" s="2"/>
      <c r="CQ14" s="2">
        <v>160</v>
      </c>
      <c r="CR14" s="2" t="s">
        <v>984</v>
      </c>
      <c r="CS14" s="2">
        <v>2020</v>
      </c>
      <c r="CT14" s="2" t="s">
        <v>26</v>
      </c>
      <c r="CU14" s="2" t="s">
        <v>27</v>
      </c>
      <c r="CV14" s="2" t="s">
        <v>985</v>
      </c>
      <c r="CW14" s="2" t="s">
        <v>150</v>
      </c>
      <c r="CX14" s="2" t="s">
        <v>24</v>
      </c>
      <c r="CY14" s="2"/>
      <c r="CZ14" s="2">
        <v>82</v>
      </c>
      <c r="DA14" s="2" t="s">
        <v>984</v>
      </c>
      <c r="DB14" s="2">
        <v>2019</v>
      </c>
      <c r="DC14" s="2" t="s">
        <v>30</v>
      </c>
      <c r="DD14" s="2" t="s">
        <v>27</v>
      </c>
      <c r="DE14" s="2" t="s">
        <v>986</v>
      </c>
      <c r="DF14" s="2" t="s">
        <v>389</v>
      </c>
      <c r="DG14" s="2" t="s">
        <v>24</v>
      </c>
      <c r="DH14" s="2"/>
      <c r="DI14" s="2">
        <v>158</v>
      </c>
      <c r="DJ14" s="2" t="s">
        <v>984</v>
      </c>
      <c r="DK14" s="2">
        <v>2015</v>
      </c>
      <c r="DL14" s="2" t="s">
        <v>30</v>
      </c>
      <c r="DM14" s="2" t="s">
        <v>27</v>
      </c>
      <c r="DN14" s="2" t="s">
        <v>33</v>
      </c>
      <c r="DO14" s="2" t="s">
        <v>34</v>
      </c>
      <c r="DP14" s="2"/>
      <c r="DQ14" s="2" t="s">
        <v>35</v>
      </c>
      <c r="DR14" s="2" t="s">
        <v>36</v>
      </c>
      <c r="DS14" s="2">
        <v>1</v>
      </c>
      <c r="DT14" s="2" t="s">
        <v>987</v>
      </c>
      <c r="DU14" s="2" t="s">
        <v>38</v>
      </c>
      <c r="DV14" s="2" t="s">
        <v>39</v>
      </c>
      <c r="DW14" s="2">
        <v>32405</v>
      </c>
      <c r="DX14" s="2" t="s">
        <v>988</v>
      </c>
      <c r="DY14" s="2"/>
      <c r="DZ14" s="2" t="s">
        <v>618</v>
      </c>
      <c r="EA14" s="2" t="s">
        <v>989</v>
      </c>
      <c r="EB14" s="2" t="s">
        <v>990</v>
      </c>
      <c r="EC14" s="2" t="s">
        <v>692</v>
      </c>
      <c r="ED14" s="2" t="s">
        <v>44</v>
      </c>
      <c r="EE14" s="2">
        <v>100</v>
      </c>
      <c r="EF14" s="2" t="s">
        <v>991</v>
      </c>
      <c r="EG14" s="2">
        <v>8</v>
      </c>
      <c r="EH14" s="2" t="s">
        <v>46</v>
      </c>
      <c r="EI14" s="2" t="s">
        <v>47</v>
      </c>
      <c r="EJ14" s="2" t="s">
        <v>334</v>
      </c>
      <c r="EK14" s="2" t="s">
        <v>335</v>
      </c>
      <c r="EL14" s="2" t="s">
        <v>44</v>
      </c>
      <c r="EM14" s="2">
        <v>96</v>
      </c>
      <c r="EN14" s="2" t="s">
        <v>991</v>
      </c>
      <c r="EO14" s="2">
        <v>7</v>
      </c>
      <c r="EP14" s="2" t="s">
        <v>46</v>
      </c>
      <c r="EQ14" s="2" t="s">
        <v>47</v>
      </c>
      <c r="ER14" s="2" t="s">
        <v>992</v>
      </c>
      <c r="ES14" s="2" t="s">
        <v>400</v>
      </c>
      <c r="ET14" s="2" t="s">
        <v>993</v>
      </c>
      <c r="EU14" s="2" t="s">
        <v>980</v>
      </c>
      <c r="EV14" s="2" t="s">
        <v>994</v>
      </c>
      <c r="EW14" s="2" t="s">
        <v>299</v>
      </c>
      <c r="EX14" s="2" t="s">
        <v>39</v>
      </c>
      <c r="EY14" s="2">
        <v>33132</v>
      </c>
      <c r="EZ14" s="2" t="s">
        <v>995</v>
      </c>
      <c r="FA14" s="2"/>
      <c r="FB14" s="2" t="s">
        <v>996</v>
      </c>
      <c r="FC14" s="2" t="s">
        <v>997</v>
      </c>
      <c r="FD14" s="2" t="s">
        <v>657</v>
      </c>
      <c r="FE14" s="2" t="s">
        <v>998</v>
      </c>
      <c r="FF14" s="2" t="s">
        <v>999</v>
      </c>
      <c r="FG14" s="2" t="s">
        <v>994</v>
      </c>
      <c r="FH14" s="2" t="s">
        <v>299</v>
      </c>
      <c r="FI14" s="2" t="s">
        <v>39</v>
      </c>
      <c r="FJ14" s="2">
        <v>33132</v>
      </c>
      <c r="FK14" s="2" t="s">
        <v>1000</v>
      </c>
      <c r="FL14" s="2"/>
      <c r="FM14" s="2" t="s">
        <v>1001</v>
      </c>
      <c r="FN14" s="2" t="s">
        <v>1002</v>
      </c>
      <c r="FO14" s="2" t="s">
        <v>63</v>
      </c>
      <c r="FP14" s="2" t="s">
        <v>64</v>
      </c>
      <c r="FQ14" s="2" t="s">
        <v>9</v>
      </c>
      <c r="FR14" s="2" t="s">
        <v>17</v>
      </c>
      <c r="FS14" s="2" t="s">
        <v>17</v>
      </c>
      <c r="FT14" s="2" t="s">
        <v>9</v>
      </c>
      <c r="FU14" s="2">
        <v>0</v>
      </c>
      <c r="FV14" s="2">
        <v>0</v>
      </c>
      <c r="FW14" s="4">
        <v>0</v>
      </c>
      <c r="FX14" s="4">
        <v>0</v>
      </c>
      <c r="FY14" s="2" t="s">
        <v>65</v>
      </c>
      <c r="FZ14" s="2" t="s">
        <v>66</v>
      </c>
      <c r="GA14" s="2" t="s">
        <v>67</v>
      </c>
      <c r="GB14" s="2"/>
      <c r="GC14" s="2"/>
      <c r="GD14" s="2"/>
      <c r="GE14" s="2" t="s">
        <v>108</v>
      </c>
      <c r="GF14" s="2"/>
      <c r="GG14" s="2"/>
      <c r="GH14" s="2"/>
      <c r="GI14" s="2"/>
      <c r="GJ14" s="2">
        <v>88</v>
      </c>
      <c r="GK14" s="2"/>
      <c r="GL14" s="2"/>
      <c r="GM14" s="2"/>
      <c r="GN14" s="2"/>
      <c r="GO14" s="2"/>
      <c r="GP14" s="2"/>
      <c r="GQ14" s="2">
        <v>88</v>
      </c>
      <c r="GR14" s="2" t="s">
        <v>313</v>
      </c>
      <c r="GS14" s="2" t="s">
        <v>70</v>
      </c>
      <c r="GT14" s="2" t="s">
        <v>1003</v>
      </c>
      <c r="GU14" s="2" t="s">
        <v>385</v>
      </c>
      <c r="GV14" s="2" t="s">
        <v>17</v>
      </c>
      <c r="GW14" s="2">
        <v>28.087741999999999</v>
      </c>
      <c r="GX14" s="2">
        <v>-80.624939999999995</v>
      </c>
      <c r="GY14" s="2"/>
      <c r="GZ14" s="2" t="s">
        <v>17</v>
      </c>
      <c r="HA14" s="2" t="s">
        <v>17</v>
      </c>
      <c r="HB14" s="2">
        <v>0</v>
      </c>
      <c r="HC14" s="2" t="s">
        <v>17</v>
      </c>
      <c r="HD14" s="2"/>
      <c r="HE14" s="2">
        <v>0</v>
      </c>
      <c r="HF14" s="2">
        <v>28.087268000000002</v>
      </c>
      <c r="HG14" s="2">
        <v>-80.626917000000006</v>
      </c>
      <c r="HH14" s="2">
        <v>0.13</v>
      </c>
      <c r="HI14" s="2">
        <v>4</v>
      </c>
      <c r="HJ14" s="2">
        <v>28.087240000000001</v>
      </c>
      <c r="HK14" s="2">
        <v>-80.627165000000005</v>
      </c>
      <c r="HL14" s="2">
        <v>0.14000000000000001</v>
      </c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 t="s">
        <v>73</v>
      </c>
      <c r="HY14" s="2" t="s">
        <v>17</v>
      </c>
      <c r="HZ14" s="2"/>
      <c r="IA14" s="2" t="s">
        <v>1004</v>
      </c>
      <c r="IB14" s="2" t="s">
        <v>1005</v>
      </c>
      <c r="IC14" s="2">
        <v>0.28999999999999998</v>
      </c>
      <c r="ID14" s="2">
        <v>4</v>
      </c>
      <c r="IE14" s="2"/>
      <c r="IF14" s="2"/>
      <c r="IG14" s="2"/>
      <c r="IH14" s="2" t="s">
        <v>1006</v>
      </c>
      <c r="II14" s="2">
        <v>0.32</v>
      </c>
      <c r="IJ14" s="2">
        <v>3.5</v>
      </c>
      <c r="IK14" s="2" t="s">
        <v>1007</v>
      </c>
      <c r="IL14" s="2" t="s">
        <v>1008</v>
      </c>
      <c r="IM14" s="2">
        <v>0.3</v>
      </c>
      <c r="IN14" s="2">
        <v>4</v>
      </c>
      <c r="IO14" s="2" t="s">
        <v>17</v>
      </c>
      <c r="IP14" s="2">
        <v>4</v>
      </c>
      <c r="IQ14" s="2">
        <v>11.5</v>
      </c>
      <c r="IR14" s="2">
        <v>0</v>
      </c>
      <c r="IS14" s="2">
        <v>15.5</v>
      </c>
      <c r="IT14" s="2" t="s">
        <v>17</v>
      </c>
      <c r="IU14" s="2" t="s">
        <v>17</v>
      </c>
      <c r="IV14" s="2" t="s">
        <v>17</v>
      </c>
      <c r="IW14" s="2" t="s">
        <v>9</v>
      </c>
      <c r="IX14" s="2" t="s">
        <v>9</v>
      </c>
      <c r="IY14" s="2">
        <v>15.5</v>
      </c>
      <c r="IZ14" s="2">
        <v>88</v>
      </c>
      <c r="JA14" s="2" t="s">
        <v>81</v>
      </c>
      <c r="JB14" s="2" t="s">
        <v>82</v>
      </c>
      <c r="JC14" s="2"/>
      <c r="JD14" s="2"/>
      <c r="JE14" s="2"/>
      <c r="JF14" s="2"/>
      <c r="JG14" s="2"/>
      <c r="JH14" s="7">
        <v>0</v>
      </c>
      <c r="JI14" s="2">
        <v>0</v>
      </c>
      <c r="JJ14" s="7">
        <v>0</v>
      </c>
      <c r="JK14" s="2">
        <v>0</v>
      </c>
      <c r="JL14" s="7">
        <v>0</v>
      </c>
      <c r="JM14" s="2">
        <v>14</v>
      </c>
      <c r="JN14" s="2"/>
      <c r="JO14" s="2"/>
      <c r="JP14" s="2">
        <v>46</v>
      </c>
      <c r="JQ14" s="2">
        <v>17</v>
      </c>
      <c r="JR14" s="2">
        <v>11</v>
      </c>
      <c r="JS14" s="2">
        <v>0</v>
      </c>
      <c r="JT14" s="2">
        <v>0</v>
      </c>
      <c r="JU14" s="2"/>
      <c r="JV14" s="2">
        <v>88</v>
      </c>
      <c r="JW14" s="4">
        <v>1</v>
      </c>
      <c r="JX14" s="2">
        <v>88</v>
      </c>
      <c r="JY14" s="4">
        <v>0.59658999999999995</v>
      </c>
      <c r="JZ14" s="2">
        <v>0</v>
      </c>
      <c r="KA14" s="2"/>
      <c r="KB14" s="2"/>
      <c r="KC14" s="2"/>
      <c r="KD14" s="2"/>
      <c r="KE14" s="2"/>
      <c r="KF14" s="2"/>
      <c r="KG14" s="2"/>
      <c r="KH14" s="2">
        <v>27</v>
      </c>
      <c r="KI14" s="2">
        <v>16</v>
      </c>
      <c r="KJ14" s="2"/>
      <c r="KK14" s="2">
        <v>33</v>
      </c>
      <c r="KL14" s="2">
        <v>12</v>
      </c>
      <c r="KM14" s="2"/>
      <c r="KN14" s="2"/>
      <c r="KO14" s="2"/>
      <c r="KP14" s="2"/>
      <c r="KQ14" s="2" t="s">
        <v>83</v>
      </c>
      <c r="KR14" s="2" t="s">
        <v>73</v>
      </c>
      <c r="KS14" s="2"/>
      <c r="KT14" s="2">
        <v>1</v>
      </c>
      <c r="KU14" s="2" t="s">
        <v>84</v>
      </c>
      <c r="KV14" s="2" t="s">
        <v>85</v>
      </c>
      <c r="KW14" s="2" t="s">
        <v>86</v>
      </c>
      <c r="KX14" s="2" t="s">
        <v>17</v>
      </c>
      <c r="KY14" s="2" t="s">
        <v>17</v>
      </c>
      <c r="KZ14" s="2" t="s">
        <v>17</v>
      </c>
      <c r="LA14" s="2" t="s">
        <v>17</v>
      </c>
      <c r="LB14" s="2" t="s">
        <v>17</v>
      </c>
      <c r="LC14" s="2" t="s">
        <v>17</v>
      </c>
      <c r="LD14" s="2" t="s">
        <v>17</v>
      </c>
      <c r="LE14" s="2" t="s">
        <v>17</v>
      </c>
      <c r="LF14" s="2" t="s">
        <v>17</v>
      </c>
      <c r="LG14" s="2" t="s">
        <v>17</v>
      </c>
      <c r="LH14" s="2" t="s">
        <v>17</v>
      </c>
      <c r="LI14" s="2" t="s">
        <v>17</v>
      </c>
      <c r="LJ14" s="2" t="s">
        <v>87</v>
      </c>
      <c r="LK14" s="2" t="s">
        <v>17</v>
      </c>
      <c r="LL14" s="2" t="s">
        <v>17</v>
      </c>
      <c r="LM14" s="2">
        <v>0</v>
      </c>
      <c r="LN14" s="2" t="s">
        <v>17</v>
      </c>
      <c r="LO14" s="2" t="s">
        <v>9</v>
      </c>
      <c r="LP14" s="2" t="s">
        <v>9</v>
      </c>
      <c r="LQ14" s="2" t="s">
        <v>17</v>
      </c>
      <c r="LR14" s="2" t="s">
        <v>9</v>
      </c>
      <c r="LS14" s="2" t="s">
        <v>17</v>
      </c>
      <c r="LT14" s="2" t="s">
        <v>17</v>
      </c>
      <c r="LU14" s="2" t="s">
        <v>17</v>
      </c>
      <c r="LV14" s="2" t="s">
        <v>17</v>
      </c>
      <c r="LW14" s="2" t="s">
        <v>17</v>
      </c>
      <c r="LX14" s="2" t="s">
        <v>17</v>
      </c>
      <c r="LY14" s="5">
        <v>6500000</v>
      </c>
      <c r="LZ14" s="5">
        <v>0</v>
      </c>
      <c r="MA14" s="5">
        <v>7200000</v>
      </c>
      <c r="MB14" s="5">
        <v>0</v>
      </c>
      <c r="MC14" s="5">
        <v>0</v>
      </c>
      <c r="MD14" s="5">
        <v>0</v>
      </c>
      <c r="ME14" s="5">
        <v>9240000</v>
      </c>
      <c r="MF14" s="5">
        <v>0</v>
      </c>
      <c r="MG14" s="5">
        <v>0</v>
      </c>
      <c r="MH14" s="5">
        <v>0</v>
      </c>
      <c r="MI14" s="5">
        <v>0</v>
      </c>
      <c r="MJ14" s="5">
        <v>0</v>
      </c>
      <c r="MK14" s="5">
        <v>0</v>
      </c>
      <c r="ML14" s="2">
        <v>0</v>
      </c>
      <c r="MM14" s="5">
        <v>0</v>
      </c>
      <c r="MN14" s="5">
        <v>0</v>
      </c>
      <c r="MO14" s="2">
        <v>0</v>
      </c>
      <c r="MP14" s="2">
        <v>0</v>
      </c>
      <c r="MQ14" s="2">
        <v>0</v>
      </c>
      <c r="MR14" s="5">
        <v>2950000</v>
      </c>
      <c r="MS14" s="5">
        <v>0</v>
      </c>
      <c r="MT14" s="5">
        <v>4600000</v>
      </c>
      <c r="MU14" s="5">
        <v>0</v>
      </c>
      <c r="MV14" s="5">
        <v>0</v>
      </c>
      <c r="MW14" s="5">
        <v>0</v>
      </c>
      <c r="MX14" s="5">
        <v>0</v>
      </c>
      <c r="MY14" s="5">
        <v>2500000</v>
      </c>
      <c r="MZ14" s="5">
        <v>0</v>
      </c>
      <c r="NA14" s="5">
        <v>5000000</v>
      </c>
      <c r="NB14" s="5">
        <v>0</v>
      </c>
      <c r="NC14" s="5">
        <v>0</v>
      </c>
      <c r="ND14" s="5">
        <v>0</v>
      </c>
      <c r="NE14" s="5">
        <v>0</v>
      </c>
      <c r="NF14" s="5">
        <v>0</v>
      </c>
      <c r="NG14" s="5">
        <v>2142000</v>
      </c>
      <c r="NH14" s="5">
        <v>2142000</v>
      </c>
      <c r="NI14" s="5">
        <v>2142000</v>
      </c>
      <c r="NJ14" s="5">
        <v>0</v>
      </c>
      <c r="NK14" s="5"/>
      <c r="NL14" s="2" t="s">
        <v>17</v>
      </c>
      <c r="NM14" s="2" t="s">
        <v>17</v>
      </c>
      <c r="NN14" s="2"/>
      <c r="NO14" s="2" t="s">
        <v>17</v>
      </c>
      <c r="NP14" s="2"/>
      <c r="NQ14" s="2"/>
      <c r="NR14" s="2" t="s">
        <v>17</v>
      </c>
      <c r="NS14" s="2"/>
      <c r="NT14" s="2" t="s">
        <v>17</v>
      </c>
      <c r="NU14" s="2"/>
      <c r="NV14" s="2"/>
      <c r="NW14" s="2"/>
      <c r="NX14" s="2" t="s">
        <v>9</v>
      </c>
      <c r="NY14" s="2" t="s">
        <v>88</v>
      </c>
      <c r="NZ14" s="2">
        <v>647.02</v>
      </c>
      <c r="OA14" s="2" t="s">
        <v>555</v>
      </c>
      <c r="OB14" s="2" t="s">
        <v>556</v>
      </c>
      <c r="OC14" s="2" t="s">
        <v>556</v>
      </c>
      <c r="OD14" s="2" t="s">
        <v>17</v>
      </c>
      <c r="OE14" s="2" t="s">
        <v>91</v>
      </c>
      <c r="OF14" s="2" t="s">
        <v>17</v>
      </c>
      <c r="OG14" s="2" t="s">
        <v>9</v>
      </c>
      <c r="OH14" s="2" t="s">
        <v>92</v>
      </c>
      <c r="OI14" s="2"/>
      <c r="OJ14" s="2"/>
      <c r="OK14" s="2" t="s">
        <v>17</v>
      </c>
      <c r="OL14" s="2" t="s">
        <v>17</v>
      </c>
      <c r="OM14" s="2" t="s">
        <v>85</v>
      </c>
      <c r="ON14" s="6">
        <v>0</v>
      </c>
      <c r="OO14" s="6">
        <v>0</v>
      </c>
      <c r="OP14" s="2" t="s">
        <v>93</v>
      </c>
      <c r="OQ14" s="2" t="s">
        <v>93</v>
      </c>
      <c r="OR14" s="6">
        <v>0</v>
      </c>
      <c r="OS14" s="4">
        <v>0</v>
      </c>
      <c r="OT14" s="2" t="s">
        <v>17</v>
      </c>
      <c r="OU14" s="2" t="s">
        <v>17</v>
      </c>
      <c r="OV14" s="2"/>
      <c r="OW14" s="2"/>
      <c r="OX14" s="5">
        <v>16386300</v>
      </c>
      <c r="OY14" s="6">
        <v>186207.95</v>
      </c>
      <c r="OZ14" s="2"/>
      <c r="PA14" s="2"/>
      <c r="PB14" s="8">
        <v>11628406</v>
      </c>
      <c r="PC14" s="2"/>
      <c r="PD14" s="8">
        <v>11628406</v>
      </c>
      <c r="PE14" s="8">
        <v>50000</v>
      </c>
      <c r="PF14" s="2"/>
      <c r="PG14" s="8">
        <v>50000</v>
      </c>
      <c r="PH14" s="8">
        <v>275393</v>
      </c>
      <c r="PI14" s="2"/>
      <c r="PJ14" s="8">
        <v>275393</v>
      </c>
      <c r="PK14" s="8">
        <v>11953799</v>
      </c>
      <c r="PL14" s="2"/>
      <c r="PM14" s="8">
        <v>11953799</v>
      </c>
      <c r="PN14" s="8">
        <v>1634977</v>
      </c>
      <c r="PO14" s="2"/>
      <c r="PP14" s="8">
        <v>1634977</v>
      </c>
      <c r="PQ14" s="6">
        <v>1673531</v>
      </c>
      <c r="PR14" s="8">
        <v>13588776</v>
      </c>
      <c r="PS14" s="2"/>
      <c r="PT14" s="8">
        <v>13588776</v>
      </c>
      <c r="PU14" s="8">
        <v>679438</v>
      </c>
      <c r="PV14" s="2"/>
      <c r="PW14" s="8">
        <v>679438</v>
      </c>
      <c r="PX14" s="6">
        <v>679438.8</v>
      </c>
      <c r="PY14" s="8">
        <v>1084388</v>
      </c>
      <c r="PZ14" s="2"/>
      <c r="QA14" s="8">
        <v>1084388</v>
      </c>
      <c r="QB14" s="8">
        <v>407176</v>
      </c>
      <c r="QC14" s="2"/>
      <c r="QD14" s="8">
        <v>407176</v>
      </c>
      <c r="QE14" s="8">
        <v>771649</v>
      </c>
      <c r="QF14" s="2"/>
      <c r="QG14" s="8">
        <v>771649</v>
      </c>
      <c r="QH14" s="2"/>
      <c r="QI14" s="8">
        <v>443625</v>
      </c>
      <c r="QJ14" s="8">
        <v>443625</v>
      </c>
      <c r="QK14" s="2"/>
      <c r="QL14" s="2"/>
      <c r="QM14" s="2"/>
      <c r="QN14" s="8">
        <v>230500</v>
      </c>
      <c r="QO14" s="2"/>
      <c r="QP14" s="8">
        <v>230500</v>
      </c>
      <c r="QQ14" s="8">
        <v>2493713</v>
      </c>
      <c r="QR14" s="8">
        <v>443625</v>
      </c>
      <c r="QS14" s="8">
        <v>2937338</v>
      </c>
      <c r="QT14" s="8">
        <v>146866</v>
      </c>
      <c r="QU14" s="2"/>
      <c r="QV14" s="8">
        <v>146866</v>
      </c>
      <c r="QW14" s="6">
        <v>146866.9</v>
      </c>
      <c r="QX14" s="8">
        <v>1540471</v>
      </c>
      <c r="QY14" s="8">
        <v>66975</v>
      </c>
      <c r="QZ14" s="8">
        <v>1607446</v>
      </c>
      <c r="RA14" s="2"/>
      <c r="RB14" s="2" t="e">
        <v>#REF!</v>
      </c>
      <c r="RC14" s="8">
        <v>25000</v>
      </c>
      <c r="RD14" s="2"/>
      <c r="RE14" s="8">
        <v>25000</v>
      </c>
      <c r="RF14" s="8">
        <v>1565471</v>
      </c>
      <c r="RG14" s="8">
        <v>66975</v>
      </c>
      <c r="RH14" s="8">
        <v>1632446</v>
      </c>
      <c r="RI14" s="2"/>
      <c r="RJ14" s="2"/>
      <c r="RK14" s="2"/>
      <c r="RL14" s="2"/>
      <c r="RM14" s="8">
        <v>18474264</v>
      </c>
      <c r="RN14" s="8">
        <v>510600</v>
      </c>
      <c r="RO14" s="8">
        <v>18984864</v>
      </c>
      <c r="RP14" s="2"/>
      <c r="RQ14" s="2"/>
      <c r="RR14" s="2">
        <v>0</v>
      </c>
      <c r="RS14" s="6">
        <v>0</v>
      </c>
      <c r="RT14" s="8">
        <v>3037578</v>
      </c>
      <c r="RU14" s="2"/>
      <c r="RV14" s="8">
        <v>3037578</v>
      </c>
      <c r="RW14" s="6">
        <v>3037578</v>
      </c>
      <c r="RX14" s="6">
        <v>0</v>
      </c>
      <c r="RY14" s="8">
        <v>3037578</v>
      </c>
      <c r="RZ14" s="2"/>
      <c r="SA14" s="8">
        <v>3037578</v>
      </c>
      <c r="SB14" s="6">
        <v>3037578</v>
      </c>
      <c r="SC14" s="8">
        <v>261930</v>
      </c>
      <c r="SD14" s="8">
        <v>261930</v>
      </c>
      <c r="SE14" s="6">
        <v>308000</v>
      </c>
      <c r="SF14" s="8">
        <v>1760000</v>
      </c>
      <c r="SG14" s="8">
        <v>1760000</v>
      </c>
      <c r="SH14" s="8">
        <v>21511842</v>
      </c>
      <c r="SI14" s="8">
        <v>2532530</v>
      </c>
      <c r="SJ14" s="8">
        <v>24044372</v>
      </c>
      <c r="SK14" s="2" t="s">
        <v>1009</v>
      </c>
      <c r="SL14" s="2" t="s">
        <v>1010</v>
      </c>
      <c r="SM14" s="2" t="s">
        <v>1011</v>
      </c>
      <c r="SN14" s="2" t="s">
        <v>1012</v>
      </c>
      <c r="SO14" s="2"/>
      <c r="SP14" s="8">
        <v>17540818</v>
      </c>
      <c r="SQ14" s="2" t="s">
        <v>95</v>
      </c>
      <c r="SR14" s="2"/>
      <c r="SS14" s="2"/>
      <c r="ST14" s="2"/>
      <c r="SU14" s="2"/>
      <c r="SV14" s="2"/>
      <c r="SW14" s="2"/>
      <c r="SX14" s="2" t="s">
        <v>96</v>
      </c>
      <c r="SY14" s="2" t="s">
        <v>96</v>
      </c>
      <c r="SZ14" s="2" t="s">
        <v>96</v>
      </c>
      <c r="TA14" s="2" t="s">
        <v>96</v>
      </c>
      <c r="TB14" s="8">
        <v>5718569</v>
      </c>
      <c r="TC14" s="2"/>
      <c r="TD14" s="2"/>
      <c r="TE14" s="2"/>
      <c r="TF14" s="2"/>
      <c r="TG14" s="2"/>
      <c r="TH14" s="2"/>
      <c r="TI14" s="8">
        <v>784985</v>
      </c>
      <c r="TJ14" s="8">
        <v>24044372</v>
      </c>
      <c r="TK14" s="2">
        <v>0</v>
      </c>
      <c r="TL14" s="2" t="s">
        <v>9</v>
      </c>
      <c r="TM14" s="8">
        <v>4197493</v>
      </c>
      <c r="TN14" s="2" t="s">
        <v>95</v>
      </c>
      <c r="TO14" s="2"/>
      <c r="TP14" s="2"/>
      <c r="TQ14" s="2"/>
      <c r="TR14" s="2"/>
      <c r="TS14" s="2"/>
      <c r="TT14" s="2"/>
      <c r="TU14" s="2" t="s">
        <v>96</v>
      </c>
      <c r="TV14" s="8">
        <v>19061893</v>
      </c>
      <c r="TW14" s="2"/>
      <c r="TX14" s="2"/>
      <c r="TY14" s="2"/>
      <c r="TZ14" s="2"/>
      <c r="UA14" s="2"/>
      <c r="UB14" s="2"/>
      <c r="UC14" s="8">
        <v>784986</v>
      </c>
      <c r="UD14" s="8">
        <v>24044372</v>
      </c>
      <c r="UE14" s="6">
        <v>4197493</v>
      </c>
      <c r="UF14" s="2">
        <v>0</v>
      </c>
      <c r="UG14" s="2" t="s">
        <v>9</v>
      </c>
      <c r="UH14" s="2">
        <v>88</v>
      </c>
      <c r="UI14" s="5">
        <v>240000</v>
      </c>
      <c r="UJ14" s="6">
        <v>320000</v>
      </c>
      <c r="UK14" s="6">
        <v>320000</v>
      </c>
      <c r="UL14" s="6">
        <v>339200</v>
      </c>
      <c r="UM14" s="6">
        <v>29849600</v>
      </c>
      <c r="UN14" s="6">
        <v>4775936</v>
      </c>
      <c r="UO14" s="6">
        <v>4775936</v>
      </c>
      <c r="UP14" s="6">
        <v>34625536</v>
      </c>
      <c r="UQ14" s="6">
        <v>22022442</v>
      </c>
      <c r="UR14" s="2"/>
      <c r="US14" s="2"/>
      <c r="UT14" s="6">
        <v>0</v>
      </c>
      <c r="UU14" s="2"/>
      <c r="UV14" s="6">
        <v>0</v>
      </c>
      <c r="UW14" s="6">
        <v>0</v>
      </c>
      <c r="UX14" s="6">
        <v>0</v>
      </c>
      <c r="UY14" s="6">
        <v>0</v>
      </c>
      <c r="UZ14" s="2"/>
      <c r="VA14" s="2"/>
      <c r="VB14" s="2"/>
      <c r="VC14" s="2"/>
      <c r="VD14" s="2" t="s">
        <v>17</v>
      </c>
      <c r="VE14" s="2" t="s">
        <v>17</v>
      </c>
      <c r="VF14" s="2"/>
      <c r="VG14" s="2" t="s">
        <v>17</v>
      </c>
      <c r="VH14" s="2"/>
      <c r="VI14" s="388" t="s">
        <v>1013</v>
      </c>
      <c r="VJ14" s="2" t="s">
        <v>98</v>
      </c>
      <c r="VK14" s="2" t="s">
        <v>1014</v>
      </c>
      <c r="VL14" s="23">
        <f t="shared" si="0"/>
        <v>161</v>
      </c>
      <c r="VM14" s="17">
        <f t="shared" si="1"/>
        <v>1.8295454545454546</v>
      </c>
      <c r="VN14" s="17" t="str">
        <f t="shared" si="12"/>
        <v>NC-MR-F</v>
      </c>
      <c r="VO14" s="17" t="str">
        <f t="shared" si="13"/>
        <v>NC-MR-F-Non</v>
      </c>
      <c r="VP14" s="12">
        <v>9</v>
      </c>
      <c r="VQ14" s="57">
        <v>1</v>
      </c>
      <c r="VR14" s="57">
        <f t="shared" si="2"/>
        <v>1</v>
      </c>
      <c r="VS14" s="14">
        <f t="shared" si="3"/>
        <v>1</v>
      </c>
      <c r="VT14" s="12">
        <f t="shared" si="4"/>
        <v>0.97</v>
      </c>
      <c r="VU14" s="16">
        <f t="shared" si="5"/>
        <v>18699660</v>
      </c>
      <c r="VV14" s="16">
        <f t="shared" si="6"/>
        <v>212496.13636363635</v>
      </c>
      <c r="VW14" s="12" t="str">
        <f t="shared" si="14"/>
        <v>A</v>
      </c>
      <c r="VX14" s="12" t="str">
        <f t="shared" si="15"/>
        <v>NC-MR-Non</v>
      </c>
      <c r="VY14" s="351">
        <f t="shared" si="16"/>
        <v>2</v>
      </c>
      <c r="WA14" s="12">
        <f t="shared" si="17"/>
        <v>0</v>
      </c>
      <c r="WB14" s="12">
        <f t="shared" si="18"/>
        <v>0</v>
      </c>
      <c r="WC14" s="12">
        <f t="shared" si="18"/>
        <v>0</v>
      </c>
      <c r="WD14" s="12">
        <f t="shared" si="18"/>
        <v>0</v>
      </c>
      <c r="WE14" s="12">
        <f t="shared" si="19"/>
        <v>0</v>
      </c>
      <c r="WF14" s="12">
        <f t="shared" si="7"/>
        <v>0</v>
      </c>
      <c r="WG14" s="12">
        <f t="shared" si="8"/>
        <v>1</v>
      </c>
      <c r="WH14" s="12">
        <f t="shared" si="9"/>
        <v>0</v>
      </c>
      <c r="WI14" s="31">
        <f t="shared" si="10"/>
        <v>1</v>
      </c>
      <c r="WJ14" s="2"/>
      <c r="WK14" s="445" t="str">
        <f t="shared" si="20"/>
        <v>NC-MR-Non-BBN-BRN-NPH-F</v>
      </c>
      <c r="WL14" s="445"/>
      <c r="WM14" s="445"/>
    </row>
    <row r="15" spans="1:622" x14ac:dyDescent="0.25">
      <c r="A15" s="2">
        <v>9512</v>
      </c>
      <c r="B15" s="2" t="s">
        <v>1320</v>
      </c>
      <c r="C15" s="2" t="s">
        <v>8</v>
      </c>
      <c r="D15" s="3">
        <v>45153</v>
      </c>
      <c r="E15" s="2" t="s">
        <v>9</v>
      </c>
      <c r="F15" s="2">
        <v>3</v>
      </c>
      <c r="G15" s="2" t="s">
        <v>9</v>
      </c>
      <c r="H15" s="2">
        <v>3</v>
      </c>
      <c r="I15" s="2" t="s">
        <v>9</v>
      </c>
      <c r="J15" s="2">
        <v>3</v>
      </c>
      <c r="K15" s="2" t="s">
        <v>9</v>
      </c>
      <c r="L15" s="2">
        <v>3</v>
      </c>
      <c r="M15" s="2" t="s">
        <v>10</v>
      </c>
      <c r="N15" s="2">
        <v>0</v>
      </c>
      <c r="O15" s="2" t="s">
        <v>10</v>
      </c>
      <c r="P15" s="2">
        <v>0</v>
      </c>
      <c r="Q15" s="2" t="s">
        <v>11</v>
      </c>
      <c r="R15" s="2">
        <v>0</v>
      </c>
      <c r="S15" s="2" t="s">
        <v>9</v>
      </c>
      <c r="T15" s="2">
        <v>2</v>
      </c>
      <c r="U15" s="2" t="s">
        <v>9</v>
      </c>
      <c r="V15" s="2">
        <v>2</v>
      </c>
      <c r="W15" s="2" t="s">
        <v>9</v>
      </c>
      <c r="X15" s="2">
        <v>2</v>
      </c>
      <c r="Y15" s="2" t="s">
        <v>12</v>
      </c>
      <c r="Z15" s="2" t="s">
        <v>15</v>
      </c>
      <c r="AA15" s="2" t="s">
        <v>15</v>
      </c>
      <c r="AB15" s="2" t="s">
        <v>15</v>
      </c>
      <c r="AC15" s="2" t="s">
        <v>15</v>
      </c>
      <c r="AD15" s="2" t="s">
        <v>15</v>
      </c>
      <c r="AE15" s="2" t="s">
        <v>15</v>
      </c>
      <c r="AF15" s="2">
        <v>0</v>
      </c>
      <c r="AG15" s="2" t="s">
        <v>234</v>
      </c>
      <c r="AH15" s="2" t="s">
        <v>17</v>
      </c>
      <c r="AI15" s="4">
        <v>0.1</v>
      </c>
      <c r="AJ15" s="2" t="s">
        <v>17</v>
      </c>
      <c r="AK15" s="2" t="s">
        <v>9</v>
      </c>
      <c r="AL15" s="2" t="s">
        <v>17</v>
      </c>
      <c r="AM15" s="2" t="s">
        <v>17</v>
      </c>
      <c r="AN15" s="2" t="s">
        <v>17</v>
      </c>
      <c r="AO15" s="2" t="s">
        <v>9</v>
      </c>
      <c r="AP15" s="2" t="s">
        <v>17</v>
      </c>
      <c r="AQ15" s="2" t="s">
        <v>17</v>
      </c>
      <c r="AR15" s="2" t="s">
        <v>17</v>
      </c>
      <c r="AS15" s="2" t="s">
        <v>17</v>
      </c>
      <c r="AT15" s="2">
        <v>0</v>
      </c>
      <c r="AU15" s="5">
        <v>37500</v>
      </c>
      <c r="AV15" s="5">
        <v>460000</v>
      </c>
      <c r="AW15" s="2">
        <v>0</v>
      </c>
      <c r="AX15" s="2">
        <v>4</v>
      </c>
      <c r="AY15" s="2">
        <v>0</v>
      </c>
      <c r="AZ15" s="2">
        <v>18</v>
      </c>
      <c r="BA15" s="2">
        <v>0</v>
      </c>
      <c r="BB15" s="2">
        <v>1</v>
      </c>
      <c r="BC15" s="2">
        <v>0</v>
      </c>
      <c r="BD15" s="2">
        <v>0</v>
      </c>
      <c r="BE15" s="2">
        <v>0</v>
      </c>
      <c r="BF15" s="2">
        <v>1</v>
      </c>
      <c r="BG15" s="2">
        <v>0</v>
      </c>
      <c r="BH15" s="2">
        <v>0</v>
      </c>
      <c r="BI15" s="2">
        <v>13</v>
      </c>
      <c r="BJ15" s="2">
        <v>1</v>
      </c>
      <c r="BK15" s="2">
        <v>0</v>
      </c>
      <c r="BL15" s="2">
        <v>2</v>
      </c>
      <c r="BM15" s="2">
        <v>0</v>
      </c>
      <c r="BN15" s="2">
        <v>10</v>
      </c>
      <c r="BO15" s="2">
        <v>11</v>
      </c>
      <c r="BP15" s="2">
        <v>0</v>
      </c>
      <c r="BQ15" s="2">
        <v>10</v>
      </c>
      <c r="BR15" s="2">
        <v>13.44</v>
      </c>
      <c r="BS15" s="2">
        <v>0</v>
      </c>
      <c r="BT15" s="4">
        <v>0.06</v>
      </c>
      <c r="BU15" s="2" t="s">
        <v>9</v>
      </c>
      <c r="BV15" s="6">
        <v>186207.95</v>
      </c>
      <c r="BW15" s="2" t="s">
        <v>126</v>
      </c>
      <c r="BX15" s="2" t="s">
        <v>17</v>
      </c>
      <c r="BY15" s="2" t="s">
        <v>17</v>
      </c>
      <c r="BZ15" s="2" t="s">
        <v>17</v>
      </c>
      <c r="CA15" s="2" t="s">
        <v>17</v>
      </c>
      <c r="CB15" s="2" t="s">
        <v>17</v>
      </c>
      <c r="CC15" s="2" t="s">
        <v>17</v>
      </c>
      <c r="CD15" s="2" t="s">
        <v>17</v>
      </c>
      <c r="CE15" s="2" t="s">
        <v>1321</v>
      </c>
      <c r="CF15" s="2" t="s">
        <v>17</v>
      </c>
      <c r="CG15" s="2" t="s">
        <v>1322</v>
      </c>
      <c r="CH15" s="2" t="s">
        <v>1323</v>
      </c>
      <c r="CI15" s="2"/>
      <c r="CJ15" s="2" t="s">
        <v>9</v>
      </c>
      <c r="CK15" s="2" t="s">
        <v>1324</v>
      </c>
      <c r="CL15" s="2" t="s">
        <v>1322</v>
      </c>
      <c r="CM15" s="2" t="s">
        <v>1325</v>
      </c>
      <c r="CN15" s="2" t="s">
        <v>1326</v>
      </c>
      <c r="CO15" s="2" t="s">
        <v>24</v>
      </c>
      <c r="CP15" s="2"/>
      <c r="CQ15" s="2">
        <v>80</v>
      </c>
      <c r="CR15" s="2" t="s">
        <v>984</v>
      </c>
      <c r="CS15" s="2">
        <v>2019</v>
      </c>
      <c r="CT15" s="2" t="s">
        <v>26</v>
      </c>
      <c r="CU15" s="2" t="s">
        <v>27</v>
      </c>
      <c r="CV15" s="2" t="s">
        <v>1327</v>
      </c>
      <c r="CW15" s="2" t="s">
        <v>692</v>
      </c>
      <c r="CX15" s="2" t="s">
        <v>24</v>
      </c>
      <c r="CY15" s="2"/>
      <c r="CZ15" s="2">
        <v>110</v>
      </c>
      <c r="DA15" s="2" t="s">
        <v>984</v>
      </c>
      <c r="DB15" s="2">
        <v>2021</v>
      </c>
      <c r="DC15" s="2" t="s">
        <v>30</v>
      </c>
      <c r="DD15" s="2" t="s">
        <v>27</v>
      </c>
      <c r="DE15" s="2" t="s">
        <v>1328</v>
      </c>
      <c r="DF15" s="2" t="s">
        <v>389</v>
      </c>
      <c r="DG15" s="2" t="s">
        <v>24</v>
      </c>
      <c r="DH15" s="2"/>
      <c r="DI15" s="2">
        <v>102</v>
      </c>
      <c r="DJ15" s="2" t="s">
        <v>984</v>
      </c>
      <c r="DK15" s="2">
        <v>2022</v>
      </c>
      <c r="DL15" s="2" t="s">
        <v>30</v>
      </c>
      <c r="DM15" s="2" t="s">
        <v>27</v>
      </c>
      <c r="DN15" s="2" t="s">
        <v>33</v>
      </c>
      <c r="DO15" s="2" t="s">
        <v>1329</v>
      </c>
      <c r="DP15" s="2" t="s">
        <v>1330</v>
      </c>
      <c r="DQ15" s="2" t="s">
        <v>1331</v>
      </c>
      <c r="DR15" s="2" t="s">
        <v>1332</v>
      </c>
      <c r="DS15" s="2">
        <v>1</v>
      </c>
      <c r="DT15" s="2" t="s">
        <v>1333</v>
      </c>
      <c r="DU15" s="2" t="s">
        <v>1334</v>
      </c>
      <c r="DV15" s="2" t="s">
        <v>39</v>
      </c>
      <c r="DW15" s="2">
        <v>34744</v>
      </c>
      <c r="DX15" s="2" t="s">
        <v>1335</v>
      </c>
      <c r="DY15" s="2">
        <v>2</v>
      </c>
      <c r="DZ15" s="2" t="s">
        <v>1336</v>
      </c>
      <c r="EA15" s="2" t="s">
        <v>1332</v>
      </c>
      <c r="EB15" s="2" t="s">
        <v>1337</v>
      </c>
      <c r="EC15" s="2" t="s">
        <v>1338</v>
      </c>
      <c r="ED15" s="2" t="s">
        <v>44</v>
      </c>
      <c r="EE15" s="2">
        <v>96</v>
      </c>
      <c r="EF15" s="2" t="s">
        <v>991</v>
      </c>
      <c r="EG15" s="2">
        <v>13</v>
      </c>
      <c r="EH15" s="2" t="s">
        <v>46</v>
      </c>
      <c r="EI15" s="2" t="s">
        <v>47</v>
      </c>
      <c r="EJ15" s="2" t="s">
        <v>1339</v>
      </c>
      <c r="EK15" s="2" t="s">
        <v>1340</v>
      </c>
      <c r="EL15" s="2" t="s">
        <v>44</v>
      </c>
      <c r="EM15" s="2">
        <v>92</v>
      </c>
      <c r="EN15" s="2" t="s">
        <v>991</v>
      </c>
      <c r="EO15" s="2">
        <v>12</v>
      </c>
      <c r="EP15" s="2" t="s">
        <v>46</v>
      </c>
      <c r="EQ15" s="2" t="s">
        <v>47</v>
      </c>
      <c r="ER15" s="2" t="s">
        <v>1341</v>
      </c>
      <c r="ES15" s="2" t="s">
        <v>256</v>
      </c>
      <c r="ET15" s="2" t="s">
        <v>1342</v>
      </c>
      <c r="EU15" s="2" t="s">
        <v>1322</v>
      </c>
      <c r="EV15" s="2" t="s">
        <v>1343</v>
      </c>
      <c r="EW15" s="2" t="s">
        <v>752</v>
      </c>
      <c r="EX15" s="2" t="s">
        <v>39</v>
      </c>
      <c r="EY15" s="2">
        <v>32789</v>
      </c>
      <c r="EZ15" s="2" t="s">
        <v>1344</v>
      </c>
      <c r="FA15" s="2"/>
      <c r="FB15" s="2" t="s">
        <v>1345</v>
      </c>
      <c r="FC15" s="2" t="s">
        <v>1346</v>
      </c>
      <c r="FD15" s="2"/>
      <c r="FE15" s="2" t="s">
        <v>1347</v>
      </c>
      <c r="FF15" s="2" t="s">
        <v>1323</v>
      </c>
      <c r="FG15" s="2" t="s">
        <v>1343</v>
      </c>
      <c r="FH15" s="2" t="s">
        <v>752</v>
      </c>
      <c r="FI15" s="2" t="s">
        <v>39</v>
      </c>
      <c r="FJ15" s="2">
        <v>32789</v>
      </c>
      <c r="FK15" s="2" t="s">
        <v>1348</v>
      </c>
      <c r="FL15" s="2"/>
      <c r="FM15" s="2" t="s">
        <v>1349</v>
      </c>
      <c r="FN15" s="2" t="s">
        <v>1350</v>
      </c>
      <c r="FO15" s="2" t="s">
        <v>63</v>
      </c>
      <c r="FP15" s="2" t="s">
        <v>64</v>
      </c>
      <c r="FQ15" s="2" t="s">
        <v>9</v>
      </c>
      <c r="FR15" s="2" t="s">
        <v>17</v>
      </c>
      <c r="FS15" s="2" t="s">
        <v>17</v>
      </c>
      <c r="FT15" s="2" t="s">
        <v>9</v>
      </c>
      <c r="FU15" s="2">
        <v>0</v>
      </c>
      <c r="FV15" s="2">
        <v>0</v>
      </c>
      <c r="FW15" s="4">
        <v>0</v>
      </c>
      <c r="FX15" s="4">
        <v>0</v>
      </c>
      <c r="FY15" s="2" t="s">
        <v>65</v>
      </c>
      <c r="FZ15" s="2" t="s">
        <v>66</v>
      </c>
      <c r="GA15" s="2" t="s">
        <v>67</v>
      </c>
      <c r="GB15" s="2"/>
      <c r="GC15" s="2"/>
      <c r="GD15" s="2"/>
      <c r="GE15" s="2" t="s">
        <v>108</v>
      </c>
      <c r="GF15" s="2"/>
      <c r="GG15" s="2"/>
      <c r="GH15" s="2"/>
      <c r="GI15" s="2"/>
      <c r="GJ15" s="2">
        <v>88</v>
      </c>
      <c r="GK15" s="2"/>
      <c r="GL15" s="2"/>
      <c r="GM15" s="2"/>
      <c r="GN15" s="2"/>
      <c r="GO15" s="2"/>
      <c r="GP15" s="2"/>
      <c r="GQ15" s="2">
        <v>88</v>
      </c>
      <c r="GR15" s="2" t="s">
        <v>1351</v>
      </c>
      <c r="GS15" s="2" t="s">
        <v>70</v>
      </c>
      <c r="GT15" s="2" t="s">
        <v>1352</v>
      </c>
      <c r="GU15" s="2" t="s">
        <v>1353</v>
      </c>
      <c r="GV15" s="2" t="s">
        <v>17</v>
      </c>
      <c r="GW15" s="2">
        <v>29.221194000000001</v>
      </c>
      <c r="GX15" s="2">
        <v>-82.160972000000001</v>
      </c>
      <c r="GY15" s="2"/>
      <c r="GZ15" s="2" t="s">
        <v>17</v>
      </c>
      <c r="HA15" s="2" t="s">
        <v>17</v>
      </c>
      <c r="HB15" s="2">
        <v>0</v>
      </c>
      <c r="HC15" s="2" t="s">
        <v>17</v>
      </c>
      <c r="HD15" s="2" t="s">
        <v>17</v>
      </c>
      <c r="HE15" s="2">
        <v>0</v>
      </c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 t="s">
        <v>73</v>
      </c>
      <c r="HY15" s="2" t="s">
        <v>17</v>
      </c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 t="s">
        <v>9</v>
      </c>
      <c r="IP15" s="2">
        <v>0</v>
      </c>
      <c r="IQ15" s="2">
        <v>0</v>
      </c>
      <c r="IR15" s="2">
        <v>0</v>
      </c>
      <c r="IS15" s="2">
        <v>0</v>
      </c>
      <c r="IT15" s="2" t="s">
        <v>9</v>
      </c>
      <c r="IU15" s="2" t="s">
        <v>17</v>
      </c>
      <c r="IV15" s="2" t="s">
        <v>17</v>
      </c>
      <c r="IW15" s="2" t="s">
        <v>17</v>
      </c>
      <c r="IX15" s="2" t="s">
        <v>17</v>
      </c>
      <c r="IY15" s="2">
        <v>0</v>
      </c>
      <c r="IZ15" s="2">
        <v>88</v>
      </c>
      <c r="JA15" s="2" t="s">
        <v>172</v>
      </c>
      <c r="JB15" s="2" t="s">
        <v>173</v>
      </c>
      <c r="JC15" s="2"/>
      <c r="JD15" s="2"/>
      <c r="JE15" s="7">
        <v>0.1</v>
      </c>
      <c r="JF15" s="2"/>
      <c r="JG15" s="7">
        <v>0.9</v>
      </c>
      <c r="JH15" s="7">
        <v>0</v>
      </c>
      <c r="JI15" s="2">
        <v>88</v>
      </c>
      <c r="JJ15" s="7">
        <v>1</v>
      </c>
      <c r="JK15" s="2">
        <v>88</v>
      </c>
      <c r="JL15" s="7">
        <v>1</v>
      </c>
      <c r="JM15" s="2"/>
      <c r="JN15" s="2"/>
      <c r="JO15" s="2"/>
      <c r="JP15" s="2"/>
      <c r="JQ15" s="2"/>
      <c r="JR15" s="2"/>
      <c r="JS15" s="2">
        <v>0</v>
      </c>
      <c r="JT15" s="2">
        <v>0</v>
      </c>
      <c r="JU15" s="2"/>
      <c r="JV15" s="2">
        <v>0</v>
      </c>
      <c r="JW15" s="4">
        <v>0</v>
      </c>
      <c r="JX15" s="2">
        <v>0</v>
      </c>
      <c r="JY15" s="4">
        <v>0</v>
      </c>
      <c r="JZ15" s="2">
        <v>0</v>
      </c>
      <c r="KA15" s="2"/>
      <c r="KB15" s="2"/>
      <c r="KC15" s="2"/>
      <c r="KD15" s="2"/>
      <c r="KE15" s="2"/>
      <c r="KF15" s="2"/>
      <c r="KG15" s="2"/>
      <c r="KH15" s="2">
        <v>44</v>
      </c>
      <c r="KI15" s="2">
        <v>44</v>
      </c>
      <c r="KJ15" s="2"/>
      <c r="KK15" s="2"/>
      <c r="KL15" s="2"/>
      <c r="KM15" s="2"/>
      <c r="KN15" s="2"/>
      <c r="KO15" s="2"/>
      <c r="KP15" s="2"/>
      <c r="KQ15" s="2" t="s">
        <v>83</v>
      </c>
      <c r="KR15" s="2"/>
      <c r="KS15" s="2" t="s">
        <v>73</v>
      </c>
      <c r="KT15" s="2">
        <v>1</v>
      </c>
      <c r="KU15" s="2" t="s">
        <v>84</v>
      </c>
      <c r="KV15" s="2" t="s">
        <v>85</v>
      </c>
      <c r="KW15" s="2" t="s">
        <v>86</v>
      </c>
      <c r="KX15" s="2" t="s">
        <v>17</v>
      </c>
      <c r="KY15" s="2" t="s">
        <v>17</v>
      </c>
      <c r="KZ15" s="2" t="s">
        <v>17</v>
      </c>
      <c r="LA15" s="2" t="s">
        <v>17</v>
      </c>
      <c r="LB15" s="2" t="s">
        <v>17</v>
      </c>
      <c r="LC15" s="2" t="s">
        <v>17</v>
      </c>
      <c r="LD15" s="2" t="s">
        <v>17</v>
      </c>
      <c r="LE15" s="2" t="s">
        <v>17</v>
      </c>
      <c r="LF15" s="2" t="s">
        <v>17</v>
      </c>
      <c r="LG15" s="2" t="s">
        <v>17</v>
      </c>
      <c r="LH15" s="2" t="s">
        <v>17</v>
      </c>
      <c r="LI15" s="2" t="s">
        <v>17</v>
      </c>
      <c r="LJ15" s="2" t="s">
        <v>87</v>
      </c>
      <c r="LK15" s="2" t="s">
        <v>17</v>
      </c>
      <c r="LL15" s="2" t="s">
        <v>17</v>
      </c>
      <c r="LM15" s="2">
        <v>0</v>
      </c>
      <c r="LN15" s="2" t="s">
        <v>17</v>
      </c>
      <c r="LO15" s="2" t="s">
        <v>17</v>
      </c>
      <c r="LP15" s="2" t="s">
        <v>17</v>
      </c>
      <c r="LQ15" s="2" t="s">
        <v>17</v>
      </c>
      <c r="LR15" s="2" t="s">
        <v>17</v>
      </c>
      <c r="LS15" s="2" t="s">
        <v>17</v>
      </c>
      <c r="LT15" s="2" t="s">
        <v>17</v>
      </c>
      <c r="LU15" s="2" t="s">
        <v>17</v>
      </c>
      <c r="LV15" s="2" t="s">
        <v>9</v>
      </c>
      <c r="LW15" s="2" t="s">
        <v>9</v>
      </c>
      <c r="LX15" s="2" t="s">
        <v>9</v>
      </c>
      <c r="LY15" s="5">
        <v>6500000</v>
      </c>
      <c r="LZ15" s="5">
        <v>0</v>
      </c>
      <c r="MA15" s="5">
        <v>7200000</v>
      </c>
      <c r="MB15" s="5">
        <v>0</v>
      </c>
      <c r="MC15" s="5">
        <v>0</v>
      </c>
      <c r="MD15" s="5">
        <v>0</v>
      </c>
      <c r="ME15" s="5">
        <v>9240000</v>
      </c>
      <c r="MF15" s="5">
        <v>0</v>
      </c>
      <c r="MG15" s="5">
        <v>0</v>
      </c>
      <c r="MH15" s="5">
        <v>0</v>
      </c>
      <c r="MI15" s="5">
        <v>0</v>
      </c>
      <c r="MJ15" s="5">
        <v>0</v>
      </c>
      <c r="MK15" s="5">
        <v>0</v>
      </c>
      <c r="ML15" s="2">
        <v>0</v>
      </c>
      <c r="MM15" s="5">
        <v>0</v>
      </c>
      <c r="MN15" s="5">
        <v>0</v>
      </c>
      <c r="MO15" s="2">
        <v>0</v>
      </c>
      <c r="MP15" s="2">
        <v>0</v>
      </c>
      <c r="MQ15" s="2">
        <v>0</v>
      </c>
      <c r="MR15" s="5">
        <v>2950000</v>
      </c>
      <c r="MS15" s="5">
        <v>0</v>
      </c>
      <c r="MT15" s="5">
        <v>4600000</v>
      </c>
      <c r="MU15" s="5">
        <v>0</v>
      </c>
      <c r="MV15" s="5">
        <v>0</v>
      </c>
      <c r="MW15" s="5">
        <v>0</v>
      </c>
      <c r="MX15" s="5">
        <v>0</v>
      </c>
      <c r="MY15" s="5">
        <v>2500000</v>
      </c>
      <c r="MZ15" s="5">
        <v>0</v>
      </c>
      <c r="NA15" s="5">
        <v>5000000</v>
      </c>
      <c r="NB15" s="5">
        <v>0</v>
      </c>
      <c r="NC15" s="5">
        <v>0</v>
      </c>
      <c r="ND15" s="5">
        <v>0</v>
      </c>
      <c r="NE15" s="5">
        <v>0</v>
      </c>
      <c r="NF15" s="5">
        <v>0</v>
      </c>
      <c r="NG15" s="5">
        <v>2142000</v>
      </c>
      <c r="NH15" s="5">
        <v>2142000</v>
      </c>
      <c r="NI15" s="5">
        <v>2142000</v>
      </c>
      <c r="NJ15" s="5">
        <v>0</v>
      </c>
      <c r="NK15" s="5"/>
      <c r="NL15" s="2" t="s">
        <v>17</v>
      </c>
      <c r="NM15" s="2" t="s">
        <v>17</v>
      </c>
      <c r="NN15" s="2"/>
      <c r="NO15" s="2" t="s">
        <v>17</v>
      </c>
      <c r="NP15" s="2"/>
      <c r="NQ15" s="2"/>
      <c r="NR15" s="2" t="s">
        <v>17</v>
      </c>
      <c r="NS15" s="2"/>
      <c r="NT15" s="2" t="s">
        <v>9</v>
      </c>
      <c r="NU15" s="2" t="s">
        <v>450</v>
      </c>
      <c r="NV15" s="2">
        <v>15</v>
      </c>
      <c r="NW15" s="2" t="s">
        <v>1354</v>
      </c>
      <c r="NX15" s="2" t="s">
        <v>17</v>
      </c>
      <c r="NY15" s="2"/>
      <c r="NZ15" s="2"/>
      <c r="OA15" s="2" t="s">
        <v>118</v>
      </c>
      <c r="OB15" s="2" t="s">
        <v>118</v>
      </c>
      <c r="OC15" s="2" t="s">
        <v>118</v>
      </c>
      <c r="OD15" s="2" t="s">
        <v>17</v>
      </c>
      <c r="OE15" s="2" t="s">
        <v>119</v>
      </c>
      <c r="OF15" s="2" t="s">
        <v>17</v>
      </c>
      <c r="OG15" s="2" t="s">
        <v>17</v>
      </c>
      <c r="OH15" s="2"/>
      <c r="OI15" s="2"/>
      <c r="OJ15" s="2"/>
      <c r="OK15" s="2" t="s">
        <v>17</v>
      </c>
      <c r="OL15" s="2" t="s">
        <v>17</v>
      </c>
      <c r="OM15" s="2" t="s">
        <v>85</v>
      </c>
      <c r="ON15" s="6">
        <v>0</v>
      </c>
      <c r="OO15" s="6">
        <v>0</v>
      </c>
      <c r="OP15" s="2" t="s">
        <v>93</v>
      </c>
      <c r="OQ15" s="2" t="s">
        <v>93</v>
      </c>
      <c r="OR15" s="6">
        <v>0</v>
      </c>
      <c r="OS15" s="4">
        <v>0</v>
      </c>
      <c r="OT15" s="2" t="s">
        <v>17</v>
      </c>
      <c r="OU15" s="2" t="s">
        <v>17</v>
      </c>
      <c r="OV15" s="2"/>
      <c r="OW15" s="2"/>
      <c r="OX15" s="5">
        <v>16386300</v>
      </c>
      <c r="OY15" s="6">
        <v>186207.95</v>
      </c>
      <c r="OZ15" s="2"/>
      <c r="PA15" s="2"/>
      <c r="PB15" s="8">
        <v>12600000</v>
      </c>
      <c r="PC15" s="2"/>
      <c r="PD15" s="8">
        <v>12600000</v>
      </c>
      <c r="PE15" s="8">
        <v>500000</v>
      </c>
      <c r="PF15" s="2"/>
      <c r="PG15" s="8">
        <v>500000</v>
      </c>
      <c r="PH15" s="2"/>
      <c r="PI15" s="2"/>
      <c r="PJ15" s="2"/>
      <c r="PK15" s="8">
        <v>13100000</v>
      </c>
      <c r="PL15" s="2"/>
      <c r="PM15" s="8">
        <v>13100000</v>
      </c>
      <c r="PN15" s="8">
        <v>1833990</v>
      </c>
      <c r="PO15" s="2"/>
      <c r="PP15" s="8">
        <v>1833990</v>
      </c>
      <c r="PQ15" s="6">
        <v>1834000</v>
      </c>
      <c r="PR15" s="8">
        <v>14933990</v>
      </c>
      <c r="PS15" s="2"/>
      <c r="PT15" s="8">
        <v>14933990</v>
      </c>
      <c r="PU15" s="8">
        <v>746690</v>
      </c>
      <c r="PV15" s="2"/>
      <c r="PW15" s="8">
        <v>746690</v>
      </c>
      <c r="PX15" s="6">
        <v>746699.5</v>
      </c>
      <c r="PY15" s="8">
        <v>789500</v>
      </c>
      <c r="PZ15" s="8">
        <v>35000</v>
      </c>
      <c r="QA15" s="8">
        <v>824500</v>
      </c>
      <c r="QB15" s="8">
        <v>125000</v>
      </c>
      <c r="QC15" s="8">
        <v>50000</v>
      </c>
      <c r="QD15" s="8">
        <v>175000</v>
      </c>
      <c r="QE15" s="8">
        <v>290964</v>
      </c>
      <c r="QF15" s="2"/>
      <c r="QG15" s="8">
        <v>290964</v>
      </c>
      <c r="QH15" s="2"/>
      <c r="QI15" s="8">
        <v>410780</v>
      </c>
      <c r="QJ15" s="8">
        <v>410780</v>
      </c>
      <c r="QK15" s="2"/>
      <c r="QL15" s="2"/>
      <c r="QM15" s="2"/>
      <c r="QN15" s="2"/>
      <c r="QO15" s="2"/>
      <c r="QP15" s="2"/>
      <c r="QQ15" s="8">
        <v>1205464</v>
      </c>
      <c r="QR15" s="8">
        <v>495780</v>
      </c>
      <c r="QS15" s="8">
        <v>1701244</v>
      </c>
      <c r="QT15" s="8">
        <v>60263</v>
      </c>
      <c r="QU15" s="8">
        <v>24779</v>
      </c>
      <c r="QV15" s="8">
        <v>85042</v>
      </c>
      <c r="QW15" s="6">
        <v>85062.2</v>
      </c>
      <c r="QX15" s="8">
        <v>736902</v>
      </c>
      <c r="QY15" s="8">
        <v>82061</v>
      </c>
      <c r="QZ15" s="8">
        <v>818963</v>
      </c>
      <c r="RA15" s="8">
        <v>27500</v>
      </c>
      <c r="RB15" s="8">
        <v>27500</v>
      </c>
      <c r="RC15" s="2"/>
      <c r="RD15" s="2"/>
      <c r="RE15" s="2"/>
      <c r="RF15" s="8">
        <v>736902</v>
      </c>
      <c r="RG15" s="8">
        <v>109561</v>
      </c>
      <c r="RH15" s="8">
        <v>846463</v>
      </c>
      <c r="RI15" s="2"/>
      <c r="RJ15" s="2"/>
      <c r="RK15" s="2"/>
      <c r="RL15" s="2"/>
      <c r="RM15" s="8">
        <v>17683309</v>
      </c>
      <c r="RN15" s="8">
        <v>630120</v>
      </c>
      <c r="RO15" s="8">
        <v>18313429</v>
      </c>
      <c r="RP15" s="2"/>
      <c r="RQ15" s="2"/>
      <c r="RR15" s="2">
        <v>0</v>
      </c>
      <c r="RS15" s="6">
        <v>0</v>
      </c>
      <c r="RT15" s="8">
        <v>2829319</v>
      </c>
      <c r="RU15" s="8">
        <v>100810</v>
      </c>
      <c r="RV15" s="8">
        <v>2930129</v>
      </c>
      <c r="RW15" s="6">
        <v>2930148</v>
      </c>
      <c r="RX15" s="6">
        <v>0</v>
      </c>
      <c r="RY15" s="8">
        <v>2829319</v>
      </c>
      <c r="RZ15" s="8">
        <v>100810</v>
      </c>
      <c r="SA15" s="8">
        <v>2930129</v>
      </c>
      <c r="SB15" s="6">
        <v>2930148</v>
      </c>
      <c r="SC15" s="8">
        <v>185313</v>
      </c>
      <c r="SD15" s="8">
        <v>185313</v>
      </c>
      <c r="SE15" s="6">
        <v>308000</v>
      </c>
      <c r="SF15" s="8">
        <v>750000</v>
      </c>
      <c r="SG15" s="8">
        <v>750000</v>
      </c>
      <c r="SH15" s="8">
        <v>20512628</v>
      </c>
      <c r="SI15" s="8">
        <v>1666243</v>
      </c>
      <c r="SJ15" s="8">
        <v>22178871</v>
      </c>
      <c r="SK15" s="2" t="s">
        <v>229</v>
      </c>
      <c r="SL15" s="2"/>
      <c r="SM15" s="2"/>
      <c r="SN15" s="2"/>
      <c r="SO15" s="2"/>
      <c r="SP15" s="8">
        <v>2000000</v>
      </c>
      <c r="SQ15" s="2" t="s">
        <v>95</v>
      </c>
      <c r="SR15" s="8">
        <v>460000</v>
      </c>
      <c r="SS15" s="2" t="s">
        <v>180</v>
      </c>
      <c r="ST15" s="2"/>
      <c r="SU15" s="2"/>
      <c r="SV15" s="2"/>
      <c r="SW15" s="2"/>
      <c r="SX15" s="2" t="s">
        <v>96</v>
      </c>
      <c r="SY15" s="2" t="s">
        <v>96</v>
      </c>
      <c r="SZ15" s="2" t="s">
        <v>96</v>
      </c>
      <c r="TA15" s="2" t="s">
        <v>96</v>
      </c>
      <c r="TB15" s="8">
        <v>2813664</v>
      </c>
      <c r="TC15" s="2" t="s">
        <v>1355</v>
      </c>
      <c r="TD15" s="8">
        <v>14314558</v>
      </c>
      <c r="TE15" s="2" t="s">
        <v>95</v>
      </c>
      <c r="TF15" s="2"/>
      <c r="TG15" s="2"/>
      <c r="TH15" s="2"/>
      <c r="TI15" s="8">
        <v>2590649</v>
      </c>
      <c r="TJ15" s="8">
        <v>22178871</v>
      </c>
      <c r="TK15" s="2">
        <v>0</v>
      </c>
      <c r="TL15" s="2" t="s">
        <v>9</v>
      </c>
      <c r="TM15" s="8">
        <v>2000000</v>
      </c>
      <c r="TN15" s="2" t="s">
        <v>95</v>
      </c>
      <c r="TO15" s="8">
        <v>460000</v>
      </c>
      <c r="TP15" s="2" t="s">
        <v>180</v>
      </c>
      <c r="TQ15" s="2"/>
      <c r="TR15" s="2"/>
      <c r="TS15" s="2"/>
      <c r="TT15" s="2"/>
      <c r="TU15" s="2" t="s">
        <v>96</v>
      </c>
      <c r="TV15" s="8">
        <v>18633536</v>
      </c>
      <c r="TW15" s="2"/>
      <c r="TX15" s="2"/>
      <c r="TY15" s="2"/>
      <c r="TZ15" s="2"/>
      <c r="UA15" s="2"/>
      <c r="UB15" s="2"/>
      <c r="UC15" s="8">
        <v>1085335</v>
      </c>
      <c r="UD15" s="8">
        <v>22178871</v>
      </c>
      <c r="UE15" s="6">
        <v>2460000</v>
      </c>
      <c r="UF15" s="2">
        <v>0</v>
      </c>
      <c r="UG15" s="2" t="s">
        <v>9</v>
      </c>
      <c r="UH15" s="2">
        <v>88</v>
      </c>
      <c r="UI15" s="5">
        <v>240000</v>
      </c>
      <c r="UJ15" s="6">
        <v>320000</v>
      </c>
      <c r="UK15" s="6">
        <v>320000</v>
      </c>
      <c r="UL15" s="6">
        <v>339200</v>
      </c>
      <c r="UM15" s="6">
        <v>29849600</v>
      </c>
      <c r="UN15" s="6">
        <v>4775936</v>
      </c>
      <c r="UO15" s="6">
        <v>4775936</v>
      </c>
      <c r="UP15" s="6">
        <v>34625536</v>
      </c>
      <c r="UQ15" s="6">
        <v>21243558</v>
      </c>
      <c r="UR15" s="6">
        <v>460000</v>
      </c>
      <c r="US15" s="2"/>
      <c r="UT15" s="6">
        <v>460000</v>
      </c>
      <c r="UU15" s="2"/>
      <c r="UV15" s="6">
        <v>0</v>
      </c>
      <c r="UW15" s="6">
        <v>460000</v>
      </c>
      <c r="UX15" s="6">
        <v>0</v>
      </c>
      <c r="UY15" s="6">
        <v>460000</v>
      </c>
      <c r="UZ15" s="2" t="s">
        <v>1356</v>
      </c>
      <c r="VA15" s="2" t="s">
        <v>182</v>
      </c>
      <c r="VB15" s="2"/>
      <c r="VC15" s="2"/>
      <c r="VD15" s="2" t="s">
        <v>9</v>
      </c>
      <c r="VE15" s="2" t="s">
        <v>17</v>
      </c>
      <c r="VF15" s="2"/>
      <c r="VG15" s="2" t="s">
        <v>17</v>
      </c>
      <c r="VH15" s="2"/>
      <c r="VI15" s="388" t="s">
        <v>1324</v>
      </c>
      <c r="VJ15" s="2" t="s">
        <v>98</v>
      </c>
      <c r="VK15" s="2" t="s">
        <v>536</v>
      </c>
      <c r="VL15" s="23">
        <f t="shared" si="0"/>
        <v>132</v>
      </c>
      <c r="VM15" s="17">
        <f t="shared" si="1"/>
        <v>1.5</v>
      </c>
      <c r="VN15" s="17" t="str">
        <f t="shared" si="12"/>
        <v>NC-MR-E</v>
      </c>
      <c r="VO15" s="17" t="str">
        <f t="shared" si="13"/>
        <v>NC-MR-E-Non</v>
      </c>
      <c r="VP15" s="12">
        <v>9</v>
      </c>
      <c r="VQ15" s="57">
        <v>1</v>
      </c>
      <c r="VR15" s="57">
        <f t="shared" si="2"/>
        <v>1</v>
      </c>
      <c r="VS15" s="14">
        <f t="shared" si="3"/>
        <v>1</v>
      </c>
      <c r="VT15" s="12">
        <f t="shared" si="4"/>
        <v>0.97</v>
      </c>
      <c r="VU15" s="16">
        <f t="shared" si="5"/>
        <v>18699660</v>
      </c>
      <c r="VV15" s="16">
        <f t="shared" si="6"/>
        <v>212496.13636363635</v>
      </c>
      <c r="VW15" s="12" t="str">
        <f t="shared" si="14"/>
        <v>A</v>
      </c>
      <c r="VX15" s="12" t="str">
        <f t="shared" si="15"/>
        <v>NC-MR-Non</v>
      </c>
      <c r="VY15" s="351">
        <f t="shared" si="16"/>
        <v>2</v>
      </c>
      <c r="WA15" s="12">
        <f t="shared" si="17"/>
        <v>1</v>
      </c>
      <c r="WB15" s="12">
        <f t="shared" si="18"/>
        <v>0</v>
      </c>
      <c r="WC15" s="12">
        <f t="shared" si="18"/>
        <v>0</v>
      </c>
      <c r="WD15" s="12">
        <f t="shared" si="18"/>
        <v>0</v>
      </c>
      <c r="WE15" s="12">
        <f t="shared" si="19"/>
        <v>0</v>
      </c>
      <c r="WF15" s="12">
        <f t="shared" si="7"/>
        <v>0</v>
      </c>
      <c r="WG15" s="12">
        <f t="shared" si="8"/>
        <v>1</v>
      </c>
      <c r="WH15" s="12">
        <f t="shared" si="9"/>
        <v>0</v>
      </c>
      <c r="WI15" s="31">
        <f t="shared" si="10"/>
        <v>2</v>
      </c>
      <c r="WJ15" s="2"/>
      <c r="WK15" s="445" t="str">
        <f t="shared" si="20"/>
        <v>NC-MR-Non-BBN-BRN-NPH-E</v>
      </c>
      <c r="WL15" s="445"/>
      <c r="WM15" s="445"/>
    </row>
    <row r="16" spans="1:622" x14ac:dyDescent="0.25">
      <c r="A16" s="2">
        <v>9546</v>
      </c>
      <c r="B16" s="2" t="s">
        <v>1676</v>
      </c>
      <c r="C16" s="2" t="s">
        <v>8</v>
      </c>
      <c r="D16" s="3">
        <v>45153</v>
      </c>
      <c r="E16" s="2" t="s">
        <v>9</v>
      </c>
      <c r="F16" s="2">
        <v>3</v>
      </c>
      <c r="G16" s="2" t="s">
        <v>9</v>
      </c>
      <c r="H16" s="2">
        <v>3</v>
      </c>
      <c r="I16" s="2" t="s">
        <v>9</v>
      </c>
      <c r="J16" s="2">
        <v>2</v>
      </c>
      <c r="K16" s="2" t="s">
        <v>9</v>
      </c>
      <c r="L16" s="2">
        <v>3</v>
      </c>
      <c r="M16" s="2" t="s">
        <v>10</v>
      </c>
      <c r="N16" s="2">
        <v>0</v>
      </c>
      <c r="O16" s="2" t="s">
        <v>10</v>
      </c>
      <c r="P16" s="2">
        <v>0</v>
      </c>
      <c r="Q16" s="2" t="s">
        <v>11</v>
      </c>
      <c r="R16" s="2">
        <v>0</v>
      </c>
      <c r="S16" s="2" t="s">
        <v>9</v>
      </c>
      <c r="T16" s="2">
        <v>2</v>
      </c>
      <c r="U16" s="2" t="s">
        <v>9</v>
      </c>
      <c r="V16" s="2">
        <v>2</v>
      </c>
      <c r="W16" s="2" t="s">
        <v>9</v>
      </c>
      <c r="X16" s="2">
        <v>2</v>
      </c>
      <c r="Y16" s="2" t="s">
        <v>12</v>
      </c>
      <c r="Z16" s="2" t="s">
        <v>785</v>
      </c>
      <c r="AA16" s="2" t="s">
        <v>771</v>
      </c>
      <c r="AB16" s="2" t="s">
        <v>15</v>
      </c>
      <c r="AC16" s="2" t="s">
        <v>15</v>
      </c>
      <c r="AD16" s="2" t="s">
        <v>15</v>
      </c>
      <c r="AE16" s="2" t="s">
        <v>15</v>
      </c>
      <c r="AF16" s="2">
        <v>2</v>
      </c>
      <c r="AG16" s="2" t="s">
        <v>772</v>
      </c>
      <c r="AH16" s="2" t="s">
        <v>17</v>
      </c>
      <c r="AI16" s="4">
        <v>0.1</v>
      </c>
      <c r="AJ16" s="2" t="s">
        <v>17</v>
      </c>
      <c r="AK16" s="2" t="s">
        <v>9</v>
      </c>
      <c r="AL16" s="2" t="s">
        <v>17</v>
      </c>
      <c r="AM16" s="2" t="s">
        <v>17</v>
      </c>
      <c r="AN16" s="2" t="s">
        <v>17</v>
      </c>
      <c r="AO16" s="2" t="s">
        <v>9</v>
      </c>
      <c r="AP16" s="2" t="s">
        <v>17</v>
      </c>
      <c r="AQ16" s="2" t="s">
        <v>17</v>
      </c>
      <c r="AR16" s="2" t="s">
        <v>17</v>
      </c>
      <c r="AS16" s="2" t="s">
        <v>17</v>
      </c>
      <c r="AT16" s="2">
        <v>0</v>
      </c>
      <c r="AU16" s="5">
        <v>37500</v>
      </c>
      <c r="AV16" s="5">
        <v>460000</v>
      </c>
      <c r="AW16" s="2">
        <v>0</v>
      </c>
      <c r="AX16" s="2">
        <v>7</v>
      </c>
      <c r="AY16" s="2">
        <v>0</v>
      </c>
      <c r="AZ16" s="2">
        <v>18</v>
      </c>
      <c r="BA16" s="2">
        <v>0</v>
      </c>
      <c r="BB16" s="2">
        <v>1</v>
      </c>
      <c r="BC16" s="2">
        <v>0</v>
      </c>
      <c r="BD16" s="2">
        <v>0</v>
      </c>
      <c r="BE16" s="2">
        <v>0</v>
      </c>
      <c r="BF16" s="2">
        <v>1</v>
      </c>
      <c r="BG16" s="2">
        <v>0</v>
      </c>
      <c r="BH16" s="2">
        <v>0</v>
      </c>
      <c r="BI16" s="2">
        <v>13</v>
      </c>
      <c r="BJ16" s="2">
        <v>1</v>
      </c>
      <c r="BK16" s="2">
        <v>0</v>
      </c>
      <c r="BL16" s="2">
        <v>2</v>
      </c>
      <c r="BM16" s="2">
        <v>1</v>
      </c>
      <c r="BN16" s="2">
        <v>13</v>
      </c>
      <c r="BO16" s="2">
        <v>11</v>
      </c>
      <c r="BP16" s="2">
        <v>0</v>
      </c>
      <c r="BQ16" s="2">
        <v>10</v>
      </c>
      <c r="BR16" s="2">
        <v>13.44</v>
      </c>
      <c r="BS16" s="2">
        <v>0</v>
      </c>
      <c r="BT16" s="4">
        <v>0.06</v>
      </c>
      <c r="BU16" s="2" t="s">
        <v>9</v>
      </c>
      <c r="BV16" s="6">
        <v>186207.95</v>
      </c>
      <c r="BW16" s="2" t="s">
        <v>126</v>
      </c>
      <c r="BX16" s="2" t="s">
        <v>17</v>
      </c>
      <c r="BY16" s="2" t="s">
        <v>17</v>
      </c>
      <c r="BZ16" s="2" t="s">
        <v>17</v>
      </c>
      <c r="CA16" s="2" t="s">
        <v>17</v>
      </c>
      <c r="CB16" s="2" t="s">
        <v>17</v>
      </c>
      <c r="CC16" s="2" t="s">
        <v>17</v>
      </c>
      <c r="CD16" s="2" t="s">
        <v>17</v>
      </c>
      <c r="CE16" s="2" t="s">
        <v>1677</v>
      </c>
      <c r="CF16" s="2" t="s">
        <v>17</v>
      </c>
      <c r="CG16" s="2" t="s">
        <v>1678</v>
      </c>
      <c r="CH16" s="2" t="s">
        <v>1679</v>
      </c>
      <c r="CI16" s="2"/>
      <c r="CJ16" s="2" t="s">
        <v>9</v>
      </c>
      <c r="CK16" s="2" t="s">
        <v>1680</v>
      </c>
      <c r="CL16" s="2" t="s">
        <v>1678</v>
      </c>
      <c r="CM16" s="2" t="s">
        <v>1681</v>
      </c>
      <c r="CN16" s="2" t="s">
        <v>1682</v>
      </c>
      <c r="CO16" s="2" t="s">
        <v>24</v>
      </c>
      <c r="CP16" s="2"/>
      <c r="CQ16" s="2">
        <v>114</v>
      </c>
      <c r="CR16" s="2" t="s">
        <v>984</v>
      </c>
      <c r="CS16" s="2">
        <v>2018</v>
      </c>
      <c r="CT16" s="2" t="s">
        <v>26</v>
      </c>
      <c r="CU16" s="2" t="s">
        <v>27</v>
      </c>
      <c r="CV16" s="2" t="s">
        <v>1683</v>
      </c>
      <c r="CW16" s="2" t="s">
        <v>1684</v>
      </c>
      <c r="CX16" s="2" t="s">
        <v>24</v>
      </c>
      <c r="CY16" s="2"/>
      <c r="CZ16" s="2">
        <v>80</v>
      </c>
      <c r="DA16" s="2" t="s">
        <v>984</v>
      </c>
      <c r="DB16" s="2">
        <v>2020</v>
      </c>
      <c r="DC16" s="2" t="s">
        <v>30</v>
      </c>
      <c r="DD16" s="2" t="s">
        <v>27</v>
      </c>
      <c r="DE16" s="2" t="s">
        <v>1685</v>
      </c>
      <c r="DF16" s="2" t="s">
        <v>1686</v>
      </c>
      <c r="DG16" s="2" t="s">
        <v>24</v>
      </c>
      <c r="DH16" s="2"/>
      <c r="DI16" s="2">
        <v>82</v>
      </c>
      <c r="DJ16" s="2" t="s">
        <v>984</v>
      </c>
      <c r="DK16" s="2">
        <v>2011</v>
      </c>
      <c r="DL16" s="2" t="s">
        <v>243</v>
      </c>
      <c r="DM16" s="2" t="s">
        <v>27</v>
      </c>
      <c r="DN16" s="2" t="s">
        <v>33</v>
      </c>
      <c r="DO16" s="2" t="s">
        <v>1687</v>
      </c>
      <c r="DP16" s="2" t="s">
        <v>665</v>
      </c>
      <c r="DQ16" s="2" t="s">
        <v>1688</v>
      </c>
      <c r="DR16" s="2" t="s">
        <v>1689</v>
      </c>
      <c r="DS16" s="2">
        <v>1</v>
      </c>
      <c r="DT16" s="2" t="s">
        <v>1690</v>
      </c>
      <c r="DU16" s="2" t="s">
        <v>1691</v>
      </c>
      <c r="DV16" s="2" t="s">
        <v>1692</v>
      </c>
      <c r="DW16" s="2">
        <v>98466</v>
      </c>
      <c r="DX16" s="2" t="s">
        <v>1693</v>
      </c>
      <c r="DY16" s="2"/>
      <c r="DZ16" s="2" t="s">
        <v>1694</v>
      </c>
      <c r="EA16" s="2" t="s">
        <v>1689</v>
      </c>
      <c r="EB16" s="2" t="s">
        <v>1681</v>
      </c>
      <c r="EC16" s="2" t="s">
        <v>1695</v>
      </c>
      <c r="ED16" s="2" t="s">
        <v>44</v>
      </c>
      <c r="EE16" s="2">
        <v>114</v>
      </c>
      <c r="EF16" s="2" t="s">
        <v>991</v>
      </c>
      <c r="EG16" s="2">
        <v>5</v>
      </c>
      <c r="EH16" s="2" t="s">
        <v>46</v>
      </c>
      <c r="EI16" s="2" t="s">
        <v>47</v>
      </c>
      <c r="EJ16" s="2" t="s">
        <v>1696</v>
      </c>
      <c r="EK16" s="2" t="s">
        <v>1697</v>
      </c>
      <c r="EL16" s="2" t="s">
        <v>44</v>
      </c>
      <c r="EM16" s="2">
        <v>344</v>
      </c>
      <c r="EN16" s="2" t="s">
        <v>991</v>
      </c>
      <c r="EO16" s="2">
        <v>9</v>
      </c>
      <c r="EP16" s="2" t="s">
        <v>46</v>
      </c>
      <c r="EQ16" s="2" t="s">
        <v>47</v>
      </c>
      <c r="ER16" s="2" t="s">
        <v>583</v>
      </c>
      <c r="ES16" s="2" t="s">
        <v>656</v>
      </c>
      <c r="ET16" s="2" t="s">
        <v>1698</v>
      </c>
      <c r="EU16" s="2" t="s">
        <v>1677</v>
      </c>
      <c r="EV16" s="2" t="s">
        <v>1699</v>
      </c>
      <c r="EW16" s="2" t="s">
        <v>396</v>
      </c>
      <c r="EX16" s="2" t="s">
        <v>39</v>
      </c>
      <c r="EY16" s="2">
        <v>33609</v>
      </c>
      <c r="EZ16" s="2" t="s">
        <v>1700</v>
      </c>
      <c r="FA16" s="2"/>
      <c r="FB16" s="2" t="s">
        <v>1701</v>
      </c>
      <c r="FC16" s="2" t="s">
        <v>1702</v>
      </c>
      <c r="FD16" s="2" t="s">
        <v>400</v>
      </c>
      <c r="FE16" s="2" t="s">
        <v>1703</v>
      </c>
      <c r="FF16" s="2" t="s">
        <v>1678</v>
      </c>
      <c r="FG16" s="2" t="s">
        <v>1699</v>
      </c>
      <c r="FH16" s="2" t="s">
        <v>396</v>
      </c>
      <c r="FI16" s="2" t="s">
        <v>39</v>
      </c>
      <c r="FJ16" s="2">
        <v>33609</v>
      </c>
      <c r="FK16" s="2" t="s">
        <v>1700</v>
      </c>
      <c r="FL16" s="2"/>
      <c r="FM16" s="2" t="s">
        <v>1704</v>
      </c>
      <c r="FN16" s="2" t="s">
        <v>1705</v>
      </c>
      <c r="FO16" s="2" t="s">
        <v>63</v>
      </c>
      <c r="FP16" s="2" t="s">
        <v>64</v>
      </c>
      <c r="FQ16" s="2" t="s">
        <v>9</v>
      </c>
      <c r="FR16" s="2" t="s">
        <v>17</v>
      </c>
      <c r="FS16" s="2" t="s">
        <v>17</v>
      </c>
      <c r="FT16" s="2" t="s">
        <v>9</v>
      </c>
      <c r="FU16" s="2">
        <v>0</v>
      </c>
      <c r="FV16" s="2">
        <v>0</v>
      </c>
      <c r="FW16" s="4">
        <v>0</v>
      </c>
      <c r="FX16" s="4">
        <v>0</v>
      </c>
      <c r="FY16" s="2" t="s">
        <v>65</v>
      </c>
      <c r="FZ16" s="2" t="s">
        <v>66</v>
      </c>
      <c r="GA16" s="2" t="s">
        <v>67</v>
      </c>
      <c r="GB16" s="2"/>
      <c r="GC16" s="2"/>
      <c r="GD16" s="2"/>
      <c r="GE16" s="2" t="s">
        <v>108</v>
      </c>
      <c r="GF16" s="2"/>
      <c r="GG16" s="2"/>
      <c r="GH16" s="2"/>
      <c r="GI16" s="2"/>
      <c r="GJ16" s="2">
        <v>88</v>
      </c>
      <c r="GK16" s="2"/>
      <c r="GL16" s="2"/>
      <c r="GM16" s="2"/>
      <c r="GN16" s="2"/>
      <c r="GO16" s="2"/>
      <c r="GP16" s="2"/>
      <c r="GQ16" s="2">
        <v>88</v>
      </c>
      <c r="GR16" s="2" t="s">
        <v>878</v>
      </c>
      <c r="GS16" s="2" t="s">
        <v>70</v>
      </c>
      <c r="GT16" s="2" t="s">
        <v>1706</v>
      </c>
      <c r="GU16" s="2" t="s">
        <v>1378</v>
      </c>
      <c r="GV16" s="2" t="s">
        <v>17</v>
      </c>
      <c r="GW16" s="2">
        <v>30.427596999999999</v>
      </c>
      <c r="GX16" s="2">
        <v>-87.291589000000002</v>
      </c>
      <c r="GY16" s="2"/>
      <c r="GZ16" s="2" t="s">
        <v>17</v>
      </c>
      <c r="HA16" s="2" t="s">
        <v>17</v>
      </c>
      <c r="HB16" s="2">
        <v>0</v>
      </c>
      <c r="HC16" s="2" t="s">
        <v>17</v>
      </c>
      <c r="HD16" s="2" t="s">
        <v>17</v>
      </c>
      <c r="HE16" s="2">
        <v>0</v>
      </c>
      <c r="HF16" s="2">
        <v>30.425581000000001</v>
      </c>
      <c r="HG16" s="2">
        <v>-87.291617000000002</v>
      </c>
      <c r="HH16" s="2">
        <v>0.14000000000000001</v>
      </c>
      <c r="HI16" s="2">
        <v>4</v>
      </c>
      <c r="HJ16" s="2">
        <v>30.431614</v>
      </c>
      <c r="HK16" s="2">
        <v>-87.291847000000004</v>
      </c>
      <c r="HL16" s="2">
        <v>0.28000000000000003</v>
      </c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 t="s">
        <v>73</v>
      </c>
      <c r="HY16" s="2" t="s">
        <v>17</v>
      </c>
      <c r="HZ16" s="2"/>
      <c r="IA16" s="2" t="s">
        <v>74</v>
      </c>
      <c r="IB16" s="2" t="s">
        <v>1707</v>
      </c>
      <c r="IC16" s="2">
        <v>1.1100000000000001</v>
      </c>
      <c r="ID16" s="2">
        <v>2</v>
      </c>
      <c r="IE16" s="2"/>
      <c r="IF16" s="2"/>
      <c r="IG16" s="2"/>
      <c r="IH16" s="2" t="s">
        <v>74</v>
      </c>
      <c r="II16" s="2">
        <v>1.1100000000000001</v>
      </c>
      <c r="IJ16" s="2">
        <v>2</v>
      </c>
      <c r="IK16" s="2" t="s">
        <v>1708</v>
      </c>
      <c r="IL16" s="2" t="s">
        <v>1709</v>
      </c>
      <c r="IM16" s="2">
        <v>0.49</v>
      </c>
      <c r="IN16" s="2">
        <v>4</v>
      </c>
      <c r="IO16" s="2" t="s">
        <v>17</v>
      </c>
      <c r="IP16" s="2">
        <v>4</v>
      </c>
      <c r="IQ16" s="2">
        <v>8</v>
      </c>
      <c r="IR16" s="2">
        <v>0</v>
      </c>
      <c r="IS16" s="2">
        <v>12</v>
      </c>
      <c r="IT16" s="2" t="s">
        <v>9</v>
      </c>
      <c r="IU16" s="2" t="s">
        <v>17</v>
      </c>
      <c r="IV16" s="2" t="s">
        <v>17</v>
      </c>
      <c r="IW16" s="2" t="s">
        <v>9</v>
      </c>
      <c r="IX16" s="2" t="s">
        <v>9</v>
      </c>
      <c r="IY16" s="2">
        <v>12</v>
      </c>
      <c r="IZ16" s="2">
        <v>88</v>
      </c>
      <c r="JA16" s="2" t="s">
        <v>172</v>
      </c>
      <c r="JB16" s="2" t="s">
        <v>173</v>
      </c>
      <c r="JC16" s="2"/>
      <c r="JD16" s="2"/>
      <c r="JE16" s="7">
        <v>0.1</v>
      </c>
      <c r="JF16" s="2"/>
      <c r="JG16" s="7">
        <v>0.9</v>
      </c>
      <c r="JH16" s="7">
        <v>0</v>
      </c>
      <c r="JI16" s="2">
        <v>88</v>
      </c>
      <c r="JJ16" s="7">
        <v>1</v>
      </c>
      <c r="JK16" s="2">
        <v>88</v>
      </c>
      <c r="JL16" s="7">
        <v>1</v>
      </c>
      <c r="JM16" s="2"/>
      <c r="JN16" s="2"/>
      <c r="JO16" s="2"/>
      <c r="JP16" s="2"/>
      <c r="JQ16" s="2"/>
      <c r="JR16" s="2"/>
      <c r="JS16" s="2">
        <v>0</v>
      </c>
      <c r="JT16" s="2">
        <v>0</v>
      </c>
      <c r="JU16" s="2"/>
      <c r="JV16" s="2">
        <v>0</v>
      </c>
      <c r="JW16" s="4">
        <v>0</v>
      </c>
      <c r="JX16" s="2">
        <v>0</v>
      </c>
      <c r="JY16" s="4">
        <v>0</v>
      </c>
      <c r="JZ16" s="2">
        <v>0</v>
      </c>
      <c r="KA16" s="2"/>
      <c r="KB16" s="2"/>
      <c r="KC16" s="2"/>
      <c r="KD16" s="2"/>
      <c r="KE16" s="2"/>
      <c r="KF16" s="2"/>
      <c r="KG16" s="2"/>
      <c r="KH16" s="2">
        <v>44</v>
      </c>
      <c r="KI16" s="2"/>
      <c r="KJ16" s="2"/>
      <c r="KK16" s="2">
        <v>44</v>
      </c>
      <c r="KL16" s="2"/>
      <c r="KM16" s="2"/>
      <c r="KN16" s="2"/>
      <c r="KO16" s="2"/>
      <c r="KP16" s="2"/>
      <c r="KQ16" s="2" t="s">
        <v>83</v>
      </c>
      <c r="KR16" s="2"/>
      <c r="KS16" s="2" t="s">
        <v>73</v>
      </c>
      <c r="KT16" s="2">
        <v>1</v>
      </c>
      <c r="KU16" s="2" t="s">
        <v>84</v>
      </c>
      <c r="KV16" s="2" t="s">
        <v>85</v>
      </c>
      <c r="KW16" s="2" t="s">
        <v>530</v>
      </c>
      <c r="KX16" s="2" t="s">
        <v>17</v>
      </c>
      <c r="KY16" s="2" t="s">
        <v>17</v>
      </c>
      <c r="KZ16" s="2" t="s">
        <v>17</v>
      </c>
      <c r="LA16" s="2" t="s">
        <v>17</v>
      </c>
      <c r="LB16" s="2" t="s">
        <v>17</v>
      </c>
      <c r="LC16" s="2" t="s">
        <v>17</v>
      </c>
      <c r="LD16" s="2" t="s">
        <v>17</v>
      </c>
      <c r="LE16" s="2" t="s">
        <v>17</v>
      </c>
      <c r="LF16" s="2" t="s">
        <v>17</v>
      </c>
      <c r="LG16" s="2" t="s">
        <v>17</v>
      </c>
      <c r="LH16" s="2" t="s">
        <v>17</v>
      </c>
      <c r="LI16" s="2" t="s">
        <v>17</v>
      </c>
      <c r="LJ16" s="2" t="s">
        <v>87</v>
      </c>
      <c r="LK16" s="2" t="s">
        <v>17</v>
      </c>
      <c r="LL16" s="2" t="s">
        <v>17</v>
      </c>
      <c r="LM16" s="2">
        <v>0</v>
      </c>
      <c r="LN16" s="2" t="s">
        <v>17</v>
      </c>
      <c r="LO16" s="2" t="s">
        <v>17</v>
      </c>
      <c r="LP16" s="2" t="s">
        <v>17</v>
      </c>
      <c r="LQ16" s="2" t="s">
        <v>17</v>
      </c>
      <c r="LR16" s="2" t="s">
        <v>17</v>
      </c>
      <c r="LS16" s="2" t="s">
        <v>17</v>
      </c>
      <c r="LT16" s="2" t="s">
        <v>9</v>
      </c>
      <c r="LU16" s="2" t="s">
        <v>9</v>
      </c>
      <c r="LV16" s="2" t="s">
        <v>17</v>
      </c>
      <c r="LW16" s="2" t="s">
        <v>9</v>
      </c>
      <c r="LX16" s="2" t="s">
        <v>17</v>
      </c>
      <c r="LY16" s="5">
        <v>6500000</v>
      </c>
      <c r="LZ16" s="5">
        <v>0</v>
      </c>
      <c r="MA16" s="5">
        <v>7200000</v>
      </c>
      <c r="MB16" s="5">
        <v>0</v>
      </c>
      <c r="MC16" s="5">
        <v>0</v>
      </c>
      <c r="MD16" s="5">
        <v>0</v>
      </c>
      <c r="ME16" s="5">
        <v>9240000</v>
      </c>
      <c r="MF16" s="5">
        <v>0</v>
      </c>
      <c r="MG16" s="5">
        <v>0</v>
      </c>
      <c r="MH16" s="5">
        <v>0</v>
      </c>
      <c r="MI16" s="5">
        <v>0</v>
      </c>
      <c r="MJ16" s="5">
        <v>0</v>
      </c>
      <c r="MK16" s="5">
        <v>0</v>
      </c>
      <c r="ML16" s="2">
        <v>0</v>
      </c>
      <c r="MM16" s="5">
        <v>0</v>
      </c>
      <c r="MN16" s="5">
        <v>0</v>
      </c>
      <c r="MO16" s="2">
        <v>0</v>
      </c>
      <c r="MP16" s="2">
        <v>0</v>
      </c>
      <c r="MQ16" s="2">
        <v>0</v>
      </c>
      <c r="MR16" s="5">
        <v>2950000</v>
      </c>
      <c r="MS16" s="5">
        <v>0</v>
      </c>
      <c r="MT16" s="5">
        <v>4600000</v>
      </c>
      <c r="MU16" s="5">
        <v>0</v>
      </c>
      <c r="MV16" s="5">
        <v>0</v>
      </c>
      <c r="MW16" s="5">
        <v>0</v>
      </c>
      <c r="MX16" s="5">
        <v>0</v>
      </c>
      <c r="MY16" s="5">
        <v>2500000</v>
      </c>
      <c r="MZ16" s="5">
        <v>0</v>
      </c>
      <c r="NA16" s="5">
        <v>5000000</v>
      </c>
      <c r="NB16" s="5">
        <v>0</v>
      </c>
      <c r="NC16" s="5">
        <v>0</v>
      </c>
      <c r="ND16" s="5">
        <v>0</v>
      </c>
      <c r="NE16" s="5">
        <v>0</v>
      </c>
      <c r="NF16" s="5">
        <v>0</v>
      </c>
      <c r="NG16" s="5">
        <v>2142000</v>
      </c>
      <c r="NH16" s="5">
        <v>2142000</v>
      </c>
      <c r="NI16" s="5">
        <v>2142000</v>
      </c>
      <c r="NJ16" s="5">
        <v>0</v>
      </c>
      <c r="NK16" s="5"/>
      <c r="NL16" s="2" t="s">
        <v>17</v>
      </c>
      <c r="NM16" s="2" t="s">
        <v>17</v>
      </c>
      <c r="NN16" s="2"/>
      <c r="NO16" s="2" t="s">
        <v>17</v>
      </c>
      <c r="NP16" s="2"/>
      <c r="NQ16" s="2"/>
      <c r="NR16" s="2" t="s">
        <v>17</v>
      </c>
      <c r="NS16" s="2"/>
      <c r="NT16" s="2" t="s">
        <v>9</v>
      </c>
      <c r="NU16" s="2" t="s">
        <v>450</v>
      </c>
      <c r="NV16" s="2">
        <v>29</v>
      </c>
      <c r="NW16" s="2" t="s">
        <v>885</v>
      </c>
      <c r="NX16" s="2"/>
      <c r="NY16" s="2"/>
      <c r="NZ16" s="2"/>
      <c r="OA16" s="2" t="s">
        <v>118</v>
      </c>
      <c r="OB16" s="2" t="s">
        <v>118</v>
      </c>
      <c r="OC16" s="2" t="s">
        <v>118</v>
      </c>
      <c r="OD16" s="2" t="s">
        <v>17</v>
      </c>
      <c r="OE16" s="2" t="s">
        <v>119</v>
      </c>
      <c r="OF16" s="2" t="s">
        <v>17</v>
      </c>
      <c r="OG16" s="2" t="s">
        <v>17</v>
      </c>
      <c r="OH16" s="2"/>
      <c r="OI16" s="2"/>
      <c r="OJ16" s="2"/>
      <c r="OK16" s="2" t="s">
        <v>17</v>
      </c>
      <c r="OL16" s="2" t="s">
        <v>17</v>
      </c>
      <c r="OM16" s="2" t="s">
        <v>85</v>
      </c>
      <c r="ON16" s="6">
        <v>0</v>
      </c>
      <c r="OO16" s="6">
        <v>0</v>
      </c>
      <c r="OP16" s="2" t="s">
        <v>93</v>
      </c>
      <c r="OQ16" s="2" t="s">
        <v>93</v>
      </c>
      <c r="OR16" s="6">
        <v>0</v>
      </c>
      <c r="OS16" s="4">
        <v>0</v>
      </c>
      <c r="OT16" s="2" t="s">
        <v>17</v>
      </c>
      <c r="OU16" s="2" t="s">
        <v>17</v>
      </c>
      <c r="OV16" s="2"/>
      <c r="OW16" s="2"/>
      <c r="OX16" s="5">
        <v>16386300</v>
      </c>
      <c r="OY16" s="6">
        <v>186207.95</v>
      </c>
      <c r="OZ16" s="2"/>
      <c r="PA16" s="2"/>
      <c r="PB16" s="8">
        <v>14520000</v>
      </c>
      <c r="PC16" s="2"/>
      <c r="PD16" s="8">
        <v>14520000</v>
      </c>
      <c r="PE16" s="2"/>
      <c r="PF16" s="2"/>
      <c r="PG16" s="2"/>
      <c r="PH16" s="2"/>
      <c r="PI16" s="2"/>
      <c r="PJ16" s="2"/>
      <c r="PK16" s="8">
        <v>14520000</v>
      </c>
      <c r="PL16" s="2"/>
      <c r="PM16" s="8">
        <v>14520000</v>
      </c>
      <c r="PN16" s="8">
        <v>2032800</v>
      </c>
      <c r="PO16" s="2"/>
      <c r="PP16" s="8">
        <v>2032800</v>
      </c>
      <c r="PQ16" s="6">
        <v>2032800</v>
      </c>
      <c r="PR16" s="8">
        <v>16552800</v>
      </c>
      <c r="PS16" s="2"/>
      <c r="PT16" s="8">
        <v>16552800</v>
      </c>
      <c r="PU16" s="8">
        <v>827640</v>
      </c>
      <c r="PV16" s="2"/>
      <c r="PW16" s="8">
        <v>827640</v>
      </c>
      <c r="PX16" s="6">
        <v>827640</v>
      </c>
      <c r="PY16" s="8">
        <v>872500</v>
      </c>
      <c r="PZ16" s="8">
        <v>122500</v>
      </c>
      <c r="QA16" s="8">
        <v>995000</v>
      </c>
      <c r="QB16" s="8">
        <v>145000</v>
      </c>
      <c r="QC16" s="8">
        <v>20000</v>
      </c>
      <c r="QD16" s="8">
        <v>165000</v>
      </c>
      <c r="QE16" s="8">
        <v>730000</v>
      </c>
      <c r="QF16" s="8">
        <v>20000</v>
      </c>
      <c r="QG16" s="8">
        <v>750000</v>
      </c>
      <c r="QH16" s="2"/>
      <c r="QI16" s="8">
        <v>340500</v>
      </c>
      <c r="QJ16" s="8">
        <v>340500</v>
      </c>
      <c r="QK16" s="2"/>
      <c r="QL16" s="2"/>
      <c r="QM16" s="2"/>
      <c r="QN16" s="8">
        <v>197788</v>
      </c>
      <c r="QO16" s="2"/>
      <c r="QP16" s="8">
        <v>197788</v>
      </c>
      <c r="QQ16" s="8">
        <v>1945288</v>
      </c>
      <c r="QR16" s="8">
        <v>503000</v>
      </c>
      <c r="QS16" s="8">
        <v>2448288</v>
      </c>
      <c r="QT16" s="8">
        <v>120000</v>
      </c>
      <c r="QU16" s="2"/>
      <c r="QV16" s="8">
        <v>120000</v>
      </c>
      <c r="QW16" s="6">
        <v>122414.39999999999</v>
      </c>
      <c r="QX16" s="8">
        <v>885000</v>
      </c>
      <c r="QY16" s="2"/>
      <c r="QZ16" s="8">
        <v>885000</v>
      </c>
      <c r="RA16" s="8">
        <v>67000</v>
      </c>
      <c r="RB16" s="8">
        <v>67000</v>
      </c>
      <c r="RC16" s="2"/>
      <c r="RD16" s="2"/>
      <c r="RE16" s="2"/>
      <c r="RF16" s="8">
        <v>885000</v>
      </c>
      <c r="RG16" s="8">
        <v>67000</v>
      </c>
      <c r="RH16" s="8">
        <v>952000</v>
      </c>
      <c r="RI16" s="2"/>
      <c r="RJ16" s="2"/>
      <c r="RK16" s="2"/>
      <c r="RL16" s="2"/>
      <c r="RM16" s="8">
        <v>20330728</v>
      </c>
      <c r="RN16" s="8">
        <v>570000</v>
      </c>
      <c r="RO16" s="8">
        <v>20900728</v>
      </c>
      <c r="RP16" s="2"/>
      <c r="RQ16" s="2"/>
      <c r="RR16" s="2">
        <v>0</v>
      </c>
      <c r="RS16" s="6">
        <v>0</v>
      </c>
      <c r="RT16" s="8">
        <v>3340000</v>
      </c>
      <c r="RU16" s="2"/>
      <c r="RV16" s="8">
        <v>3340000</v>
      </c>
      <c r="RW16" s="6">
        <v>3344116</v>
      </c>
      <c r="RX16" s="6">
        <v>0</v>
      </c>
      <c r="RY16" s="8">
        <v>3340000</v>
      </c>
      <c r="RZ16" s="2"/>
      <c r="SA16" s="8">
        <v>3340000</v>
      </c>
      <c r="SB16" s="6">
        <v>3344116</v>
      </c>
      <c r="SC16" s="2"/>
      <c r="SD16" s="2"/>
      <c r="SE16" s="6">
        <v>308000</v>
      </c>
      <c r="SF16" s="8">
        <v>1580000</v>
      </c>
      <c r="SG16" s="8">
        <v>1580000</v>
      </c>
      <c r="SH16" s="8">
        <v>23670728</v>
      </c>
      <c r="SI16" s="8">
        <v>2150000</v>
      </c>
      <c r="SJ16" s="8">
        <v>25820728</v>
      </c>
      <c r="SK16" s="2"/>
      <c r="SL16" s="2"/>
      <c r="SM16" s="2" t="s">
        <v>1710</v>
      </c>
      <c r="SN16" s="2"/>
      <c r="SO16" s="2"/>
      <c r="SP16" s="8">
        <v>10000000</v>
      </c>
      <c r="SQ16" s="2" t="s">
        <v>95</v>
      </c>
      <c r="SR16" s="8">
        <v>460000</v>
      </c>
      <c r="SS16" s="2" t="s">
        <v>180</v>
      </c>
      <c r="ST16" s="2"/>
      <c r="SU16" s="2"/>
      <c r="SV16" s="2"/>
      <c r="SW16" s="2"/>
      <c r="SX16" s="2" t="s">
        <v>96</v>
      </c>
      <c r="SY16" s="2" t="s">
        <v>96</v>
      </c>
      <c r="SZ16" s="2" t="s">
        <v>96</v>
      </c>
      <c r="TA16" s="2" t="s">
        <v>96</v>
      </c>
      <c r="TB16" s="8">
        <v>13193399.5</v>
      </c>
      <c r="TC16" s="2"/>
      <c r="TD16" s="2"/>
      <c r="TE16" s="2"/>
      <c r="TF16" s="2"/>
      <c r="TG16" s="2"/>
      <c r="TH16" s="2"/>
      <c r="TI16" s="8">
        <v>2167328.5</v>
      </c>
      <c r="TJ16" s="8">
        <v>25820728</v>
      </c>
      <c r="TK16" s="2">
        <v>0</v>
      </c>
      <c r="TL16" s="2" t="s">
        <v>9</v>
      </c>
      <c r="TM16" s="8">
        <v>5700000</v>
      </c>
      <c r="TN16" s="2" t="s">
        <v>95</v>
      </c>
      <c r="TO16" s="8">
        <v>460000</v>
      </c>
      <c r="TP16" s="2" t="s">
        <v>180</v>
      </c>
      <c r="TQ16" s="2"/>
      <c r="TR16" s="2"/>
      <c r="TS16" s="2"/>
      <c r="TT16" s="2"/>
      <c r="TU16" s="2" t="s">
        <v>96</v>
      </c>
      <c r="TV16" s="8">
        <v>18847715.039999999</v>
      </c>
      <c r="TW16" s="2"/>
      <c r="TX16" s="2"/>
      <c r="TY16" s="2"/>
      <c r="TZ16" s="2"/>
      <c r="UA16" s="2"/>
      <c r="UB16" s="2"/>
      <c r="UC16" s="8">
        <v>813012.96</v>
      </c>
      <c r="UD16" s="8">
        <v>25820728</v>
      </c>
      <c r="UE16" s="6">
        <v>6160000</v>
      </c>
      <c r="UF16" s="2">
        <v>0</v>
      </c>
      <c r="UG16" s="2" t="s">
        <v>9</v>
      </c>
      <c r="UH16" s="2">
        <v>88</v>
      </c>
      <c r="UI16" s="5">
        <v>240000</v>
      </c>
      <c r="UJ16" s="6">
        <v>320000</v>
      </c>
      <c r="UK16" s="6">
        <v>320000</v>
      </c>
      <c r="UL16" s="6">
        <v>339200</v>
      </c>
      <c r="UM16" s="6">
        <v>29849600</v>
      </c>
      <c r="UN16" s="6">
        <v>4775936</v>
      </c>
      <c r="UO16" s="6">
        <v>4775936</v>
      </c>
      <c r="UP16" s="6">
        <v>34625536</v>
      </c>
      <c r="UQ16" s="6">
        <v>24240728</v>
      </c>
      <c r="UR16" s="6">
        <v>460000</v>
      </c>
      <c r="US16" s="6">
        <v>0</v>
      </c>
      <c r="UT16" s="6">
        <v>460000</v>
      </c>
      <c r="UU16" s="2"/>
      <c r="UV16" s="6">
        <v>0</v>
      </c>
      <c r="UW16" s="6">
        <v>460000</v>
      </c>
      <c r="UX16" s="6">
        <v>0</v>
      </c>
      <c r="UY16" s="6">
        <v>460000</v>
      </c>
      <c r="UZ16" s="2" t="s">
        <v>1711</v>
      </c>
      <c r="VA16" s="2" t="s">
        <v>182</v>
      </c>
      <c r="VB16" s="2"/>
      <c r="VC16" s="2"/>
      <c r="VD16" s="2" t="s">
        <v>9</v>
      </c>
      <c r="VE16" s="2" t="s">
        <v>17</v>
      </c>
      <c r="VF16" s="2"/>
      <c r="VG16" s="2" t="s">
        <v>17</v>
      </c>
      <c r="VH16" s="2"/>
      <c r="VI16" s="388" t="s">
        <v>1680</v>
      </c>
      <c r="VJ16" s="2" t="s">
        <v>98</v>
      </c>
      <c r="VK16" s="2" t="s">
        <v>536</v>
      </c>
      <c r="VL16" s="23">
        <f t="shared" si="0"/>
        <v>132</v>
      </c>
      <c r="VM16" s="17">
        <f t="shared" si="1"/>
        <v>1.5</v>
      </c>
      <c r="VN16" s="17" t="str">
        <f t="shared" si="12"/>
        <v>NC-MR-E</v>
      </c>
      <c r="VO16" s="17" t="str">
        <f t="shared" si="13"/>
        <v>NC-MR-E-Non</v>
      </c>
      <c r="VP16" s="12">
        <v>9</v>
      </c>
      <c r="VQ16" s="57">
        <v>1</v>
      </c>
      <c r="VR16" s="57">
        <f t="shared" si="2"/>
        <v>1</v>
      </c>
      <c r="VS16" s="14">
        <f t="shared" si="3"/>
        <v>1</v>
      </c>
      <c r="VT16" s="12">
        <f t="shared" si="4"/>
        <v>0.97</v>
      </c>
      <c r="VU16" s="16">
        <f t="shared" si="5"/>
        <v>18699660</v>
      </c>
      <c r="VV16" s="16">
        <f t="shared" si="6"/>
        <v>212496.13636363635</v>
      </c>
      <c r="VW16" s="12" t="str">
        <f t="shared" si="14"/>
        <v>A</v>
      </c>
      <c r="VX16" s="12" t="str">
        <f t="shared" si="15"/>
        <v>NC-MR-Non</v>
      </c>
      <c r="VY16" s="351">
        <f t="shared" si="16"/>
        <v>2</v>
      </c>
      <c r="WA16" s="12">
        <f t="shared" si="17"/>
        <v>1</v>
      </c>
      <c r="WB16" s="12">
        <f t="shared" si="18"/>
        <v>0</v>
      </c>
      <c r="WC16" s="12">
        <f t="shared" si="18"/>
        <v>0</v>
      </c>
      <c r="WD16" s="12">
        <f t="shared" si="18"/>
        <v>0</v>
      </c>
      <c r="WE16" s="12">
        <f t="shared" si="19"/>
        <v>0</v>
      </c>
      <c r="WF16" s="12">
        <f t="shared" si="7"/>
        <v>0</v>
      </c>
      <c r="WG16" s="12">
        <f t="shared" si="8"/>
        <v>1</v>
      </c>
      <c r="WH16" s="12">
        <f t="shared" si="9"/>
        <v>0</v>
      </c>
      <c r="WI16" s="31">
        <f t="shared" si="10"/>
        <v>2</v>
      </c>
      <c r="WJ16" s="2"/>
      <c r="WK16" s="445" t="str">
        <f t="shared" si="20"/>
        <v>NC-MR-Non-BBN-BRN-NPH-E</v>
      </c>
      <c r="WL16" s="445"/>
      <c r="WM16" s="445"/>
    </row>
    <row r="17" spans="1:611" x14ac:dyDescent="0.25">
      <c r="A17" s="2">
        <v>9549</v>
      </c>
      <c r="B17" s="2" t="s">
        <v>1723</v>
      </c>
      <c r="C17" s="2" t="s">
        <v>8</v>
      </c>
      <c r="D17" s="3">
        <v>45153</v>
      </c>
      <c r="E17" s="2" t="s">
        <v>9</v>
      </c>
      <c r="F17" s="2">
        <v>3</v>
      </c>
      <c r="G17" s="2" t="s">
        <v>9</v>
      </c>
      <c r="H17" s="2">
        <v>3</v>
      </c>
      <c r="I17" s="2" t="s">
        <v>9</v>
      </c>
      <c r="J17" s="2">
        <v>2</v>
      </c>
      <c r="K17" s="2" t="s">
        <v>9</v>
      </c>
      <c r="L17" s="2">
        <v>3</v>
      </c>
      <c r="M17" s="2" t="s">
        <v>10</v>
      </c>
      <c r="N17" s="2">
        <v>0</v>
      </c>
      <c r="O17" s="2" t="s">
        <v>10</v>
      </c>
      <c r="P17" s="2">
        <v>0</v>
      </c>
      <c r="Q17" s="2" t="s">
        <v>11</v>
      </c>
      <c r="R17" s="2">
        <v>0</v>
      </c>
      <c r="S17" s="2" t="s">
        <v>9</v>
      </c>
      <c r="T17" s="2">
        <v>2</v>
      </c>
      <c r="U17" s="2" t="s">
        <v>9</v>
      </c>
      <c r="V17" s="2">
        <v>2</v>
      </c>
      <c r="W17" s="2" t="s">
        <v>9</v>
      </c>
      <c r="X17" s="2">
        <v>2</v>
      </c>
      <c r="Y17" s="2" t="s">
        <v>12</v>
      </c>
      <c r="Z17" s="2" t="s">
        <v>14</v>
      </c>
      <c r="AA17" s="2" t="s">
        <v>15</v>
      </c>
      <c r="AB17" s="2" t="s">
        <v>15</v>
      </c>
      <c r="AC17" s="2" t="s">
        <v>15</v>
      </c>
      <c r="AD17" s="2" t="s">
        <v>15</v>
      </c>
      <c r="AE17" s="2" t="s">
        <v>15</v>
      </c>
      <c r="AF17" s="2">
        <v>1</v>
      </c>
      <c r="AG17" s="2" t="s">
        <v>16</v>
      </c>
      <c r="AH17" s="2" t="s">
        <v>17</v>
      </c>
      <c r="AI17" s="4">
        <v>0.1</v>
      </c>
      <c r="AJ17" s="2" t="s">
        <v>17</v>
      </c>
      <c r="AK17" s="2" t="s">
        <v>9</v>
      </c>
      <c r="AL17" s="2" t="s">
        <v>17</v>
      </c>
      <c r="AM17" s="2" t="s">
        <v>9</v>
      </c>
      <c r="AN17" s="2" t="s">
        <v>17</v>
      </c>
      <c r="AO17" s="2" t="s">
        <v>17</v>
      </c>
      <c r="AP17" s="2" t="s">
        <v>17</v>
      </c>
      <c r="AQ17" s="2" t="s">
        <v>17</v>
      </c>
      <c r="AR17" s="2" t="s">
        <v>17</v>
      </c>
      <c r="AS17" s="2" t="s">
        <v>17</v>
      </c>
      <c r="AT17" s="2">
        <v>0</v>
      </c>
      <c r="AU17" s="5">
        <v>50000</v>
      </c>
      <c r="AV17" s="5">
        <v>460000</v>
      </c>
      <c r="AW17" s="2">
        <v>0</v>
      </c>
      <c r="AX17" s="2">
        <v>8</v>
      </c>
      <c r="AY17" s="2">
        <v>0</v>
      </c>
      <c r="AZ17" s="2">
        <v>18</v>
      </c>
      <c r="BA17" s="2">
        <v>0</v>
      </c>
      <c r="BB17" s="2">
        <v>1</v>
      </c>
      <c r="BC17" s="2">
        <v>1</v>
      </c>
      <c r="BD17" s="2">
        <v>0</v>
      </c>
      <c r="BE17" s="2">
        <v>0</v>
      </c>
      <c r="BF17" s="2">
        <v>1</v>
      </c>
      <c r="BG17" s="2">
        <v>0</v>
      </c>
      <c r="BH17" s="2">
        <v>0</v>
      </c>
      <c r="BI17" s="2">
        <v>13</v>
      </c>
      <c r="BJ17" s="2">
        <v>1</v>
      </c>
      <c r="BK17" s="2">
        <v>0</v>
      </c>
      <c r="BL17" s="2">
        <v>3</v>
      </c>
      <c r="BM17" s="2">
        <v>1</v>
      </c>
      <c r="BN17" s="2">
        <v>12</v>
      </c>
      <c r="BO17" s="2">
        <v>11</v>
      </c>
      <c r="BP17" s="2">
        <v>0</v>
      </c>
      <c r="BQ17" s="2">
        <v>10</v>
      </c>
      <c r="BR17" s="2">
        <v>13.21</v>
      </c>
      <c r="BS17" s="2">
        <v>0</v>
      </c>
      <c r="BT17" s="4">
        <v>0.06</v>
      </c>
      <c r="BU17" s="2" t="s">
        <v>9</v>
      </c>
      <c r="BV17" s="6">
        <v>189428.57</v>
      </c>
      <c r="BW17" s="2" t="s">
        <v>18</v>
      </c>
      <c r="BX17" s="2" t="s">
        <v>17</v>
      </c>
      <c r="BY17" s="2" t="s">
        <v>17</v>
      </c>
      <c r="BZ17" s="2" t="s">
        <v>17</v>
      </c>
      <c r="CA17" s="2" t="s">
        <v>17</v>
      </c>
      <c r="CB17" s="2" t="s">
        <v>17</v>
      </c>
      <c r="CC17" s="2" t="s">
        <v>17</v>
      </c>
      <c r="CD17" s="2" t="s">
        <v>17</v>
      </c>
      <c r="CE17" s="2" t="s">
        <v>1724</v>
      </c>
      <c r="CF17" s="2" t="s">
        <v>17</v>
      </c>
      <c r="CG17" s="2" t="s">
        <v>1678</v>
      </c>
      <c r="CH17" s="2"/>
      <c r="CI17" s="2"/>
      <c r="CJ17" s="2" t="s">
        <v>9</v>
      </c>
      <c r="CK17" s="2" t="s">
        <v>1680</v>
      </c>
      <c r="CL17" s="2" t="s">
        <v>1678</v>
      </c>
      <c r="CM17" s="2" t="s">
        <v>1681</v>
      </c>
      <c r="CN17" s="2" t="s">
        <v>1682</v>
      </c>
      <c r="CO17" s="2" t="s">
        <v>24</v>
      </c>
      <c r="CP17" s="2"/>
      <c r="CQ17" s="2">
        <v>114</v>
      </c>
      <c r="CR17" s="2" t="s">
        <v>461</v>
      </c>
      <c r="CS17" s="2">
        <v>2018</v>
      </c>
      <c r="CT17" s="2" t="s">
        <v>26</v>
      </c>
      <c r="CU17" s="2" t="s">
        <v>27</v>
      </c>
      <c r="CV17" s="2" t="s">
        <v>1683</v>
      </c>
      <c r="CW17" s="2" t="s">
        <v>1684</v>
      </c>
      <c r="CX17" s="2" t="s">
        <v>24</v>
      </c>
      <c r="CY17" s="2"/>
      <c r="CZ17" s="2">
        <v>80</v>
      </c>
      <c r="DA17" s="2" t="s">
        <v>461</v>
      </c>
      <c r="DB17" s="2">
        <v>2020</v>
      </c>
      <c r="DC17" s="2" t="s">
        <v>30</v>
      </c>
      <c r="DD17" s="2" t="s">
        <v>27</v>
      </c>
      <c r="DE17" s="2" t="s">
        <v>1685</v>
      </c>
      <c r="DF17" s="2" t="s">
        <v>1686</v>
      </c>
      <c r="DG17" s="2" t="s">
        <v>24</v>
      </c>
      <c r="DH17" s="2"/>
      <c r="DI17" s="2">
        <v>82</v>
      </c>
      <c r="DJ17" s="2" t="s">
        <v>461</v>
      </c>
      <c r="DK17" s="2">
        <v>2011</v>
      </c>
      <c r="DL17" s="2" t="s">
        <v>243</v>
      </c>
      <c r="DM17" s="2" t="s">
        <v>27</v>
      </c>
      <c r="DN17" s="2" t="s">
        <v>33</v>
      </c>
      <c r="DO17" s="2" t="s">
        <v>1687</v>
      </c>
      <c r="DP17" s="2" t="s">
        <v>665</v>
      </c>
      <c r="DQ17" s="2" t="s">
        <v>1688</v>
      </c>
      <c r="DR17" s="2" t="s">
        <v>1689</v>
      </c>
      <c r="DS17" s="2">
        <v>1</v>
      </c>
      <c r="DT17" s="2" t="s">
        <v>1690</v>
      </c>
      <c r="DU17" s="2" t="s">
        <v>1691</v>
      </c>
      <c r="DV17" s="2" t="s">
        <v>1692</v>
      </c>
      <c r="DW17" s="2">
        <v>98466</v>
      </c>
      <c r="DX17" s="2" t="s">
        <v>1693</v>
      </c>
      <c r="DY17" s="2"/>
      <c r="DZ17" s="2" t="s">
        <v>1694</v>
      </c>
      <c r="EA17" s="2" t="s">
        <v>1689</v>
      </c>
      <c r="EB17" s="2" t="s">
        <v>1681</v>
      </c>
      <c r="EC17" s="2" t="s">
        <v>1695</v>
      </c>
      <c r="ED17" s="2" t="s">
        <v>44</v>
      </c>
      <c r="EE17" s="2">
        <v>114</v>
      </c>
      <c r="EF17" s="2" t="s">
        <v>473</v>
      </c>
      <c r="EG17" s="2">
        <v>5</v>
      </c>
      <c r="EH17" s="2" t="s">
        <v>46</v>
      </c>
      <c r="EI17" s="2" t="s">
        <v>47</v>
      </c>
      <c r="EJ17" s="2" t="s">
        <v>1696</v>
      </c>
      <c r="EK17" s="2" t="s">
        <v>1697</v>
      </c>
      <c r="EL17" s="2" t="s">
        <v>44</v>
      </c>
      <c r="EM17" s="2">
        <v>344</v>
      </c>
      <c r="EN17" s="2" t="s">
        <v>473</v>
      </c>
      <c r="EO17" s="2">
        <v>9</v>
      </c>
      <c r="EP17" s="2" t="s">
        <v>46</v>
      </c>
      <c r="EQ17" s="2" t="s">
        <v>47</v>
      </c>
      <c r="ER17" s="2" t="s">
        <v>583</v>
      </c>
      <c r="ES17" s="2" t="s">
        <v>656</v>
      </c>
      <c r="ET17" s="2" t="s">
        <v>1698</v>
      </c>
      <c r="EU17" s="2" t="s">
        <v>1724</v>
      </c>
      <c r="EV17" s="2" t="s">
        <v>1699</v>
      </c>
      <c r="EW17" s="2" t="s">
        <v>396</v>
      </c>
      <c r="EX17" s="2" t="s">
        <v>39</v>
      </c>
      <c r="EY17" s="2">
        <v>33609</v>
      </c>
      <c r="EZ17" s="2" t="s">
        <v>1700</v>
      </c>
      <c r="FA17" s="2"/>
      <c r="FB17" s="2" t="s">
        <v>1701</v>
      </c>
      <c r="FC17" s="2" t="s">
        <v>1702</v>
      </c>
      <c r="FD17" s="2" t="s">
        <v>400</v>
      </c>
      <c r="FE17" s="2" t="s">
        <v>1703</v>
      </c>
      <c r="FF17" s="2" t="s">
        <v>1678</v>
      </c>
      <c r="FG17" s="2" t="s">
        <v>1699</v>
      </c>
      <c r="FH17" s="2" t="s">
        <v>396</v>
      </c>
      <c r="FI17" s="2" t="s">
        <v>39</v>
      </c>
      <c r="FJ17" s="2">
        <v>33609</v>
      </c>
      <c r="FK17" s="2" t="s">
        <v>1700</v>
      </c>
      <c r="FL17" s="2"/>
      <c r="FM17" s="2" t="s">
        <v>1704</v>
      </c>
      <c r="FN17" s="2" t="s">
        <v>1725</v>
      </c>
      <c r="FO17" s="2" t="s">
        <v>63</v>
      </c>
      <c r="FP17" s="2" t="s">
        <v>64</v>
      </c>
      <c r="FQ17" s="2" t="s">
        <v>9</v>
      </c>
      <c r="FR17" s="2" t="s">
        <v>17</v>
      </c>
      <c r="FS17" s="2" t="s">
        <v>17</v>
      </c>
      <c r="FT17" s="2" t="s">
        <v>9</v>
      </c>
      <c r="FU17" s="2">
        <v>0</v>
      </c>
      <c r="FV17" s="2">
        <v>0</v>
      </c>
      <c r="FW17" s="4">
        <v>0</v>
      </c>
      <c r="FX17" s="4">
        <v>0</v>
      </c>
      <c r="FY17" s="2" t="s">
        <v>65</v>
      </c>
      <c r="FZ17" s="2" t="s">
        <v>66</v>
      </c>
      <c r="GA17" s="2" t="s">
        <v>67</v>
      </c>
      <c r="GB17" s="2"/>
      <c r="GC17" s="2"/>
      <c r="GD17" s="2"/>
      <c r="GE17" s="2" t="s">
        <v>108</v>
      </c>
      <c r="GF17" s="2"/>
      <c r="GG17" s="2"/>
      <c r="GH17" s="2"/>
      <c r="GI17" s="2"/>
      <c r="GJ17" s="2">
        <v>84</v>
      </c>
      <c r="GK17" s="2"/>
      <c r="GL17" s="2"/>
      <c r="GM17" s="2"/>
      <c r="GN17" s="2"/>
      <c r="GO17" s="2"/>
      <c r="GP17" s="2"/>
      <c r="GQ17" s="2">
        <v>84</v>
      </c>
      <c r="GR17" s="2" t="s">
        <v>1065</v>
      </c>
      <c r="GS17" s="2" t="s">
        <v>70</v>
      </c>
      <c r="GT17" s="2" t="s">
        <v>1726</v>
      </c>
      <c r="GU17" s="2" t="s">
        <v>1727</v>
      </c>
      <c r="GV17" s="2" t="s">
        <v>17</v>
      </c>
      <c r="GW17" s="2">
        <v>28.139181000000001</v>
      </c>
      <c r="GX17" s="2">
        <v>-81.974225000000004</v>
      </c>
      <c r="GY17" s="2"/>
      <c r="GZ17" s="2" t="s">
        <v>17</v>
      </c>
      <c r="HA17" s="2" t="s">
        <v>17</v>
      </c>
      <c r="HB17" s="2">
        <v>0</v>
      </c>
      <c r="HC17" s="2" t="s">
        <v>17</v>
      </c>
      <c r="HD17" s="2"/>
      <c r="HE17" s="2">
        <v>0</v>
      </c>
      <c r="HF17" s="2">
        <v>28.143771999999998</v>
      </c>
      <c r="HG17" s="2">
        <v>-81.973844</v>
      </c>
      <c r="HH17" s="2">
        <v>0.32</v>
      </c>
      <c r="HI17" s="2">
        <v>1.5</v>
      </c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 t="s">
        <v>73</v>
      </c>
      <c r="HY17" s="2" t="s">
        <v>17</v>
      </c>
      <c r="HZ17" s="2"/>
      <c r="IA17" s="2" t="s">
        <v>549</v>
      </c>
      <c r="IB17" s="2" t="s">
        <v>1728</v>
      </c>
      <c r="IC17" s="2">
        <v>0.69</v>
      </c>
      <c r="ID17" s="2">
        <v>3</v>
      </c>
      <c r="IE17" s="2"/>
      <c r="IF17" s="2"/>
      <c r="IG17" s="2"/>
      <c r="IH17" s="2" t="s">
        <v>115</v>
      </c>
      <c r="II17" s="2">
        <v>0.69</v>
      </c>
      <c r="IJ17" s="2">
        <v>3</v>
      </c>
      <c r="IK17" s="2" t="s">
        <v>1729</v>
      </c>
      <c r="IL17" s="2" t="s">
        <v>1730</v>
      </c>
      <c r="IM17" s="2">
        <v>1.1499999999999999</v>
      </c>
      <c r="IN17" s="2">
        <v>2.5</v>
      </c>
      <c r="IO17" s="2" t="s">
        <v>17</v>
      </c>
      <c r="IP17" s="2">
        <v>1.5</v>
      </c>
      <c r="IQ17" s="2">
        <v>8.5</v>
      </c>
      <c r="IR17" s="2">
        <v>0</v>
      </c>
      <c r="IS17" s="2">
        <v>10</v>
      </c>
      <c r="IT17" s="2" t="s">
        <v>17</v>
      </c>
      <c r="IU17" s="2" t="s">
        <v>17</v>
      </c>
      <c r="IV17" s="2" t="s">
        <v>17</v>
      </c>
      <c r="IW17" s="2" t="s">
        <v>9</v>
      </c>
      <c r="IX17" s="2" t="s">
        <v>9</v>
      </c>
      <c r="IY17" s="2">
        <v>10</v>
      </c>
      <c r="IZ17" s="2">
        <v>84</v>
      </c>
      <c r="JA17" s="2" t="s">
        <v>81</v>
      </c>
      <c r="JB17" s="2" t="s">
        <v>173</v>
      </c>
      <c r="JC17" s="2"/>
      <c r="JD17" s="2"/>
      <c r="JE17" s="7">
        <v>0.1</v>
      </c>
      <c r="JF17" s="2"/>
      <c r="JG17" s="7">
        <v>0.9</v>
      </c>
      <c r="JH17" s="7">
        <v>0</v>
      </c>
      <c r="JI17" s="2">
        <v>84</v>
      </c>
      <c r="JJ17" s="7">
        <v>1</v>
      </c>
      <c r="JK17" s="2">
        <v>84</v>
      </c>
      <c r="JL17" s="7">
        <v>1</v>
      </c>
      <c r="JM17" s="2"/>
      <c r="JN17" s="2"/>
      <c r="JO17" s="2"/>
      <c r="JP17" s="2"/>
      <c r="JQ17" s="2"/>
      <c r="JR17" s="2"/>
      <c r="JS17" s="2">
        <v>0</v>
      </c>
      <c r="JT17" s="2">
        <v>0</v>
      </c>
      <c r="JU17" s="2"/>
      <c r="JV17" s="2">
        <v>0</v>
      </c>
      <c r="JW17" s="4">
        <v>0</v>
      </c>
      <c r="JX17" s="2">
        <v>0</v>
      </c>
      <c r="JY17" s="4">
        <v>0</v>
      </c>
      <c r="JZ17" s="2">
        <v>0</v>
      </c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>
        <v>50</v>
      </c>
      <c r="KL17" s="2">
        <v>34</v>
      </c>
      <c r="KM17" s="2"/>
      <c r="KN17" s="2"/>
      <c r="KO17" s="2"/>
      <c r="KP17" s="2"/>
      <c r="KQ17" s="2" t="s">
        <v>83</v>
      </c>
      <c r="KR17" s="2" t="s">
        <v>73</v>
      </c>
      <c r="KS17" s="2"/>
      <c r="KT17" s="2">
        <v>1</v>
      </c>
      <c r="KU17" s="2" t="s">
        <v>84</v>
      </c>
      <c r="KV17" s="2" t="s">
        <v>85</v>
      </c>
      <c r="KW17" s="2" t="s">
        <v>530</v>
      </c>
      <c r="KX17" s="2" t="s">
        <v>17</v>
      </c>
      <c r="KY17" s="2" t="s">
        <v>17</v>
      </c>
      <c r="KZ17" s="2" t="s">
        <v>17</v>
      </c>
      <c r="LA17" s="2" t="s">
        <v>17</v>
      </c>
      <c r="LB17" s="2" t="s">
        <v>17</v>
      </c>
      <c r="LC17" s="2" t="s">
        <v>17</v>
      </c>
      <c r="LD17" s="2" t="s">
        <v>17</v>
      </c>
      <c r="LE17" s="2" t="s">
        <v>17</v>
      </c>
      <c r="LF17" s="2" t="s">
        <v>17</v>
      </c>
      <c r="LG17" s="2" t="s">
        <v>17</v>
      </c>
      <c r="LH17" s="2" t="s">
        <v>17</v>
      </c>
      <c r="LI17" s="2" t="s">
        <v>17</v>
      </c>
      <c r="LJ17" s="2" t="s">
        <v>87</v>
      </c>
      <c r="LK17" s="2" t="s">
        <v>17</v>
      </c>
      <c r="LL17" s="2" t="s">
        <v>17</v>
      </c>
      <c r="LM17" s="2">
        <v>0</v>
      </c>
      <c r="LN17" s="2" t="s">
        <v>17</v>
      </c>
      <c r="LO17" s="2" t="s">
        <v>9</v>
      </c>
      <c r="LP17" s="2" t="s">
        <v>9</v>
      </c>
      <c r="LQ17" s="2" t="s">
        <v>17</v>
      </c>
      <c r="LR17" s="2" t="s">
        <v>17</v>
      </c>
      <c r="LS17" s="2" t="s">
        <v>9</v>
      </c>
      <c r="LT17" s="2" t="s">
        <v>17</v>
      </c>
      <c r="LU17" s="2" t="s">
        <v>17</v>
      </c>
      <c r="LV17" s="2" t="s">
        <v>17</v>
      </c>
      <c r="LW17" s="2" t="s">
        <v>17</v>
      </c>
      <c r="LX17" s="2" t="s">
        <v>17</v>
      </c>
      <c r="LY17" s="5">
        <v>6500000</v>
      </c>
      <c r="LZ17" s="5">
        <v>0</v>
      </c>
      <c r="MA17" s="5">
        <v>7200000</v>
      </c>
      <c r="MB17" s="5">
        <v>0</v>
      </c>
      <c r="MC17" s="5">
        <v>0</v>
      </c>
      <c r="MD17" s="5">
        <v>0</v>
      </c>
      <c r="ME17" s="5">
        <v>8820000</v>
      </c>
      <c r="MF17" s="5">
        <v>0</v>
      </c>
      <c r="MG17" s="5">
        <v>0</v>
      </c>
      <c r="MH17" s="5">
        <v>0</v>
      </c>
      <c r="MI17" s="5">
        <v>0</v>
      </c>
      <c r="MJ17" s="5">
        <v>0</v>
      </c>
      <c r="MK17" s="5">
        <v>0</v>
      </c>
      <c r="ML17" s="2">
        <v>0</v>
      </c>
      <c r="MM17" s="5">
        <v>0</v>
      </c>
      <c r="MN17" s="5">
        <v>0</v>
      </c>
      <c r="MO17" s="2">
        <v>0</v>
      </c>
      <c r="MP17" s="2">
        <v>0</v>
      </c>
      <c r="MQ17" s="2">
        <v>0</v>
      </c>
      <c r="MR17" s="5">
        <v>2950000</v>
      </c>
      <c r="MS17" s="5">
        <v>0</v>
      </c>
      <c r="MT17" s="5">
        <v>4600000</v>
      </c>
      <c r="MU17" s="5">
        <v>0</v>
      </c>
      <c r="MV17" s="5">
        <v>0</v>
      </c>
      <c r="MW17" s="5">
        <v>0</v>
      </c>
      <c r="MX17" s="5">
        <v>0</v>
      </c>
      <c r="MY17" s="5">
        <v>2500000</v>
      </c>
      <c r="MZ17" s="5">
        <v>0</v>
      </c>
      <c r="NA17" s="5">
        <v>5000000</v>
      </c>
      <c r="NB17" s="5">
        <v>0</v>
      </c>
      <c r="NC17" s="5">
        <v>0</v>
      </c>
      <c r="ND17" s="5">
        <v>0</v>
      </c>
      <c r="NE17" s="5">
        <v>0</v>
      </c>
      <c r="NF17" s="5">
        <v>0</v>
      </c>
      <c r="NG17" s="5">
        <v>2142000</v>
      </c>
      <c r="NH17" s="5">
        <v>2080000</v>
      </c>
      <c r="NI17" s="5">
        <v>2080000</v>
      </c>
      <c r="NJ17" s="5">
        <v>0</v>
      </c>
      <c r="NK17" s="5"/>
      <c r="NL17" s="2" t="s">
        <v>17</v>
      </c>
      <c r="NM17" s="2" t="s">
        <v>17</v>
      </c>
      <c r="NN17" s="2"/>
      <c r="NO17" s="2" t="s">
        <v>9</v>
      </c>
      <c r="NP17" s="2">
        <v>33810</v>
      </c>
      <c r="NQ17" s="2" t="s">
        <v>1731</v>
      </c>
      <c r="NR17" s="2" t="s">
        <v>17</v>
      </c>
      <c r="NS17" s="2"/>
      <c r="NT17" s="2" t="s">
        <v>17</v>
      </c>
      <c r="NU17" s="2"/>
      <c r="NV17" s="2"/>
      <c r="NW17" s="2"/>
      <c r="NX17" s="2"/>
      <c r="NY17" s="2"/>
      <c r="NZ17" s="2"/>
      <c r="OA17" s="2" t="s">
        <v>118</v>
      </c>
      <c r="OB17" s="2" t="s">
        <v>118</v>
      </c>
      <c r="OC17" s="2" t="s">
        <v>118</v>
      </c>
      <c r="OD17" s="2" t="s">
        <v>17</v>
      </c>
      <c r="OE17" s="2" t="s">
        <v>119</v>
      </c>
      <c r="OF17" s="2" t="s">
        <v>17</v>
      </c>
      <c r="OG17" s="2" t="s">
        <v>9</v>
      </c>
      <c r="OH17" s="2" t="s">
        <v>120</v>
      </c>
      <c r="OI17" s="2"/>
      <c r="OJ17" s="2"/>
      <c r="OK17" s="2" t="s">
        <v>17</v>
      </c>
      <c r="OL17" s="2" t="s">
        <v>17</v>
      </c>
      <c r="OM17" s="2" t="s">
        <v>85</v>
      </c>
      <c r="ON17" s="6">
        <v>0</v>
      </c>
      <c r="OO17" s="6">
        <v>0</v>
      </c>
      <c r="OP17" s="2" t="s">
        <v>93</v>
      </c>
      <c r="OQ17" s="2" t="s">
        <v>93</v>
      </c>
      <c r="OR17" s="6">
        <v>0</v>
      </c>
      <c r="OS17" s="4">
        <v>0</v>
      </c>
      <c r="OT17" s="2" t="s">
        <v>17</v>
      </c>
      <c r="OU17" s="2" t="s">
        <v>17</v>
      </c>
      <c r="OV17" s="2"/>
      <c r="OW17" s="2"/>
      <c r="OX17" s="5">
        <v>15912000</v>
      </c>
      <c r="OY17" s="6">
        <v>189428.57</v>
      </c>
      <c r="OZ17" s="2"/>
      <c r="PA17" s="2"/>
      <c r="PB17" s="8">
        <v>13860000</v>
      </c>
      <c r="PC17" s="2"/>
      <c r="PD17" s="8">
        <v>13860000</v>
      </c>
      <c r="PE17" s="2"/>
      <c r="PF17" s="2"/>
      <c r="PG17" s="2"/>
      <c r="PH17" s="2"/>
      <c r="PI17" s="2"/>
      <c r="PJ17" s="2"/>
      <c r="PK17" s="8">
        <v>13860000</v>
      </c>
      <c r="PL17" s="2"/>
      <c r="PM17" s="8">
        <v>13860000</v>
      </c>
      <c r="PN17" s="8">
        <v>1940400</v>
      </c>
      <c r="PO17" s="2"/>
      <c r="PP17" s="8">
        <v>1940400</v>
      </c>
      <c r="PQ17" s="6">
        <v>1940400</v>
      </c>
      <c r="PR17" s="8">
        <v>15800400</v>
      </c>
      <c r="PS17" s="2"/>
      <c r="PT17" s="8">
        <v>15800400</v>
      </c>
      <c r="PU17" s="8">
        <v>790000</v>
      </c>
      <c r="PV17" s="2"/>
      <c r="PW17" s="8">
        <v>790000</v>
      </c>
      <c r="PX17" s="6">
        <v>790020</v>
      </c>
      <c r="PY17" s="8">
        <v>805000</v>
      </c>
      <c r="PZ17" s="8">
        <v>85000</v>
      </c>
      <c r="QA17" s="8">
        <v>890000</v>
      </c>
      <c r="QB17" s="8">
        <v>175000</v>
      </c>
      <c r="QC17" s="8">
        <v>30000</v>
      </c>
      <c r="QD17" s="8">
        <v>205000</v>
      </c>
      <c r="QE17" s="8">
        <v>1435752</v>
      </c>
      <c r="QF17" s="8">
        <v>75000</v>
      </c>
      <c r="QG17" s="8">
        <v>1510752</v>
      </c>
      <c r="QH17" s="2"/>
      <c r="QI17" s="8">
        <v>324598</v>
      </c>
      <c r="QJ17" s="8">
        <v>324598</v>
      </c>
      <c r="QK17" s="2"/>
      <c r="QL17" s="2"/>
      <c r="QM17" s="2"/>
      <c r="QN17" s="8">
        <v>132467</v>
      </c>
      <c r="QO17" s="2"/>
      <c r="QP17" s="8">
        <v>132467</v>
      </c>
      <c r="QQ17" s="8">
        <v>2548219</v>
      </c>
      <c r="QR17" s="8">
        <v>514598</v>
      </c>
      <c r="QS17" s="8">
        <v>3062817</v>
      </c>
      <c r="QT17" s="8">
        <v>150000</v>
      </c>
      <c r="QU17" s="2"/>
      <c r="QV17" s="8">
        <v>150000</v>
      </c>
      <c r="QW17" s="6">
        <v>153140.85</v>
      </c>
      <c r="QX17" s="8">
        <v>1050000</v>
      </c>
      <c r="QY17" s="2"/>
      <c r="QZ17" s="8">
        <v>1050000</v>
      </c>
      <c r="RA17" s="8">
        <v>71500</v>
      </c>
      <c r="RB17" s="8">
        <v>71500</v>
      </c>
      <c r="RC17" s="2"/>
      <c r="RD17" s="2"/>
      <c r="RE17" s="2"/>
      <c r="RF17" s="8">
        <v>1050000</v>
      </c>
      <c r="RG17" s="8">
        <v>71500</v>
      </c>
      <c r="RH17" s="8">
        <v>1121500</v>
      </c>
      <c r="RI17" s="2"/>
      <c r="RJ17" s="2"/>
      <c r="RK17" s="2"/>
      <c r="RL17" s="2"/>
      <c r="RM17" s="8">
        <v>20338619</v>
      </c>
      <c r="RN17" s="8">
        <v>586098</v>
      </c>
      <c r="RO17" s="8">
        <v>20924717</v>
      </c>
      <c r="RP17" s="2"/>
      <c r="RQ17" s="2"/>
      <c r="RR17" s="2">
        <v>0</v>
      </c>
      <c r="RS17" s="6">
        <v>0</v>
      </c>
      <c r="RT17" s="8">
        <v>3300000</v>
      </c>
      <c r="RU17" s="2"/>
      <c r="RV17" s="8">
        <v>3300000</v>
      </c>
      <c r="RW17" s="6">
        <v>3347954</v>
      </c>
      <c r="RX17" s="6">
        <v>0</v>
      </c>
      <c r="RY17" s="8">
        <v>3300000</v>
      </c>
      <c r="RZ17" s="2"/>
      <c r="SA17" s="8">
        <v>3300000</v>
      </c>
      <c r="SB17" s="6">
        <v>3347954</v>
      </c>
      <c r="SC17" s="2"/>
      <c r="SD17" s="2"/>
      <c r="SE17" s="6">
        <v>294000</v>
      </c>
      <c r="SF17" s="8">
        <v>1900000</v>
      </c>
      <c r="SG17" s="8">
        <v>1900000</v>
      </c>
      <c r="SH17" s="8">
        <v>23638619</v>
      </c>
      <c r="SI17" s="8">
        <v>2486098</v>
      </c>
      <c r="SJ17" s="8">
        <v>26124717</v>
      </c>
      <c r="SK17" s="2"/>
      <c r="SL17" s="2"/>
      <c r="SM17" s="2" t="s">
        <v>1710</v>
      </c>
      <c r="SN17" s="2"/>
      <c r="SO17" s="2"/>
      <c r="SP17" s="8">
        <v>10000000</v>
      </c>
      <c r="SQ17" s="2" t="s">
        <v>95</v>
      </c>
      <c r="SR17" s="2"/>
      <c r="SS17" s="2"/>
      <c r="ST17" s="2"/>
      <c r="SU17" s="2"/>
      <c r="SV17" s="2"/>
      <c r="SW17" s="2"/>
      <c r="SX17" s="2" t="s">
        <v>96</v>
      </c>
      <c r="SY17" s="2" t="s">
        <v>96</v>
      </c>
      <c r="SZ17" s="2" t="s">
        <v>96</v>
      </c>
      <c r="TA17" s="2" t="s">
        <v>96</v>
      </c>
      <c r="TB17" s="8">
        <v>16471952.1</v>
      </c>
      <c r="TC17" s="2"/>
      <c r="TD17" s="2"/>
      <c r="TE17" s="2"/>
      <c r="TF17" s="2"/>
      <c r="TG17" s="2"/>
      <c r="TH17" s="2"/>
      <c r="TI17" s="2">
        <v>0</v>
      </c>
      <c r="TJ17" s="8">
        <v>26471952.100000001</v>
      </c>
      <c r="TK17" s="8">
        <v>347235.1</v>
      </c>
      <c r="TL17" s="2" t="s">
        <v>9</v>
      </c>
      <c r="TM17" s="8">
        <v>6150000</v>
      </c>
      <c r="TN17" s="2" t="s">
        <v>95</v>
      </c>
      <c r="TO17" s="2"/>
      <c r="TP17" s="2"/>
      <c r="TQ17" s="2"/>
      <c r="TR17" s="2"/>
      <c r="TS17" s="2"/>
      <c r="TT17" s="2"/>
      <c r="TU17" s="2" t="s">
        <v>96</v>
      </c>
      <c r="TV17" s="8">
        <v>18302169</v>
      </c>
      <c r="TW17" s="2"/>
      <c r="TX17" s="2"/>
      <c r="TY17" s="2"/>
      <c r="TZ17" s="2"/>
      <c r="UA17" s="2"/>
      <c r="UB17" s="2"/>
      <c r="UC17" s="8">
        <v>1672548</v>
      </c>
      <c r="UD17" s="8">
        <v>26124717</v>
      </c>
      <c r="UE17" s="6">
        <v>6150000</v>
      </c>
      <c r="UF17" s="2">
        <v>0</v>
      </c>
      <c r="UG17" s="2" t="s">
        <v>9</v>
      </c>
      <c r="UH17" s="2">
        <v>84</v>
      </c>
      <c r="UI17" s="5">
        <v>240000</v>
      </c>
      <c r="UJ17" s="6">
        <v>320000</v>
      </c>
      <c r="UK17" s="6">
        <v>320000</v>
      </c>
      <c r="UL17" s="6">
        <v>339200</v>
      </c>
      <c r="UM17" s="6">
        <v>28492800</v>
      </c>
      <c r="UN17" s="6">
        <v>4558848</v>
      </c>
      <c r="UO17" s="6">
        <v>4558848</v>
      </c>
      <c r="UP17" s="6">
        <v>33051648</v>
      </c>
      <c r="UQ17" s="6">
        <v>24224717</v>
      </c>
      <c r="UR17" s="2"/>
      <c r="US17" s="2"/>
      <c r="UT17" s="6">
        <v>0</v>
      </c>
      <c r="UU17" s="2"/>
      <c r="UV17" s="6">
        <v>0</v>
      </c>
      <c r="UW17" s="6">
        <v>0</v>
      </c>
      <c r="UX17" s="6">
        <v>0</v>
      </c>
      <c r="UY17" s="6">
        <v>0</v>
      </c>
      <c r="UZ17" s="2"/>
      <c r="VA17" s="2"/>
      <c r="VB17" s="2"/>
      <c r="VC17" s="2"/>
      <c r="VD17" s="2" t="s">
        <v>17</v>
      </c>
      <c r="VE17" s="2" t="s">
        <v>17</v>
      </c>
      <c r="VF17" s="2"/>
      <c r="VG17" s="2" t="s">
        <v>17</v>
      </c>
      <c r="VH17" s="2"/>
      <c r="VI17" s="388" t="s">
        <v>1680</v>
      </c>
      <c r="VJ17" s="2" t="s">
        <v>98</v>
      </c>
      <c r="VK17" s="2" t="s">
        <v>536</v>
      </c>
      <c r="VL17" s="23">
        <f t="shared" si="0"/>
        <v>202</v>
      </c>
      <c r="VM17" s="17">
        <f t="shared" si="1"/>
        <v>2.4047619047619047</v>
      </c>
      <c r="VN17" s="17" t="str">
        <f t="shared" si="12"/>
        <v>NC-MR-F</v>
      </c>
      <c r="VO17" s="17" t="str">
        <f t="shared" si="13"/>
        <v>NC-MR-F-Non</v>
      </c>
      <c r="VP17" s="12">
        <v>9</v>
      </c>
      <c r="VQ17" s="57">
        <v>1</v>
      </c>
      <c r="VR17" s="57">
        <f t="shared" si="2"/>
        <v>1</v>
      </c>
      <c r="VS17" s="14">
        <f t="shared" si="3"/>
        <v>1</v>
      </c>
      <c r="VT17" s="12">
        <f t="shared" si="4"/>
        <v>0.97000000000000008</v>
      </c>
      <c r="VU17" s="16">
        <f t="shared" si="5"/>
        <v>18158400</v>
      </c>
      <c r="VV17" s="16">
        <f t="shared" si="6"/>
        <v>216171.42857142858</v>
      </c>
      <c r="VW17" s="12" t="str">
        <f t="shared" si="14"/>
        <v>A</v>
      </c>
      <c r="VX17" s="12" t="str">
        <f t="shared" si="15"/>
        <v>NC-MR-Non</v>
      </c>
      <c r="VY17" s="351">
        <f t="shared" si="16"/>
        <v>2</v>
      </c>
      <c r="WA17" s="12">
        <f t="shared" si="17"/>
        <v>0</v>
      </c>
      <c r="WB17" s="12">
        <f t="shared" si="18"/>
        <v>0</v>
      </c>
      <c r="WC17" s="12">
        <f t="shared" si="18"/>
        <v>0</v>
      </c>
      <c r="WD17" s="12">
        <f t="shared" si="18"/>
        <v>0</v>
      </c>
      <c r="WE17" s="12">
        <f t="shared" si="19"/>
        <v>0</v>
      </c>
      <c r="WF17" s="12">
        <f t="shared" si="7"/>
        <v>0</v>
      </c>
      <c r="WG17" s="12">
        <f t="shared" si="8"/>
        <v>1</v>
      </c>
      <c r="WH17" s="12">
        <f t="shared" si="9"/>
        <v>0</v>
      </c>
      <c r="WI17" s="31">
        <f t="shared" si="10"/>
        <v>1</v>
      </c>
      <c r="WJ17" s="2"/>
      <c r="WK17" s="445" t="str">
        <f t="shared" si="20"/>
        <v>NC-MR-Non-BBN-BRN-NPH-F</v>
      </c>
      <c r="WL17" s="445"/>
      <c r="WM17" s="445"/>
    </row>
    <row r="18" spans="1:611" x14ac:dyDescent="0.25">
      <c r="A18" s="2">
        <v>9358</v>
      </c>
      <c r="B18" s="2" t="s">
        <v>122</v>
      </c>
      <c r="C18" s="2" t="s">
        <v>8</v>
      </c>
      <c r="D18" s="3">
        <v>45153</v>
      </c>
      <c r="E18" s="2" t="s">
        <v>9</v>
      </c>
      <c r="F18" s="2">
        <v>3</v>
      </c>
      <c r="G18" s="2" t="s">
        <v>9</v>
      </c>
      <c r="H18" s="2">
        <v>3</v>
      </c>
      <c r="I18" s="2" t="s">
        <v>9</v>
      </c>
      <c r="J18" s="2">
        <v>3</v>
      </c>
      <c r="K18" s="2" t="s">
        <v>9</v>
      </c>
      <c r="L18" s="2">
        <v>3</v>
      </c>
      <c r="M18" s="2" t="s">
        <v>10</v>
      </c>
      <c r="N18" s="2">
        <v>0</v>
      </c>
      <c r="O18" s="2" t="s">
        <v>10</v>
      </c>
      <c r="P18" s="2">
        <v>0</v>
      </c>
      <c r="Q18" s="2" t="s">
        <v>11</v>
      </c>
      <c r="R18" s="2">
        <v>0</v>
      </c>
      <c r="S18" s="2" t="s">
        <v>9</v>
      </c>
      <c r="T18" s="2">
        <v>2</v>
      </c>
      <c r="U18" s="2" t="s">
        <v>9</v>
      </c>
      <c r="V18" s="2">
        <v>2</v>
      </c>
      <c r="W18" s="2" t="s">
        <v>9</v>
      </c>
      <c r="X18" s="2">
        <v>2</v>
      </c>
      <c r="Y18" s="2" t="s">
        <v>12</v>
      </c>
      <c r="Z18" s="2" t="s">
        <v>123</v>
      </c>
      <c r="AA18" s="2" t="s">
        <v>124</v>
      </c>
      <c r="AB18" s="2" t="s">
        <v>15</v>
      </c>
      <c r="AC18" s="2" t="s">
        <v>15</v>
      </c>
      <c r="AD18" s="2" t="s">
        <v>15</v>
      </c>
      <c r="AE18" s="2" t="s">
        <v>15</v>
      </c>
      <c r="AF18" s="2">
        <v>2</v>
      </c>
      <c r="AG18" s="2" t="s">
        <v>125</v>
      </c>
      <c r="AH18" s="2" t="s">
        <v>17</v>
      </c>
      <c r="AI18" s="4">
        <v>0.1</v>
      </c>
      <c r="AJ18" s="2" t="s">
        <v>17</v>
      </c>
      <c r="AK18" s="2" t="s">
        <v>9</v>
      </c>
      <c r="AL18" s="2" t="s">
        <v>17</v>
      </c>
      <c r="AM18" s="2" t="s">
        <v>9</v>
      </c>
      <c r="AN18" s="2" t="s">
        <v>17</v>
      </c>
      <c r="AO18" s="2" t="s">
        <v>17</v>
      </c>
      <c r="AP18" s="2" t="s">
        <v>17</v>
      </c>
      <c r="AQ18" s="2" t="s">
        <v>17</v>
      </c>
      <c r="AR18" s="2" t="s">
        <v>17</v>
      </c>
      <c r="AS18" s="2" t="s">
        <v>17</v>
      </c>
      <c r="AT18" s="2">
        <v>0</v>
      </c>
      <c r="AU18" s="5">
        <v>37500</v>
      </c>
      <c r="AV18" s="5">
        <v>460000</v>
      </c>
      <c r="AW18" s="2">
        <v>0</v>
      </c>
      <c r="AX18" s="2">
        <v>10</v>
      </c>
      <c r="AY18" s="2">
        <v>0</v>
      </c>
      <c r="AZ18" s="2">
        <v>18</v>
      </c>
      <c r="BA18" s="2">
        <v>0</v>
      </c>
      <c r="BB18" s="2">
        <v>1</v>
      </c>
      <c r="BC18" s="2">
        <v>0</v>
      </c>
      <c r="BD18" s="2">
        <v>0</v>
      </c>
      <c r="BE18" s="2">
        <v>0</v>
      </c>
      <c r="BF18" s="2">
        <v>1</v>
      </c>
      <c r="BG18" s="2">
        <v>0</v>
      </c>
      <c r="BH18" s="2">
        <v>0</v>
      </c>
      <c r="BI18" s="2">
        <v>13</v>
      </c>
      <c r="BJ18" s="2">
        <v>1</v>
      </c>
      <c r="BK18" s="2">
        <v>0</v>
      </c>
      <c r="BL18" s="2">
        <v>2</v>
      </c>
      <c r="BM18" s="2">
        <v>0</v>
      </c>
      <c r="BN18" s="2">
        <v>10</v>
      </c>
      <c r="BO18" s="2">
        <v>11</v>
      </c>
      <c r="BP18" s="2">
        <v>0</v>
      </c>
      <c r="BQ18" s="2">
        <v>10</v>
      </c>
      <c r="BR18" s="2">
        <v>12.37</v>
      </c>
      <c r="BS18" s="2">
        <v>0</v>
      </c>
      <c r="BT18" s="4">
        <v>0.06</v>
      </c>
      <c r="BU18" s="2" t="s">
        <v>9</v>
      </c>
      <c r="BV18" s="6">
        <v>190495.2</v>
      </c>
      <c r="BW18" s="2" t="s">
        <v>126</v>
      </c>
      <c r="BX18" s="2" t="s">
        <v>17</v>
      </c>
      <c r="BY18" s="2" t="s">
        <v>17</v>
      </c>
      <c r="BZ18" s="2" t="s">
        <v>17</v>
      </c>
      <c r="CA18" s="2" t="s">
        <v>17</v>
      </c>
      <c r="CB18" s="2" t="s">
        <v>17</v>
      </c>
      <c r="CC18" s="2" t="s">
        <v>17</v>
      </c>
      <c r="CD18" s="2" t="s">
        <v>17</v>
      </c>
      <c r="CE18" s="2" t="s">
        <v>127</v>
      </c>
      <c r="CF18" s="2" t="s">
        <v>9</v>
      </c>
      <c r="CG18" s="2" t="s">
        <v>128</v>
      </c>
      <c r="CH18" s="2" t="s">
        <v>129</v>
      </c>
      <c r="CI18" s="2"/>
      <c r="CJ18" s="2" t="s">
        <v>9</v>
      </c>
      <c r="CK18" s="2" t="s">
        <v>130</v>
      </c>
      <c r="CL18" s="2" t="s">
        <v>128</v>
      </c>
      <c r="CM18" s="2" t="s">
        <v>131</v>
      </c>
      <c r="CN18" s="2" t="s">
        <v>132</v>
      </c>
      <c r="CO18" s="2" t="s">
        <v>24</v>
      </c>
      <c r="CP18" s="2"/>
      <c r="CQ18" s="2">
        <v>105</v>
      </c>
      <c r="CR18" s="2" t="s">
        <v>133</v>
      </c>
      <c r="CS18" s="2">
        <v>2017</v>
      </c>
      <c r="CT18" s="2" t="s">
        <v>26</v>
      </c>
      <c r="CU18" s="2" t="s">
        <v>27</v>
      </c>
      <c r="CV18" s="2" t="s">
        <v>134</v>
      </c>
      <c r="CW18" s="2" t="s">
        <v>135</v>
      </c>
      <c r="CX18" s="2" t="s">
        <v>24</v>
      </c>
      <c r="CY18" s="2"/>
      <c r="CZ18" s="2">
        <v>71</v>
      </c>
      <c r="DA18" s="2" t="s">
        <v>133</v>
      </c>
      <c r="DB18" s="2">
        <v>2016</v>
      </c>
      <c r="DC18" s="2" t="s">
        <v>30</v>
      </c>
      <c r="DD18" s="2" t="s">
        <v>27</v>
      </c>
      <c r="DE18" s="2" t="s">
        <v>136</v>
      </c>
      <c r="DF18" s="2" t="s">
        <v>137</v>
      </c>
      <c r="DG18" s="2" t="s">
        <v>24</v>
      </c>
      <c r="DH18" s="2"/>
      <c r="DI18" s="2">
        <v>60</v>
      </c>
      <c r="DJ18" s="2" t="s">
        <v>133</v>
      </c>
      <c r="DK18" s="2">
        <v>2020</v>
      </c>
      <c r="DL18" s="2" t="s">
        <v>30</v>
      </c>
      <c r="DM18" s="2" t="s">
        <v>27</v>
      </c>
      <c r="DN18" s="2" t="s">
        <v>33</v>
      </c>
      <c r="DO18" s="2" t="s">
        <v>138</v>
      </c>
      <c r="DP18" s="2"/>
      <c r="DQ18" s="2" t="s">
        <v>139</v>
      </c>
      <c r="DR18" s="2" t="s">
        <v>140</v>
      </c>
      <c r="DS18" s="2">
        <v>1</v>
      </c>
      <c r="DT18" s="2" t="s">
        <v>141</v>
      </c>
      <c r="DU18" s="2" t="s">
        <v>142</v>
      </c>
      <c r="DV18" s="2" t="s">
        <v>143</v>
      </c>
      <c r="DW18" s="2">
        <v>28210</v>
      </c>
      <c r="DX18" s="2" t="s">
        <v>144</v>
      </c>
      <c r="DY18" s="2"/>
      <c r="DZ18" s="2" t="s">
        <v>145</v>
      </c>
      <c r="EA18" s="2" t="s">
        <v>140</v>
      </c>
      <c r="EB18" s="2" t="s">
        <v>146</v>
      </c>
      <c r="EC18" s="2" t="s">
        <v>147</v>
      </c>
      <c r="ED18" s="2" t="s">
        <v>44</v>
      </c>
      <c r="EE18" s="2">
        <v>101</v>
      </c>
      <c r="EF18" s="2" t="s">
        <v>148</v>
      </c>
      <c r="EG18" s="2">
        <v>8</v>
      </c>
      <c r="EH18" s="2" t="s">
        <v>46</v>
      </c>
      <c r="EI18" s="2" t="s">
        <v>47</v>
      </c>
      <c r="EJ18" s="2" t="s">
        <v>149</v>
      </c>
      <c r="EK18" s="2" t="s">
        <v>150</v>
      </c>
      <c r="EL18" s="2" t="s">
        <v>44</v>
      </c>
      <c r="EM18" s="2">
        <v>190</v>
      </c>
      <c r="EN18" s="2" t="s">
        <v>148</v>
      </c>
      <c r="EO18" s="2">
        <v>7</v>
      </c>
      <c r="EP18" s="2" t="s">
        <v>46</v>
      </c>
      <c r="EQ18" s="2" t="s">
        <v>47</v>
      </c>
      <c r="ER18" s="2" t="s">
        <v>151</v>
      </c>
      <c r="ES18" s="2"/>
      <c r="ET18" s="2" t="s">
        <v>152</v>
      </c>
      <c r="EU18" s="2" t="s">
        <v>128</v>
      </c>
      <c r="EV18" s="2" t="s">
        <v>153</v>
      </c>
      <c r="EW18" s="2" t="s">
        <v>154</v>
      </c>
      <c r="EX18" s="2" t="s">
        <v>155</v>
      </c>
      <c r="EY18" s="2">
        <v>60164</v>
      </c>
      <c r="EZ18" s="2" t="s">
        <v>156</v>
      </c>
      <c r="FA18" s="2"/>
      <c r="FB18" s="2" t="s">
        <v>157</v>
      </c>
      <c r="FC18" s="2" t="s">
        <v>50</v>
      </c>
      <c r="FD18" s="2"/>
      <c r="FE18" s="2" t="s">
        <v>158</v>
      </c>
      <c r="FF18" s="2" t="s">
        <v>128</v>
      </c>
      <c r="FG18" s="2" t="s">
        <v>159</v>
      </c>
      <c r="FH18" s="2" t="s">
        <v>160</v>
      </c>
      <c r="FI18" s="2" t="s">
        <v>39</v>
      </c>
      <c r="FJ18" s="2">
        <v>32920</v>
      </c>
      <c r="FK18" s="2" t="s">
        <v>161</v>
      </c>
      <c r="FL18" s="2"/>
      <c r="FM18" s="2" t="s">
        <v>162</v>
      </c>
      <c r="FN18" s="2" t="s">
        <v>163</v>
      </c>
      <c r="FO18" s="2" t="s">
        <v>63</v>
      </c>
      <c r="FP18" s="2" t="s">
        <v>64</v>
      </c>
      <c r="FQ18" s="2" t="s">
        <v>9</v>
      </c>
      <c r="FR18" s="2" t="s">
        <v>17</v>
      </c>
      <c r="FS18" s="2" t="s">
        <v>17</v>
      </c>
      <c r="FT18" s="2" t="s">
        <v>9</v>
      </c>
      <c r="FU18" s="2">
        <v>0</v>
      </c>
      <c r="FV18" s="2">
        <v>0</v>
      </c>
      <c r="FW18" s="4">
        <v>0</v>
      </c>
      <c r="FX18" s="4">
        <v>0</v>
      </c>
      <c r="FY18" s="2" t="s">
        <v>65</v>
      </c>
      <c r="FZ18" s="2" t="s">
        <v>66</v>
      </c>
      <c r="GA18" s="2" t="s">
        <v>67</v>
      </c>
      <c r="GB18" s="2"/>
      <c r="GC18" s="2"/>
      <c r="GD18" s="2"/>
      <c r="GE18" s="2" t="s">
        <v>68</v>
      </c>
      <c r="GF18" s="2">
        <v>81</v>
      </c>
      <c r="GG18" s="2">
        <v>81</v>
      </c>
      <c r="GH18" s="2"/>
      <c r="GI18" s="2"/>
      <c r="GJ18" s="2"/>
      <c r="GK18" s="2"/>
      <c r="GL18" s="2"/>
      <c r="GM18" s="2"/>
      <c r="GN18" s="2"/>
      <c r="GO18" s="2"/>
      <c r="GP18" s="2"/>
      <c r="GQ18" s="2">
        <v>81</v>
      </c>
      <c r="GR18" s="2" t="s">
        <v>164</v>
      </c>
      <c r="GS18" s="2" t="s">
        <v>70</v>
      </c>
      <c r="GT18" s="2" t="s">
        <v>165</v>
      </c>
      <c r="GU18" s="2" t="s">
        <v>166</v>
      </c>
      <c r="GV18" s="2" t="s">
        <v>17</v>
      </c>
      <c r="GW18" s="2">
        <v>28.550284000000001</v>
      </c>
      <c r="GX18" s="2">
        <v>-81.730920999999995</v>
      </c>
      <c r="GY18" s="2"/>
      <c r="GZ18" s="2" t="s">
        <v>17</v>
      </c>
      <c r="HA18" s="2" t="s">
        <v>17</v>
      </c>
      <c r="HB18" s="2">
        <v>0</v>
      </c>
      <c r="HC18" s="2" t="s">
        <v>17</v>
      </c>
      <c r="HD18" s="2" t="s">
        <v>17</v>
      </c>
      <c r="HE18" s="2">
        <v>0</v>
      </c>
      <c r="HF18" s="2">
        <v>28.551549000000001</v>
      </c>
      <c r="HG18" s="2">
        <v>-81.723590000000002</v>
      </c>
      <c r="HH18" s="2">
        <v>0.45</v>
      </c>
      <c r="HI18" s="2">
        <v>2</v>
      </c>
      <c r="HJ18" s="2">
        <v>28.551428999999999</v>
      </c>
      <c r="HK18" s="2">
        <v>-81.723332999999997</v>
      </c>
      <c r="HL18" s="2">
        <v>0.47</v>
      </c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 t="s">
        <v>73</v>
      </c>
      <c r="HY18" s="2" t="s">
        <v>17</v>
      </c>
      <c r="HZ18" s="2"/>
      <c r="IA18" s="2" t="s">
        <v>167</v>
      </c>
      <c r="IB18" s="2" t="s">
        <v>168</v>
      </c>
      <c r="IC18" s="2">
        <v>0.96</v>
      </c>
      <c r="ID18" s="2">
        <v>2.5</v>
      </c>
      <c r="IE18" s="2" t="s">
        <v>169</v>
      </c>
      <c r="IF18" s="2">
        <v>0.41</v>
      </c>
      <c r="IG18" s="2">
        <v>3.5</v>
      </c>
      <c r="IH18" s="2"/>
      <c r="II18" s="2"/>
      <c r="IJ18" s="2"/>
      <c r="IK18" s="2" t="s">
        <v>170</v>
      </c>
      <c r="IL18" s="2" t="s">
        <v>171</v>
      </c>
      <c r="IM18" s="2">
        <v>0.94</v>
      </c>
      <c r="IN18" s="2">
        <v>3</v>
      </c>
      <c r="IO18" s="2" t="s">
        <v>17</v>
      </c>
      <c r="IP18" s="2">
        <v>2</v>
      </c>
      <c r="IQ18" s="2">
        <v>9</v>
      </c>
      <c r="IR18" s="2">
        <v>0</v>
      </c>
      <c r="IS18" s="2">
        <v>11</v>
      </c>
      <c r="IT18" s="2" t="s">
        <v>9</v>
      </c>
      <c r="IU18" s="2" t="s">
        <v>17</v>
      </c>
      <c r="IV18" s="2" t="s">
        <v>9</v>
      </c>
      <c r="IW18" s="2" t="s">
        <v>9</v>
      </c>
      <c r="IX18" s="2" t="s">
        <v>9</v>
      </c>
      <c r="IY18" s="2">
        <v>11</v>
      </c>
      <c r="IZ18" s="2">
        <v>81</v>
      </c>
      <c r="JA18" s="2" t="s">
        <v>172</v>
      </c>
      <c r="JB18" s="2" t="s">
        <v>173</v>
      </c>
      <c r="JC18" s="2"/>
      <c r="JD18" s="2"/>
      <c r="JE18" s="7">
        <v>0.1</v>
      </c>
      <c r="JF18" s="2"/>
      <c r="JG18" s="7">
        <v>0.9</v>
      </c>
      <c r="JH18" s="7">
        <v>0</v>
      </c>
      <c r="JI18" s="2">
        <v>81</v>
      </c>
      <c r="JJ18" s="7">
        <v>1</v>
      </c>
      <c r="JK18" s="2">
        <v>81</v>
      </c>
      <c r="JL18" s="7">
        <v>1</v>
      </c>
      <c r="JM18" s="2"/>
      <c r="JN18" s="2"/>
      <c r="JO18" s="2"/>
      <c r="JP18" s="2"/>
      <c r="JQ18" s="2"/>
      <c r="JR18" s="2"/>
      <c r="JS18" s="2">
        <v>0</v>
      </c>
      <c r="JT18" s="2">
        <v>0</v>
      </c>
      <c r="JU18" s="2"/>
      <c r="JV18" s="2">
        <v>0</v>
      </c>
      <c r="JW18" s="4">
        <v>0</v>
      </c>
      <c r="JX18" s="2">
        <v>0</v>
      </c>
      <c r="JY18" s="4">
        <v>0</v>
      </c>
      <c r="JZ18" s="2">
        <v>0</v>
      </c>
      <c r="KA18" s="2"/>
      <c r="KB18" s="2"/>
      <c r="KC18" s="2"/>
      <c r="KD18" s="2"/>
      <c r="KE18" s="2"/>
      <c r="KF18" s="2"/>
      <c r="KG18" s="2"/>
      <c r="KH18" s="2">
        <v>81</v>
      </c>
      <c r="KI18" s="2"/>
      <c r="KJ18" s="2"/>
      <c r="KK18" s="2"/>
      <c r="KL18" s="2"/>
      <c r="KM18" s="2"/>
      <c r="KN18" s="2"/>
      <c r="KO18" s="2"/>
      <c r="KP18" s="2"/>
      <c r="KQ18" s="2" t="s">
        <v>83</v>
      </c>
      <c r="KR18" s="2"/>
      <c r="KS18" s="2" t="s">
        <v>73</v>
      </c>
      <c r="KT18" s="2">
        <v>9</v>
      </c>
      <c r="KU18" s="2" t="s">
        <v>84</v>
      </c>
      <c r="KV18" s="2" t="s">
        <v>85</v>
      </c>
      <c r="KW18" s="2" t="s">
        <v>86</v>
      </c>
      <c r="KX18" s="2" t="s">
        <v>17</v>
      </c>
      <c r="KY18" s="2" t="s">
        <v>17</v>
      </c>
      <c r="KZ18" s="2" t="s">
        <v>17</v>
      </c>
      <c r="LA18" s="2" t="s">
        <v>17</v>
      </c>
      <c r="LB18" s="2" t="s">
        <v>17</v>
      </c>
      <c r="LC18" s="2" t="s">
        <v>17</v>
      </c>
      <c r="LD18" s="2" t="s">
        <v>17</v>
      </c>
      <c r="LE18" s="2" t="s">
        <v>17</v>
      </c>
      <c r="LF18" s="2" t="s">
        <v>17</v>
      </c>
      <c r="LG18" s="2" t="s">
        <v>17</v>
      </c>
      <c r="LH18" s="2" t="s">
        <v>17</v>
      </c>
      <c r="LI18" s="2" t="s">
        <v>17</v>
      </c>
      <c r="LJ18" s="2" t="s">
        <v>87</v>
      </c>
      <c r="LK18" s="2" t="s">
        <v>17</v>
      </c>
      <c r="LL18" s="2" t="s">
        <v>17</v>
      </c>
      <c r="LM18" s="2">
        <v>0</v>
      </c>
      <c r="LN18" s="2" t="s">
        <v>17</v>
      </c>
      <c r="LO18" s="2" t="s">
        <v>17</v>
      </c>
      <c r="LP18" s="2" t="s">
        <v>17</v>
      </c>
      <c r="LQ18" s="2" t="s">
        <v>17</v>
      </c>
      <c r="LR18" s="2" t="s">
        <v>17</v>
      </c>
      <c r="LS18" s="2" t="s">
        <v>17</v>
      </c>
      <c r="LT18" s="2" t="s">
        <v>9</v>
      </c>
      <c r="LU18" s="2" t="s">
        <v>9</v>
      </c>
      <c r="LV18" s="2" t="s">
        <v>17</v>
      </c>
      <c r="LW18" s="2" t="s">
        <v>17</v>
      </c>
      <c r="LX18" s="2" t="s">
        <v>9</v>
      </c>
      <c r="LY18" s="5">
        <v>6480000</v>
      </c>
      <c r="LZ18" s="5">
        <v>0</v>
      </c>
      <c r="MA18" s="5">
        <v>7200000</v>
      </c>
      <c r="MB18" s="5">
        <v>0</v>
      </c>
      <c r="MC18" s="5">
        <v>0</v>
      </c>
      <c r="MD18" s="5">
        <v>0</v>
      </c>
      <c r="ME18" s="5">
        <v>8505000</v>
      </c>
      <c r="MF18" s="5">
        <v>0</v>
      </c>
      <c r="MG18" s="5">
        <v>0</v>
      </c>
      <c r="MH18" s="5">
        <v>0</v>
      </c>
      <c r="MI18" s="5">
        <v>0</v>
      </c>
      <c r="MJ18" s="5">
        <v>0</v>
      </c>
      <c r="MK18" s="5">
        <v>0</v>
      </c>
      <c r="ML18" s="2">
        <v>0</v>
      </c>
      <c r="MM18" s="5">
        <v>0</v>
      </c>
      <c r="MN18" s="5">
        <v>0</v>
      </c>
      <c r="MO18" s="2">
        <v>0</v>
      </c>
      <c r="MP18" s="2">
        <v>0</v>
      </c>
      <c r="MQ18" s="2">
        <v>0</v>
      </c>
      <c r="MR18" s="5">
        <v>2950000</v>
      </c>
      <c r="MS18" s="5">
        <v>0</v>
      </c>
      <c r="MT18" s="5">
        <v>4600000</v>
      </c>
      <c r="MU18" s="5">
        <v>0</v>
      </c>
      <c r="MV18" s="5">
        <v>0</v>
      </c>
      <c r="MW18" s="5">
        <v>0</v>
      </c>
      <c r="MX18" s="5">
        <v>0</v>
      </c>
      <c r="MY18" s="5">
        <v>2500000</v>
      </c>
      <c r="MZ18" s="5">
        <v>0</v>
      </c>
      <c r="NA18" s="5">
        <v>5000000</v>
      </c>
      <c r="NB18" s="5">
        <v>0</v>
      </c>
      <c r="NC18" s="5">
        <v>0</v>
      </c>
      <c r="ND18" s="5">
        <v>0</v>
      </c>
      <c r="NE18" s="5">
        <v>0</v>
      </c>
      <c r="NF18" s="5">
        <v>0</v>
      </c>
      <c r="NG18" s="5">
        <v>2142000</v>
      </c>
      <c r="NH18" s="5">
        <v>2142000</v>
      </c>
      <c r="NI18" s="5">
        <v>2142000</v>
      </c>
      <c r="NJ18" s="5">
        <v>0</v>
      </c>
      <c r="NK18" s="5"/>
      <c r="NL18" s="2" t="s">
        <v>17</v>
      </c>
      <c r="NM18" s="2" t="s">
        <v>17</v>
      </c>
      <c r="NN18" s="2"/>
      <c r="NO18" s="2" t="s">
        <v>9</v>
      </c>
      <c r="NP18" s="2">
        <v>34711</v>
      </c>
      <c r="NQ18" s="2" t="s">
        <v>174</v>
      </c>
      <c r="NR18" s="2" t="s">
        <v>17</v>
      </c>
      <c r="NS18" s="2"/>
      <c r="NT18" s="2" t="s">
        <v>17</v>
      </c>
      <c r="NU18" s="2"/>
      <c r="NV18" s="2"/>
      <c r="NW18" s="2"/>
      <c r="NX18" s="2" t="s">
        <v>9</v>
      </c>
      <c r="NY18" s="2" t="s">
        <v>119</v>
      </c>
      <c r="NZ18" s="2">
        <v>313.2</v>
      </c>
      <c r="OA18" s="2" t="s">
        <v>175</v>
      </c>
      <c r="OB18" s="2" t="s">
        <v>176</v>
      </c>
      <c r="OC18" s="2" t="s">
        <v>176</v>
      </c>
      <c r="OD18" s="2" t="s">
        <v>17</v>
      </c>
      <c r="OE18" s="2" t="s">
        <v>119</v>
      </c>
      <c r="OF18" s="2" t="s">
        <v>17</v>
      </c>
      <c r="OG18" s="2" t="s">
        <v>17</v>
      </c>
      <c r="OH18" s="2"/>
      <c r="OI18" s="2" t="s">
        <v>177</v>
      </c>
      <c r="OJ18" s="6">
        <v>750000</v>
      </c>
      <c r="OK18" s="2" t="s">
        <v>17</v>
      </c>
      <c r="OL18" s="2" t="s">
        <v>17</v>
      </c>
      <c r="OM18" s="2" t="s">
        <v>85</v>
      </c>
      <c r="ON18" s="6">
        <v>0</v>
      </c>
      <c r="OO18" s="6">
        <v>0</v>
      </c>
      <c r="OP18" s="2" t="s">
        <v>93</v>
      </c>
      <c r="OQ18" s="2" t="s">
        <v>93</v>
      </c>
      <c r="OR18" s="6">
        <v>0</v>
      </c>
      <c r="OS18" s="4">
        <v>0</v>
      </c>
      <c r="OT18" s="2" t="s">
        <v>17</v>
      </c>
      <c r="OU18" s="2" t="s">
        <v>17</v>
      </c>
      <c r="OV18" s="2"/>
      <c r="OW18" s="2"/>
      <c r="OX18" s="5">
        <v>15430111</v>
      </c>
      <c r="OY18" s="6">
        <v>190495.2</v>
      </c>
      <c r="OZ18" s="2"/>
      <c r="PA18" s="2"/>
      <c r="PB18" s="8">
        <v>9835360</v>
      </c>
      <c r="PC18" s="2"/>
      <c r="PD18" s="8">
        <v>9835360</v>
      </c>
      <c r="PE18" s="8">
        <v>2307506</v>
      </c>
      <c r="PF18" s="2"/>
      <c r="PG18" s="8">
        <v>2307506</v>
      </c>
      <c r="PH18" s="2"/>
      <c r="PI18" s="2"/>
      <c r="PJ18" s="2"/>
      <c r="PK18" s="8">
        <v>12142866</v>
      </c>
      <c r="PL18" s="2"/>
      <c r="PM18" s="8">
        <v>12142866</v>
      </c>
      <c r="PN18" s="8">
        <v>1700001</v>
      </c>
      <c r="PO18" s="2"/>
      <c r="PP18" s="8">
        <v>1700001</v>
      </c>
      <c r="PQ18" s="6">
        <v>1700001</v>
      </c>
      <c r="PR18" s="8">
        <v>13842867</v>
      </c>
      <c r="PS18" s="2"/>
      <c r="PT18" s="8">
        <v>13842867</v>
      </c>
      <c r="PU18" s="8">
        <v>692143</v>
      </c>
      <c r="PV18" s="2"/>
      <c r="PW18" s="8">
        <v>692143</v>
      </c>
      <c r="PX18" s="6">
        <v>692143.35</v>
      </c>
      <c r="PY18" s="8">
        <v>974850</v>
      </c>
      <c r="PZ18" s="2"/>
      <c r="QA18" s="8">
        <v>974850</v>
      </c>
      <c r="QB18" s="8">
        <v>415886</v>
      </c>
      <c r="QC18" s="2"/>
      <c r="QD18" s="8">
        <v>415886</v>
      </c>
      <c r="QE18" s="8">
        <v>921283</v>
      </c>
      <c r="QF18" s="2"/>
      <c r="QG18" s="8">
        <v>921283</v>
      </c>
      <c r="QH18" s="2"/>
      <c r="QI18" s="8">
        <v>364428</v>
      </c>
      <c r="QJ18" s="8">
        <v>364428</v>
      </c>
      <c r="QK18" s="2"/>
      <c r="QL18" s="2"/>
      <c r="QM18" s="2"/>
      <c r="QN18" s="8">
        <v>266935</v>
      </c>
      <c r="QO18" s="8">
        <v>88650</v>
      </c>
      <c r="QP18" s="8">
        <v>355585</v>
      </c>
      <c r="QQ18" s="8">
        <v>2578954</v>
      </c>
      <c r="QR18" s="8">
        <v>453078</v>
      </c>
      <c r="QS18" s="8">
        <v>3032032</v>
      </c>
      <c r="QT18" s="8">
        <v>151380</v>
      </c>
      <c r="QU18" s="2"/>
      <c r="QV18" s="8">
        <v>151380</v>
      </c>
      <c r="QW18" s="6">
        <v>151601.60000000001</v>
      </c>
      <c r="QX18" s="8">
        <v>1157000</v>
      </c>
      <c r="QY18" s="2"/>
      <c r="QZ18" s="8">
        <v>1157000</v>
      </c>
      <c r="RA18" s="8">
        <v>160573</v>
      </c>
      <c r="RB18" s="8">
        <v>160573</v>
      </c>
      <c r="RC18" s="2"/>
      <c r="RD18" s="2"/>
      <c r="RE18" s="2"/>
      <c r="RF18" s="8">
        <v>1157000</v>
      </c>
      <c r="RG18" s="8">
        <v>160573</v>
      </c>
      <c r="RH18" s="8">
        <v>1317573</v>
      </c>
      <c r="RI18" s="2"/>
      <c r="RJ18" s="2"/>
      <c r="RK18" s="2"/>
      <c r="RL18" s="2"/>
      <c r="RM18" s="8">
        <v>18422344</v>
      </c>
      <c r="RN18" s="8">
        <v>613651</v>
      </c>
      <c r="RO18" s="8">
        <v>19035995</v>
      </c>
      <c r="RP18" s="2"/>
      <c r="RQ18" s="2"/>
      <c r="RR18" s="2">
        <v>0</v>
      </c>
      <c r="RS18" s="6">
        <v>0</v>
      </c>
      <c r="RT18" s="8">
        <v>2960000</v>
      </c>
      <c r="RU18" s="2"/>
      <c r="RV18" s="8">
        <v>2960000</v>
      </c>
      <c r="RW18" s="6">
        <v>3045759</v>
      </c>
      <c r="RX18" s="6">
        <v>0</v>
      </c>
      <c r="RY18" s="8">
        <v>2960000</v>
      </c>
      <c r="RZ18" s="2"/>
      <c r="SA18" s="8">
        <v>2960000</v>
      </c>
      <c r="SB18" s="6">
        <v>3045759</v>
      </c>
      <c r="SC18" s="8">
        <v>283500</v>
      </c>
      <c r="SD18" s="8">
        <v>283500</v>
      </c>
      <c r="SE18" s="6">
        <v>283500</v>
      </c>
      <c r="SF18" s="8">
        <v>922500</v>
      </c>
      <c r="SG18" s="8">
        <v>922500</v>
      </c>
      <c r="SH18" s="8">
        <v>21382344</v>
      </c>
      <c r="SI18" s="8">
        <v>1819651</v>
      </c>
      <c r="SJ18" s="8">
        <v>23201995</v>
      </c>
      <c r="SK18" s="2" t="s">
        <v>178</v>
      </c>
      <c r="SL18" s="2"/>
      <c r="SM18" s="2" t="s">
        <v>179</v>
      </c>
      <c r="SN18" s="2"/>
      <c r="SO18" s="2"/>
      <c r="SP18" s="8">
        <v>17800000</v>
      </c>
      <c r="SQ18" s="2" t="s">
        <v>95</v>
      </c>
      <c r="SR18" s="8">
        <v>460000</v>
      </c>
      <c r="SS18" s="2" t="s">
        <v>180</v>
      </c>
      <c r="ST18" s="2"/>
      <c r="SU18" s="2"/>
      <c r="SV18" s="2"/>
      <c r="SW18" s="2"/>
      <c r="SX18" s="2" t="s">
        <v>96</v>
      </c>
      <c r="SY18" s="2" t="s">
        <v>96</v>
      </c>
      <c r="SZ18" s="2" t="s">
        <v>96</v>
      </c>
      <c r="TA18" s="2" t="s">
        <v>96</v>
      </c>
      <c r="TB18" s="8">
        <v>2795031</v>
      </c>
      <c r="TC18" s="2"/>
      <c r="TD18" s="2"/>
      <c r="TE18" s="2"/>
      <c r="TF18" s="2"/>
      <c r="TG18" s="2"/>
      <c r="TH18" s="2"/>
      <c r="TI18" s="8">
        <v>2146964</v>
      </c>
      <c r="TJ18" s="8">
        <v>23201995</v>
      </c>
      <c r="TK18" s="2">
        <v>0</v>
      </c>
      <c r="TL18" s="2" t="s">
        <v>9</v>
      </c>
      <c r="TM18" s="8">
        <v>3360000</v>
      </c>
      <c r="TN18" s="2" t="s">
        <v>95</v>
      </c>
      <c r="TO18" s="8">
        <v>460000</v>
      </c>
      <c r="TP18" s="2" t="s">
        <v>180</v>
      </c>
      <c r="TQ18" s="2"/>
      <c r="TR18" s="2"/>
      <c r="TS18" s="2"/>
      <c r="TT18" s="2"/>
      <c r="TU18" s="2" t="s">
        <v>96</v>
      </c>
      <c r="TV18" s="8">
        <v>18633536</v>
      </c>
      <c r="TW18" s="2"/>
      <c r="TX18" s="2"/>
      <c r="TY18" s="2"/>
      <c r="TZ18" s="2"/>
      <c r="UA18" s="2"/>
      <c r="UB18" s="2"/>
      <c r="UC18" s="8">
        <v>748459</v>
      </c>
      <c r="UD18" s="8">
        <v>23201995</v>
      </c>
      <c r="UE18" s="6">
        <v>3820000</v>
      </c>
      <c r="UF18" s="2">
        <v>0</v>
      </c>
      <c r="UG18" s="2" t="s">
        <v>9</v>
      </c>
      <c r="UH18" s="2">
        <v>81</v>
      </c>
      <c r="UI18" s="5">
        <v>240000</v>
      </c>
      <c r="UJ18" s="6">
        <v>320000</v>
      </c>
      <c r="UK18" s="6">
        <v>320000</v>
      </c>
      <c r="UL18" s="6">
        <v>339200</v>
      </c>
      <c r="UM18" s="6">
        <v>27475200</v>
      </c>
      <c r="UN18" s="6">
        <v>4396032</v>
      </c>
      <c r="UO18" s="6">
        <v>4396032</v>
      </c>
      <c r="UP18" s="6">
        <v>31871232</v>
      </c>
      <c r="UQ18" s="6">
        <v>21995995</v>
      </c>
      <c r="UR18" s="6">
        <v>460000</v>
      </c>
      <c r="US18" s="6">
        <v>460000</v>
      </c>
      <c r="UT18" s="6">
        <v>0</v>
      </c>
      <c r="UU18" s="2"/>
      <c r="UV18" s="6">
        <v>0</v>
      </c>
      <c r="UW18" s="6">
        <v>460000</v>
      </c>
      <c r="UX18" s="6">
        <v>460000</v>
      </c>
      <c r="UY18" s="6">
        <v>0</v>
      </c>
      <c r="UZ18" s="2" t="s">
        <v>181</v>
      </c>
      <c r="VA18" s="2" t="s">
        <v>182</v>
      </c>
      <c r="VB18" s="2"/>
      <c r="VC18" s="2"/>
      <c r="VD18" s="2" t="s">
        <v>9</v>
      </c>
      <c r="VE18" s="2" t="s">
        <v>9</v>
      </c>
      <c r="VF18" s="2" t="s">
        <v>183</v>
      </c>
      <c r="VG18" s="2" t="s">
        <v>9</v>
      </c>
      <c r="VH18" s="2" t="s">
        <v>184</v>
      </c>
      <c r="VI18" s="388" t="s">
        <v>130</v>
      </c>
      <c r="VJ18" s="2" t="s">
        <v>98</v>
      </c>
      <c r="VK18" s="2" t="s">
        <v>185</v>
      </c>
      <c r="VL18" s="23">
        <f t="shared" si="0"/>
        <v>81</v>
      </c>
      <c r="VM18" s="17">
        <f t="shared" si="1"/>
        <v>1</v>
      </c>
      <c r="VN18" s="17" t="str">
        <f t="shared" si="12"/>
        <v>NC-GA-E</v>
      </c>
      <c r="VO18" s="17" t="str">
        <f t="shared" si="13"/>
        <v>NC-GA-E-ESS</v>
      </c>
      <c r="VP18" s="12">
        <v>9</v>
      </c>
      <c r="VQ18" s="57">
        <v>1</v>
      </c>
      <c r="VR18" s="57">
        <f t="shared" si="2"/>
        <v>1</v>
      </c>
      <c r="VS18" s="14">
        <f t="shared" si="3"/>
        <v>1</v>
      </c>
      <c r="VT18" s="12">
        <f t="shared" si="4"/>
        <v>0.92999999999999994</v>
      </c>
      <c r="VU18" s="16">
        <f t="shared" si="5"/>
        <v>17928540</v>
      </c>
      <c r="VV18" s="16">
        <f t="shared" si="6"/>
        <v>221340</v>
      </c>
      <c r="VW18" s="12" t="str">
        <f t="shared" si="14"/>
        <v>A</v>
      </c>
      <c r="VX18" s="12" t="str">
        <f t="shared" si="15"/>
        <v>NC-GA-ESS</v>
      </c>
      <c r="VY18" s="351">
        <f t="shared" si="16"/>
        <v>2</v>
      </c>
      <c r="WA18" s="12">
        <f t="shared" si="17"/>
        <v>1</v>
      </c>
      <c r="WB18" s="12">
        <f t="shared" si="18"/>
        <v>0</v>
      </c>
      <c r="WC18" s="12">
        <f t="shared" si="18"/>
        <v>0</v>
      </c>
      <c r="WD18" s="12">
        <f t="shared" si="18"/>
        <v>0</v>
      </c>
      <c r="WE18" s="12">
        <f t="shared" si="19"/>
        <v>1</v>
      </c>
      <c r="WF18" s="12">
        <f t="shared" si="7"/>
        <v>1</v>
      </c>
      <c r="WG18" s="12">
        <f t="shared" si="8"/>
        <v>0</v>
      </c>
      <c r="WH18" s="12">
        <f t="shared" si="9"/>
        <v>0</v>
      </c>
      <c r="WI18" s="31">
        <f t="shared" si="10"/>
        <v>3</v>
      </c>
      <c r="WJ18" s="2"/>
      <c r="WK18" s="444" t="str">
        <f t="shared" si="20"/>
        <v>NC-GA-ESS-BBN-BRN-NPH-E</v>
      </c>
      <c r="WL18" s="444"/>
      <c r="WM18" s="444"/>
    </row>
    <row r="19" spans="1:611" x14ac:dyDescent="0.25">
      <c r="A19" s="2">
        <v>9407</v>
      </c>
      <c r="B19" s="2" t="s">
        <v>496</v>
      </c>
      <c r="C19" s="2" t="s">
        <v>8</v>
      </c>
      <c r="D19" s="3">
        <v>45153</v>
      </c>
      <c r="E19" s="2" t="s">
        <v>9</v>
      </c>
      <c r="F19" s="2">
        <v>3</v>
      </c>
      <c r="G19" s="2" t="s">
        <v>9</v>
      </c>
      <c r="H19" s="2">
        <v>3</v>
      </c>
      <c r="I19" s="2" t="s">
        <v>9</v>
      </c>
      <c r="J19" s="2">
        <v>3</v>
      </c>
      <c r="K19" s="2" t="s">
        <v>9</v>
      </c>
      <c r="L19" s="2">
        <v>3</v>
      </c>
      <c r="M19" s="2" t="s">
        <v>10</v>
      </c>
      <c r="N19" s="2">
        <v>0</v>
      </c>
      <c r="O19" s="2" t="s">
        <v>10</v>
      </c>
      <c r="P19" s="2">
        <v>0</v>
      </c>
      <c r="Q19" s="2" t="s">
        <v>11</v>
      </c>
      <c r="R19" s="2">
        <v>0</v>
      </c>
      <c r="S19" s="2" t="s">
        <v>9</v>
      </c>
      <c r="T19" s="2">
        <v>2</v>
      </c>
      <c r="U19" s="2" t="s">
        <v>9</v>
      </c>
      <c r="V19" s="2">
        <v>2</v>
      </c>
      <c r="W19" s="2" t="s">
        <v>9</v>
      </c>
      <c r="X19" s="2">
        <v>2</v>
      </c>
      <c r="Y19" s="2" t="s">
        <v>12</v>
      </c>
      <c r="Z19" s="2" t="s">
        <v>15</v>
      </c>
      <c r="AA19" s="2" t="s">
        <v>15</v>
      </c>
      <c r="AB19" s="2" t="s">
        <v>15</v>
      </c>
      <c r="AC19" s="2" t="s">
        <v>15</v>
      </c>
      <c r="AD19" s="2" t="s">
        <v>15</v>
      </c>
      <c r="AE19" s="2" t="s">
        <v>15</v>
      </c>
      <c r="AF19" s="2">
        <v>0</v>
      </c>
      <c r="AG19" s="2" t="s">
        <v>234</v>
      </c>
      <c r="AH19" s="2" t="s">
        <v>17</v>
      </c>
      <c r="AI19" s="4">
        <v>0.15</v>
      </c>
      <c r="AJ19" s="2" t="s">
        <v>17</v>
      </c>
      <c r="AK19" s="2" t="s">
        <v>9</v>
      </c>
      <c r="AL19" s="2" t="s">
        <v>17</v>
      </c>
      <c r="AM19" s="2" t="s">
        <v>17</v>
      </c>
      <c r="AN19" s="2" t="s">
        <v>17</v>
      </c>
      <c r="AO19" s="2" t="s">
        <v>9</v>
      </c>
      <c r="AP19" s="2" t="s">
        <v>17</v>
      </c>
      <c r="AQ19" s="2" t="s">
        <v>17</v>
      </c>
      <c r="AR19" s="2" t="s">
        <v>17</v>
      </c>
      <c r="AS19" s="2" t="s">
        <v>17</v>
      </c>
      <c r="AT19" s="2">
        <v>0</v>
      </c>
      <c r="AU19" s="5">
        <v>20000</v>
      </c>
      <c r="AV19" s="5">
        <v>340000</v>
      </c>
      <c r="AW19" s="2">
        <v>0</v>
      </c>
      <c r="AX19" s="2">
        <v>19</v>
      </c>
      <c r="AY19" s="2">
        <v>0</v>
      </c>
      <c r="AZ19" s="2">
        <v>18</v>
      </c>
      <c r="BA19" s="2">
        <v>0</v>
      </c>
      <c r="BB19" s="2">
        <v>1</v>
      </c>
      <c r="BC19" s="2">
        <v>0</v>
      </c>
      <c r="BD19" s="2">
        <v>0</v>
      </c>
      <c r="BE19" s="2">
        <v>0</v>
      </c>
      <c r="BF19" s="2">
        <v>1</v>
      </c>
      <c r="BG19" s="2">
        <v>0</v>
      </c>
      <c r="BH19" s="2">
        <v>0</v>
      </c>
      <c r="BI19" s="2">
        <v>13</v>
      </c>
      <c r="BJ19" s="2">
        <v>1</v>
      </c>
      <c r="BK19" s="2">
        <v>0</v>
      </c>
      <c r="BL19" s="2">
        <v>3</v>
      </c>
      <c r="BM19" s="2">
        <v>0</v>
      </c>
      <c r="BN19" s="2">
        <v>10</v>
      </c>
      <c r="BO19" s="2">
        <v>11</v>
      </c>
      <c r="BP19" s="2">
        <v>0</v>
      </c>
      <c r="BQ19" s="2">
        <v>10</v>
      </c>
      <c r="BR19" s="2">
        <v>12.22</v>
      </c>
      <c r="BS19" s="2">
        <v>0</v>
      </c>
      <c r="BT19" s="4">
        <v>0.06</v>
      </c>
      <c r="BU19" s="2" t="s">
        <v>9</v>
      </c>
      <c r="BV19" s="6">
        <v>192786.35</v>
      </c>
      <c r="BW19" s="2" t="s">
        <v>18</v>
      </c>
      <c r="BX19" s="2" t="s">
        <v>17</v>
      </c>
      <c r="BY19" s="2" t="s">
        <v>17</v>
      </c>
      <c r="BZ19" s="2" t="s">
        <v>17</v>
      </c>
      <c r="CA19" s="2" t="s">
        <v>17</v>
      </c>
      <c r="CB19" s="2" t="s">
        <v>17</v>
      </c>
      <c r="CC19" s="2" t="s">
        <v>17</v>
      </c>
      <c r="CD19" s="2" t="s">
        <v>17</v>
      </c>
      <c r="CE19" s="2" t="s">
        <v>497</v>
      </c>
      <c r="CF19" s="2" t="s">
        <v>17</v>
      </c>
      <c r="CG19" s="2" t="s">
        <v>498</v>
      </c>
      <c r="CH19" s="2"/>
      <c r="CI19" s="2"/>
      <c r="CJ19" s="2" t="s">
        <v>9</v>
      </c>
      <c r="CK19" s="2" t="s">
        <v>499</v>
      </c>
      <c r="CL19" s="2" t="s">
        <v>498</v>
      </c>
      <c r="CM19" s="2" t="s">
        <v>500</v>
      </c>
      <c r="CN19" s="2" t="s">
        <v>501</v>
      </c>
      <c r="CO19" s="2" t="s">
        <v>24</v>
      </c>
      <c r="CP19" s="2"/>
      <c r="CQ19" s="2">
        <v>72</v>
      </c>
      <c r="CR19" s="2" t="s">
        <v>375</v>
      </c>
      <c r="CS19" s="2">
        <v>2018</v>
      </c>
      <c r="CT19" s="2" t="s">
        <v>26</v>
      </c>
      <c r="CU19" s="2" t="s">
        <v>27</v>
      </c>
      <c r="CV19" s="2" t="s">
        <v>502</v>
      </c>
      <c r="CW19" s="2" t="s">
        <v>503</v>
      </c>
      <c r="CX19" s="2" t="s">
        <v>24</v>
      </c>
      <c r="CY19" s="2"/>
      <c r="CZ19" s="2">
        <v>64</v>
      </c>
      <c r="DA19" s="2" t="s">
        <v>375</v>
      </c>
      <c r="DB19" s="2">
        <v>2022</v>
      </c>
      <c r="DC19" s="2" t="s">
        <v>30</v>
      </c>
      <c r="DD19" s="2" t="s">
        <v>27</v>
      </c>
      <c r="DE19" s="2" t="s">
        <v>504</v>
      </c>
      <c r="DF19" s="2" t="s">
        <v>505</v>
      </c>
      <c r="DG19" s="2" t="s">
        <v>24</v>
      </c>
      <c r="DH19" s="2"/>
      <c r="DI19" s="2">
        <v>64</v>
      </c>
      <c r="DJ19" s="2" t="s">
        <v>375</v>
      </c>
      <c r="DK19" s="2">
        <v>2022</v>
      </c>
      <c r="DL19" s="2" t="s">
        <v>30</v>
      </c>
      <c r="DM19" s="2" t="s">
        <v>27</v>
      </c>
      <c r="DN19" s="2" t="s">
        <v>33</v>
      </c>
      <c r="DO19" s="2" t="s">
        <v>506</v>
      </c>
      <c r="DP19" s="2"/>
      <c r="DQ19" s="2" t="s">
        <v>507</v>
      </c>
      <c r="DR19" s="2" t="s">
        <v>508</v>
      </c>
      <c r="DS19" s="2">
        <v>1</v>
      </c>
      <c r="DT19" s="2" t="s">
        <v>509</v>
      </c>
      <c r="DU19" s="2" t="s">
        <v>510</v>
      </c>
      <c r="DV19" s="2" t="s">
        <v>39</v>
      </c>
      <c r="DW19" s="2">
        <v>32803</v>
      </c>
      <c r="DX19" s="2" t="s">
        <v>511</v>
      </c>
      <c r="DY19" s="2"/>
      <c r="DZ19" s="2" t="s">
        <v>512</v>
      </c>
      <c r="EA19" s="2" t="s">
        <v>508</v>
      </c>
      <c r="EB19" s="2" t="s">
        <v>500</v>
      </c>
      <c r="EC19" s="2" t="s">
        <v>501</v>
      </c>
      <c r="ED19" s="2" t="s">
        <v>44</v>
      </c>
      <c r="EE19" s="2">
        <v>72</v>
      </c>
      <c r="EF19" s="2" t="s">
        <v>390</v>
      </c>
      <c r="EG19" s="2">
        <v>5</v>
      </c>
      <c r="EH19" s="2" t="s">
        <v>46</v>
      </c>
      <c r="EI19" s="2" t="s">
        <v>47</v>
      </c>
      <c r="EJ19" s="2" t="s">
        <v>334</v>
      </c>
      <c r="EK19" s="2" t="s">
        <v>293</v>
      </c>
      <c r="EL19" s="2" t="s">
        <v>44</v>
      </c>
      <c r="EM19" s="2">
        <v>96</v>
      </c>
      <c r="EN19" s="2" t="s">
        <v>390</v>
      </c>
      <c r="EO19" s="2">
        <v>7</v>
      </c>
      <c r="EP19" s="2" t="s">
        <v>46</v>
      </c>
      <c r="EQ19" s="2" t="s">
        <v>47</v>
      </c>
      <c r="ER19" s="2" t="s">
        <v>513</v>
      </c>
      <c r="ES19" s="2" t="s">
        <v>514</v>
      </c>
      <c r="ET19" s="2" t="s">
        <v>515</v>
      </c>
      <c r="EU19" s="2" t="s">
        <v>516</v>
      </c>
      <c r="EV19" s="2" t="s">
        <v>517</v>
      </c>
      <c r="EW19" s="2" t="s">
        <v>518</v>
      </c>
      <c r="EX19" s="2" t="s">
        <v>519</v>
      </c>
      <c r="EY19" s="2">
        <v>44023</v>
      </c>
      <c r="EZ19" s="2" t="s">
        <v>520</v>
      </c>
      <c r="FA19" s="2"/>
      <c r="FB19" s="2" t="s">
        <v>521</v>
      </c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 t="s">
        <v>522</v>
      </c>
      <c r="FO19" s="2" t="s">
        <v>63</v>
      </c>
      <c r="FP19" s="2" t="s">
        <v>64</v>
      </c>
      <c r="FQ19" s="2" t="s">
        <v>9</v>
      </c>
      <c r="FR19" s="2" t="s">
        <v>17</v>
      </c>
      <c r="FS19" s="2" t="s">
        <v>17</v>
      </c>
      <c r="FT19" s="2" t="s">
        <v>9</v>
      </c>
      <c r="FU19" s="2">
        <v>0</v>
      </c>
      <c r="FV19" s="2">
        <v>0</v>
      </c>
      <c r="FW19" s="4">
        <v>0</v>
      </c>
      <c r="FX19" s="4">
        <v>0</v>
      </c>
      <c r="FY19" s="2" t="s">
        <v>65</v>
      </c>
      <c r="FZ19" s="2" t="s">
        <v>66</v>
      </c>
      <c r="GA19" s="2" t="s">
        <v>67</v>
      </c>
      <c r="GB19" s="2"/>
      <c r="GC19" s="2"/>
      <c r="GD19" s="2"/>
      <c r="GE19" s="2" t="s">
        <v>68</v>
      </c>
      <c r="GF19" s="2">
        <v>80</v>
      </c>
      <c r="GG19" s="2">
        <v>80</v>
      </c>
      <c r="GH19" s="2"/>
      <c r="GI19" s="2"/>
      <c r="GJ19" s="2"/>
      <c r="GK19" s="2"/>
      <c r="GL19" s="2"/>
      <c r="GM19" s="2"/>
      <c r="GN19" s="2"/>
      <c r="GO19" s="2"/>
      <c r="GP19" s="2"/>
      <c r="GQ19" s="2">
        <v>80</v>
      </c>
      <c r="GR19" s="2" t="s">
        <v>523</v>
      </c>
      <c r="GS19" s="2" t="s">
        <v>70</v>
      </c>
      <c r="GT19" s="2" t="s">
        <v>524</v>
      </c>
      <c r="GU19" s="2" t="s">
        <v>525</v>
      </c>
      <c r="GV19" s="2" t="s">
        <v>17</v>
      </c>
      <c r="GW19" s="2">
        <v>27.588829</v>
      </c>
      <c r="GX19" s="2">
        <v>-81.512071000000006</v>
      </c>
      <c r="GY19" s="2"/>
      <c r="GZ19" s="2" t="s">
        <v>17</v>
      </c>
      <c r="HA19" s="2" t="s">
        <v>17</v>
      </c>
      <c r="HB19" s="2">
        <v>0</v>
      </c>
      <c r="HC19" s="2" t="s">
        <v>17</v>
      </c>
      <c r="HD19" s="2"/>
      <c r="HE19" s="2">
        <v>0</v>
      </c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 t="s">
        <v>73</v>
      </c>
      <c r="HY19" s="2" t="s">
        <v>17</v>
      </c>
      <c r="HZ19" s="2"/>
      <c r="IA19" s="2" t="s">
        <v>359</v>
      </c>
      <c r="IB19" s="2" t="s">
        <v>526</v>
      </c>
      <c r="IC19" s="2">
        <v>0.23</v>
      </c>
      <c r="ID19" s="2">
        <v>4</v>
      </c>
      <c r="IE19" s="2"/>
      <c r="IF19" s="2"/>
      <c r="IG19" s="2"/>
      <c r="IH19" s="2" t="s">
        <v>527</v>
      </c>
      <c r="II19" s="2">
        <v>0.47</v>
      </c>
      <c r="IJ19" s="2">
        <v>3.5</v>
      </c>
      <c r="IK19" s="2" t="s">
        <v>528</v>
      </c>
      <c r="IL19" s="2" t="s">
        <v>529</v>
      </c>
      <c r="IM19" s="2">
        <v>0.69</v>
      </c>
      <c r="IN19" s="2">
        <v>3.5</v>
      </c>
      <c r="IO19" s="2" t="s">
        <v>9</v>
      </c>
      <c r="IP19" s="2">
        <v>0</v>
      </c>
      <c r="IQ19" s="2">
        <v>11</v>
      </c>
      <c r="IR19" s="2">
        <v>0</v>
      </c>
      <c r="IS19" s="2">
        <v>11</v>
      </c>
      <c r="IT19" s="2" t="s">
        <v>9</v>
      </c>
      <c r="IU19" s="2" t="s">
        <v>17</v>
      </c>
      <c r="IV19" s="2" t="s">
        <v>17</v>
      </c>
      <c r="IW19" s="2" t="s">
        <v>9</v>
      </c>
      <c r="IX19" s="2" t="s">
        <v>9</v>
      </c>
      <c r="IY19" s="2">
        <v>11</v>
      </c>
      <c r="IZ19" s="2">
        <v>80</v>
      </c>
      <c r="JA19" s="2" t="s">
        <v>81</v>
      </c>
      <c r="JB19" s="2" t="s">
        <v>173</v>
      </c>
      <c r="JC19" s="2"/>
      <c r="JD19" s="2"/>
      <c r="JE19" s="7">
        <v>0.15</v>
      </c>
      <c r="JF19" s="2"/>
      <c r="JG19" s="7">
        <v>0.85</v>
      </c>
      <c r="JH19" s="7">
        <v>0</v>
      </c>
      <c r="JI19" s="2">
        <v>80</v>
      </c>
      <c r="JJ19" s="7">
        <v>1</v>
      </c>
      <c r="JK19" s="2">
        <v>80</v>
      </c>
      <c r="JL19" s="7">
        <v>1</v>
      </c>
      <c r="JM19" s="2"/>
      <c r="JN19" s="2"/>
      <c r="JO19" s="2"/>
      <c r="JP19" s="2"/>
      <c r="JQ19" s="2"/>
      <c r="JR19" s="2"/>
      <c r="JS19" s="2">
        <v>0</v>
      </c>
      <c r="JT19" s="2">
        <v>0</v>
      </c>
      <c r="JU19" s="2"/>
      <c r="JV19" s="2">
        <v>0</v>
      </c>
      <c r="JW19" s="4">
        <v>0</v>
      </c>
      <c r="JX19" s="2">
        <v>0</v>
      </c>
      <c r="JY19" s="4">
        <v>0</v>
      </c>
      <c r="JZ19" s="2">
        <v>0</v>
      </c>
      <c r="KA19" s="2"/>
      <c r="KB19" s="2"/>
      <c r="KC19" s="2"/>
      <c r="KD19" s="2"/>
      <c r="KE19" s="2"/>
      <c r="KF19" s="2"/>
      <c r="KG19" s="2"/>
      <c r="KH19" s="2"/>
      <c r="KI19" s="2"/>
      <c r="KJ19" s="2">
        <v>40</v>
      </c>
      <c r="KK19" s="2"/>
      <c r="KL19" s="2">
        <v>40</v>
      </c>
      <c r="KM19" s="2"/>
      <c r="KN19" s="2"/>
      <c r="KO19" s="2"/>
      <c r="KP19" s="2"/>
      <c r="KQ19" s="2" t="s">
        <v>83</v>
      </c>
      <c r="KR19" s="2" t="s">
        <v>73</v>
      </c>
      <c r="KS19" s="2"/>
      <c r="KT19" s="2">
        <v>5</v>
      </c>
      <c r="KU19" s="2" t="s">
        <v>84</v>
      </c>
      <c r="KV19" s="2" t="s">
        <v>85</v>
      </c>
      <c r="KW19" s="2" t="s">
        <v>530</v>
      </c>
      <c r="KX19" s="2" t="s">
        <v>17</v>
      </c>
      <c r="KY19" s="2" t="s">
        <v>17</v>
      </c>
      <c r="KZ19" s="2" t="s">
        <v>17</v>
      </c>
      <c r="LA19" s="2" t="s">
        <v>17</v>
      </c>
      <c r="LB19" s="2" t="s">
        <v>17</v>
      </c>
      <c r="LC19" s="2" t="s">
        <v>17</v>
      </c>
      <c r="LD19" s="2" t="s">
        <v>17</v>
      </c>
      <c r="LE19" s="2" t="s">
        <v>17</v>
      </c>
      <c r="LF19" s="2" t="s">
        <v>17</v>
      </c>
      <c r="LG19" s="2" t="s">
        <v>17</v>
      </c>
      <c r="LH19" s="2" t="s">
        <v>17</v>
      </c>
      <c r="LI19" s="2" t="s">
        <v>17</v>
      </c>
      <c r="LJ19" s="2" t="s">
        <v>87</v>
      </c>
      <c r="LK19" s="2" t="s">
        <v>17</v>
      </c>
      <c r="LL19" s="2" t="s">
        <v>17</v>
      </c>
      <c r="LM19" s="2">
        <v>0</v>
      </c>
      <c r="LN19" s="2" t="s">
        <v>17</v>
      </c>
      <c r="LO19" s="2" t="s">
        <v>9</v>
      </c>
      <c r="LP19" s="2" t="s">
        <v>9</v>
      </c>
      <c r="LQ19" s="2" t="s">
        <v>17</v>
      </c>
      <c r="LR19" s="2" t="s">
        <v>9</v>
      </c>
      <c r="LS19" s="2" t="s">
        <v>17</v>
      </c>
      <c r="LT19" s="2" t="s">
        <v>17</v>
      </c>
      <c r="LU19" s="2" t="s">
        <v>17</v>
      </c>
      <c r="LV19" s="2" t="s">
        <v>17</v>
      </c>
      <c r="LW19" s="2" t="s">
        <v>17</v>
      </c>
      <c r="LX19" s="2" t="s">
        <v>17</v>
      </c>
      <c r="LY19" s="5">
        <v>6400000</v>
      </c>
      <c r="LZ19" s="5">
        <v>0</v>
      </c>
      <c r="MA19" s="5">
        <v>7200000</v>
      </c>
      <c r="MB19" s="5">
        <v>0</v>
      </c>
      <c r="MC19" s="5">
        <v>0</v>
      </c>
      <c r="MD19" s="5">
        <v>0</v>
      </c>
      <c r="ME19" s="5">
        <v>8400000</v>
      </c>
      <c r="MF19" s="5">
        <v>0</v>
      </c>
      <c r="MG19" s="5">
        <v>0</v>
      </c>
      <c r="MH19" s="5">
        <v>0</v>
      </c>
      <c r="MI19" s="5">
        <v>0</v>
      </c>
      <c r="MJ19" s="5">
        <v>0</v>
      </c>
      <c r="MK19" s="5">
        <v>0</v>
      </c>
      <c r="ML19" s="2">
        <v>0</v>
      </c>
      <c r="MM19" s="5">
        <v>0</v>
      </c>
      <c r="MN19" s="5">
        <v>0</v>
      </c>
      <c r="MO19" s="2">
        <v>0</v>
      </c>
      <c r="MP19" s="2">
        <v>0</v>
      </c>
      <c r="MQ19" s="2">
        <v>0</v>
      </c>
      <c r="MR19" s="5">
        <v>2950000</v>
      </c>
      <c r="MS19" s="5">
        <v>0</v>
      </c>
      <c r="MT19" s="5">
        <v>4600000</v>
      </c>
      <c r="MU19" s="5">
        <v>0</v>
      </c>
      <c r="MV19" s="5">
        <v>0</v>
      </c>
      <c r="MW19" s="5">
        <v>0</v>
      </c>
      <c r="MX19" s="5">
        <v>0</v>
      </c>
      <c r="MY19" s="5">
        <v>2500000</v>
      </c>
      <c r="MZ19" s="5">
        <v>0</v>
      </c>
      <c r="NA19" s="5">
        <v>5000000</v>
      </c>
      <c r="NB19" s="5">
        <v>0</v>
      </c>
      <c r="NC19" s="5">
        <v>0</v>
      </c>
      <c r="ND19" s="5">
        <v>0</v>
      </c>
      <c r="NE19" s="5">
        <v>0</v>
      </c>
      <c r="NF19" s="5">
        <v>0</v>
      </c>
      <c r="NG19" s="5">
        <v>2142000</v>
      </c>
      <c r="NH19" s="5">
        <v>2141000</v>
      </c>
      <c r="NI19" s="5">
        <v>2141000</v>
      </c>
      <c r="NJ19" s="5">
        <v>0</v>
      </c>
      <c r="NK19" s="5"/>
      <c r="NL19" s="2" t="s">
        <v>17</v>
      </c>
      <c r="NM19" s="2" t="s">
        <v>17</v>
      </c>
      <c r="NN19" s="2"/>
      <c r="NO19" s="2" t="s">
        <v>17</v>
      </c>
      <c r="NP19" s="2"/>
      <c r="NQ19" s="2"/>
      <c r="NR19" s="2" t="s">
        <v>17</v>
      </c>
      <c r="NS19" s="2"/>
      <c r="NT19" s="2" t="s">
        <v>9</v>
      </c>
      <c r="NU19" s="2" t="s">
        <v>450</v>
      </c>
      <c r="NV19" s="2">
        <v>9603</v>
      </c>
      <c r="NW19" s="2" t="s">
        <v>531</v>
      </c>
      <c r="NX19" s="2" t="s">
        <v>17</v>
      </c>
      <c r="NY19" s="2"/>
      <c r="NZ19" s="2"/>
      <c r="OA19" s="2" t="s">
        <v>118</v>
      </c>
      <c r="OB19" s="2" t="s">
        <v>118</v>
      </c>
      <c r="OC19" s="2" t="s">
        <v>118</v>
      </c>
      <c r="OD19" s="2" t="s">
        <v>17</v>
      </c>
      <c r="OE19" s="2" t="s">
        <v>119</v>
      </c>
      <c r="OF19" s="2" t="s">
        <v>17</v>
      </c>
      <c r="OG19" s="2" t="s">
        <v>17</v>
      </c>
      <c r="OH19" s="2"/>
      <c r="OI19" s="2"/>
      <c r="OJ19" s="2"/>
      <c r="OK19" s="2" t="s">
        <v>17</v>
      </c>
      <c r="OL19" s="2" t="s">
        <v>17</v>
      </c>
      <c r="OM19" s="2" t="s">
        <v>85</v>
      </c>
      <c r="ON19" s="6">
        <v>0</v>
      </c>
      <c r="OO19" s="6">
        <v>0</v>
      </c>
      <c r="OP19" s="2" t="s">
        <v>93</v>
      </c>
      <c r="OQ19" s="2" t="s">
        <v>93</v>
      </c>
      <c r="OR19" s="6">
        <v>0</v>
      </c>
      <c r="OS19" s="4">
        <v>0</v>
      </c>
      <c r="OT19" s="2" t="s">
        <v>17</v>
      </c>
      <c r="OU19" s="2" t="s">
        <v>17</v>
      </c>
      <c r="OV19" s="2"/>
      <c r="OW19" s="2"/>
      <c r="OX19" s="5">
        <v>15422908</v>
      </c>
      <c r="OY19" s="6">
        <v>192786.35</v>
      </c>
      <c r="OZ19" s="2"/>
      <c r="PA19" s="2"/>
      <c r="PB19" s="8">
        <v>11575600</v>
      </c>
      <c r="PC19" s="8">
        <v>284400</v>
      </c>
      <c r="PD19" s="8">
        <v>11860000</v>
      </c>
      <c r="PE19" s="8">
        <v>782000</v>
      </c>
      <c r="PF19" s="8">
        <v>138000</v>
      </c>
      <c r="PG19" s="8">
        <v>920000</v>
      </c>
      <c r="PH19" s="2"/>
      <c r="PI19" s="2"/>
      <c r="PJ19" s="2"/>
      <c r="PK19" s="8">
        <v>12357600</v>
      </c>
      <c r="PL19" s="8">
        <v>422400</v>
      </c>
      <c r="PM19" s="8">
        <v>12780000</v>
      </c>
      <c r="PN19" s="8">
        <v>1789200</v>
      </c>
      <c r="PO19" s="2"/>
      <c r="PP19" s="8">
        <v>1789200</v>
      </c>
      <c r="PQ19" s="6">
        <v>1789200</v>
      </c>
      <c r="PR19" s="8">
        <v>14146800</v>
      </c>
      <c r="PS19" s="8">
        <v>422400</v>
      </c>
      <c r="PT19" s="8">
        <v>14569200</v>
      </c>
      <c r="PU19" s="8">
        <v>728460</v>
      </c>
      <c r="PV19" s="2"/>
      <c r="PW19" s="8">
        <v>728460</v>
      </c>
      <c r="PX19" s="6">
        <v>728460</v>
      </c>
      <c r="PY19" s="8">
        <v>981423</v>
      </c>
      <c r="PZ19" s="8">
        <v>104700</v>
      </c>
      <c r="QA19" s="8">
        <v>1086123</v>
      </c>
      <c r="QB19" s="8">
        <v>131123</v>
      </c>
      <c r="QC19" s="2"/>
      <c r="QD19" s="8">
        <v>131123</v>
      </c>
      <c r="QE19" s="8">
        <v>582827</v>
      </c>
      <c r="QF19" s="8">
        <v>6826</v>
      </c>
      <c r="QG19" s="8">
        <v>589653</v>
      </c>
      <c r="QH19" s="8">
        <v>17721</v>
      </c>
      <c r="QI19" s="8">
        <v>351850</v>
      </c>
      <c r="QJ19" s="8">
        <v>369571</v>
      </c>
      <c r="QK19" s="2"/>
      <c r="QL19" s="2"/>
      <c r="QM19" s="2"/>
      <c r="QN19" s="8">
        <v>224000</v>
      </c>
      <c r="QO19" s="8">
        <v>144000</v>
      </c>
      <c r="QP19" s="8">
        <v>368000</v>
      </c>
      <c r="QQ19" s="8">
        <v>1937094</v>
      </c>
      <c r="QR19" s="8">
        <v>607376</v>
      </c>
      <c r="QS19" s="8">
        <v>2544470</v>
      </c>
      <c r="QT19" s="2"/>
      <c r="QU19" s="2"/>
      <c r="QV19" s="2"/>
      <c r="QW19" s="6">
        <v>127223.5</v>
      </c>
      <c r="QX19" s="8">
        <v>453388</v>
      </c>
      <c r="QY19" s="8">
        <v>360482</v>
      </c>
      <c r="QZ19" s="8">
        <v>813870</v>
      </c>
      <c r="RA19" s="8">
        <v>30000</v>
      </c>
      <c r="RB19" s="8">
        <v>30000</v>
      </c>
      <c r="RC19" s="2"/>
      <c r="RD19" s="2"/>
      <c r="RE19" s="2"/>
      <c r="RF19" s="8">
        <v>453388</v>
      </c>
      <c r="RG19" s="8">
        <v>390482</v>
      </c>
      <c r="RH19" s="8">
        <v>843870</v>
      </c>
      <c r="RI19" s="2"/>
      <c r="RJ19" s="2"/>
      <c r="RK19" s="2"/>
      <c r="RL19" s="2"/>
      <c r="RM19" s="8">
        <v>17265742</v>
      </c>
      <c r="RN19" s="8">
        <v>1420258</v>
      </c>
      <c r="RO19" s="8">
        <v>18686000</v>
      </c>
      <c r="RP19" s="2"/>
      <c r="RQ19" s="2"/>
      <c r="RR19" s="2">
        <v>0</v>
      </c>
      <c r="RS19" s="6">
        <v>0</v>
      </c>
      <c r="RT19" s="8">
        <v>2989000</v>
      </c>
      <c r="RU19" s="2"/>
      <c r="RV19" s="8">
        <v>2989000</v>
      </c>
      <c r="RW19" s="6">
        <v>2989760</v>
      </c>
      <c r="RX19" s="6">
        <v>0</v>
      </c>
      <c r="RY19" s="8">
        <v>2989000</v>
      </c>
      <c r="RZ19" s="2"/>
      <c r="SA19" s="8">
        <v>2989000</v>
      </c>
      <c r="SB19" s="6">
        <v>2989760</v>
      </c>
      <c r="SC19" s="8">
        <v>279000</v>
      </c>
      <c r="SD19" s="8">
        <v>279000</v>
      </c>
      <c r="SE19" s="6">
        <v>280000</v>
      </c>
      <c r="SF19" s="8">
        <v>655000</v>
      </c>
      <c r="SG19" s="8">
        <v>655000</v>
      </c>
      <c r="SH19" s="8">
        <v>20254742</v>
      </c>
      <c r="SI19" s="8">
        <v>2354258</v>
      </c>
      <c r="SJ19" s="8">
        <v>22609000</v>
      </c>
      <c r="SK19" s="2" t="s">
        <v>532</v>
      </c>
      <c r="SL19" s="2"/>
      <c r="SM19" s="2" t="s">
        <v>533</v>
      </c>
      <c r="SN19" s="2"/>
      <c r="SO19" s="2"/>
      <c r="SP19" s="8">
        <v>14816802</v>
      </c>
      <c r="SQ19" s="2" t="s">
        <v>95</v>
      </c>
      <c r="SR19" s="2"/>
      <c r="SS19" s="2"/>
      <c r="ST19" s="2"/>
      <c r="SU19" s="2"/>
      <c r="SV19" s="2"/>
      <c r="SW19" s="2"/>
      <c r="SX19" s="2" t="s">
        <v>96</v>
      </c>
      <c r="SY19" s="2" t="s">
        <v>96</v>
      </c>
      <c r="SZ19" s="2" t="s">
        <v>96</v>
      </c>
      <c r="TA19" s="2" t="s">
        <v>96</v>
      </c>
      <c r="TB19" s="8">
        <v>5651674</v>
      </c>
      <c r="TC19" s="2"/>
      <c r="TD19" s="2"/>
      <c r="TE19" s="2"/>
      <c r="TF19" s="2"/>
      <c r="TG19" s="2"/>
      <c r="TH19" s="2"/>
      <c r="TI19" s="8">
        <v>2140524</v>
      </c>
      <c r="TJ19" s="8">
        <v>22609000</v>
      </c>
      <c r="TK19" s="2">
        <v>0</v>
      </c>
      <c r="TL19" s="2" t="s">
        <v>9</v>
      </c>
      <c r="TM19" s="8">
        <v>3000000</v>
      </c>
      <c r="TN19" s="2" t="s">
        <v>95</v>
      </c>
      <c r="TO19" s="8">
        <v>340000</v>
      </c>
      <c r="TP19" s="2" t="s">
        <v>180</v>
      </c>
      <c r="TQ19" s="2"/>
      <c r="TR19" s="2"/>
      <c r="TS19" s="2"/>
      <c r="TT19" s="2"/>
      <c r="TU19" s="2" t="s">
        <v>96</v>
      </c>
      <c r="TV19" s="8">
        <v>18838916</v>
      </c>
      <c r="TW19" s="2"/>
      <c r="TX19" s="2"/>
      <c r="TY19" s="2"/>
      <c r="TZ19" s="2"/>
      <c r="UA19" s="2"/>
      <c r="UB19" s="2"/>
      <c r="UC19" s="8">
        <v>430084</v>
      </c>
      <c r="UD19" s="8">
        <v>22609000</v>
      </c>
      <c r="UE19" s="6">
        <v>3340000</v>
      </c>
      <c r="UF19" s="2">
        <v>0</v>
      </c>
      <c r="UG19" s="2" t="s">
        <v>9</v>
      </c>
      <c r="UH19" s="2">
        <v>80</v>
      </c>
      <c r="UI19" s="5">
        <v>240000</v>
      </c>
      <c r="UJ19" s="6">
        <v>320000</v>
      </c>
      <c r="UK19" s="6">
        <v>320000</v>
      </c>
      <c r="UL19" s="6">
        <v>339200</v>
      </c>
      <c r="UM19" s="6">
        <v>27136000</v>
      </c>
      <c r="UN19" s="6">
        <v>4341760</v>
      </c>
      <c r="UO19" s="6">
        <v>4341760</v>
      </c>
      <c r="UP19" s="6">
        <v>31477760</v>
      </c>
      <c r="UQ19" s="6">
        <v>21675000</v>
      </c>
      <c r="UR19" s="6">
        <v>340000</v>
      </c>
      <c r="US19" s="2"/>
      <c r="UT19" s="6">
        <v>340000</v>
      </c>
      <c r="UU19" s="2"/>
      <c r="UV19" s="6">
        <v>0</v>
      </c>
      <c r="UW19" s="6">
        <v>340000</v>
      </c>
      <c r="UX19" s="6">
        <v>0</v>
      </c>
      <c r="UY19" s="6">
        <v>340000</v>
      </c>
      <c r="UZ19" s="2" t="s">
        <v>534</v>
      </c>
      <c r="VA19" s="2" t="s">
        <v>182</v>
      </c>
      <c r="VB19" s="2"/>
      <c r="VC19" s="2"/>
      <c r="VD19" s="2" t="s">
        <v>9</v>
      </c>
      <c r="VE19" s="2" t="s">
        <v>17</v>
      </c>
      <c r="VF19" s="2"/>
      <c r="VG19" s="2" t="s">
        <v>9</v>
      </c>
      <c r="VH19" s="2" t="s">
        <v>535</v>
      </c>
      <c r="VI19" s="388" t="s">
        <v>499</v>
      </c>
      <c r="VJ19" s="2" t="s">
        <v>98</v>
      </c>
      <c r="VK19" s="2" t="s">
        <v>536</v>
      </c>
      <c r="VL19" s="23">
        <f t="shared" si="0"/>
        <v>200</v>
      </c>
      <c r="VM19" s="17">
        <f t="shared" si="1"/>
        <v>2.5</v>
      </c>
      <c r="VN19" s="17" t="str">
        <f t="shared" si="12"/>
        <v>NC-GA-F</v>
      </c>
      <c r="VO19" s="17" t="str">
        <f t="shared" si="13"/>
        <v>NC-GA-F-ESS</v>
      </c>
      <c r="VP19" s="12">
        <v>9</v>
      </c>
      <c r="VQ19" s="57">
        <v>1</v>
      </c>
      <c r="VR19" s="57">
        <f t="shared" si="2"/>
        <v>1</v>
      </c>
      <c r="VS19" s="14">
        <f t="shared" si="3"/>
        <v>1</v>
      </c>
      <c r="VT19" s="12">
        <f t="shared" si="4"/>
        <v>0.93</v>
      </c>
      <c r="VU19" s="16">
        <f t="shared" si="5"/>
        <v>17920170</v>
      </c>
      <c r="VV19" s="16">
        <f t="shared" si="6"/>
        <v>224002.125</v>
      </c>
      <c r="VW19" s="12" t="str">
        <f t="shared" si="14"/>
        <v>A</v>
      </c>
      <c r="VX19" s="12" t="str">
        <f t="shared" si="15"/>
        <v>NC-GA-ESS</v>
      </c>
      <c r="VY19" s="351">
        <f t="shared" si="16"/>
        <v>3</v>
      </c>
      <c r="WA19" s="12">
        <f t="shared" si="17"/>
        <v>0</v>
      </c>
      <c r="WB19" s="12">
        <f t="shared" si="18"/>
        <v>0</v>
      </c>
      <c r="WC19" s="12">
        <f t="shared" si="18"/>
        <v>0</v>
      </c>
      <c r="WD19" s="12">
        <f t="shared" si="18"/>
        <v>0</v>
      </c>
      <c r="WE19" s="12">
        <f t="shared" si="19"/>
        <v>1</v>
      </c>
      <c r="WF19" s="12">
        <f t="shared" si="7"/>
        <v>1</v>
      </c>
      <c r="WG19" s="12">
        <f t="shared" si="8"/>
        <v>0</v>
      </c>
      <c r="WH19" s="12">
        <f t="shared" si="9"/>
        <v>0</v>
      </c>
      <c r="WI19" s="31">
        <f t="shared" si="10"/>
        <v>2</v>
      </c>
      <c r="WJ19" s="2"/>
      <c r="WK19" s="443" t="str">
        <f t="shared" si="20"/>
        <v>NC-GA-ESS-BBN-BRN-NPH-F</v>
      </c>
      <c r="WL19" s="443"/>
      <c r="WM19" s="443"/>
    </row>
    <row r="20" spans="1:611" x14ac:dyDescent="0.25">
      <c r="A20" s="2">
        <v>9382</v>
      </c>
      <c r="B20" s="2" t="s">
        <v>367</v>
      </c>
      <c r="C20" s="2" t="s">
        <v>8</v>
      </c>
      <c r="D20" s="3">
        <v>45153</v>
      </c>
      <c r="E20" s="2" t="s">
        <v>9</v>
      </c>
      <c r="F20" s="2">
        <v>3</v>
      </c>
      <c r="G20" s="2" t="s">
        <v>9</v>
      </c>
      <c r="H20" s="2">
        <v>3</v>
      </c>
      <c r="I20" s="2" t="s">
        <v>9</v>
      </c>
      <c r="J20" s="2">
        <v>3</v>
      </c>
      <c r="K20" s="2" t="s">
        <v>9</v>
      </c>
      <c r="L20" s="2">
        <v>3</v>
      </c>
      <c r="M20" s="2" t="s">
        <v>10</v>
      </c>
      <c r="N20" s="2">
        <v>0</v>
      </c>
      <c r="O20" s="2" t="s">
        <v>10</v>
      </c>
      <c r="P20" s="2">
        <v>0</v>
      </c>
      <c r="Q20" s="2" t="s">
        <v>11</v>
      </c>
      <c r="R20" s="2">
        <v>0</v>
      </c>
      <c r="S20" s="2" t="s">
        <v>9</v>
      </c>
      <c r="T20" s="2">
        <v>2</v>
      </c>
      <c r="U20" s="2" t="s">
        <v>9</v>
      </c>
      <c r="V20" s="2">
        <v>2</v>
      </c>
      <c r="W20" s="2" t="s">
        <v>9</v>
      </c>
      <c r="X20" s="2">
        <v>2</v>
      </c>
      <c r="Y20" s="2" t="s">
        <v>12</v>
      </c>
      <c r="Z20" s="2" t="s">
        <v>15</v>
      </c>
      <c r="AA20" s="2" t="s">
        <v>15</v>
      </c>
      <c r="AB20" s="2" t="s">
        <v>15</v>
      </c>
      <c r="AC20" s="2" t="s">
        <v>15</v>
      </c>
      <c r="AD20" s="2" t="s">
        <v>15</v>
      </c>
      <c r="AE20" s="2" t="s">
        <v>15</v>
      </c>
      <c r="AF20" s="2">
        <v>0</v>
      </c>
      <c r="AG20" s="2" t="s">
        <v>234</v>
      </c>
      <c r="AH20" s="2" t="s">
        <v>17</v>
      </c>
      <c r="AI20" s="4">
        <v>0.15</v>
      </c>
      <c r="AJ20" s="2" t="s">
        <v>17</v>
      </c>
      <c r="AK20" s="2" t="s">
        <v>9</v>
      </c>
      <c r="AL20" s="2" t="s">
        <v>17</v>
      </c>
      <c r="AM20" s="2" t="s">
        <v>9</v>
      </c>
      <c r="AN20" s="2" t="s">
        <v>17</v>
      </c>
      <c r="AO20" s="2" t="s">
        <v>17</v>
      </c>
      <c r="AP20" s="2" t="s">
        <v>17</v>
      </c>
      <c r="AQ20" s="2" t="s">
        <v>17</v>
      </c>
      <c r="AR20" s="2" t="s">
        <v>17</v>
      </c>
      <c r="AS20" s="2" t="s">
        <v>17</v>
      </c>
      <c r="AT20" s="2">
        <v>0</v>
      </c>
      <c r="AU20" s="5">
        <v>20000</v>
      </c>
      <c r="AV20" s="5">
        <v>340000</v>
      </c>
      <c r="AW20" s="2">
        <v>0</v>
      </c>
      <c r="AX20" s="2">
        <v>3</v>
      </c>
      <c r="AY20" s="2">
        <v>0</v>
      </c>
      <c r="AZ20" s="2">
        <v>18</v>
      </c>
      <c r="BA20" s="2">
        <v>0</v>
      </c>
      <c r="BB20" s="2">
        <v>1</v>
      </c>
      <c r="BC20" s="2">
        <v>0</v>
      </c>
      <c r="BD20" s="2">
        <v>0</v>
      </c>
      <c r="BE20" s="2">
        <v>0</v>
      </c>
      <c r="BF20" s="2">
        <v>1</v>
      </c>
      <c r="BG20" s="2">
        <v>0</v>
      </c>
      <c r="BH20" s="2">
        <v>0</v>
      </c>
      <c r="BI20" s="2">
        <v>13</v>
      </c>
      <c r="BJ20" s="2">
        <v>1</v>
      </c>
      <c r="BK20" s="2">
        <v>0</v>
      </c>
      <c r="BL20" s="2">
        <v>3</v>
      </c>
      <c r="BM20" s="2">
        <v>2</v>
      </c>
      <c r="BN20" s="2">
        <v>12</v>
      </c>
      <c r="BO20" s="2">
        <v>11</v>
      </c>
      <c r="BP20" s="2">
        <v>0</v>
      </c>
      <c r="BQ20" s="2">
        <v>10</v>
      </c>
      <c r="BR20" s="2">
        <v>12.22</v>
      </c>
      <c r="BS20" s="2">
        <v>0</v>
      </c>
      <c r="BT20" s="4">
        <v>0.06</v>
      </c>
      <c r="BU20" s="2" t="s">
        <v>9</v>
      </c>
      <c r="BV20" s="6">
        <v>192876.39</v>
      </c>
      <c r="BW20" s="2" t="s">
        <v>18</v>
      </c>
      <c r="BX20" s="2" t="s">
        <v>17</v>
      </c>
      <c r="BY20" s="2" t="s">
        <v>17</v>
      </c>
      <c r="BZ20" s="2" t="s">
        <v>17</v>
      </c>
      <c r="CA20" s="2" t="s">
        <v>17</v>
      </c>
      <c r="CB20" s="2" t="s">
        <v>17</v>
      </c>
      <c r="CC20" s="2" t="s">
        <v>17</v>
      </c>
      <c r="CD20" s="2" t="s">
        <v>17</v>
      </c>
      <c r="CE20" s="2" t="s">
        <v>368</v>
      </c>
      <c r="CF20" s="2" t="s">
        <v>17</v>
      </c>
      <c r="CG20" s="2" t="s">
        <v>369</v>
      </c>
      <c r="CH20" s="2" t="s">
        <v>370</v>
      </c>
      <c r="CI20" s="2" t="s">
        <v>371</v>
      </c>
      <c r="CJ20" s="2" t="s">
        <v>9</v>
      </c>
      <c r="CK20" s="2" t="s">
        <v>372</v>
      </c>
      <c r="CL20" s="2" t="s">
        <v>369</v>
      </c>
      <c r="CM20" s="2" t="s">
        <v>373</v>
      </c>
      <c r="CN20" s="2" t="s">
        <v>374</v>
      </c>
      <c r="CO20" s="2" t="s">
        <v>24</v>
      </c>
      <c r="CP20" s="2"/>
      <c r="CQ20" s="2">
        <v>120</v>
      </c>
      <c r="CR20" s="2" t="s">
        <v>375</v>
      </c>
      <c r="CS20" s="2">
        <v>2019</v>
      </c>
      <c r="CT20" s="2" t="s">
        <v>26</v>
      </c>
      <c r="CU20" s="2" t="s">
        <v>27</v>
      </c>
      <c r="CV20" s="2" t="s">
        <v>376</v>
      </c>
      <c r="CW20" s="2" t="s">
        <v>377</v>
      </c>
      <c r="CX20" s="2" t="s">
        <v>24</v>
      </c>
      <c r="CY20" s="2"/>
      <c r="CZ20" s="2">
        <v>56</v>
      </c>
      <c r="DA20" s="2" t="s">
        <v>375</v>
      </c>
      <c r="DB20" s="2">
        <v>2020</v>
      </c>
      <c r="DC20" s="2" t="s">
        <v>30</v>
      </c>
      <c r="DD20" s="2" t="s">
        <v>27</v>
      </c>
      <c r="DE20" s="2" t="s">
        <v>378</v>
      </c>
      <c r="DF20" s="2" t="s">
        <v>379</v>
      </c>
      <c r="DG20" s="2" t="s">
        <v>24</v>
      </c>
      <c r="DH20" s="2"/>
      <c r="DI20" s="2">
        <v>56</v>
      </c>
      <c r="DJ20" s="2" t="s">
        <v>375</v>
      </c>
      <c r="DK20" s="2">
        <v>2020</v>
      </c>
      <c r="DL20" s="2" t="s">
        <v>30</v>
      </c>
      <c r="DM20" s="2" t="s">
        <v>27</v>
      </c>
      <c r="DN20" s="2" t="s">
        <v>33</v>
      </c>
      <c r="DO20" s="2" t="s">
        <v>380</v>
      </c>
      <c r="DP20" s="2" t="s">
        <v>381</v>
      </c>
      <c r="DQ20" s="2" t="s">
        <v>382</v>
      </c>
      <c r="DR20" s="2" t="s">
        <v>383</v>
      </c>
      <c r="DS20" s="2">
        <v>1</v>
      </c>
      <c r="DT20" s="2" t="s">
        <v>384</v>
      </c>
      <c r="DU20" s="2" t="s">
        <v>385</v>
      </c>
      <c r="DV20" s="2" t="s">
        <v>39</v>
      </c>
      <c r="DW20" s="2">
        <v>32904</v>
      </c>
      <c r="DX20" s="2" t="s">
        <v>386</v>
      </c>
      <c r="DY20" s="2">
        <v>105</v>
      </c>
      <c r="DZ20" s="2" t="s">
        <v>385</v>
      </c>
      <c r="EA20" s="2" t="s">
        <v>387</v>
      </c>
      <c r="EB20" s="2" t="s">
        <v>388</v>
      </c>
      <c r="EC20" s="2" t="s">
        <v>389</v>
      </c>
      <c r="ED20" s="2" t="s">
        <v>44</v>
      </c>
      <c r="EE20" s="2">
        <v>160</v>
      </c>
      <c r="EF20" s="2" t="s">
        <v>390</v>
      </c>
      <c r="EG20" s="2">
        <v>10</v>
      </c>
      <c r="EH20" s="2" t="s">
        <v>46</v>
      </c>
      <c r="EI20" s="2" t="s">
        <v>47</v>
      </c>
      <c r="EJ20" s="2" t="s">
        <v>391</v>
      </c>
      <c r="EK20" s="2" t="s">
        <v>389</v>
      </c>
      <c r="EL20" s="2" t="s">
        <v>44</v>
      </c>
      <c r="EM20" s="2">
        <v>141</v>
      </c>
      <c r="EN20" s="2" t="s">
        <v>390</v>
      </c>
      <c r="EO20" s="2">
        <v>8</v>
      </c>
      <c r="EP20" s="2" t="s">
        <v>46</v>
      </c>
      <c r="EQ20" s="2" t="s">
        <v>47</v>
      </c>
      <c r="ER20" s="2" t="s">
        <v>392</v>
      </c>
      <c r="ES20" s="2" t="s">
        <v>393</v>
      </c>
      <c r="ET20" s="2" t="s">
        <v>394</v>
      </c>
      <c r="EU20" s="2" t="s">
        <v>369</v>
      </c>
      <c r="EV20" s="2" t="s">
        <v>395</v>
      </c>
      <c r="EW20" s="2" t="s">
        <v>396</v>
      </c>
      <c r="EX20" s="2" t="s">
        <v>39</v>
      </c>
      <c r="EY20" s="2">
        <v>33606</v>
      </c>
      <c r="EZ20" s="2" t="s">
        <v>397</v>
      </c>
      <c r="FA20" s="2">
        <v>1001</v>
      </c>
      <c r="FB20" s="2" t="s">
        <v>398</v>
      </c>
      <c r="FC20" s="2" t="s">
        <v>399</v>
      </c>
      <c r="FD20" s="2" t="s">
        <v>400</v>
      </c>
      <c r="FE20" s="2" t="s">
        <v>401</v>
      </c>
      <c r="FF20" s="2" t="s">
        <v>369</v>
      </c>
      <c r="FG20" s="2" t="s">
        <v>395</v>
      </c>
      <c r="FH20" s="2" t="s">
        <v>396</v>
      </c>
      <c r="FI20" s="2" t="s">
        <v>39</v>
      </c>
      <c r="FJ20" s="2">
        <v>33606</v>
      </c>
      <c r="FK20" s="2" t="s">
        <v>397</v>
      </c>
      <c r="FL20" s="2">
        <v>1002</v>
      </c>
      <c r="FM20" s="2" t="s">
        <v>402</v>
      </c>
      <c r="FN20" s="2" t="s">
        <v>403</v>
      </c>
      <c r="FO20" s="2" t="s">
        <v>63</v>
      </c>
      <c r="FP20" s="2" t="s">
        <v>64</v>
      </c>
      <c r="FQ20" s="2" t="s">
        <v>9</v>
      </c>
      <c r="FR20" s="2" t="s">
        <v>17</v>
      </c>
      <c r="FS20" s="2" t="s">
        <v>17</v>
      </c>
      <c r="FT20" s="2" t="s">
        <v>9</v>
      </c>
      <c r="FU20" s="2">
        <v>0</v>
      </c>
      <c r="FV20" s="2">
        <v>0</v>
      </c>
      <c r="FW20" s="4">
        <v>0</v>
      </c>
      <c r="FX20" s="4">
        <v>0</v>
      </c>
      <c r="FY20" s="2" t="s">
        <v>65</v>
      </c>
      <c r="FZ20" s="2" t="s">
        <v>66</v>
      </c>
      <c r="GA20" s="2" t="s">
        <v>67</v>
      </c>
      <c r="GB20" s="2"/>
      <c r="GC20" s="2"/>
      <c r="GD20" s="2"/>
      <c r="GE20" s="2" t="s">
        <v>68</v>
      </c>
      <c r="GF20" s="2">
        <v>80</v>
      </c>
      <c r="GG20" s="2">
        <v>80</v>
      </c>
      <c r="GH20" s="2"/>
      <c r="GI20" s="2"/>
      <c r="GJ20" s="2"/>
      <c r="GK20" s="2"/>
      <c r="GL20" s="2"/>
      <c r="GM20" s="2"/>
      <c r="GN20" s="2"/>
      <c r="GO20" s="2"/>
      <c r="GP20" s="2"/>
      <c r="GQ20" s="2">
        <v>80</v>
      </c>
      <c r="GR20" s="2" t="s">
        <v>356</v>
      </c>
      <c r="GS20" s="2" t="s">
        <v>70</v>
      </c>
      <c r="GT20" s="2" t="s">
        <v>404</v>
      </c>
      <c r="GU20" s="2" t="s">
        <v>405</v>
      </c>
      <c r="GV20" s="2" t="s">
        <v>17</v>
      </c>
      <c r="GW20" s="2">
        <v>28.765781</v>
      </c>
      <c r="GX20" s="2">
        <v>-82.549772000000004</v>
      </c>
      <c r="GY20" s="2"/>
      <c r="GZ20" s="2" t="s">
        <v>17</v>
      </c>
      <c r="HA20" s="2" t="s">
        <v>17</v>
      </c>
      <c r="HB20" s="2">
        <v>0</v>
      </c>
      <c r="HC20" s="2" t="s">
        <v>17</v>
      </c>
      <c r="HD20" s="2"/>
      <c r="HE20" s="2">
        <v>0</v>
      </c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 t="s">
        <v>73</v>
      </c>
      <c r="HY20" s="2" t="s">
        <v>17</v>
      </c>
      <c r="HZ20" s="2"/>
      <c r="IA20" s="2" t="s">
        <v>406</v>
      </c>
      <c r="IB20" s="2" t="s">
        <v>407</v>
      </c>
      <c r="IC20" s="2">
        <v>0.21</v>
      </c>
      <c r="ID20" s="2">
        <v>4</v>
      </c>
      <c r="IE20" s="2" t="s">
        <v>408</v>
      </c>
      <c r="IF20" s="2">
        <v>1.35</v>
      </c>
      <c r="IG20" s="2">
        <v>1.5</v>
      </c>
      <c r="IH20" s="2" t="s">
        <v>406</v>
      </c>
      <c r="II20" s="2">
        <v>0.21</v>
      </c>
      <c r="IJ20" s="2">
        <v>4</v>
      </c>
      <c r="IK20" s="2"/>
      <c r="IL20" s="2"/>
      <c r="IM20" s="2"/>
      <c r="IN20" s="2"/>
      <c r="IO20" s="2" t="s">
        <v>9</v>
      </c>
      <c r="IP20" s="2">
        <v>0</v>
      </c>
      <c r="IQ20" s="2">
        <v>9.5</v>
      </c>
      <c r="IR20" s="2">
        <v>0</v>
      </c>
      <c r="IS20" s="2">
        <v>9.5</v>
      </c>
      <c r="IT20" s="2" t="s">
        <v>9</v>
      </c>
      <c r="IU20" s="2" t="s">
        <v>17</v>
      </c>
      <c r="IV20" s="2" t="s">
        <v>17</v>
      </c>
      <c r="IW20" s="2" t="s">
        <v>9</v>
      </c>
      <c r="IX20" s="2" t="s">
        <v>9</v>
      </c>
      <c r="IY20" s="2">
        <v>9.5</v>
      </c>
      <c r="IZ20" s="2">
        <v>80</v>
      </c>
      <c r="JA20" s="2" t="s">
        <v>81</v>
      </c>
      <c r="JB20" s="2" t="s">
        <v>82</v>
      </c>
      <c r="JC20" s="2"/>
      <c r="JD20" s="2"/>
      <c r="JE20" s="2"/>
      <c r="JF20" s="2"/>
      <c r="JG20" s="2"/>
      <c r="JH20" s="7">
        <v>0</v>
      </c>
      <c r="JI20" s="2">
        <v>0</v>
      </c>
      <c r="JJ20" s="7">
        <v>0</v>
      </c>
      <c r="JK20" s="2">
        <v>0</v>
      </c>
      <c r="JL20" s="7">
        <v>0</v>
      </c>
      <c r="JM20" s="2">
        <v>12</v>
      </c>
      <c r="JN20" s="2">
        <v>25</v>
      </c>
      <c r="JO20" s="2"/>
      <c r="JP20" s="2"/>
      <c r="JQ20" s="2"/>
      <c r="JR20" s="2">
        <v>43</v>
      </c>
      <c r="JS20" s="2">
        <v>0</v>
      </c>
      <c r="JT20" s="2">
        <v>0</v>
      </c>
      <c r="JU20" s="2"/>
      <c r="JV20" s="2">
        <v>80</v>
      </c>
      <c r="JW20" s="4">
        <v>1</v>
      </c>
      <c r="JX20" s="2">
        <v>80</v>
      </c>
      <c r="JY20" s="4">
        <v>0.6</v>
      </c>
      <c r="JZ20" s="2">
        <v>0</v>
      </c>
      <c r="KA20" s="2"/>
      <c r="KB20" s="2"/>
      <c r="KC20" s="2"/>
      <c r="KD20" s="2"/>
      <c r="KE20" s="2"/>
      <c r="KF20" s="2"/>
      <c r="KG20" s="2"/>
      <c r="KH20" s="2">
        <v>16</v>
      </c>
      <c r="KI20" s="2"/>
      <c r="KJ20" s="2"/>
      <c r="KK20" s="2">
        <v>48</v>
      </c>
      <c r="KL20" s="2">
        <v>16</v>
      </c>
      <c r="KM20" s="2"/>
      <c r="KN20" s="2"/>
      <c r="KO20" s="2"/>
      <c r="KP20" s="2"/>
      <c r="KQ20" s="2" t="s">
        <v>83</v>
      </c>
      <c r="KR20" s="2" t="s">
        <v>73</v>
      </c>
      <c r="KS20" s="2"/>
      <c r="KT20" s="2">
        <v>4</v>
      </c>
      <c r="KU20" s="2" t="s">
        <v>84</v>
      </c>
      <c r="KV20" s="2" t="s">
        <v>85</v>
      </c>
      <c r="KW20" s="2" t="s">
        <v>86</v>
      </c>
      <c r="KX20" s="2" t="s">
        <v>17</v>
      </c>
      <c r="KY20" s="2" t="s">
        <v>17</v>
      </c>
      <c r="KZ20" s="2" t="s">
        <v>17</v>
      </c>
      <c r="LA20" s="2" t="s">
        <v>17</v>
      </c>
      <c r="LB20" s="2" t="s">
        <v>17</v>
      </c>
      <c r="LC20" s="2" t="s">
        <v>17</v>
      </c>
      <c r="LD20" s="2" t="s">
        <v>17</v>
      </c>
      <c r="LE20" s="2" t="s">
        <v>17</v>
      </c>
      <c r="LF20" s="2" t="s">
        <v>17</v>
      </c>
      <c r="LG20" s="2" t="s">
        <v>17</v>
      </c>
      <c r="LH20" s="2" t="s">
        <v>17</v>
      </c>
      <c r="LI20" s="2" t="s">
        <v>17</v>
      </c>
      <c r="LJ20" s="2" t="s">
        <v>87</v>
      </c>
      <c r="LK20" s="2" t="s">
        <v>17</v>
      </c>
      <c r="LL20" s="2" t="s">
        <v>17</v>
      </c>
      <c r="LM20" s="2">
        <v>0</v>
      </c>
      <c r="LN20" s="2" t="s">
        <v>17</v>
      </c>
      <c r="LO20" s="2" t="s">
        <v>9</v>
      </c>
      <c r="LP20" s="2" t="s">
        <v>9</v>
      </c>
      <c r="LQ20" s="2" t="s">
        <v>17</v>
      </c>
      <c r="LR20" s="2" t="s">
        <v>9</v>
      </c>
      <c r="LS20" s="2" t="s">
        <v>17</v>
      </c>
      <c r="LT20" s="2" t="s">
        <v>17</v>
      </c>
      <c r="LU20" s="2" t="s">
        <v>17</v>
      </c>
      <c r="LV20" s="2" t="s">
        <v>17</v>
      </c>
      <c r="LW20" s="2" t="s">
        <v>17</v>
      </c>
      <c r="LX20" s="2" t="s">
        <v>17</v>
      </c>
      <c r="LY20" s="5">
        <v>6400000</v>
      </c>
      <c r="LZ20" s="5">
        <v>0</v>
      </c>
      <c r="MA20" s="5">
        <v>7200000</v>
      </c>
      <c r="MB20" s="5">
        <v>0</v>
      </c>
      <c r="MC20" s="5">
        <v>0</v>
      </c>
      <c r="MD20" s="5">
        <v>0</v>
      </c>
      <c r="ME20" s="5">
        <v>8400000</v>
      </c>
      <c r="MF20" s="5">
        <v>0</v>
      </c>
      <c r="MG20" s="5">
        <v>0</v>
      </c>
      <c r="MH20" s="5">
        <v>0</v>
      </c>
      <c r="MI20" s="5">
        <v>0</v>
      </c>
      <c r="MJ20" s="5">
        <v>0</v>
      </c>
      <c r="MK20" s="5">
        <v>0</v>
      </c>
      <c r="ML20" s="2">
        <v>0</v>
      </c>
      <c r="MM20" s="5">
        <v>0</v>
      </c>
      <c r="MN20" s="5">
        <v>0</v>
      </c>
      <c r="MO20" s="2">
        <v>0</v>
      </c>
      <c r="MP20" s="2">
        <v>0</v>
      </c>
      <c r="MQ20" s="2">
        <v>0</v>
      </c>
      <c r="MR20" s="5">
        <v>2950000</v>
      </c>
      <c r="MS20" s="5">
        <v>0</v>
      </c>
      <c r="MT20" s="5">
        <v>4600000</v>
      </c>
      <c r="MU20" s="5">
        <v>0</v>
      </c>
      <c r="MV20" s="5">
        <v>0</v>
      </c>
      <c r="MW20" s="5">
        <v>0</v>
      </c>
      <c r="MX20" s="5">
        <v>0</v>
      </c>
      <c r="MY20" s="5">
        <v>2500000</v>
      </c>
      <c r="MZ20" s="5">
        <v>0</v>
      </c>
      <c r="NA20" s="5">
        <v>5000000</v>
      </c>
      <c r="NB20" s="5">
        <v>0</v>
      </c>
      <c r="NC20" s="5">
        <v>0</v>
      </c>
      <c r="ND20" s="5">
        <v>0</v>
      </c>
      <c r="NE20" s="5">
        <v>0</v>
      </c>
      <c r="NF20" s="5">
        <v>0</v>
      </c>
      <c r="NG20" s="5">
        <v>2142000</v>
      </c>
      <c r="NH20" s="5">
        <v>2142000</v>
      </c>
      <c r="NI20" s="5">
        <v>2142000</v>
      </c>
      <c r="NJ20" s="5">
        <v>0</v>
      </c>
      <c r="NK20" s="5"/>
      <c r="NL20" s="2" t="s">
        <v>9</v>
      </c>
      <c r="NM20" s="2" t="s">
        <v>17</v>
      </c>
      <c r="NN20" s="2"/>
      <c r="NO20" s="2" t="s">
        <v>9</v>
      </c>
      <c r="NP20" s="2">
        <v>34446</v>
      </c>
      <c r="NQ20" s="2" t="s">
        <v>409</v>
      </c>
      <c r="NR20" s="2" t="s">
        <v>17</v>
      </c>
      <c r="NS20" s="2"/>
      <c r="NT20" s="2" t="s">
        <v>17</v>
      </c>
      <c r="NU20" s="2"/>
      <c r="NV20" s="2"/>
      <c r="NW20" s="2"/>
      <c r="NX20" s="2"/>
      <c r="NY20" s="2"/>
      <c r="NZ20" s="2"/>
      <c r="OA20" s="2" t="s">
        <v>118</v>
      </c>
      <c r="OB20" s="2" t="s">
        <v>118</v>
      </c>
      <c r="OC20" s="2" t="s">
        <v>118</v>
      </c>
      <c r="OD20" s="2" t="s">
        <v>17</v>
      </c>
      <c r="OE20" s="2" t="s">
        <v>119</v>
      </c>
      <c r="OF20" s="2"/>
      <c r="OG20" s="2" t="s">
        <v>9</v>
      </c>
      <c r="OH20" s="2" t="s">
        <v>120</v>
      </c>
      <c r="OI20" s="2"/>
      <c r="OJ20" s="2"/>
      <c r="OK20" s="2" t="s">
        <v>17</v>
      </c>
      <c r="OL20" s="2" t="s">
        <v>17</v>
      </c>
      <c r="OM20" s="2" t="s">
        <v>85</v>
      </c>
      <c r="ON20" s="6">
        <v>0</v>
      </c>
      <c r="OO20" s="6">
        <v>0</v>
      </c>
      <c r="OP20" s="2" t="s">
        <v>93</v>
      </c>
      <c r="OQ20" s="2" t="s">
        <v>93</v>
      </c>
      <c r="OR20" s="6">
        <v>0</v>
      </c>
      <c r="OS20" s="4">
        <v>0</v>
      </c>
      <c r="OT20" s="2" t="s">
        <v>17</v>
      </c>
      <c r="OU20" s="2" t="s">
        <v>17</v>
      </c>
      <c r="OV20" s="2"/>
      <c r="OW20" s="2"/>
      <c r="OX20" s="5">
        <v>15430111</v>
      </c>
      <c r="OY20" s="6">
        <v>192876.39</v>
      </c>
      <c r="OZ20" s="2"/>
      <c r="PA20" s="2"/>
      <c r="PB20" s="8">
        <v>13078491</v>
      </c>
      <c r="PC20" s="2"/>
      <c r="PD20" s="8">
        <v>13078491</v>
      </c>
      <c r="PE20" s="8">
        <v>1024254</v>
      </c>
      <c r="PF20" s="2"/>
      <c r="PG20" s="8">
        <v>1024254</v>
      </c>
      <c r="PH20" s="2"/>
      <c r="PI20" s="2"/>
      <c r="PJ20" s="2"/>
      <c r="PK20" s="8">
        <v>14102745</v>
      </c>
      <c r="PL20" s="2"/>
      <c r="PM20" s="8">
        <v>14102745</v>
      </c>
      <c r="PN20" s="8">
        <v>1974384</v>
      </c>
      <c r="PO20" s="2"/>
      <c r="PP20" s="8">
        <v>1974384</v>
      </c>
      <c r="PQ20" s="6">
        <v>1974384</v>
      </c>
      <c r="PR20" s="8">
        <v>16077129</v>
      </c>
      <c r="PS20" s="2"/>
      <c r="PT20" s="8">
        <v>16077129</v>
      </c>
      <c r="PU20" s="8">
        <v>803856</v>
      </c>
      <c r="PV20" s="2"/>
      <c r="PW20" s="8">
        <v>803856</v>
      </c>
      <c r="PX20" s="6">
        <v>803856.45</v>
      </c>
      <c r="PY20" s="8">
        <v>762177</v>
      </c>
      <c r="PZ20" s="8">
        <v>162600</v>
      </c>
      <c r="QA20" s="8">
        <v>924777</v>
      </c>
      <c r="QB20" s="8">
        <v>181415</v>
      </c>
      <c r="QC20" s="8">
        <v>10000</v>
      </c>
      <c r="QD20" s="8">
        <v>191415</v>
      </c>
      <c r="QE20" s="8">
        <v>502600</v>
      </c>
      <c r="QF20" s="2"/>
      <c r="QG20" s="8">
        <v>502600</v>
      </c>
      <c r="QH20" s="2">
        <v>0</v>
      </c>
      <c r="QI20" s="8">
        <v>433398</v>
      </c>
      <c r="QJ20" s="8">
        <v>433398</v>
      </c>
      <c r="QK20" s="2"/>
      <c r="QL20" s="2"/>
      <c r="QM20" s="2"/>
      <c r="QN20" s="2"/>
      <c r="QO20" s="2"/>
      <c r="QP20" s="2"/>
      <c r="QQ20" s="8">
        <v>1446192</v>
      </c>
      <c r="QR20" s="8">
        <v>605998</v>
      </c>
      <c r="QS20" s="8">
        <v>2052190</v>
      </c>
      <c r="QT20" s="8">
        <v>102609</v>
      </c>
      <c r="QU20" s="2"/>
      <c r="QV20" s="8">
        <v>102609</v>
      </c>
      <c r="QW20" s="6">
        <v>102609.5</v>
      </c>
      <c r="QX20" s="8">
        <v>921412</v>
      </c>
      <c r="QY20" s="8">
        <v>178167</v>
      </c>
      <c r="QZ20" s="8">
        <v>1099579</v>
      </c>
      <c r="RA20" s="8">
        <v>41000</v>
      </c>
      <c r="RB20" s="8">
        <v>41000</v>
      </c>
      <c r="RC20" s="2">
        <v>0</v>
      </c>
      <c r="RD20" s="2"/>
      <c r="RE20" s="2"/>
      <c r="RF20" s="8">
        <v>921412</v>
      </c>
      <c r="RG20" s="8">
        <v>219167</v>
      </c>
      <c r="RH20" s="8">
        <v>1140579</v>
      </c>
      <c r="RI20" s="2"/>
      <c r="RJ20" s="2"/>
      <c r="RK20" s="2"/>
      <c r="RL20" s="2"/>
      <c r="RM20" s="8">
        <v>19351198</v>
      </c>
      <c r="RN20" s="8">
        <v>825165</v>
      </c>
      <c r="RO20" s="8">
        <v>20176363</v>
      </c>
      <c r="RP20" s="2"/>
      <c r="RQ20" s="2"/>
      <c r="RR20" s="2">
        <v>0</v>
      </c>
      <c r="RS20" s="6">
        <v>0</v>
      </c>
      <c r="RT20" s="8">
        <v>3228218</v>
      </c>
      <c r="RU20" s="2"/>
      <c r="RV20" s="8">
        <v>3228218</v>
      </c>
      <c r="RW20" s="6">
        <v>3228218</v>
      </c>
      <c r="RX20" s="6">
        <v>0</v>
      </c>
      <c r="RY20" s="8">
        <v>3228218</v>
      </c>
      <c r="RZ20" s="2"/>
      <c r="SA20" s="8">
        <v>3228218</v>
      </c>
      <c r="SB20" s="6">
        <v>3228218</v>
      </c>
      <c r="SC20" s="8">
        <v>280000</v>
      </c>
      <c r="SD20" s="8">
        <v>280000</v>
      </c>
      <c r="SE20" s="6">
        <v>280000</v>
      </c>
      <c r="SF20" s="8">
        <v>450000</v>
      </c>
      <c r="SG20" s="8">
        <v>450000</v>
      </c>
      <c r="SH20" s="8">
        <v>22579416</v>
      </c>
      <c r="SI20" s="8">
        <v>1555165</v>
      </c>
      <c r="SJ20" s="8">
        <v>24134581</v>
      </c>
      <c r="SK20" s="2" t="s">
        <v>410</v>
      </c>
      <c r="SL20" s="2"/>
      <c r="SM20" s="2"/>
      <c r="SN20" s="2"/>
      <c r="SO20" s="2"/>
      <c r="SP20" s="8">
        <v>18715000</v>
      </c>
      <c r="SQ20" s="2" t="s">
        <v>95</v>
      </c>
      <c r="SR20" s="2"/>
      <c r="SS20" s="2"/>
      <c r="ST20" s="2"/>
      <c r="SU20" s="2"/>
      <c r="SV20" s="2"/>
      <c r="SW20" s="2"/>
      <c r="SX20" s="2" t="s">
        <v>96</v>
      </c>
      <c r="SY20" s="2" t="s">
        <v>96</v>
      </c>
      <c r="SZ20" s="2" t="s">
        <v>96</v>
      </c>
      <c r="TA20" s="2" t="s">
        <v>96</v>
      </c>
      <c r="TB20" s="8">
        <v>3152709</v>
      </c>
      <c r="TC20" s="2" t="s">
        <v>411</v>
      </c>
      <c r="TD20" s="8">
        <v>340000</v>
      </c>
      <c r="TE20" s="2" t="s">
        <v>180</v>
      </c>
      <c r="TF20" s="2" t="s">
        <v>412</v>
      </c>
      <c r="TG20" s="2">
        <v>100</v>
      </c>
      <c r="TH20" s="2" t="s">
        <v>413</v>
      </c>
      <c r="TI20" s="8">
        <v>1926772</v>
      </c>
      <c r="TJ20" s="8">
        <v>24134581</v>
      </c>
      <c r="TK20" s="2">
        <v>0</v>
      </c>
      <c r="TL20" s="2" t="s">
        <v>9</v>
      </c>
      <c r="TM20" s="8">
        <v>2600000</v>
      </c>
      <c r="TN20" s="2" t="s">
        <v>95</v>
      </c>
      <c r="TO20" s="2"/>
      <c r="TP20" s="2"/>
      <c r="TQ20" s="2"/>
      <c r="TR20" s="2"/>
      <c r="TS20" s="2"/>
      <c r="TT20" s="2"/>
      <c r="TU20" s="2" t="s">
        <v>96</v>
      </c>
      <c r="TV20" s="8">
        <v>19704430</v>
      </c>
      <c r="TW20" s="2" t="s">
        <v>414</v>
      </c>
      <c r="TX20" s="8">
        <v>340000</v>
      </c>
      <c r="TY20" s="2" t="s">
        <v>180</v>
      </c>
      <c r="TZ20" s="2" t="s">
        <v>412</v>
      </c>
      <c r="UA20" s="2">
        <v>100</v>
      </c>
      <c r="UB20" s="2" t="s">
        <v>413</v>
      </c>
      <c r="UC20" s="8">
        <v>1490051</v>
      </c>
      <c r="UD20" s="8">
        <v>24134581</v>
      </c>
      <c r="UE20" s="6">
        <v>2940100</v>
      </c>
      <c r="UF20" s="2">
        <v>0</v>
      </c>
      <c r="UG20" s="2" t="s">
        <v>9</v>
      </c>
      <c r="UH20" s="2">
        <v>80</v>
      </c>
      <c r="UI20" s="5">
        <v>240000</v>
      </c>
      <c r="UJ20" s="6">
        <v>320000</v>
      </c>
      <c r="UK20" s="6">
        <v>320000</v>
      </c>
      <c r="UL20" s="6">
        <v>339200</v>
      </c>
      <c r="UM20" s="6">
        <v>27136000</v>
      </c>
      <c r="UN20" s="6">
        <v>4341760</v>
      </c>
      <c r="UO20" s="6">
        <v>4341760</v>
      </c>
      <c r="UP20" s="6">
        <v>31477760</v>
      </c>
      <c r="UQ20" s="6">
        <v>23404581</v>
      </c>
      <c r="UR20" s="6">
        <v>340000</v>
      </c>
      <c r="US20" s="2"/>
      <c r="UT20" s="6">
        <v>340000</v>
      </c>
      <c r="UU20" s="2"/>
      <c r="UV20" s="6">
        <v>0</v>
      </c>
      <c r="UW20" s="6">
        <v>340000</v>
      </c>
      <c r="UX20" s="6">
        <v>0</v>
      </c>
      <c r="UY20" s="6">
        <v>340000</v>
      </c>
      <c r="UZ20" s="2" t="s">
        <v>415</v>
      </c>
      <c r="VA20" s="2" t="s">
        <v>182</v>
      </c>
      <c r="VB20" s="2"/>
      <c r="VC20" s="2"/>
      <c r="VD20" s="2" t="s">
        <v>9</v>
      </c>
      <c r="VE20" s="2" t="s">
        <v>17</v>
      </c>
      <c r="VF20" s="2"/>
      <c r="VG20" s="2" t="s">
        <v>9</v>
      </c>
      <c r="VH20" s="2" t="s">
        <v>416</v>
      </c>
      <c r="VI20" s="388" t="s">
        <v>372</v>
      </c>
      <c r="VJ20" s="2" t="s">
        <v>98</v>
      </c>
      <c r="VK20" s="2" t="s">
        <v>417</v>
      </c>
      <c r="VL20" s="23">
        <f t="shared" si="0"/>
        <v>160</v>
      </c>
      <c r="VM20" s="17">
        <f t="shared" si="1"/>
        <v>2</v>
      </c>
      <c r="VN20" s="17" t="str">
        <f t="shared" si="12"/>
        <v>NC-GA-F</v>
      </c>
      <c r="VO20" s="17" t="str">
        <f t="shared" si="13"/>
        <v>NC-GA-F-ESS</v>
      </c>
      <c r="VP20" s="12">
        <v>9</v>
      </c>
      <c r="VQ20" s="57">
        <v>1</v>
      </c>
      <c r="VR20" s="57">
        <f t="shared" si="2"/>
        <v>1</v>
      </c>
      <c r="VS20" s="14">
        <f t="shared" si="3"/>
        <v>1</v>
      </c>
      <c r="VT20" s="12">
        <f t="shared" si="4"/>
        <v>0.93</v>
      </c>
      <c r="VU20" s="16">
        <f t="shared" si="5"/>
        <v>17928540</v>
      </c>
      <c r="VV20" s="16">
        <f t="shared" si="6"/>
        <v>224106.75</v>
      </c>
      <c r="VW20" s="12" t="str">
        <f t="shared" si="14"/>
        <v>A</v>
      </c>
      <c r="VX20" s="12" t="str">
        <f t="shared" si="15"/>
        <v>NC-GA-ESS</v>
      </c>
      <c r="VY20" s="351">
        <f t="shared" si="16"/>
        <v>3</v>
      </c>
      <c r="WA20" s="12">
        <f t="shared" si="17"/>
        <v>0</v>
      </c>
      <c r="WB20" s="12">
        <f t="shared" si="18"/>
        <v>0</v>
      </c>
      <c r="WC20" s="12">
        <f t="shared" si="18"/>
        <v>0</v>
      </c>
      <c r="WD20" s="12">
        <f t="shared" si="18"/>
        <v>0</v>
      </c>
      <c r="WE20" s="12">
        <f t="shared" si="19"/>
        <v>1</v>
      </c>
      <c r="WF20" s="12">
        <f t="shared" si="7"/>
        <v>1</v>
      </c>
      <c r="WG20" s="12">
        <f t="shared" si="8"/>
        <v>0</v>
      </c>
      <c r="WH20" s="12">
        <f t="shared" si="9"/>
        <v>0</v>
      </c>
      <c r="WI20" s="31">
        <f t="shared" si="10"/>
        <v>2</v>
      </c>
      <c r="WJ20" s="2"/>
      <c r="WK20" s="443" t="str">
        <f t="shared" si="20"/>
        <v>NC-GA-ESS-BBN-BRN-NPH-F</v>
      </c>
      <c r="WL20" s="443"/>
      <c r="WM20" s="443"/>
    </row>
    <row r="21" spans="1:611" x14ac:dyDescent="0.25">
      <c r="A21" s="2">
        <v>9409</v>
      </c>
      <c r="B21" s="2" t="s">
        <v>537</v>
      </c>
      <c r="C21" s="2" t="s">
        <v>8</v>
      </c>
      <c r="D21" s="3">
        <v>45153</v>
      </c>
      <c r="E21" s="2" t="s">
        <v>9</v>
      </c>
      <c r="F21" s="2">
        <v>3</v>
      </c>
      <c r="G21" s="2" t="s">
        <v>9</v>
      </c>
      <c r="H21" s="2">
        <v>3</v>
      </c>
      <c r="I21" s="2" t="s">
        <v>9</v>
      </c>
      <c r="J21" s="2">
        <v>3</v>
      </c>
      <c r="K21" s="2" t="s">
        <v>9</v>
      </c>
      <c r="L21" s="2">
        <v>3</v>
      </c>
      <c r="M21" s="2" t="s">
        <v>10</v>
      </c>
      <c r="N21" s="2">
        <v>0</v>
      </c>
      <c r="O21" s="2" t="s">
        <v>10</v>
      </c>
      <c r="P21" s="2">
        <v>0</v>
      </c>
      <c r="Q21" s="2" t="s">
        <v>11</v>
      </c>
      <c r="R21" s="2">
        <v>0</v>
      </c>
      <c r="S21" s="2" t="s">
        <v>9</v>
      </c>
      <c r="T21" s="2">
        <v>2</v>
      </c>
      <c r="U21" s="2" t="s">
        <v>9</v>
      </c>
      <c r="V21" s="2">
        <v>2</v>
      </c>
      <c r="W21" s="2" t="s">
        <v>9</v>
      </c>
      <c r="X21" s="2">
        <v>2</v>
      </c>
      <c r="Y21" s="2" t="s">
        <v>12</v>
      </c>
      <c r="Z21" s="2" t="s">
        <v>538</v>
      </c>
      <c r="AA21" s="2" t="s">
        <v>15</v>
      </c>
      <c r="AB21" s="2" t="s">
        <v>15</v>
      </c>
      <c r="AC21" s="2" t="s">
        <v>15</v>
      </c>
      <c r="AD21" s="2" t="s">
        <v>15</v>
      </c>
      <c r="AE21" s="2" t="s">
        <v>15</v>
      </c>
      <c r="AF21" s="2">
        <v>1</v>
      </c>
      <c r="AG21" s="2" t="s">
        <v>539</v>
      </c>
      <c r="AH21" s="2" t="s">
        <v>17</v>
      </c>
      <c r="AI21" s="4">
        <v>0.1</v>
      </c>
      <c r="AJ21" s="2" t="s">
        <v>17</v>
      </c>
      <c r="AK21" s="2" t="s">
        <v>9</v>
      </c>
      <c r="AL21" s="2" t="s">
        <v>17</v>
      </c>
      <c r="AM21" s="2" t="s">
        <v>9</v>
      </c>
      <c r="AN21" s="2" t="s">
        <v>17</v>
      </c>
      <c r="AO21" s="2" t="s">
        <v>17</v>
      </c>
      <c r="AP21" s="2" t="s">
        <v>17</v>
      </c>
      <c r="AQ21" s="2" t="s">
        <v>17</v>
      </c>
      <c r="AR21" s="2" t="s">
        <v>17</v>
      </c>
      <c r="AS21" s="2" t="s">
        <v>17</v>
      </c>
      <c r="AT21" s="2">
        <v>0</v>
      </c>
      <c r="AU21" s="5">
        <v>50000</v>
      </c>
      <c r="AV21" s="5">
        <v>460000</v>
      </c>
      <c r="AW21" s="2">
        <v>0</v>
      </c>
      <c r="AX21" s="2">
        <v>19</v>
      </c>
      <c r="AY21" s="2">
        <v>0</v>
      </c>
      <c r="AZ21" s="2">
        <v>18</v>
      </c>
      <c r="BA21" s="2">
        <v>0</v>
      </c>
      <c r="BB21" s="2">
        <v>1</v>
      </c>
      <c r="BC21" s="2">
        <v>1</v>
      </c>
      <c r="BD21" s="2">
        <v>0</v>
      </c>
      <c r="BE21" s="2">
        <v>0</v>
      </c>
      <c r="BF21" s="2">
        <v>1</v>
      </c>
      <c r="BG21" s="2">
        <v>0</v>
      </c>
      <c r="BH21" s="2">
        <v>0</v>
      </c>
      <c r="BI21" s="2">
        <v>13</v>
      </c>
      <c r="BJ21" s="2">
        <v>1</v>
      </c>
      <c r="BK21" s="2">
        <v>0</v>
      </c>
      <c r="BL21" s="2">
        <v>3</v>
      </c>
      <c r="BM21" s="2">
        <v>0</v>
      </c>
      <c r="BN21" s="2">
        <v>11</v>
      </c>
      <c r="BO21" s="2">
        <v>11</v>
      </c>
      <c r="BP21" s="2">
        <v>0</v>
      </c>
      <c r="BQ21" s="2">
        <v>10</v>
      </c>
      <c r="BR21" s="2">
        <v>12.22</v>
      </c>
      <c r="BS21" s="2">
        <v>0</v>
      </c>
      <c r="BT21" s="4">
        <v>0.06</v>
      </c>
      <c r="BU21" s="2" t="s">
        <v>9</v>
      </c>
      <c r="BV21" s="6">
        <v>192876.39</v>
      </c>
      <c r="BW21" s="2" t="s">
        <v>18</v>
      </c>
      <c r="BX21" s="2" t="s">
        <v>17</v>
      </c>
      <c r="BY21" s="2" t="s">
        <v>17</v>
      </c>
      <c r="BZ21" s="2" t="s">
        <v>17</v>
      </c>
      <c r="CA21" s="2" t="s">
        <v>17</v>
      </c>
      <c r="CB21" s="2" t="s">
        <v>17</v>
      </c>
      <c r="CC21" s="2" t="s">
        <v>17</v>
      </c>
      <c r="CD21" s="2" t="s">
        <v>17</v>
      </c>
      <c r="CE21" s="2" t="s">
        <v>540</v>
      </c>
      <c r="CF21" s="2" t="s">
        <v>17</v>
      </c>
      <c r="CG21" s="2" t="s">
        <v>498</v>
      </c>
      <c r="CH21" s="2"/>
      <c r="CI21" s="2"/>
      <c r="CJ21" s="2" t="s">
        <v>9</v>
      </c>
      <c r="CK21" s="2" t="s">
        <v>499</v>
      </c>
      <c r="CL21" s="2" t="s">
        <v>498</v>
      </c>
      <c r="CM21" s="2" t="s">
        <v>500</v>
      </c>
      <c r="CN21" s="2" t="s">
        <v>501</v>
      </c>
      <c r="CO21" s="2" t="s">
        <v>24</v>
      </c>
      <c r="CP21" s="2"/>
      <c r="CQ21" s="2">
        <v>72</v>
      </c>
      <c r="CR21" s="2" t="s">
        <v>375</v>
      </c>
      <c r="CS21" s="2">
        <v>2018</v>
      </c>
      <c r="CT21" s="2" t="s">
        <v>26</v>
      </c>
      <c r="CU21" s="2" t="s">
        <v>27</v>
      </c>
      <c r="CV21" s="2" t="s">
        <v>502</v>
      </c>
      <c r="CW21" s="2" t="s">
        <v>503</v>
      </c>
      <c r="CX21" s="2" t="s">
        <v>24</v>
      </c>
      <c r="CY21" s="2"/>
      <c r="CZ21" s="2">
        <v>64</v>
      </c>
      <c r="DA21" s="2" t="s">
        <v>375</v>
      </c>
      <c r="DB21" s="2">
        <v>2022</v>
      </c>
      <c r="DC21" s="2" t="s">
        <v>30</v>
      </c>
      <c r="DD21" s="2" t="s">
        <v>27</v>
      </c>
      <c r="DE21" s="2" t="s">
        <v>504</v>
      </c>
      <c r="DF21" s="2" t="s">
        <v>505</v>
      </c>
      <c r="DG21" s="2" t="s">
        <v>24</v>
      </c>
      <c r="DH21" s="2"/>
      <c r="DI21" s="2">
        <v>64</v>
      </c>
      <c r="DJ21" s="2" t="s">
        <v>375</v>
      </c>
      <c r="DK21" s="2">
        <v>2022</v>
      </c>
      <c r="DL21" s="2" t="s">
        <v>30</v>
      </c>
      <c r="DM21" s="2" t="s">
        <v>27</v>
      </c>
      <c r="DN21" s="2" t="s">
        <v>33</v>
      </c>
      <c r="DO21" s="2" t="s">
        <v>506</v>
      </c>
      <c r="DP21" s="2"/>
      <c r="DQ21" s="2" t="s">
        <v>507</v>
      </c>
      <c r="DR21" s="2" t="s">
        <v>508</v>
      </c>
      <c r="DS21" s="2">
        <v>1</v>
      </c>
      <c r="DT21" s="2" t="s">
        <v>541</v>
      </c>
      <c r="DU21" s="2" t="s">
        <v>510</v>
      </c>
      <c r="DV21" s="2" t="s">
        <v>39</v>
      </c>
      <c r="DW21" s="2">
        <v>32803</v>
      </c>
      <c r="DX21" s="2" t="s">
        <v>542</v>
      </c>
      <c r="DY21" s="2"/>
      <c r="DZ21" s="2" t="s">
        <v>512</v>
      </c>
      <c r="EA21" s="2" t="s">
        <v>508</v>
      </c>
      <c r="EB21" s="2" t="s">
        <v>500</v>
      </c>
      <c r="EC21" s="2" t="s">
        <v>543</v>
      </c>
      <c r="ED21" s="2" t="s">
        <v>44</v>
      </c>
      <c r="EE21" s="2">
        <v>72</v>
      </c>
      <c r="EF21" s="2" t="s">
        <v>390</v>
      </c>
      <c r="EG21" s="2">
        <v>5</v>
      </c>
      <c r="EH21" s="2" t="s">
        <v>46</v>
      </c>
      <c r="EI21" s="2" t="s">
        <v>47</v>
      </c>
      <c r="EJ21" s="2" t="s">
        <v>334</v>
      </c>
      <c r="EK21" s="2" t="s">
        <v>293</v>
      </c>
      <c r="EL21" s="2" t="s">
        <v>44</v>
      </c>
      <c r="EM21" s="2">
        <v>96</v>
      </c>
      <c r="EN21" s="2" t="s">
        <v>390</v>
      </c>
      <c r="EO21" s="2">
        <v>7</v>
      </c>
      <c r="EP21" s="2" t="s">
        <v>46</v>
      </c>
      <c r="EQ21" s="2" t="s">
        <v>47</v>
      </c>
      <c r="ER21" s="2" t="s">
        <v>544</v>
      </c>
      <c r="ES21" s="2" t="s">
        <v>514</v>
      </c>
      <c r="ET21" s="2" t="s">
        <v>515</v>
      </c>
      <c r="EU21" s="2" t="s">
        <v>516</v>
      </c>
      <c r="EV21" s="2" t="s">
        <v>517</v>
      </c>
      <c r="EW21" s="2" t="s">
        <v>518</v>
      </c>
      <c r="EX21" s="2" t="s">
        <v>519</v>
      </c>
      <c r="EY21" s="2">
        <v>44023</v>
      </c>
      <c r="EZ21" s="2" t="s">
        <v>545</v>
      </c>
      <c r="FA21" s="2"/>
      <c r="FB21" s="2" t="s">
        <v>521</v>
      </c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 t="s">
        <v>546</v>
      </c>
      <c r="FO21" s="2" t="s">
        <v>63</v>
      </c>
      <c r="FP21" s="2" t="s">
        <v>64</v>
      </c>
      <c r="FQ21" s="2" t="s">
        <v>9</v>
      </c>
      <c r="FR21" s="2" t="s">
        <v>17</v>
      </c>
      <c r="FS21" s="2" t="s">
        <v>17</v>
      </c>
      <c r="FT21" s="2" t="s">
        <v>9</v>
      </c>
      <c r="FU21" s="2">
        <v>0</v>
      </c>
      <c r="FV21" s="2">
        <v>0</v>
      </c>
      <c r="FW21" s="4">
        <v>0</v>
      </c>
      <c r="FX21" s="4">
        <v>0</v>
      </c>
      <c r="FY21" s="2" t="s">
        <v>65</v>
      </c>
      <c r="FZ21" s="2" t="s">
        <v>66</v>
      </c>
      <c r="GA21" s="2" t="s">
        <v>67</v>
      </c>
      <c r="GB21" s="2"/>
      <c r="GC21" s="2"/>
      <c r="GD21" s="2"/>
      <c r="GE21" s="2" t="s">
        <v>68</v>
      </c>
      <c r="GF21" s="2">
        <v>80</v>
      </c>
      <c r="GG21" s="2">
        <v>80</v>
      </c>
      <c r="GH21" s="2"/>
      <c r="GI21" s="2"/>
      <c r="GJ21" s="2"/>
      <c r="GK21" s="2"/>
      <c r="GL21" s="2"/>
      <c r="GM21" s="2"/>
      <c r="GN21" s="2"/>
      <c r="GO21" s="2"/>
      <c r="GP21" s="2"/>
      <c r="GQ21" s="2">
        <v>80</v>
      </c>
      <c r="GR21" s="2" t="s">
        <v>313</v>
      </c>
      <c r="GS21" s="2" t="s">
        <v>70</v>
      </c>
      <c r="GT21" s="2" t="s">
        <v>547</v>
      </c>
      <c r="GU21" s="2" t="s">
        <v>548</v>
      </c>
      <c r="GV21" s="2" t="s">
        <v>17</v>
      </c>
      <c r="GW21" s="2">
        <v>28.315415000000002</v>
      </c>
      <c r="GX21" s="2">
        <v>-80.722368000000003</v>
      </c>
      <c r="GY21" s="2"/>
      <c r="GZ21" s="2" t="s">
        <v>17</v>
      </c>
      <c r="HA21" s="2" t="s">
        <v>17</v>
      </c>
      <c r="HB21" s="2">
        <v>0</v>
      </c>
      <c r="HC21" s="2" t="s">
        <v>17</v>
      </c>
      <c r="HD21" s="2"/>
      <c r="HE21" s="2">
        <v>0</v>
      </c>
      <c r="HF21" s="2">
        <v>28.315415000000002</v>
      </c>
      <c r="HG21" s="2">
        <v>-80.721939000000006</v>
      </c>
      <c r="HH21" s="2">
        <v>0.08</v>
      </c>
      <c r="HI21" s="2">
        <v>2</v>
      </c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 t="s">
        <v>73</v>
      </c>
      <c r="HY21" s="2" t="s">
        <v>17</v>
      </c>
      <c r="HZ21" s="2"/>
      <c r="IA21" s="2" t="s">
        <v>549</v>
      </c>
      <c r="IB21" s="2" t="s">
        <v>550</v>
      </c>
      <c r="IC21" s="2">
        <v>0.82</v>
      </c>
      <c r="ID21" s="2">
        <v>2.5</v>
      </c>
      <c r="IE21" s="2" t="s">
        <v>551</v>
      </c>
      <c r="IF21" s="2">
        <v>0.66</v>
      </c>
      <c r="IG21" s="2">
        <v>3</v>
      </c>
      <c r="IH21" s="2"/>
      <c r="II21" s="2"/>
      <c r="IJ21" s="2"/>
      <c r="IK21" s="2" t="s">
        <v>552</v>
      </c>
      <c r="IL21" s="2" t="s">
        <v>553</v>
      </c>
      <c r="IM21" s="2">
        <v>1.37</v>
      </c>
      <c r="IN21" s="2">
        <v>2</v>
      </c>
      <c r="IO21" s="2" t="s">
        <v>17</v>
      </c>
      <c r="IP21" s="2">
        <v>2</v>
      </c>
      <c r="IQ21" s="2">
        <v>7.5</v>
      </c>
      <c r="IR21" s="2">
        <v>0</v>
      </c>
      <c r="IS21" s="2">
        <v>9.5</v>
      </c>
      <c r="IT21" s="2" t="s">
        <v>17</v>
      </c>
      <c r="IU21" s="2" t="s">
        <v>17</v>
      </c>
      <c r="IV21" s="2" t="s">
        <v>17</v>
      </c>
      <c r="IW21" s="2" t="s">
        <v>9</v>
      </c>
      <c r="IX21" s="2" t="s">
        <v>9</v>
      </c>
      <c r="IY21" s="2">
        <v>9.5</v>
      </c>
      <c r="IZ21" s="2">
        <v>80</v>
      </c>
      <c r="JA21" s="2" t="s">
        <v>81</v>
      </c>
      <c r="JB21" s="2" t="s">
        <v>173</v>
      </c>
      <c r="JC21" s="2"/>
      <c r="JD21" s="2"/>
      <c r="JE21" s="7">
        <v>0.1</v>
      </c>
      <c r="JF21" s="2"/>
      <c r="JG21" s="7">
        <v>0.9</v>
      </c>
      <c r="JH21" s="7">
        <v>0</v>
      </c>
      <c r="JI21" s="2">
        <v>80</v>
      </c>
      <c r="JJ21" s="7">
        <v>1</v>
      </c>
      <c r="JK21" s="2">
        <v>80</v>
      </c>
      <c r="JL21" s="7">
        <v>1</v>
      </c>
      <c r="JM21" s="2"/>
      <c r="JN21" s="2"/>
      <c r="JO21" s="2"/>
      <c r="JP21" s="2"/>
      <c r="JQ21" s="2"/>
      <c r="JR21" s="2"/>
      <c r="JS21" s="2">
        <v>0</v>
      </c>
      <c r="JT21" s="2">
        <v>0</v>
      </c>
      <c r="JU21" s="2"/>
      <c r="JV21" s="2">
        <v>0</v>
      </c>
      <c r="JW21" s="4">
        <v>0</v>
      </c>
      <c r="JX21" s="2">
        <v>0</v>
      </c>
      <c r="JY21" s="4">
        <v>0</v>
      </c>
      <c r="JZ21" s="2">
        <v>0</v>
      </c>
      <c r="KA21" s="2"/>
      <c r="KB21" s="2"/>
      <c r="KC21" s="2"/>
      <c r="KD21" s="2"/>
      <c r="KE21" s="2"/>
      <c r="KF21" s="2"/>
      <c r="KG21" s="2"/>
      <c r="KH21" s="2"/>
      <c r="KI21" s="2"/>
      <c r="KJ21" s="2">
        <v>40</v>
      </c>
      <c r="KK21" s="2"/>
      <c r="KL21" s="2">
        <v>40</v>
      </c>
      <c r="KM21" s="2"/>
      <c r="KN21" s="2"/>
      <c r="KO21" s="2"/>
      <c r="KP21" s="2"/>
      <c r="KQ21" s="2" t="s">
        <v>83</v>
      </c>
      <c r="KR21" s="2" t="s">
        <v>73</v>
      </c>
      <c r="KS21" s="2"/>
      <c r="KT21" s="2">
        <v>5</v>
      </c>
      <c r="KU21" s="2" t="s">
        <v>84</v>
      </c>
      <c r="KV21" s="2" t="s">
        <v>85</v>
      </c>
      <c r="KW21" s="2" t="s">
        <v>530</v>
      </c>
      <c r="KX21" s="2" t="s">
        <v>17</v>
      </c>
      <c r="KY21" s="2" t="s">
        <v>17</v>
      </c>
      <c r="KZ21" s="2" t="s">
        <v>17</v>
      </c>
      <c r="LA21" s="2" t="s">
        <v>17</v>
      </c>
      <c r="LB21" s="2" t="s">
        <v>17</v>
      </c>
      <c r="LC21" s="2" t="s">
        <v>17</v>
      </c>
      <c r="LD21" s="2" t="s">
        <v>17</v>
      </c>
      <c r="LE21" s="2" t="s">
        <v>17</v>
      </c>
      <c r="LF21" s="2" t="s">
        <v>17</v>
      </c>
      <c r="LG21" s="2" t="s">
        <v>17</v>
      </c>
      <c r="LH21" s="2" t="s">
        <v>17</v>
      </c>
      <c r="LI21" s="2" t="s">
        <v>17</v>
      </c>
      <c r="LJ21" s="2" t="s">
        <v>87</v>
      </c>
      <c r="LK21" s="2" t="s">
        <v>17</v>
      </c>
      <c r="LL21" s="2" t="s">
        <v>17</v>
      </c>
      <c r="LM21" s="2">
        <v>0</v>
      </c>
      <c r="LN21" s="2" t="s">
        <v>17</v>
      </c>
      <c r="LO21" s="2" t="s">
        <v>9</v>
      </c>
      <c r="LP21" s="2" t="s">
        <v>9</v>
      </c>
      <c r="LQ21" s="2" t="s">
        <v>17</v>
      </c>
      <c r="LR21" s="2" t="s">
        <v>9</v>
      </c>
      <c r="LS21" s="2" t="s">
        <v>17</v>
      </c>
      <c r="LT21" s="2" t="s">
        <v>17</v>
      </c>
      <c r="LU21" s="2" t="s">
        <v>17</v>
      </c>
      <c r="LV21" s="2" t="s">
        <v>17</v>
      </c>
      <c r="LW21" s="2" t="s">
        <v>17</v>
      </c>
      <c r="LX21" s="2" t="s">
        <v>17</v>
      </c>
      <c r="LY21" s="5">
        <v>6400000</v>
      </c>
      <c r="LZ21" s="5">
        <v>0</v>
      </c>
      <c r="MA21" s="5">
        <v>7200000</v>
      </c>
      <c r="MB21" s="5">
        <v>0</v>
      </c>
      <c r="MC21" s="5">
        <v>0</v>
      </c>
      <c r="MD21" s="5">
        <v>0</v>
      </c>
      <c r="ME21" s="5">
        <v>8400000</v>
      </c>
      <c r="MF21" s="5">
        <v>0</v>
      </c>
      <c r="MG21" s="5">
        <v>0</v>
      </c>
      <c r="MH21" s="5">
        <v>0</v>
      </c>
      <c r="MI21" s="5">
        <v>0</v>
      </c>
      <c r="MJ21" s="5">
        <v>0</v>
      </c>
      <c r="MK21" s="5">
        <v>0</v>
      </c>
      <c r="ML21" s="2">
        <v>0</v>
      </c>
      <c r="MM21" s="5">
        <v>0</v>
      </c>
      <c r="MN21" s="5">
        <v>0</v>
      </c>
      <c r="MO21" s="2">
        <v>0</v>
      </c>
      <c r="MP21" s="2">
        <v>0</v>
      </c>
      <c r="MQ21" s="2">
        <v>0</v>
      </c>
      <c r="MR21" s="5">
        <v>2950000</v>
      </c>
      <c r="MS21" s="5">
        <v>0</v>
      </c>
      <c r="MT21" s="5">
        <v>4600000</v>
      </c>
      <c r="MU21" s="5">
        <v>0</v>
      </c>
      <c r="MV21" s="5">
        <v>0</v>
      </c>
      <c r="MW21" s="5">
        <v>0</v>
      </c>
      <c r="MX21" s="5">
        <v>0</v>
      </c>
      <c r="MY21" s="5">
        <v>2500000</v>
      </c>
      <c r="MZ21" s="5">
        <v>0</v>
      </c>
      <c r="NA21" s="5">
        <v>5000000</v>
      </c>
      <c r="NB21" s="5">
        <v>0</v>
      </c>
      <c r="NC21" s="5">
        <v>0</v>
      </c>
      <c r="ND21" s="5">
        <v>0</v>
      </c>
      <c r="NE21" s="5">
        <v>0</v>
      </c>
      <c r="NF21" s="5">
        <v>0</v>
      </c>
      <c r="NG21" s="5">
        <v>2142000</v>
      </c>
      <c r="NH21" s="5">
        <v>2142000</v>
      </c>
      <c r="NI21" s="5">
        <v>2142000</v>
      </c>
      <c r="NJ21" s="5">
        <v>0</v>
      </c>
      <c r="NK21" s="5"/>
      <c r="NL21" s="2" t="s">
        <v>17</v>
      </c>
      <c r="NM21" s="2" t="s">
        <v>17</v>
      </c>
      <c r="NN21" s="2"/>
      <c r="NO21" s="2" t="s">
        <v>9</v>
      </c>
      <c r="NP21" s="2">
        <v>32955</v>
      </c>
      <c r="NQ21" s="2" t="s">
        <v>554</v>
      </c>
      <c r="NR21" s="2" t="s">
        <v>17</v>
      </c>
      <c r="NS21" s="2"/>
      <c r="NT21" s="2" t="s">
        <v>17</v>
      </c>
      <c r="NU21" s="2"/>
      <c r="NV21" s="2"/>
      <c r="NW21" s="2"/>
      <c r="NX21" s="2" t="s">
        <v>9</v>
      </c>
      <c r="NY21" s="2" t="s">
        <v>119</v>
      </c>
      <c r="NZ21" s="2">
        <v>631.04999999999995</v>
      </c>
      <c r="OA21" s="2" t="s">
        <v>555</v>
      </c>
      <c r="OB21" s="2" t="s">
        <v>556</v>
      </c>
      <c r="OC21" s="2" t="s">
        <v>556</v>
      </c>
      <c r="OD21" s="2" t="s">
        <v>17</v>
      </c>
      <c r="OE21" s="2" t="s">
        <v>119</v>
      </c>
      <c r="OF21" s="2" t="s">
        <v>17</v>
      </c>
      <c r="OG21" s="2" t="s">
        <v>9</v>
      </c>
      <c r="OH21" s="2" t="s">
        <v>557</v>
      </c>
      <c r="OI21" s="2"/>
      <c r="OJ21" s="2"/>
      <c r="OK21" s="2" t="s">
        <v>17</v>
      </c>
      <c r="OL21" s="2" t="s">
        <v>17</v>
      </c>
      <c r="OM21" s="2" t="s">
        <v>85</v>
      </c>
      <c r="ON21" s="6">
        <v>0</v>
      </c>
      <c r="OO21" s="6">
        <v>0</v>
      </c>
      <c r="OP21" s="2" t="s">
        <v>93</v>
      </c>
      <c r="OQ21" s="2" t="s">
        <v>93</v>
      </c>
      <c r="OR21" s="6">
        <v>0</v>
      </c>
      <c r="OS21" s="4">
        <v>0</v>
      </c>
      <c r="OT21" s="2" t="s">
        <v>17</v>
      </c>
      <c r="OU21" s="2" t="s">
        <v>17</v>
      </c>
      <c r="OV21" s="2"/>
      <c r="OW21" s="2"/>
      <c r="OX21" s="5">
        <v>15430111</v>
      </c>
      <c r="OY21" s="6">
        <v>192876.39</v>
      </c>
      <c r="OZ21" s="2"/>
      <c r="PA21" s="2"/>
      <c r="PB21" s="8">
        <v>11410000</v>
      </c>
      <c r="PC21" s="8">
        <v>280000</v>
      </c>
      <c r="PD21" s="8">
        <v>11690000</v>
      </c>
      <c r="PE21" s="8">
        <v>829600</v>
      </c>
      <c r="PF21" s="8">
        <v>146400</v>
      </c>
      <c r="PG21" s="8">
        <v>976000</v>
      </c>
      <c r="PH21" s="2"/>
      <c r="PI21" s="2"/>
      <c r="PJ21" s="2"/>
      <c r="PK21" s="8">
        <v>12239600</v>
      </c>
      <c r="PL21" s="8">
        <v>426400</v>
      </c>
      <c r="PM21" s="8">
        <v>12666000</v>
      </c>
      <c r="PN21" s="8">
        <v>1773240</v>
      </c>
      <c r="PO21" s="2"/>
      <c r="PP21" s="8">
        <v>1773240</v>
      </c>
      <c r="PQ21" s="6">
        <v>1773240</v>
      </c>
      <c r="PR21" s="8">
        <v>14012840</v>
      </c>
      <c r="PS21" s="8">
        <v>426400</v>
      </c>
      <c r="PT21" s="8">
        <v>14439240</v>
      </c>
      <c r="PU21" s="8">
        <v>721962</v>
      </c>
      <c r="PV21" s="2"/>
      <c r="PW21" s="8">
        <v>721962</v>
      </c>
      <c r="PX21" s="6">
        <v>721962</v>
      </c>
      <c r="PY21" s="8">
        <v>1146387</v>
      </c>
      <c r="PZ21" s="8">
        <v>119093</v>
      </c>
      <c r="QA21" s="8">
        <v>1265480</v>
      </c>
      <c r="QB21" s="8">
        <v>146463</v>
      </c>
      <c r="QC21" s="2"/>
      <c r="QD21" s="8">
        <v>146463</v>
      </c>
      <c r="QE21" s="8">
        <v>596552</v>
      </c>
      <c r="QF21" s="8">
        <v>6552</v>
      </c>
      <c r="QG21" s="8">
        <v>603104</v>
      </c>
      <c r="QH21" s="8">
        <v>17317</v>
      </c>
      <c r="QI21" s="8">
        <v>352344</v>
      </c>
      <c r="QJ21" s="8">
        <v>369661</v>
      </c>
      <c r="QK21" s="2"/>
      <c r="QL21" s="2"/>
      <c r="QM21" s="2"/>
      <c r="QN21" s="8">
        <v>224000</v>
      </c>
      <c r="QO21" s="8">
        <v>124000</v>
      </c>
      <c r="QP21" s="8">
        <v>348000</v>
      </c>
      <c r="QQ21" s="8">
        <v>2130719</v>
      </c>
      <c r="QR21" s="8">
        <v>601989</v>
      </c>
      <c r="QS21" s="8">
        <v>2732708</v>
      </c>
      <c r="QT21" s="2"/>
      <c r="QU21" s="2"/>
      <c r="QV21" s="2"/>
      <c r="QW21" s="6">
        <v>136635.4</v>
      </c>
      <c r="QX21" s="8">
        <v>561593</v>
      </c>
      <c r="QY21" s="8">
        <v>347857</v>
      </c>
      <c r="QZ21" s="8">
        <v>909450</v>
      </c>
      <c r="RA21" s="8">
        <v>39750</v>
      </c>
      <c r="RB21" s="8">
        <v>39750</v>
      </c>
      <c r="RC21" s="2"/>
      <c r="RD21" s="2"/>
      <c r="RE21" s="2"/>
      <c r="RF21" s="8">
        <v>561593</v>
      </c>
      <c r="RG21" s="8">
        <v>387607</v>
      </c>
      <c r="RH21" s="8">
        <v>949200</v>
      </c>
      <c r="RI21" s="2"/>
      <c r="RJ21" s="2"/>
      <c r="RK21" s="2"/>
      <c r="RL21" s="2"/>
      <c r="RM21" s="8">
        <v>17427114</v>
      </c>
      <c r="RN21" s="8">
        <v>1415996</v>
      </c>
      <c r="RO21" s="8">
        <v>18843110</v>
      </c>
      <c r="RP21" s="2"/>
      <c r="RQ21" s="2"/>
      <c r="RR21" s="2">
        <v>0</v>
      </c>
      <c r="RS21" s="6">
        <v>0</v>
      </c>
      <c r="RT21" s="8">
        <v>3014890</v>
      </c>
      <c r="RU21" s="2"/>
      <c r="RV21" s="8">
        <v>3014890</v>
      </c>
      <c r="RW21" s="6">
        <v>3014897</v>
      </c>
      <c r="RX21" s="6">
        <v>0</v>
      </c>
      <c r="RY21" s="8">
        <v>3014890</v>
      </c>
      <c r="RZ21" s="2"/>
      <c r="SA21" s="8">
        <v>3014890</v>
      </c>
      <c r="SB21" s="6">
        <v>3014897</v>
      </c>
      <c r="SC21" s="8">
        <v>279000</v>
      </c>
      <c r="SD21" s="8">
        <v>279000</v>
      </c>
      <c r="SE21" s="6">
        <v>280000</v>
      </c>
      <c r="SF21" s="8">
        <v>1450000</v>
      </c>
      <c r="SG21" s="8">
        <v>1450000</v>
      </c>
      <c r="SH21" s="8">
        <v>20442004</v>
      </c>
      <c r="SI21" s="8">
        <v>3144996</v>
      </c>
      <c r="SJ21" s="8">
        <v>23587000</v>
      </c>
      <c r="SK21" s="2" t="s">
        <v>558</v>
      </c>
      <c r="SL21" s="2"/>
      <c r="SM21" s="2" t="s">
        <v>533</v>
      </c>
      <c r="SN21" s="2"/>
      <c r="SO21" s="2"/>
      <c r="SP21" s="8">
        <v>15602599</v>
      </c>
      <c r="SQ21" s="2" t="s">
        <v>95</v>
      </c>
      <c r="SR21" s="2"/>
      <c r="SS21" s="2"/>
      <c r="ST21" s="2"/>
      <c r="SU21" s="2"/>
      <c r="SV21" s="2"/>
      <c r="SW21" s="2"/>
      <c r="SX21" s="2" t="s">
        <v>96</v>
      </c>
      <c r="SY21" s="2" t="s">
        <v>96</v>
      </c>
      <c r="SZ21" s="2" t="s">
        <v>96</v>
      </c>
      <c r="TA21" s="2" t="s">
        <v>96</v>
      </c>
      <c r="TB21" s="8">
        <v>5686441</v>
      </c>
      <c r="TC21" s="2"/>
      <c r="TD21" s="2"/>
      <c r="TE21" s="2"/>
      <c r="TF21" s="2"/>
      <c r="TG21" s="2"/>
      <c r="TH21" s="2"/>
      <c r="TI21" s="8">
        <v>2297960</v>
      </c>
      <c r="TJ21" s="8">
        <v>23587000</v>
      </c>
      <c r="TK21" s="2">
        <v>0</v>
      </c>
      <c r="TL21" s="2" t="s">
        <v>9</v>
      </c>
      <c r="TM21" s="8">
        <v>3975000</v>
      </c>
      <c r="TN21" s="2" t="s">
        <v>95</v>
      </c>
      <c r="TO21" s="2"/>
      <c r="TP21" s="2"/>
      <c r="TQ21" s="2"/>
      <c r="TR21" s="2"/>
      <c r="TS21" s="2"/>
      <c r="TT21" s="2"/>
      <c r="TU21" s="2" t="s">
        <v>96</v>
      </c>
      <c r="TV21" s="8">
        <v>18954804</v>
      </c>
      <c r="TW21" s="2"/>
      <c r="TX21" s="2"/>
      <c r="TY21" s="2"/>
      <c r="TZ21" s="2"/>
      <c r="UA21" s="2"/>
      <c r="UB21" s="2"/>
      <c r="UC21" s="8">
        <v>657196</v>
      </c>
      <c r="UD21" s="8">
        <v>23587000</v>
      </c>
      <c r="UE21" s="6">
        <v>3975000</v>
      </c>
      <c r="UF21" s="2">
        <v>0</v>
      </c>
      <c r="UG21" s="2" t="s">
        <v>9</v>
      </c>
      <c r="UH21" s="2">
        <v>80</v>
      </c>
      <c r="UI21" s="5">
        <v>240000</v>
      </c>
      <c r="UJ21" s="6">
        <v>320000</v>
      </c>
      <c r="UK21" s="6">
        <v>320000</v>
      </c>
      <c r="UL21" s="6">
        <v>339200</v>
      </c>
      <c r="UM21" s="6">
        <v>27136000</v>
      </c>
      <c r="UN21" s="6">
        <v>4341760</v>
      </c>
      <c r="UO21" s="6">
        <v>4341760</v>
      </c>
      <c r="UP21" s="6">
        <v>31477760</v>
      </c>
      <c r="UQ21" s="6">
        <v>21858000</v>
      </c>
      <c r="UR21" s="2"/>
      <c r="US21" s="2"/>
      <c r="UT21" s="6">
        <v>0</v>
      </c>
      <c r="UU21" s="2"/>
      <c r="UV21" s="6">
        <v>0</v>
      </c>
      <c r="UW21" s="6">
        <v>0</v>
      </c>
      <c r="UX21" s="6">
        <v>0</v>
      </c>
      <c r="UY21" s="6">
        <v>0</v>
      </c>
      <c r="UZ21" s="2"/>
      <c r="VA21" s="2"/>
      <c r="VB21" s="2"/>
      <c r="VC21" s="2"/>
      <c r="VD21" s="2"/>
      <c r="VE21" s="2" t="s">
        <v>17</v>
      </c>
      <c r="VF21" s="2"/>
      <c r="VG21" s="2" t="s">
        <v>17</v>
      </c>
      <c r="VH21" s="2"/>
      <c r="VI21" s="388" t="s">
        <v>499</v>
      </c>
      <c r="VJ21" s="2" t="s">
        <v>98</v>
      </c>
      <c r="VK21" s="2" t="s">
        <v>536</v>
      </c>
      <c r="VL21" s="23">
        <f t="shared" si="0"/>
        <v>200</v>
      </c>
      <c r="VM21" s="17">
        <f t="shared" si="1"/>
        <v>2.5</v>
      </c>
      <c r="VN21" s="17" t="str">
        <f t="shared" si="12"/>
        <v>NC-GA-F</v>
      </c>
      <c r="VO21" s="17" t="str">
        <f t="shared" si="13"/>
        <v>NC-GA-F-ESS</v>
      </c>
      <c r="VP21" s="12">
        <v>9</v>
      </c>
      <c r="VQ21" s="57">
        <v>1</v>
      </c>
      <c r="VR21" s="57">
        <f t="shared" si="2"/>
        <v>1</v>
      </c>
      <c r="VS21" s="14">
        <f t="shared" si="3"/>
        <v>1</v>
      </c>
      <c r="VT21" s="12">
        <f t="shared" si="4"/>
        <v>0.93</v>
      </c>
      <c r="VU21" s="16">
        <f t="shared" si="5"/>
        <v>17928540</v>
      </c>
      <c r="VV21" s="16">
        <f t="shared" si="6"/>
        <v>224106.75</v>
      </c>
      <c r="VW21" s="12" t="str">
        <f t="shared" si="14"/>
        <v>A</v>
      </c>
      <c r="VX21" s="12" t="str">
        <f t="shared" si="15"/>
        <v>NC-GA-ESS</v>
      </c>
      <c r="VY21" s="351">
        <f t="shared" si="16"/>
        <v>3</v>
      </c>
      <c r="WA21" s="12">
        <f t="shared" si="17"/>
        <v>0</v>
      </c>
      <c r="WB21" s="12">
        <f t="shared" si="18"/>
        <v>0</v>
      </c>
      <c r="WC21" s="12">
        <f t="shared" si="18"/>
        <v>0</v>
      </c>
      <c r="WD21" s="12">
        <f t="shared" si="18"/>
        <v>0</v>
      </c>
      <c r="WE21" s="12">
        <f t="shared" si="19"/>
        <v>1</v>
      </c>
      <c r="WF21" s="12">
        <f t="shared" si="7"/>
        <v>1</v>
      </c>
      <c r="WG21" s="12">
        <f t="shared" si="8"/>
        <v>0</v>
      </c>
      <c r="WH21" s="12">
        <f t="shared" si="9"/>
        <v>0</v>
      </c>
      <c r="WI21" s="31">
        <f t="shared" si="10"/>
        <v>2</v>
      </c>
      <c r="WJ21" s="2"/>
      <c r="WK21" s="443" t="str">
        <f t="shared" si="20"/>
        <v>NC-GA-ESS-BBN-BRN-NPH-F</v>
      </c>
      <c r="WL21" s="443"/>
      <c r="WM21" s="443"/>
    </row>
    <row r="22" spans="1:611" x14ac:dyDescent="0.25">
      <c r="A22" s="2">
        <v>9524</v>
      </c>
      <c r="B22" s="2" t="s">
        <v>1405</v>
      </c>
      <c r="C22" s="2" t="s">
        <v>8</v>
      </c>
      <c r="D22" s="3">
        <v>45153</v>
      </c>
      <c r="E22" s="2" t="s">
        <v>9</v>
      </c>
      <c r="F22" s="2">
        <v>3</v>
      </c>
      <c r="G22" s="2" t="s">
        <v>9</v>
      </c>
      <c r="H22" s="2">
        <v>3</v>
      </c>
      <c r="I22" s="2" t="s">
        <v>9</v>
      </c>
      <c r="J22" s="2">
        <v>3</v>
      </c>
      <c r="K22" s="2" t="s">
        <v>9</v>
      </c>
      <c r="L22" s="2">
        <v>3</v>
      </c>
      <c r="M22" s="2" t="s">
        <v>10</v>
      </c>
      <c r="N22" s="2">
        <v>0</v>
      </c>
      <c r="O22" s="2" t="s">
        <v>10</v>
      </c>
      <c r="P22" s="2">
        <v>0</v>
      </c>
      <c r="Q22" s="2" t="s">
        <v>11</v>
      </c>
      <c r="R22" s="2">
        <v>0</v>
      </c>
      <c r="S22" s="2" t="s">
        <v>9</v>
      </c>
      <c r="T22" s="2">
        <v>2</v>
      </c>
      <c r="U22" s="2" t="s">
        <v>9</v>
      </c>
      <c r="V22" s="2">
        <v>2</v>
      </c>
      <c r="W22" s="2" t="s">
        <v>9</v>
      </c>
      <c r="X22" s="2">
        <v>2</v>
      </c>
      <c r="Y22" s="2" t="s">
        <v>12</v>
      </c>
      <c r="Z22" s="2" t="s">
        <v>15</v>
      </c>
      <c r="AA22" s="2" t="s">
        <v>15</v>
      </c>
      <c r="AB22" s="2" t="s">
        <v>15</v>
      </c>
      <c r="AC22" s="2" t="s">
        <v>15</v>
      </c>
      <c r="AD22" s="2" t="s">
        <v>15</v>
      </c>
      <c r="AE22" s="2" t="s">
        <v>15</v>
      </c>
      <c r="AF22" s="2">
        <v>0</v>
      </c>
      <c r="AG22" s="2" t="s">
        <v>234</v>
      </c>
      <c r="AH22" s="2" t="s">
        <v>17</v>
      </c>
      <c r="AI22" s="4">
        <v>0.15</v>
      </c>
      <c r="AJ22" s="2" t="s">
        <v>17</v>
      </c>
      <c r="AK22" s="2" t="s">
        <v>9</v>
      </c>
      <c r="AL22" s="2" t="s">
        <v>17</v>
      </c>
      <c r="AM22" s="2" t="s">
        <v>9</v>
      </c>
      <c r="AN22" s="2" t="s">
        <v>17</v>
      </c>
      <c r="AO22" s="2" t="s">
        <v>17</v>
      </c>
      <c r="AP22" s="2" t="s">
        <v>17</v>
      </c>
      <c r="AQ22" s="2" t="s">
        <v>17</v>
      </c>
      <c r="AR22" s="2" t="s">
        <v>17</v>
      </c>
      <c r="AS22" s="2" t="s">
        <v>17</v>
      </c>
      <c r="AT22" s="2">
        <v>0</v>
      </c>
      <c r="AU22" s="5">
        <v>50000</v>
      </c>
      <c r="AV22" s="5">
        <v>460000</v>
      </c>
      <c r="AW22" s="2">
        <v>0</v>
      </c>
      <c r="AX22" s="2">
        <v>5</v>
      </c>
      <c r="AY22" s="2">
        <v>0</v>
      </c>
      <c r="AZ22" s="2">
        <v>18</v>
      </c>
      <c r="BA22" s="2">
        <v>0</v>
      </c>
      <c r="BB22" s="2">
        <v>1</v>
      </c>
      <c r="BC22" s="2">
        <v>1</v>
      </c>
      <c r="BD22" s="2">
        <v>0</v>
      </c>
      <c r="BE22" s="2">
        <v>0</v>
      </c>
      <c r="BF22" s="2">
        <v>1</v>
      </c>
      <c r="BG22" s="2">
        <v>0</v>
      </c>
      <c r="BH22" s="2">
        <v>0</v>
      </c>
      <c r="BI22" s="2">
        <v>13</v>
      </c>
      <c r="BJ22" s="2">
        <v>1</v>
      </c>
      <c r="BK22" s="2">
        <v>0</v>
      </c>
      <c r="BL22" s="2">
        <v>3</v>
      </c>
      <c r="BM22" s="2">
        <v>0</v>
      </c>
      <c r="BN22" s="2">
        <v>9</v>
      </c>
      <c r="BO22" s="2">
        <v>11</v>
      </c>
      <c r="BP22" s="2">
        <v>0</v>
      </c>
      <c r="BQ22" s="2">
        <v>10</v>
      </c>
      <c r="BR22" s="2">
        <v>12.22</v>
      </c>
      <c r="BS22" s="2">
        <v>0</v>
      </c>
      <c r="BT22" s="4">
        <v>0.06</v>
      </c>
      <c r="BU22" s="2" t="s">
        <v>9</v>
      </c>
      <c r="BV22" s="6">
        <v>192876.39</v>
      </c>
      <c r="BW22" s="2" t="s">
        <v>18</v>
      </c>
      <c r="BX22" s="2" t="s">
        <v>17</v>
      </c>
      <c r="BY22" s="2" t="s">
        <v>17</v>
      </c>
      <c r="BZ22" s="2" t="s">
        <v>17</v>
      </c>
      <c r="CA22" s="2" t="s">
        <v>17</v>
      </c>
      <c r="CB22" s="2" t="s">
        <v>17</v>
      </c>
      <c r="CC22" s="2" t="s">
        <v>17</v>
      </c>
      <c r="CD22" s="2" t="s">
        <v>17</v>
      </c>
      <c r="CE22" s="2" t="s">
        <v>1406</v>
      </c>
      <c r="CF22" s="2" t="s">
        <v>17</v>
      </c>
      <c r="CG22" s="2" t="s">
        <v>1407</v>
      </c>
      <c r="CH22" s="2"/>
      <c r="CI22" s="2"/>
      <c r="CJ22" s="2" t="s">
        <v>9</v>
      </c>
      <c r="CK22" s="2" t="s">
        <v>1408</v>
      </c>
      <c r="CL22" s="2" t="s">
        <v>1407</v>
      </c>
      <c r="CM22" s="2" t="s">
        <v>1409</v>
      </c>
      <c r="CN22" s="2" t="s">
        <v>1410</v>
      </c>
      <c r="CO22" s="2" t="s">
        <v>24</v>
      </c>
      <c r="CP22" s="2"/>
      <c r="CQ22" s="2">
        <v>123</v>
      </c>
      <c r="CR22" s="2" t="s">
        <v>375</v>
      </c>
      <c r="CS22" s="2">
        <v>2015</v>
      </c>
      <c r="CT22" s="2" t="s">
        <v>26</v>
      </c>
      <c r="CU22" s="2" t="s">
        <v>27</v>
      </c>
      <c r="CV22" s="2" t="s">
        <v>1411</v>
      </c>
      <c r="CW22" s="2" t="s">
        <v>1412</v>
      </c>
      <c r="CX22" s="2" t="s">
        <v>24</v>
      </c>
      <c r="CY22" s="2"/>
      <c r="CZ22" s="2">
        <v>80</v>
      </c>
      <c r="DA22" s="2" t="s">
        <v>375</v>
      </c>
      <c r="DB22" s="2">
        <v>2017</v>
      </c>
      <c r="DC22" s="2" t="s">
        <v>30</v>
      </c>
      <c r="DD22" s="2" t="s">
        <v>27</v>
      </c>
      <c r="DE22" s="2" t="s">
        <v>1413</v>
      </c>
      <c r="DF22" s="2" t="s">
        <v>1412</v>
      </c>
      <c r="DG22" s="2" t="s">
        <v>24</v>
      </c>
      <c r="DH22" s="2"/>
      <c r="DI22" s="2">
        <v>120</v>
      </c>
      <c r="DJ22" s="2" t="s">
        <v>375</v>
      </c>
      <c r="DK22" s="2">
        <v>2017</v>
      </c>
      <c r="DL22" s="2" t="s">
        <v>30</v>
      </c>
      <c r="DM22" s="2" t="s">
        <v>27</v>
      </c>
      <c r="DN22" s="2" t="s">
        <v>33</v>
      </c>
      <c r="DO22" s="2" t="s">
        <v>1414</v>
      </c>
      <c r="DP22" s="2" t="s">
        <v>1415</v>
      </c>
      <c r="DQ22" s="2" t="s">
        <v>1416</v>
      </c>
      <c r="DR22" s="2" t="s">
        <v>1417</v>
      </c>
      <c r="DS22" s="2">
        <v>1</v>
      </c>
      <c r="DT22" s="2" t="s">
        <v>1418</v>
      </c>
      <c r="DU22" s="2" t="s">
        <v>1419</v>
      </c>
      <c r="DV22" s="2" t="s">
        <v>39</v>
      </c>
      <c r="DW22" s="2">
        <v>32714</v>
      </c>
      <c r="DX22" s="2" t="s">
        <v>1420</v>
      </c>
      <c r="DY22" s="2">
        <v>294</v>
      </c>
      <c r="DZ22" s="2" t="s">
        <v>1421</v>
      </c>
      <c r="EA22" s="2" t="s">
        <v>1417</v>
      </c>
      <c r="EB22" s="2" t="s">
        <v>1422</v>
      </c>
      <c r="EC22" s="2" t="s">
        <v>1423</v>
      </c>
      <c r="ED22" s="2" t="s">
        <v>44</v>
      </c>
      <c r="EE22" s="2">
        <v>200</v>
      </c>
      <c r="EF22" s="2" t="s">
        <v>390</v>
      </c>
      <c r="EG22" s="2">
        <v>14</v>
      </c>
      <c r="EH22" s="2" t="s">
        <v>46</v>
      </c>
      <c r="EI22" s="2" t="s">
        <v>47</v>
      </c>
      <c r="EJ22" s="2" t="s">
        <v>1424</v>
      </c>
      <c r="EK22" s="2" t="s">
        <v>464</v>
      </c>
      <c r="EL22" s="2" t="s">
        <v>44</v>
      </c>
      <c r="EM22" s="2">
        <v>120</v>
      </c>
      <c r="EN22" s="2" t="s">
        <v>390</v>
      </c>
      <c r="EO22" s="2">
        <v>12</v>
      </c>
      <c r="EP22" s="2" t="s">
        <v>46</v>
      </c>
      <c r="EQ22" s="2" t="s">
        <v>47</v>
      </c>
      <c r="ER22" s="2" t="s">
        <v>738</v>
      </c>
      <c r="ES22" s="2" t="s">
        <v>951</v>
      </c>
      <c r="ET22" s="2" t="s">
        <v>1425</v>
      </c>
      <c r="EU22" s="2" t="s">
        <v>1426</v>
      </c>
      <c r="EV22" s="2" t="s">
        <v>1418</v>
      </c>
      <c r="EW22" s="2" t="s">
        <v>1419</v>
      </c>
      <c r="EX22" s="2" t="s">
        <v>39</v>
      </c>
      <c r="EY22" s="2">
        <v>32714</v>
      </c>
      <c r="EZ22" s="2" t="s">
        <v>1420</v>
      </c>
      <c r="FA22" s="2">
        <v>202</v>
      </c>
      <c r="FB22" s="2" t="s">
        <v>1427</v>
      </c>
      <c r="FC22" s="2" t="s">
        <v>1428</v>
      </c>
      <c r="FD22" s="2" t="s">
        <v>1429</v>
      </c>
      <c r="FE22" s="2" t="s">
        <v>1430</v>
      </c>
      <c r="FF22" s="2" t="s">
        <v>1426</v>
      </c>
      <c r="FG22" s="2" t="s">
        <v>1418</v>
      </c>
      <c r="FH22" s="2" t="s">
        <v>1419</v>
      </c>
      <c r="FI22" s="2" t="s">
        <v>39</v>
      </c>
      <c r="FJ22" s="2">
        <v>32714</v>
      </c>
      <c r="FK22" s="2" t="s">
        <v>1420</v>
      </c>
      <c r="FL22" s="2">
        <v>210</v>
      </c>
      <c r="FM22" s="2" t="s">
        <v>1431</v>
      </c>
      <c r="FN22" s="2" t="s">
        <v>1432</v>
      </c>
      <c r="FO22" s="2" t="s">
        <v>63</v>
      </c>
      <c r="FP22" s="2" t="s">
        <v>64</v>
      </c>
      <c r="FQ22" s="2" t="s">
        <v>9</v>
      </c>
      <c r="FR22" s="2" t="s">
        <v>17</v>
      </c>
      <c r="FS22" s="2" t="s">
        <v>17</v>
      </c>
      <c r="FT22" s="2" t="s">
        <v>9</v>
      </c>
      <c r="FU22" s="2">
        <v>0</v>
      </c>
      <c r="FV22" s="2">
        <v>0</v>
      </c>
      <c r="FW22" s="4">
        <v>0</v>
      </c>
      <c r="FX22" s="4">
        <v>0</v>
      </c>
      <c r="FY22" s="2" t="s">
        <v>65</v>
      </c>
      <c r="FZ22" s="2" t="s">
        <v>66</v>
      </c>
      <c r="GA22" s="2" t="s">
        <v>67</v>
      </c>
      <c r="GB22" s="2"/>
      <c r="GC22" s="2"/>
      <c r="GD22" s="2"/>
      <c r="GE22" s="2" t="s">
        <v>68</v>
      </c>
      <c r="GF22" s="2">
        <v>80</v>
      </c>
      <c r="GG22" s="2">
        <v>80</v>
      </c>
      <c r="GH22" s="2"/>
      <c r="GI22" s="2"/>
      <c r="GJ22" s="2"/>
      <c r="GK22" s="2"/>
      <c r="GL22" s="2"/>
      <c r="GM22" s="2"/>
      <c r="GN22" s="2"/>
      <c r="GO22" s="2"/>
      <c r="GP22" s="2"/>
      <c r="GQ22" s="2">
        <v>80</v>
      </c>
      <c r="GR22" s="2" t="s">
        <v>968</v>
      </c>
      <c r="GS22" s="2" t="s">
        <v>70</v>
      </c>
      <c r="GT22" s="2" t="s">
        <v>1433</v>
      </c>
      <c r="GU22" s="2" t="s">
        <v>1434</v>
      </c>
      <c r="GV22" s="2" t="s">
        <v>17</v>
      </c>
      <c r="GW22" s="2">
        <v>28.873162000000001</v>
      </c>
      <c r="GX22" s="2">
        <v>-81.233815000000007</v>
      </c>
      <c r="GY22" s="2"/>
      <c r="GZ22" s="2" t="s">
        <v>17</v>
      </c>
      <c r="HA22" s="2" t="s">
        <v>17</v>
      </c>
      <c r="HB22" s="2">
        <v>0</v>
      </c>
      <c r="HC22" s="2" t="s">
        <v>17</v>
      </c>
      <c r="HD22" s="2"/>
      <c r="HE22" s="2">
        <v>0</v>
      </c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 t="s">
        <v>73</v>
      </c>
      <c r="HY22" s="2" t="s">
        <v>17</v>
      </c>
      <c r="HZ22" s="2"/>
      <c r="IA22" s="2" t="s">
        <v>1435</v>
      </c>
      <c r="IB22" s="2" t="s">
        <v>1436</v>
      </c>
      <c r="IC22" s="2">
        <v>0.72</v>
      </c>
      <c r="ID22" s="2">
        <v>3</v>
      </c>
      <c r="IE22" s="2"/>
      <c r="IF22" s="2"/>
      <c r="IG22" s="2"/>
      <c r="IH22" s="2" t="s">
        <v>1437</v>
      </c>
      <c r="II22" s="2">
        <v>1.1599999999999999</v>
      </c>
      <c r="IJ22" s="2">
        <v>2</v>
      </c>
      <c r="IK22" s="2" t="s">
        <v>1438</v>
      </c>
      <c r="IL22" s="2" t="s">
        <v>1439</v>
      </c>
      <c r="IM22" s="2">
        <v>0.33</v>
      </c>
      <c r="IN22" s="2">
        <v>4</v>
      </c>
      <c r="IO22" s="2" t="s">
        <v>17</v>
      </c>
      <c r="IP22" s="2">
        <v>0</v>
      </c>
      <c r="IQ22" s="2">
        <v>9</v>
      </c>
      <c r="IR22" s="2">
        <v>0</v>
      </c>
      <c r="IS22" s="2">
        <v>9</v>
      </c>
      <c r="IT22" s="2" t="s">
        <v>17</v>
      </c>
      <c r="IU22" s="2" t="s">
        <v>17</v>
      </c>
      <c r="IV22" s="2" t="s">
        <v>17</v>
      </c>
      <c r="IW22" s="2" t="s">
        <v>9</v>
      </c>
      <c r="IX22" s="2" t="s">
        <v>9</v>
      </c>
      <c r="IY22" s="2">
        <v>9</v>
      </c>
      <c r="IZ22" s="2">
        <v>80</v>
      </c>
      <c r="JA22" s="2" t="s">
        <v>81</v>
      </c>
      <c r="JB22" s="2" t="s">
        <v>82</v>
      </c>
      <c r="JC22" s="2"/>
      <c r="JD22" s="2"/>
      <c r="JE22" s="2"/>
      <c r="JF22" s="2"/>
      <c r="JG22" s="2"/>
      <c r="JH22" s="7">
        <v>0</v>
      </c>
      <c r="JI22" s="2">
        <v>0</v>
      </c>
      <c r="JJ22" s="7">
        <v>0</v>
      </c>
      <c r="JK22" s="2">
        <v>0</v>
      </c>
      <c r="JL22" s="7">
        <v>0</v>
      </c>
      <c r="JM22" s="2">
        <v>12</v>
      </c>
      <c r="JN22" s="2"/>
      <c r="JO22" s="2"/>
      <c r="JP22" s="2">
        <v>50</v>
      </c>
      <c r="JQ22" s="2"/>
      <c r="JR22" s="2">
        <v>18</v>
      </c>
      <c r="JS22" s="2">
        <v>0</v>
      </c>
      <c r="JT22" s="2">
        <v>0</v>
      </c>
      <c r="JU22" s="2"/>
      <c r="JV22" s="2">
        <v>80</v>
      </c>
      <c r="JW22" s="4">
        <v>1</v>
      </c>
      <c r="JX22" s="2">
        <v>80</v>
      </c>
      <c r="JY22" s="4">
        <v>0.6</v>
      </c>
      <c r="JZ22" s="2">
        <v>0</v>
      </c>
      <c r="KA22" s="2"/>
      <c r="KB22" s="2"/>
      <c r="KC22" s="2"/>
      <c r="KD22" s="2"/>
      <c r="KE22" s="2"/>
      <c r="KF22" s="2"/>
      <c r="KG22" s="2"/>
      <c r="KH22" s="2">
        <v>20</v>
      </c>
      <c r="KI22" s="2"/>
      <c r="KJ22" s="2"/>
      <c r="KK22" s="2">
        <v>40</v>
      </c>
      <c r="KL22" s="2">
        <v>20</v>
      </c>
      <c r="KM22" s="2"/>
      <c r="KN22" s="2"/>
      <c r="KO22" s="2"/>
      <c r="KP22" s="2"/>
      <c r="KQ22" s="2" t="s">
        <v>83</v>
      </c>
      <c r="KR22" s="2" t="s">
        <v>73</v>
      </c>
      <c r="KS22" s="2"/>
      <c r="KT22" s="2">
        <v>3</v>
      </c>
      <c r="KU22" s="2" t="s">
        <v>84</v>
      </c>
      <c r="KV22" s="2" t="s">
        <v>85</v>
      </c>
      <c r="KW22" s="2" t="s">
        <v>530</v>
      </c>
      <c r="KX22" s="2" t="s">
        <v>17</v>
      </c>
      <c r="KY22" s="2" t="s">
        <v>17</v>
      </c>
      <c r="KZ22" s="2" t="s">
        <v>17</v>
      </c>
      <c r="LA22" s="2" t="s">
        <v>17</v>
      </c>
      <c r="LB22" s="2" t="s">
        <v>17</v>
      </c>
      <c r="LC22" s="2" t="s">
        <v>17</v>
      </c>
      <c r="LD22" s="2" t="s">
        <v>17</v>
      </c>
      <c r="LE22" s="2" t="s">
        <v>17</v>
      </c>
      <c r="LF22" s="2" t="s">
        <v>17</v>
      </c>
      <c r="LG22" s="2" t="s">
        <v>17</v>
      </c>
      <c r="LH22" s="2" t="s">
        <v>17</v>
      </c>
      <c r="LI22" s="2" t="s">
        <v>17</v>
      </c>
      <c r="LJ22" s="2" t="s">
        <v>87</v>
      </c>
      <c r="LK22" s="2" t="s">
        <v>17</v>
      </c>
      <c r="LL22" s="2" t="s">
        <v>17</v>
      </c>
      <c r="LM22" s="2">
        <v>0</v>
      </c>
      <c r="LN22" s="2" t="s">
        <v>17</v>
      </c>
      <c r="LO22" s="2" t="s">
        <v>9</v>
      </c>
      <c r="LP22" s="2" t="s">
        <v>9</v>
      </c>
      <c r="LQ22" s="2" t="s">
        <v>17</v>
      </c>
      <c r="LR22" s="2" t="s">
        <v>9</v>
      </c>
      <c r="LS22" s="2" t="s">
        <v>17</v>
      </c>
      <c r="LT22" s="2" t="s">
        <v>17</v>
      </c>
      <c r="LU22" s="2" t="s">
        <v>17</v>
      </c>
      <c r="LV22" s="2" t="s">
        <v>17</v>
      </c>
      <c r="LW22" s="2" t="s">
        <v>17</v>
      </c>
      <c r="LX22" s="2" t="s">
        <v>17</v>
      </c>
      <c r="LY22" s="5">
        <v>6400000</v>
      </c>
      <c r="LZ22" s="5">
        <v>0</v>
      </c>
      <c r="MA22" s="5">
        <v>7200000</v>
      </c>
      <c r="MB22" s="5">
        <v>0</v>
      </c>
      <c r="MC22" s="5">
        <v>0</v>
      </c>
      <c r="MD22" s="5">
        <v>0</v>
      </c>
      <c r="ME22" s="5">
        <v>8400000</v>
      </c>
      <c r="MF22" s="5">
        <v>0</v>
      </c>
      <c r="MG22" s="5">
        <v>0</v>
      </c>
      <c r="MH22" s="5">
        <v>0</v>
      </c>
      <c r="MI22" s="5">
        <v>0</v>
      </c>
      <c r="MJ22" s="5">
        <v>0</v>
      </c>
      <c r="MK22" s="5">
        <v>0</v>
      </c>
      <c r="ML22" s="2">
        <v>0</v>
      </c>
      <c r="MM22" s="5">
        <v>0</v>
      </c>
      <c r="MN22" s="5">
        <v>0</v>
      </c>
      <c r="MO22" s="2">
        <v>0</v>
      </c>
      <c r="MP22" s="2">
        <v>0</v>
      </c>
      <c r="MQ22" s="2">
        <v>0</v>
      </c>
      <c r="MR22" s="5">
        <v>2950000</v>
      </c>
      <c r="MS22" s="5">
        <v>0</v>
      </c>
      <c r="MT22" s="5">
        <v>4600000</v>
      </c>
      <c r="MU22" s="5">
        <v>0</v>
      </c>
      <c r="MV22" s="5">
        <v>0</v>
      </c>
      <c r="MW22" s="5">
        <v>0</v>
      </c>
      <c r="MX22" s="5">
        <v>0</v>
      </c>
      <c r="MY22" s="5">
        <v>2500000</v>
      </c>
      <c r="MZ22" s="5">
        <v>0</v>
      </c>
      <c r="NA22" s="5">
        <v>5000000</v>
      </c>
      <c r="NB22" s="5">
        <v>0</v>
      </c>
      <c r="NC22" s="5">
        <v>0</v>
      </c>
      <c r="ND22" s="5">
        <v>0</v>
      </c>
      <c r="NE22" s="5">
        <v>0</v>
      </c>
      <c r="NF22" s="5">
        <v>0</v>
      </c>
      <c r="NG22" s="5">
        <v>2142000</v>
      </c>
      <c r="NH22" s="5">
        <v>2142000</v>
      </c>
      <c r="NI22" s="5">
        <v>2142000</v>
      </c>
      <c r="NJ22" s="5">
        <v>0</v>
      </c>
      <c r="NK22" s="5"/>
      <c r="NL22" s="2" t="s">
        <v>17</v>
      </c>
      <c r="NM22" s="2" t="s">
        <v>17</v>
      </c>
      <c r="NN22" s="2"/>
      <c r="NO22" s="2" t="s">
        <v>9</v>
      </c>
      <c r="NP22" s="2">
        <v>32725</v>
      </c>
      <c r="NQ22" s="2" t="s">
        <v>1440</v>
      </c>
      <c r="NR22" s="2" t="s">
        <v>17</v>
      </c>
      <c r="NS22" s="2"/>
      <c r="NT22" s="2" t="s">
        <v>17</v>
      </c>
      <c r="NU22" s="2"/>
      <c r="NV22" s="2"/>
      <c r="NW22" s="2"/>
      <c r="NX22" s="2" t="s">
        <v>17</v>
      </c>
      <c r="NY22" s="2"/>
      <c r="NZ22" s="2"/>
      <c r="OA22" s="2" t="s">
        <v>118</v>
      </c>
      <c r="OB22" s="2" t="s">
        <v>118</v>
      </c>
      <c r="OC22" s="2" t="s">
        <v>118</v>
      </c>
      <c r="OD22" s="2" t="s">
        <v>17</v>
      </c>
      <c r="OE22" s="2" t="s">
        <v>119</v>
      </c>
      <c r="OF22" s="2" t="s">
        <v>17</v>
      </c>
      <c r="OG22" s="2" t="s">
        <v>9</v>
      </c>
      <c r="OH22" s="2" t="s">
        <v>120</v>
      </c>
      <c r="OI22" s="2"/>
      <c r="OJ22" s="2"/>
      <c r="OK22" s="2" t="s">
        <v>17</v>
      </c>
      <c r="OL22" s="2" t="s">
        <v>17</v>
      </c>
      <c r="OM22" s="2" t="s">
        <v>85</v>
      </c>
      <c r="ON22" s="6">
        <v>0</v>
      </c>
      <c r="OO22" s="6">
        <v>0</v>
      </c>
      <c r="OP22" s="2" t="s">
        <v>93</v>
      </c>
      <c r="OQ22" s="2" t="s">
        <v>93</v>
      </c>
      <c r="OR22" s="6">
        <v>0</v>
      </c>
      <c r="OS22" s="4">
        <v>0</v>
      </c>
      <c r="OT22" s="2" t="s">
        <v>17</v>
      </c>
      <c r="OU22" s="2" t="s">
        <v>17</v>
      </c>
      <c r="OV22" s="2"/>
      <c r="OW22" s="2"/>
      <c r="OX22" s="5">
        <v>15430111</v>
      </c>
      <c r="OY22" s="6">
        <v>192876.39</v>
      </c>
      <c r="OZ22" s="2"/>
      <c r="PA22" s="2"/>
      <c r="PB22" s="8">
        <v>11350000</v>
      </c>
      <c r="PC22" s="2"/>
      <c r="PD22" s="8">
        <v>11350000</v>
      </c>
      <c r="PE22" s="8">
        <v>2000000</v>
      </c>
      <c r="PF22" s="2"/>
      <c r="PG22" s="8">
        <v>2000000</v>
      </c>
      <c r="PH22" s="2"/>
      <c r="PI22" s="2"/>
      <c r="PJ22" s="2"/>
      <c r="PK22" s="8">
        <v>13350000</v>
      </c>
      <c r="PL22" s="2"/>
      <c r="PM22" s="8">
        <v>13350000</v>
      </c>
      <c r="PN22" s="8">
        <v>1848000</v>
      </c>
      <c r="PO22" s="2"/>
      <c r="PP22" s="8">
        <v>1848000</v>
      </c>
      <c r="PQ22" s="6">
        <v>1869000</v>
      </c>
      <c r="PR22" s="8">
        <v>15198000</v>
      </c>
      <c r="PS22" s="2"/>
      <c r="PT22" s="8">
        <v>15198000</v>
      </c>
      <c r="PU22" s="8">
        <v>752400</v>
      </c>
      <c r="PV22" s="2"/>
      <c r="PW22" s="8">
        <v>752400</v>
      </c>
      <c r="PX22" s="6">
        <v>759900</v>
      </c>
      <c r="PY22" s="8">
        <v>851000</v>
      </c>
      <c r="PZ22" s="8">
        <v>260000</v>
      </c>
      <c r="QA22" s="8">
        <v>1111000</v>
      </c>
      <c r="QB22" s="8">
        <v>200000</v>
      </c>
      <c r="QC22" s="2"/>
      <c r="QD22" s="8">
        <v>200000</v>
      </c>
      <c r="QE22" s="8">
        <v>1205200</v>
      </c>
      <c r="QF22" s="2"/>
      <c r="QG22" s="8">
        <v>1205200</v>
      </c>
      <c r="QH22" s="2"/>
      <c r="QI22" s="8">
        <v>436398</v>
      </c>
      <c r="QJ22" s="8">
        <v>436398</v>
      </c>
      <c r="QK22" s="2"/>
      <c r="QL22" s="2"/>
      <c r="QM22" s="2"/>
      <c r="QN22" s="2"/>
      <c r="QO22" s="8">
        <v>625000</v>
      </c>
      <c r="QP22" s="8">
        <v>625000</v>
      </c>
      <c r="QQ22" s="8">
        <v>2256200</v>
      </c>
      <c r="QR22" s="8">
        <v>1321398</v>
      </c>
      <c r="QS22" s="8">
        <v>3577598</v>
      </c>
      <c r="QT22" s="2"/>
      <c r="QU22" s="8">
        <v>82840</v>
      </c>
      <c r="QV22" s="8">
        <v>82840</v>
      </c>
      <c r="QW22" s="6">
        <v>178879.9</v>
      </c>
      <c r="QX22" s="8">
        <v>711669</v>
      </c>
      <c r="QY22" s="2"/>
      <c r="QZ22" s="8">
        <v>711669</v>
      </c>
      <c r="RA22" s="8">
        <v>1005063</v>
      </c>
      <c r="RB22" s="8">
        <v>1005063</v>
      </c>
      <c r="RC22" s="2"/>
      <c r="RD22" s="8">
        <v>55000</v>
      </c>
      <c r="RE22" s="8">
        <v>55000</v>
      </c>
      <c r="RF22" s="8">
        <v>711669</v>
      </c>
      <c r="RG22" s="8">
        <v>1060063</v>
      </c>
      <c r="RH22" s="8">
        <v>1771732</v>
      </c>
      <c r="RI22" s="2"/>
      <c r="RJ22" s="2"/>
      <c r="RK22" s="2"/>
      <c r="RL22" s="2"/>
      <c r="RM22" s="8">
        <v>18918269</v>
      </c>
      <c r="RN22" s="8">
        <v>2464301</v>
      </c>
      <c r="RO22" s="8">
        <v>21382570</v>
      </c>
      <c r="RP22" s="2"/>
      <c r="RQ22" s="2"/>
      <c r="RR22" s="2">
        <v>0</v>
      </c>
      <c r="RS22" s="6">
        <v>0</v>
      </c>
      <c r="RT22" s="8">
        <v>3421211</v>
      </c>
      <c r="RU22" s="2"/>
      <c r="RV22" s="8">
        <v>3421211</v>
      </c>
      <c r="RW22" s="6">
        <v>3421211</v>
      </c>
      <c r="RX22" s="6">
        <v>0</v>
      </c>
      <c r="RY22" s="8">
        <v>3421211</v>
      </c>
      <c r="RZ22" s="2"/>
      <c r="SA22" s="8">
        <v>3421211</v>
      </c>
      <c r="SB22" s="6">
        <v>3421211</v>
      </c>
      <c r="SC22" s="8">
        <v>240000</v>
      </c>
      <c r="SD22" s="8">
        <v>240000</v>
      </c>
      <c r="SE22" s="6">
        <v>280000</v>
      </c>
      <c r="SF22" s="8">
        <v>1500000</v>
      </c>
      <c r="SG22" s="8">
        <v>1500000</v>
      </c>
      <c r="SH22" s="8">
        <v>22339480</v>
      </c>
      <c r="SI22" s="8">
        <v>4204301</v>
      </c>
      <c r="SJ22" s="8">
        <v>26543781</v>
      </c>
      <c r="SK22" s="2" t="s">
        <v>229</v>
      </c>
      <c r="SL22" s="2"/>
      <c r="SM22" s="2" t="s">
        <v>1441</v>
      </c>
      <c r="SN22" s="2" t="s">
        <v>1442</v>
      </c>
      <c r="SO22" s="2"/>
      <c r="SP22" s="8">
        <v>21000000</v>
      </c>
      <c r="SQ22" s="2" t="s">
        <v>95</v>
      </c>
      <c r="SR22" s="2"/>
      <c r="SS22" s="2"/>
      <c r="ST22" s="2"/>
      <c r="SU22" s="2"/>
      <c r="SV22" s="2"/>
      <c r="SW22" s="2"/>
      <c r="SX22" s="2" t="s">
        <v>96</v>
      </c>
      <c r="SY22" s="2" t="s">
        <v>96</v>
      </c>
      <c r="SZ22" s="2" t="s">
        <v>96</v>
      </c>
      <c r="TA22" s="2" t="s">
        <v>96</v>
      </c>
      <c r="TB22" s="8">
        <v>3855214</v>
      </c>
      <c r="TC22" s="2"/>
      <c r="TD22" s="2"/>
      <c r="TE22" s="2"/>
      <c r="TF22" s="2"/>
      <c r="TG22" s="2"/>
      <c r="TH22" s="2"/>
      <c r="TI22" s="8">
        <v>1688567</v>
      </c>
      <c r="TJ22" s="8">
        <v>26543781</v>
      </c>
      <c r="TK22" s="2">
        <v>0</v>
      </c>
      <c r="TL22" s="2" t="s">
        <v>9</v>
      </c>
      <c r="TM22" s="8">
        <v>6000000</v>
      </c>
      <c r="TN22" s="2" t="s">
        <v>95</v>
      </c>
      <c r="TO22" s="2"/>
      <c r="TP22" s="2"/>
      <c r="TQ22" s="2"/>
      <c r="TR22" s="2"/>
      <c r="TS22" s="2"/>
      <c r="TT22" s="2"/>
      <c r="TU22" s="2" t="s">
        <v>96</v>
      </c>
      <c r="TV22" s="8">
        <v>19276072</v>
      </c>
      <c r="TW22" s="2"/>
      <c r="TX22" s="2"/>
      <c r="TY22" s="2"/>
      <c r="TZ22" s="2"/>
      <c r="UA22" s="2"/>
      <c r="UB22" s="2"/>
      <c r="UC22" s="8">
        <v>1267709</v>
      </c>
      <c r="UD22" s="8">
        <v>26543781</v>
      </c>
      <c r="UE22" s="6">
        <v>6000000</v>
      </c>
      <c r="UF22" s="2">
        <v>0</v>
      </c>
      <c r="UG22" s="2" t="s">
        <v>9</v>
      </c>
      <c r="UH22" s="2">
        <v>80</v>
      </c>
      <c r="UI22" s="5">
        <v>240000</v>
      </c>
      <c r="UJ22" s="6">
        <v>320000</v>
      </c>
      <c r="UK22" s="6">
        <v>320000</v>
      </c>
      <c r="UL22" s="6">
        <v>339200</v>
      </c>
      <c r="UM22" s="6">
        <v>27136000</v>
      </c>
      <c r="UN22" s="6">
        <v>4341760</v>
      </c>
      <c r="UO22" s="6">
        <v>4341760</v>
      </c>
      <c r="UP22" s="6">
        <v>31477760</v>
      </c>
      <c r="UQ22" s="6">
        <v>24803781</v>
      </c>
      <c r="UR22" s="2"/>
      <c r="US22" s="2"/>
      <c r="UT22" s="6">
        <v>0</v>
      </c>
      <c r="UU22" s="2"/>
      <c r="UV22" s="6">
        <v>0</v>
      </c>
      <c r="UW22" s="6">
        <v>0</v>
      </c>
      <c r="UX22" s="6">
        <v>0</v>
      </c>
      <c r="UY22" s="6">
        <v>0</v>
      </c>
      <c r="UZ22" s="2"/>
      <c r="VA22" s="2"/>
      <c r="VB22" s="2"/>
      <c r="VC22" s="2"/>
      <c r="VD22" s="2"/>
      <c r="VE22" s="2" t="s">
        <v>17</v>
      </c>
      <c r="VF22" s="2"/>
      <c r="VG22" s="2" t="s">
        <v>17</v>
      </c>
      <c r="VH22" s="2"/>
      <c r="VI22" s="388" t="s">
        <v>1408</v>
      </c>
      <c r="VJ22" s="2" t="s">
        <v>98</v>
      </c>
      <c r="VK22" s="2" t="s">
        <v>1443</v>
      </c>
      <c r="VL22" s="23">
        <f t="shared" si="0"/>
        <v>160</v>
      </c>
      <c r="VM22" s="17">
        <f t="shared" si="1"/>
        <v>2</v>
      </c>
      <c r="VN22" s="17" t="str">
        <f t="shared" si="12"/>
        <v>NC-GA-F</v>
      </c>
      <c r="VO22" s="17" t="str">
        <f t="shared" si="13"/>
        <v>NC-GA-F-ESS</v>
      </c>
      <c r="VP22" s="12">
        <v>9</v>
      </c>
      <c r="VQ22" s="57">
        <v>1</v>
      </c>
      <c r="VR22" s="57">
        <f t="shared" si="2"/>
        <v>1</v>
      </c>
      <c r="VS22" s="14">
        <f t="shared" si="3"/>
        <v>1</v>
      </c>
      <c r="VT22" s="12">
        <f t="shared" si="4"/>
        <v>0.93</v>
      </c>
      <c r="VU22" s="16">
        <f t="shared" si="5"/>
        <v>17928540</v>
      </c>
      <c r="VV22" s="16">
        <f t="shared" si="6"/>
        <v>224106.75</v>
      </c>
      <c r="VW22" s="12" t="str">
        <f t="shared" si="14"/>
        <v>A</v>
      </c>
      <c r="VX22" s="12" t="str">
        <f t="shared" si="15"/>
        <v>NC-GA-ESS</v>
      </c>
      <c r="VY22" s="351">
        <f t="shared" si="16"/>
        <v>3</v>
      </c>
      <c r="WA22" s="12">
        <f t="shared" si="17"/>
        <v>0</v>
      </c>
      <c r="WB22" s="12">
        <f t="shared" si="18"/>
        <v>0</v>
      </c>
      <c r="WC22" s="12">
        <f t="shared" si="18"/>
        <v>0</v>
      </c>
      <c r="WD22" s="12">
        <f t="shared" si="18"/>
        <v>0</v>
      </c>
      <c r="WE22" s="12">
        <f t="shared" si="19"/>
        <v>1</v>
      </c>
      <c r="WF22" s="12">
        <f t="shared" si="7"/>
        <v>1</v>
      </c>
      <c r="WG22" s="12">
        <f t="shared" si="8"/>
        <v>0</v>
      </c>
      <c r="WH22" s="12">
        <f t="shared" si="9"/>
        <v>0</v>
      </c>
      <c r="WI22" s="31">
        <f t="shared" si="10"/>
        <v>2</v>
      </c>
      <c r="WJ22" s="2"/>
      <c r="WK22" s="443" t="str">
        <f t="shared" si="20"/>
        <v>NC-GA-ESS-BBN-BRN-NPH-F</v>
      </c>
      <c r="WL22" s="443"/>
      <c r="WM22" s="443"/>
    </row>
    <row r="23" spans="1:611" x14ac:dyDescent="0.25">
      <c r="A23" s="2">
        <v>9528</v>
      </c>
      <c r="B23" s="2" t="s">
        <v>1504</v>
      </c>
      <c r="C23" s="2" t="s">
        <v>8</v>
      </c>
      <c r="D23" s="3">
        <v>45153</v>
      </c>
      <c r="E23" s="2" t="s">
        <v>9</v>
      </c>
      <c r="F23" s="2">
        <v>3</v>
      </c>
      <c r="G23" s="2" t="s">
        <v>9</v>
      </c>
      <c r="H23" s="2">
        <v>3</v>
      </c>
      <c r="I23" s="2" t="s">
        <v>9</v>
      </c>
      <c r="J23" s="2">
        <v>3</v>
      </c>
      <c r="K23" s="2" t="s">
        <v>9</v>
      </c>
      <c r="L23" s="2">
        <v>3</v>
      </c>
      <c r="M23" s="2" t="s">
        <v>10</v>
      </c>
      <c r="N23" s="2">
        <v>0</v>
      </c>
      <c r="O23" s="2" t="s">
        <v>10</v>
      </c>
      <c r="P23" s="2">
        <v>0</v>
      </c>
      <c r="Q23" s="2" t="s">
        <v>11</v>
      </c>
      <c r="R23" s="2">
        <v>0</v>
      </c>
      <c r="S23" s="2" t="s">
        <v>9</v>
      </c>
      <c r="T23" s="2">
        <v>2</v>
      </c>
      <c r="U23" s="2" t="s">
        <v>9</v>
      </c>
      <c r="V23" s="2">
        <v>2</v>
      </c>
      <c r="W23" s="2" t="s">
        <v>9</v>
      </c>
      <c r="X23" s="2">
        <v>2</v>
      </c>
      <c r="Y23" s="2" t="s">
        <v>12</v>
      </c>
      <c r="Z23" s="2" t="s">
        <v>785</v>
      </c>
      <c r="AA23" s="2" t="s">
        <v>1505</v>
      </c>
      <c r="AB23" s="2" t="s">
        <v>15</v>
      </c>
      <c r="AC23" s="2" t="s">
        <v>15</v>
      </c>
      <c r="AD23" s="2" t="s">
        <v>15</v>
      </c>
      <c r="AE23" s="2" t="s">
        <v>15</v>
      </c>
      <c r="AF23" s="2">
        <v>2</v>
      </c>
      <c r="AG23" s="2" t="s">
        <v>1506</v>
      </c>
      <c r="AH23" s="2" t="s">
        <v>17</v>
      </c>
      <c r="AI23" s="4">
        <v>0.15</v>
      </c>
      <c r="AJ23" s="2" t="s">
        <v>17</v>
      </c>
      <c r="AK23" s="2" t="s">
        <v>9</v>
      </c>
      <c r="AL23" s="2" t="s">
        <v>17</v>
      </c>
      <c r="AM23" s="2" t="s">
        <v>17</v>
      </c>
      <c r="AN23" s="2" t="s">
        <v>17</v>
      </c>
      <c r="AO23" s="2" t="s">
        <v>17</v>
      </c>
      <c r="AP23" s="2" t="s">
        <v>17</v>
      </c>
      <c r="AQ23" s="2" t="s">
        <v>17</v>
      </c>
      <c r="AR23" s="2" t="s">
        <v>17</v>
      </c>
      <c r="AS23" s="2" t="s">
        <v>17</v>
      </c>
      <c r="AT23" s="2">
        <v>0</v>
      </c>
      <c r="AU23" s="5">
        <v>50000</v>
      </c>
      <c r="AV23" s="5">
        <v>460000</v>
      </c>
      <c r="AW23" s="2">
        <v>0</v>
      </c>
      <c r="AX23" s="2">
        <v>5</v>
      </c>
      <c r="AY23" s="2">
        <v>0</v>
      </c>
      <c r="AZ23" s="2">
        <v>18</v>
      </c>
      <c r="BA23" s="2">
        <v>0</v>
      </c>
      <c r="BB23" s="2">
        <v>1</v>
      </c>
      <c r="BC23" s="2">
        <v>1</v>
      </c>
      <c r="BD23" s="2">
        <v>0</v>
      </c>
      <c r="BE23" s="2">
        <v>0</v>
      </c>
      <c r="BF23" s="2">
        <v>1</v>
      </c>
      <c r="BG23" s="2">
        <v>0</v>
      </c>
      <c r="BH23" s="2">
        <v>0</v>
      </c>
      <c r="BI23" s="2">
        <v>13</v>
      </c>
      <c r="BJ23" s="2">
        <v>1</v>
      </c>
      <c r="BK23" s="2">
        <v>0</v>
      </c>
      <c r="BL23" s="2">
        <v>3</v>
      </c>
      <c r="BM23" s="2">
        <v>0</v>
      </c>
      <c r="BN23" s="2">
        <v>12</v>
      </c>
      <c r="BO23" s="2">
        <v>11</v>
      </c>
      <c r="BP23" s="2">
        <v>0</v>
      </c>
      <c r="BQ23" s="2">
        <v>10</v>
      </c>
      <c r="BR23" s="2">
        <v>12.22</v>
      </c>
      <c r="BS23" s="2">
        <v>0</v>
      </c>
      <c r="BT23" s="4">
        <v>0.06</v>
      </c>
      <c r="BU23" s="2" t="s">
        <v>9</v>
      </c>
      <c r="BV23" s="6">
        <v>192876.39</v>
      </c>
      <c r="BW23" s="2" t="s">
        <v>18</v>
      </c>
      <c r="BX23" s="2" t="s">
        <v>17</v>
      </c>
      <c r="BY23" s="2" t="s">
        <v>17</v>
      </c>
      <c r="BZ23" s="2" t="s">
        <v>17</v>
      </c>
      <c r="CA23" s="2" t="s">
        <v>17</v>
      </c>
      <c r="CB23" s="2" t="s">
        <v>17</v>
      </c>
      <c r="CC23" s="2" t="s">
        <v>17</v>
      </c>
      <c r="CD23" s="2" t="s">
        <v>17</v>
      </c>
      <c r="CE23" s="2" t="s">
        <v>1507</v>
      </c>
      <c r="CF23" s="2" t="s">
        <v>17</v>
      </c>
      <c r="CG23" s="2" t="s">
        <v>1508</v>
      </c>
      <c r="CH23" s="2"/>
      <c r="CI23" s="2"/>
      <c r="CJ23" s="2" t="s">
        <v>9</v>
      </c>
      <c r="CK23" s="2" t="s">
        <v>1408</v>
      </c>
      <c r="CL23" s="2" t="s">
        <v>1508</v>
      </c>
      <c r="CM23" s="2" t="s">
        <v>1409</v>
      </c>
      <c r="CN23" s="2" t="s">
        <v>1410</v>
      </c>
      <c r="CO23" s="2" t="s">
        <v>24</v>
      </c>
      <c r="CP23" s="2"/>
      <c r="CQ23" s="2">
        <v>123</v>
      </c>
      <c r="CR23" s="2" t="s">
        <v>375</v>
      </c>
      <c r="CS23" s="2">
        <v>2015</v>
      </c>
      <c r="CT23" s="2" t="s">
        <v>26</v>
      </c>
      <c r="CU23" s="2" t="s">
        <v>27</v>
      </c>
      <c r="CV23" s="2" t="s">
        <v>1411</v>
      </c>
      <c r="CW23" s="2" t="s">
        <v>1412</v>
      </c>
      <c r="CX23" s="2" t="s">
        <v>24</v>
      </c>
      <c r="CY23" s="2"/>
      <c r="CZ23" s="2">
        <v>80</v>
      </c>
      <c r="DA23" s="2" t="s">
        <v>375</v>
      </c>
      <c r="DB23" s="2">
        <v>2017</v>
      </c>
      <c r="DC23" s="2" t="s">
        <v>30</v>
      </c>
      <c r="DD23" s="2" t="s">
        <v>27</v>
      </c>
      <c r="DE23" s="2" t="s">
        <v>1413</v>
      </c>
      <c r="DF23" s="2" t="s">
        <v>1412</v>
      </c>
      <c r="DG23" s="2" t="s">
        <v>24</v>
      </c>
      <c r="DH23" s="2"/>
      <c r="DI23" s="2">
        <v>120</v>
      </c>
      <c r="DJ23" s="2" t="s">
        <v>375</v>
      </c>
      <c r="DK23" s="2">
        <v>2017</v>
      </c>
      <c r="DL23" s="2" t="s">
        <v>30</v>
      </c>
      <c r="DM23" s="2" t="s">
        <v>27</v>
      </c>
      <c r="DN23" s="2" t="s">
        <v>33</v>
      </c>
      <c r="DO23" s="2" t="s">
        <v>1414</v>
      </c>
      <c r="DP23" s="2" t="s">
        <v>1415</v>
      </c>
      <c r="DQ23" s="2" t="s">
        <v>1416</v>
      </c>
      <c r="DR23" s="2" t="s">
        <v>1417</v>
      </c>
      <c r="DS23" s="2">
        <v>1</v>
      </c>
      <c r="DT23" s="2" t="s">
        <v>1418</v>
      </c>
      <c r="DU23" s="2" t="s">
        <v>1419</v>
      </c>
      <c r="DV23" s="2" t="s">
        <v>39</v>
      </c>
      <c r="DW23" s="2">
        <v>32714</v>
      </c>
      <c r="DX23" s="2" t="s">
        <v>1420</v>
      </c>
      <c r="DY23" s="2">
        <v>294</v>
      </c>
      <c r="DZ23" s="2" t="s">
        <v>1421</v>
      </c>
      <c r="EA23" s="2" t="s">
        <v>1417</v>
      </c>
      <c r="EB23" s="2" t="s">
        <v>1422</v>
      </c>
      <c r="EC23" s="2" t="s">
        <v>1423</v>
      </c>
      <c r="ED23" s="2" t="s">
        <v>44</v>
      </c>
      <c r="EE23" s="2">
        <v>200</v>
      </c>
      <c r="EF23" s="2" t="s">
        <v>390</v>
      </c>
      <c r="EG23" s="2">
        <v>14</v>
      </c>
      <c r="EH23" s="2" t="s">
        <v>46</v>
      </c>
      <c r="EI23" s="2" t="s">
        <v>47</v>
      </c>
      <c r="EJ23" s="2" t="s">
        <v>1424</v>
      </c>
      <c r="EK23" s="2" t="s">
        <v>464</v>
      </c>
      <c r="EL23" s="2" t="s">
        <v>44</v>
      </c>
      <c r="EM23" s="2">
        <v>120</v>
      </c>
      <c r="EN23" s="2" t="s">
        <v>390</v>
      </c>
      <c r="EO23" s="2">
        <v>12</v>
      </c>
      <c r="EP23" s="2" t="s">
        <v>46</v>
      </c>
      <c r="EQ23" s="2" t="s">
        <v>47</v>
      </c>
      <c r="ER23" s="2" t="s">
        <v>738</v>
      </c>
      <c r="ES23" s="2" t="s">
        <v>951</v>
      </c>
      <c r="ET23" s="2" t="s">
        <v>1425</v>
      </c>
      <c r="EU23" s="2" t="s">
        <v>1426</v>
      </c>
      <c r="EV23" s="2" t="s">
        <v>1418</v>
      </c>
      <c r="EW23" s="2" t="s">
        <v>1419</v>
      </c>
      <c r="EX23" s="2" t="s">
        <v>39</v>
      </c>
      <c r="EY23" s="2">
        <v>32714</v>
      </c>
      <c r="EZ23" s="2" t="s">
        <v>1420</v>
      </c>
      <c r="FA23" s="2">
        <v>202</v>
      </c>
      <c r="FB23" s="2" t="s">
        <v>1427</v>
      </c>
      <c r="FC23" s="2" t="s">
        <v>1428</v>
      </c>
      <c r="FD23" s="2" t="s">
        <v>1429</v>
      </c>
      <c r="FE23" s="2" t="s">
        <v>1430</v>
      </c>
      <c r="FF23" s="2" t="s">
        <v>1426</v>
      </c>
      <c r="FG23" s="2" t="s">
        <v>1418</v>
      </c>
      <c r="FH23" s="2" t="s">
        <v>1419</v>
      </c>
      <c r="FI23" s="2" t="s">
        <v>39</v>
      </c>
      <c r="FJ23" s="2">
        <v>32714</v>
      </c>
      <c r="FK23" s="2" t="s">
        <v>1420</v>
      </c>
      <c r="FL23" s="2">
        <v>210</v>
      </c>
      <c r="FM23" s="2" t="s">
        <v>1431</v>
      </c>
      <c r="FN23" s="2" t="s">
        <v>1509</v>
      </c>
      <c r="FO23" s="2" t="s">
        <v>63</v>
      </c>
      <c r="FP23" s="2" t="s">
        <v>64</v>
      </c>
      <c r="FQ23" s="2" t="s">
        <v>9</v>
      </c>
      <c r="FR23" s="2" t="s">
        <v>17</v>
      </c>
      <c r="FS23" s="2" t="s">
        <v>17</v>
      </c>
      <c r="FT23" s="2" t="s">
        <v>9</v>
      </c>
      <c r="FU23" s="2">
        <v>0</v>
      </c>
      <c r="FV23" s="2">
        <v>0</v>
      </c>
      <c r="FW23" s="4">
        <v>0</v>
      </c>
      <c r="FX23" s="4">
        <v>0</v>
      </c>
      <c r="FY23" s="2" t="s">
        <v>65</v>
      </c>
      <c r="FZ23" s="2" t="s">
        <v>66</v>
      </c>
      <c r="GA23" s="2" t="s">
        <v>67</v>
      </c>
      <c r="GB23" s="2"/>
      <c r="GC23" s="2"/>
      <c r="GD23" s="2"/>
      <c r="GE23" s="2" t="s">
        <v>68</v>
      </c>
      <c r="GF23" s="2">
        <v>80</v>
      </c>
      <c r="GG23" s="2">
        <v>80</v>
      </c>
      <c r="GH23" s="2"/>
      <c r="GI23" s="2"/>
      <c r="GJ23" s="2"/>
      <c r="GK23" s="2"/>
      <c r="GL23" s="2"/>
      <c r="GM23" s="2"/>
      <c r="GN23" s="2"/>
      <c r="GO23" s="2"/>
      <c r="GP23" s="2"/>
      <c r="GQ23" s="2">
        <v>80</v>
      </c>
      <c r="GR23" s="2" t="s">
        <v>968</v>
      </c>
      <c r="GS23" s="2" t="s">
        <v>70</v>
      </c>
      <c r="GT23" s="2" t="s">
        <v>1510</v>
      </c>
      <c r="GU23" s="2" t="s">
        <v>1511</v>
      </c>
      <c r="GV23" s="2" t="s">
        <v>17</v>
      </c>
      <c r="GW23" s="2">
        <v>28.994406000000001</v>
      </c>
      <c r="GX23" s="2">
        <v>-80.911323999999993</v>
      </c>
      <c r="GY23" s="2"/>
      <c r="GZ23" s="2" t="s">
        <v>17</v>
      </c>
      <c r="HA23" s="2" t="s">
        <v>17</v>
      </c>
      <c r="HB23" s="2">
        <v>0</v>
      </c>
      <c r="HC23" s="2" t="s">
        <v>17</v>
      </c>
      <c r="HD23" s="2"/>
      <c r="HE23" s="2">
        <v>0</v>
      </c>
      <c r="HF23" s="2">
        <v>28.996288</v>
      </c>
      <c r="HG23" s="2">
        <v>-80.910268000000002</v>
      </c>
      <c r="HH23" s="2">
        <v>0.15</v>
      </c>
      <c r="HI23" s="2">
        <v>4</v>
      </c>
      <c r="HJ23" s="2">
        <v>28.996805999999999</v>
      </c>
      <c r="HK23" s="2">
        <v>-80.910230999999996</v>
      </c>
      <c r="HL23" s="2">
        <v>0.18</v>
      </c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 t="s">
        <v>73</v>
      </c>
      <c r="HY23" s="2" t="s">
        <v>17</v>
      </c>
      <c r="HZ23" s="2"/>
      <c r="IA23" s="2"/>
      <c r="IB23" s="2"/>
      <c r="IC23" s="2"/>
      <c r="ID23" s="2"/>
      <c r="IE23" s="2" t="s">
        <v>1512</v>
      </c>
      <c r="IF23" s="2">
        <v>0.34</v>
      </c>
      <c r="IG23" s="2">
        <v>3.5</v>
      </c>
      <c r="IH23" s="2" t="s">
        <v>527</v>
      </c>
      <c r="II23" s="2">
        <v>1.72</v>
      </c>
      <c r="IJ23" s="2">
        <v>1</v>
      </c>
      <c r="IK23" s="2" t="s">
        <v>1513</v>
      </c>
      <c r="IL23" s="2" t="s">
        <v>1514</v>
      </c>
      <c r="IM23" s="2">
        <v>0.73</v>
      </c>
      <c r="IN23" s="2">
        <v>3.5</v>
      </c>
      <c r="IO23" s="2" t="s">
        <v>17</v>
      </c>
      <c r="IP23" s="2">
        <v>4</v>
      </c>
      <c r="IQ23" s="2">
        <v>8</v>
      </c>
      <c r="IR23" s="2">
        <v>0</v>
      </c>
      <c r="IS23" s="2">
        <v>12</v>
      </c>
      <c r="IT23" s="2" t="s">
        <v>17</v>
      </c>
      <c r="IU23" s="2" t="s">
        <v>17</v>
      </c>
      <c r="IV23" s="2" t="s">
        <v>17</v>
      </c>
      <c r="IW23" s="2" t="s">
        <v>9</v>
      </c>
      <c r="IX23" s="2" t="s">
        <v>9</v>
      </c>
      <c r="IY23" s="2">
        <v>12</v>
      </c>
      <c r="IZ23" s="2">
        <v>80</v>
      </c>
      <c r="JA23" s="2" t="s">
        <v>81</v>
      </c>
      <c r="JB23" s="2" t="s">
        <v>82</v>
      </c>
      <c r="JC23" s="2"/>
      <c r="JD23" s="2"/>
      <c r="JE23" s="2"/>
      <c r="JF23" s="2"/>
      <c r="JG23" s="2"/>
      <c r="JH23" s="7">
        <v>0</v>
      </c>
      <c r="JI23" s="2">
        <v>0</v>
      </c>
      <c r="JJ23" s="7">
        <v>0</v>
      </c>
      <c r="JK23" s="2">
        <v>0</v>
      </c>
      <c r="JL23" s="7">
        <v>0</v>
      </c>
      <c r="JM23" s="2">
        <v>12</v>
      </c>
      <c r="JN23" s="2"/>
      <c r="JO23" s="2"/>
      <c r="JP23" s="2">
        <v>50</v>
      </c>
      <c r="JQ23" s="2"/>
      <c r="JR23" s="2">
        <v>18</v>
      </c>
      <c r="JS23" s="2">
        <v>0</v>
      </c>
      <c r="JT23" s="2">
        <v>0</v>
      </c>
      <c r="JU23" s="2"/>
      <c r="JV23" s="2">
        <v>80</v>
      </c>
      <c r="JW23" s="4">
        <v>1</v>
      </c>
      <c r="JX23" s="2">
        <v>80</v>
      </c>
      <c r="JY23" s="4">
        <v>0.6</v>
      </c>
      <c r="JZ23" s="2">
        <v>0</v>
      </c>
      <c r="KA23" s="2"/>
      <c r="KB23" s="2"/>
      <c r="KC23" s="2"/>
      <c r="KD23" s="2"/>
      <c r="KE23" s="2"/>
      <c r="KF23" s="2"/>
      <c r="KG23" s="2"/>
      <c r="KH23" s="2">
        <v>20</v>
      </c>
      <c r="KI23" s="2"/>
      <c r="KJ23" s="2"/>
      <c r="KK23" s="2">
        <v>40</v>
      </c>
      <c r="KL23" s="2">
        <v>20</v>
      </c>
      <c r="KM23" s="2"/>
      <c r="KN23" s="2"/>
      <c r="KO23" s="2"/>
      <c r="KP23" s="2"/>
      <c r="KQ23" s="2" t="s">
        <v>83</v>
      </c>
      <c r="KR23" s="2" t="s">
        <v>73</v>
      </c>
      <c r="KS23" s="2"/>
      <c r="KT23" s="2">
        <v>3</v>
      </c>
      <c r="KU23" s="2" t="s">
        <v>84</v>
      </c>
      <c r="KV23" s="2" t="s">
        <v>85</v>
      </c>
      <c r="KW23" s="2" t="s">
        <v>530</v>
      </c>
      <c r="KX23" s="2" t="s">
        <v>17</v>
      </c>
      <c r="KY23" s="2" t="s">
        <v>17</v>
      </c>
      <c r="KZ23" s="2" t="s">
        <v>17</v>
      </c>
      <c r="LA23" s="2" t="s">
        <v>17</v>
      </c>
      <c r="LB23" s="2" t="s">
        <v>17</v>
      </c>
      <c r="LC23" s="2" t="s">
        <v>17</v>
      </c>
      <c r="LD23" s="2" t="s">
        <v>17</v>
      </c>
      <c r="LE23" s="2" t="s">
        <v>17</v>
      </c>
      <c r="LF23" s="2" t="s">
        <v>17</v>
      </c>
      <c r="LG23" s="2" t="s">
        <v>17</v>
      </c>
      <c r="LH23" s="2" t="s">
        <v>17</v>
      </c>
      <c r="LI23" s="2" t="s">
        <v>17</v>
      </c>
      <c r="LJ23" s="2" t="s">
        <v>87</v>
      </c>
      <c r="LK23" s="2" t="s">
        <v>17</v>
      </c>
      <c r="LL23" s="2" t="s">
        <v>17</v>
      </c>
      <c r="LM23" s="2">
        <v>0</v>
      </c>
      <c r="LN23" s="2" t="s">
        <v>17</v>
      </c>
      <c r="LO23" s="2" t="s">
        <v>9</v>
      </c>
      <c r="LP23" s="2" t="s">
        <v>9</v>
      </c>
      <c r="LQ23" s="2" t="s">
        <v>17</v>
      </c>
      <c r="LR23" s="2" t="s">
        <v>9</v>
      </c>
      <c r="LS23" s="2" t="s">
        <v>17</v>
      </c>
      <c r="LT23" s="2" t="s">
        <v>17</v>
      </c>
      <c r="LU23" s="2" t="s">
        <v>17</v>
      </c>
      <c r="LV23" s="2" t="s">
        <v>17</v>
      </c>
      <c r="LW23" s="2" t="s">
        <v>17</v>
      </c>
      <c r="LX23" s="2" t="s">
        <v>17</v>
      </c>
      <c r="LY23" s="5">
        <v>6400000</v>
      </c>
      <c r="LZ23" s="5">
        <v>0</v>
      </c>
      <c r="MA23" s="5">
        <v>7200000</v>
      </c>
      <c r="MB23" s="5">
        <v>0</v>
      </c>
      <c r="MC23" s="5">
        <v>0</v>
      </c>
      <c r="MD23" s="5">
        <v>0</v>
      </c>
      <c r="ME23" s="5">
        <v>8400000</v>
      </c>
      <c r="MF23" s="5">
        <v>0</v>
      </c>
      <c r="MG23" s="5">
        <v>0</v>
      </c>
      <c r="MH23" s="5">
        <v>0</v>
      </c>
      <c r="MI23" s="5">
        <v>0</v>
      </c>
      <c r="MJ23" s="5">
        <v>0</v>
      </c>
      <c r="MK23" s="5">
        <v>0</v>
      </c>
      <c r="ML23" s="2">
        <v>0</v>
      </c>
      <c r="MM23" s="5">
        <v>0</v>
      </c>
      <c r="MN23" s="5">
        <v>0</v>
      </c>
      <c r="MO23" s="2">
        <v>0</v>
      </c>
      <c r="MP23" s="2">
        <v>0</v>
      </c>
      <c r="MQ23" s="2">
        <v>0</v>
      </c>
      <c r="MR23" s="5">
        <v>2950000</v>
      </c>
      <c r="MS23" s="5">
        <v>0</v>
      </c>
      <c r="MT23" s="5">
        <v>4600000</v>
      </c>
      <c r="MU23" s="5">
        <v>0</v>
      </c>
      <c r="MV23" s="5">
        <v>0</v>
      </c>
      <c r="MW23" s="5">
        <v>0</v>
      </c>
      <c r="MX23" s="5">
        <v>0</v>
      </c>
      <c r="MY23" s="5">
        <v>2500000</v>
      </c>
      <c r="MZ23" s="5">
        <v>0</v>
      </c>
      <c r="NA23" s="5">
        <v>5000000</v>
      </c>
      <c r="NB23" s="5">
        <v>0</v>
      </c>
      <c r="NC23" s="5">
        <v>0</v>
      </c>
      <c r="ND23" s="5">
        <v>0</v>
      </c>
      <c r="NE23" s="5">
        <v>0</v>
      </c>
      <c r="NF23" s="5">
        <v>0</v>
      </c>
      <c r="NG23" s="5">
        <v>2142000</v>
      </c>
      <c r="NH23" s="5">
        <v>2142000</v>
      </c>
      <c r="NI23" s="5">
        <v>2142000</v>
      </c>
      <c r="NJ23" s="5">
        <v>0</v>
      </c>
      <c r="NK23" s="5"/>
      <c r="NL23" s="2" t="s">
        <v>17</v>
      </c>
      <c r="NM23" s="2" t="s">
        <v>17</v>
      </c>
      <c r="NN23" s="2"/>
      <c r="NO23" s="2" t="s">
        <v>17</v>
      </c>
      <c r="NP23" s="2"/>
      <c r="NQ23" s="2"/>
      <c r="NR23" s="2" t="s">
        <v>17</v>
      </c>
      <c r="NS23" s="2"/>
      <c r="NT23" s="2" t="s">
        <v>17</v>
      </c>
      <c r="NU23" s="2"/>
      <c r="NV23" s="2"/>
      <c r="NW23" s="2"/>
      <c r="NX23" s="2" t="s">
        <v>9</v>
      </c>
      <c r="NY23" s="2" t="s">
        <v>762</v>
      </c>
      <c r="NZ23" s="2">
        <v>830.08</v>
      </c>
      <c r="OA23" s="2" t="s">
        <v>975</v>
      </c>
      <c r="OB23" s="2" t="s">
        <v>976</v>
      </c>
      <c r="OC23" s="2" t="s">
        <v>976</v>
      </c>
      <c r="OD23" s="2" t="s">
        <v>17</v>
      </c>
      <c r="OE23" s="2"/>
      <c r="OF23" s="2" t="s">
        <v>17</v>
      </c>
      <c r="OG23" s="2" t="s">
        <v>9</v>
      </c>
      <c r="OH23" s="2" t="s">
        <v>92</v>
      </c>
      <c r="OI23" s="2"/>
      <c r="OJ23" s="2"/>
      <c r="OK23" s="2" t="s">
        <v>17</v>
      </c>
      <c r="OL23" s="2" t="s">
        <v>17</v>
      </c>
      <c r="OM23" s="2" t="s">
        <v>85</v>
      </c>
      <c r="ON23" s="6">
        <v>0</v>
      </c>
      <c r="OO23" s="6">
        <v>0</v>
      </c>
      <c r="OP23" s="2" t="s">
        <v>93</v>
      </c>
      <c r="OQ23" s="2" t="s">
        <v>93</v>
      </c>
      <c r="OR23" s="6">
        <v>0</v>
      </c>
      <c r="OS23" s="4">
        <v>0</v>
      </c>
      <c r="OT23" s="2" t="s">
        <v>17</v>
      </c>
      <c r="OU23" s="2" t="s">
        <v>17</v>
      </c>
      <c r="OV23" s="2"/>
      <c r="OW23" s="2"/>
      <c r="OX23" s="5">
        <v>15430111</v>
      </c>
      <c r="OY23" s="6">
        <v>192876.39</v>
      </c>
      <c r="OZ23" s="2"/>
      <c r="PA23" s="2"/>
      <c r="PB23" s="8">
        <v>11350000</v>
      </c>
      <c r="PC23" s="2"/>
      <c r="PD23" s="8">
        <v>11350000</v>
      </c>
      <c r="PE23" s="8">
        <v>2000000</v>
      </c>
      <c r="PF23" s="2"/>
      <c r="PG23" s="8">
        <v>2000000</v>
      </c>
      <c r="PH23" s="2"/>
      <c r="PI23" s="2"/>
      <c r="PJ23" s="2"/>
      <c r="PK23" s="8">
        <v>13350000</v>
      </c>
      <c r="PL23" s="2"/>
      <c r="PM23" s="8">
        <v>13350000</v>
      </c>
      <c r="PN23" s="8">
        <v>1848000</v>
      </c>
      <c r="PO23" s="2"/>
      <c r="PP23" s="8">
        <v>1848000</v>
      </c>
      <c r="PQ23" s="6">
        <v>1869000</v>
      </c>
      <c r="PR23" s="8">
        <v>15198000</v>
      </c>
      <c r="PS23" s="2"/>
      <c r="PT23" s="8">
        <v>15198000</v>
      </c>
      <c r="PU23" s="8">
        <v>752400</v>
      </c>
      <c r="PV23" s="2"/>
      <c r="PW23" s="8">
        <v>752400</v>
      </c>
      <c r="PX23" s="6">
        <v>759900</v>
      </c>
      <c r="PY23" s="8">
        <v>851000</v>
      </c>
      <c r="PZ23" s="8">
        <v>260000</v>
      </c>
      <c r="QA23" s="8">
        <v>1111000</v>
      </c>
      <c r="QB23" s="8">
        <v>200000</v>
      </c>
      <c r="QC23" s="2"/>
      <c r="QD23" s="8">
        <v>200000</v>
      </c>
      <c r="QE23" s="8">
        <v>1205200</v>
      </c>
      <c r="QF23" s="2"/>
      <c r="QG23" s="8">
        <v>1205200</v>
      </c>
      <c r="QH23" s="2"/>
      <c r="QI23" s="8">
        <v>436398</v>
      </c>
      <c r="QJ23" s="8">
        <v>436398</v>
      </c>
      <c r="QK23" s="2"/>
      <c r="QL23" s="2"/>
      <c r="QM23" s="2"/>
      <c r="QN23" s="2"/>
      <c r="QO23" s="8">
        <v>625000</v>
      </c>
      <c r="QP23" s="8">
        <v>625000</v>
      </c>
      <c r="QQ23" s="8">
        <v>2256200</v>
      </c>
      <c r="QR23" s="8">
        <v>1321398</v>
      </c>
      <c r="QS23" s="8">
        <v>3577598</v>
      </c>
      <c r="QT23" s="2"/>
      <c r="QU23" s="8">
        <v>82840</v>
      </c>
      <c r="QV23" s="8">
        <v>82840</v>
      </c>
      <c r="QW23" s="6">
        <v>178879.9</v>
      </c>
      <c r="QX23" s="8">
        <v>711669</v>
      </c>
      <c r="QY23" s="2"/>
      <c r="QZ23" s="8">
        <v>711669</v>
      </c>
      <c r="RA23" s="8">
        <v>1005063</v>
      </c>
      <c r="RB23" s="8">
        <v>1005063</v>
      </c>
      <c r="RC23" s="2"/>
      <c r="RD23" s="8">
        <v>55000</v>
      </c>
      <c r="RE23" s="8">
        <v>55000</v>
      </c>
      <c r="RF23" s="8">
        <v>711669</v>
      </c>
      <c r="RG23" s="8">
        <v>1060063</v>
      </c>
      <c r="RH23" s="8">
        <v>1771732</v>
      </c>
      <c r="RI23" s="2"/>
      <c r="RJ23" s="2"/>
      <c r="RK23" s="2"/>
      <c r="RL23" s="2"/>
      <c r="RM23" s="8">
        <v>18918269</v>
      </c>
      <c r="RN23" s="8">
        <v>2464301</v>
      </c>
      <c r="RO23" s="8">
        <v>21382570</v>
      </c>
      <c r="RP23" s="2"/>
      <c r="RQ23" s="2"/>
      <c r="RR23" s="2">
        <v>0</v>
      </c>
      <c r="RS23" s="6">
        <v>0</v>
      </c>
      <c r="RT23" s="8">
        <v>3421211</v>
      </c>
      <c r="RU23" s="2"/>
      <c r="RV23" s="8">
        <v>3421211</v>
      </c>
      <c r="RW23" s="6">
        <v>3421211</v>
      </c>
      <c r="RX23" s="6">
        <v>0</v>
      </c>
      <c r="RY23" s="8">
        <v>3421211</v>
      </c>
      <c r="RZ23" s="2"/>
      <c r="SA23" s="8">
        <v>3421211</v>
      </c>
      <c r="SB23" s="6">
        <v>3421211</v>
      </c>
      <c r="SC23" s="8">
        <v>240000</v>
      </c>
      <c r="SD23" s="8">
        <v>240000</v>
      </c>
      <c r="SE23" s="6">
        <v>280000</v>
      </c>
      <c r="SF23" s="8">
        <v>1350000</v>
      </c>
      <c r="SG23" s="8">
        <v>1350000</v>
      </c>
      <c r="SH23" s="8">
        <v>22339480</v>
      </c>
      <c r="SI23" s="8">
        <v>4054301</v>
      </c>
      <c r="SJ23" s="8">
        <v>26393781</v>
      </c>
      <c r="SK23" s="2" t="s">
        <v>229</v>
      </c>
      <c r="SL23" s="2"/>
      <c r="SM23" s="2" t="s">
        <v>1441</v>
      </c>
      <c r="SN23" s="2" t="s">
        <v>1442</v>
      </c>
      <c r="SO23" s="2"/>
      <c r="SP23" s="8">
        <v>21000000</v>
      </c>
      <c r="SQ23" s="2" t="s">
        <v>95</v>
      </c>
      <c r="SR23" s="2"/>
      <c r="SS23" s="2"/>
      <c r="ST23" s="2"/>
      <c r="SU23" s="2"/>
      <c r="SV23" s="2"/>
      <c r="SW23" s="2"/>
      <c r="SX23" s="2" t="s">
        <v>96</v>
      </c>
      <c r="SY23" s="2" t="s">
        <v>96</v>
      </c>
      <c r="SZ23" s="2" t="s">
        <v>96</v>
      </c>
      <c r="TA23" s="2" t="s">
        <v>96</v>
      </c>
      <c r="TB23" s="8">
        <v>3855214</v>
      </c>
      <c r="TC23" s="2"/>
      <c r="TD23" s="2"/>
      <c r="TE23" s="2"/>
      <c r="TF23" s="2"/>
      <c r="TG23" s="2"/>
      <c r="TH23" s="2"/>
      <c r="TI23" s="8">
        <v>1538567</v>
      </c>
      <c r="TJ23" s="8">
        <v>26393781</v>
      </c>
      <c r="TK23" s="2">
        <v>0</v>
      </c>
      <c r="TL23" s="2" t="s">
        <v>9</v>
      </c>
      <c r="TM23" s="8">
        <v>6000000</v>
      </c>
      <c r="TN23" s="2" t="s">
        <v>95</v>
      </c>
      <c r="TO23" s="2"/>
      <c r="TP23" s="2"/>
      <c r="TQ23" s="2"/>
      <c r="TR23" s="2"/>
      <c r="TS23" s="2"/>
      <c r="TT23" s="2"/>
      <c r="TU23" s="2" t="s">
        <v>96</v>
      </c>
      <c r="TV23" s="8">
        <v>19276072</v>
      </c>
      <c r="TW23" s="2"/>
      <c r="TX23" s="2"/>
      <c r="TY23" s="2"/>
      <c r="TZ23" s="2"/>
      <c r="UA23" s="2"/>
      <c r="UB23" s="2"/>
      <c r="UC23" s="8">
        <v>1117709</v>
      </c>
      <c r="UD23" s="8">
        <v>26393781</v>
      </c>
      <c r="UE23" s="6">
        <v>6000000</v>
      </c>
      <c r="UF23" s="2">
        <v>0</v>
      </c>
      <c r="UG23" s="2" t="s">
        <v>9</v>
      </c>
      <c r="UH23" s="2">
        <v>80</v>
      </c>
      <c r="UI23" s="5">
        <v>240000</v>
      </c>
      <c r="UJ23" s="6">
        <v>320000</v>
      </c>
      <c r="UK23" s="6">
        <v>320000</v>
      </c>
      <c r="UL23" s="6">
        <v>339200</v>
      </c>
      <c r="UM23" s="6">
        <v>27136000</v>
      </c>
      <c r="UN23" s="6">
        <v>4341760</v>
      </c>
      <c r="UO23" s="6">
        <v>4341760</v>
      </c>
      <c r="UP23" s="6">
        <v>31477760</v>
      </c>
      <c r="UQ23" s="6">
        <v>24803781</v>
      </c>
      <c r="UR23" s="2"/>
      <c r="US23" s="2"/>
      <c r="UT23" s="6">
        <v>0</v>
      </c>
      <c r="UU23" s="2"/>
      <c r="UV23" s="6">
        <v>0</v>
      </c>
      <c r="UW23" s="6">
        <v>0</v>
      </c>
      <c r="UX23" s="6">
        <v>0</v>
      </c>
      <c r="UY23" s="6">
        <v>0</v>
      </c>
      <c r="UZ23" s="2"/>
      <c r="VA23" s="2"/>
      <c r="VB23" s="2"/>
      <c r="VC23" s="2"/>
      <c r="VD23" s="2"/>
      <c r="VE23" s="2" t="s">
        <v>17</v>
      </c>
      <c r="VF23" s="2"/>
      <c r="VG23" s="2" t="s">
        <v>17</v>
      </c>
      <c r="VH23" s="2"/>
      <c r="VI23" s="388" t="s">
        <v>1408</v>
      </c>
      <c r="VJ23" s="2" t="s">
        <v>98</v>
      </c>
      <c r="VK23" s="2" t="s">
        <v>1515</v>
      </c>
      <c r="VL23" s="23">
        <f t="shared" si="0"/>
        <v>160</v>
      </c>
      <c r="VM23" s="17">
        <f t="shared" si="1"/>
        <v>2</v>
      </c>
      <c r="VN23" s="17" t="str">
        <f t="shared" si="12"/>
        <v>NC-GA-F</v>
      </c>
      <c r="VO23" s="17" t="str">
        <f t="shared" si="13"/>
        <v>NC-GA-F-ESS</v>
      </c>
      <c r="VP23" s="12">
        <v>9</v>
      </c>
      <c r="VQ23" s="57">
        <v>1</v>
      </c>
      <c r="VR23" s="57">
        <f t="shared" si="2"/>
        <v>1</v>
      </c>
      <c r="VS23" s="14">
        <f t="shared" si="3"/>
        <v>1</v>
      </c>
      <c r="VT23" s="12">
        <f t="shared" si="4"/>
        <v>0.93</v>
      </c>
      <c r="VU23" s="16">
        <f t="shared" si="5"/>
        <v>17928540</v>
      </c>
      <c r="VV23" s="16">
        <f t="shared" si="6"/>
        <v>224106.75</v>
      </c>
      <c r="VW23" s="12" t="str">
        <f t="shared" si="14"/>
        <v>A</v>
      </c>
      <c r="VX23" s="12" t="str">
        <f t="shared" si="15"/>
        <v>NC-GA-ESS</v>
      </c>
      <c r="VY23" s="351">
        <f t="shared" si="16"/>
        <v>3</v>
      </c>
      <c r="WA23" s="12">
        <f t="shared" si="17"/>
        <v>0</v>
      </c>
      <c r="WB23" s="12">
        <f t="shared" si="18"/>
        <v>0</v>
      </c>
      <c r="WC23" s="12">
        <f t="shared" si="18"/>
        <v>0</v>
      </c>
      <c r="WD23" s="12">
        <f t="shared" si="18"/>
        <v>0</v>
      </c>
      <c r="WE23" s="12">
        <f t="shared" si="19"/>
        <v>1</v>
      </c>
      <c r="WF23" s="12">
        <f t="shared" si="7"/>
        <v>1</v>
      </c>
      <c r="WG23" s="12">
        <f t="shared" si="8"/>
        <v>0</v>
      </c>
      <c r="WH23" s="12">
        <f t="shared" si="9"/>
        <v>0</v>
      </c>
      <c r="WI23" s="31">
        <f t="shared" si="10"/>
        <v>2</v>
      </c>
      <c r="WJ23" s="2"/>
      <c r="WK23" s="443" t="str">
        <f t="shared" si="20"/>
        <v>NC-GA-ESS-BBN-BRN-NPH-F</v>
      </c>
      <c r="WL23" s="443"/>
      <c r="WM23" s="443"/>
    </row>
    <row r="24" spans="1:611" x14ac:dyDescent="0.25">
      <c r="A24" s="2">
        <v>9349</v>
      </c>
      <c r="B24" s="2" t="s">
        <v>7</v>
      </c>
      <c r="C24" s="2" t="s">
        <v>8</v>
      </c>
      <c r="D24" s="3">
        <v>45135</v>
      </c>
      <c r="E24" s="2" t="s">
        <v>9</v>
      </c>
      <c r="F24" s="2">
        <v>3</v>
      </c>
      <c r="G24" s="2" t="s">
        <v>9</v>
      </c>
      <c r="H24" s="2">
        <v>3</v>
      </c>
      <c r="I24" s="2" t="s">
        <v>9</v>
      </c>
      <c r="J24" s="2">
        <v>3</v>
      </c>
      <c r="K24" s="2" t="s">
        <v>9</v>
      </c>
      <c r="L24" s="2">
        <v>3</v>
      </c>
      <c r="M24" s="2" t="s">
        <v>10</v>
      </c>
      <c r="N24" s="2">
        <v>0</v>
      </c>
      <c r="O24" s="2" t="s">
        <v>10</v>
      </c>
      <c r="P24" s="2">
        <v>0</v>
      </c>
      <c r="Q24" s="2" t="s">
        <v>11</v>
      </c>
      <c r="R24" s="2">
        <v>0</v>
      </c>
      <c r="S24" s="2" t="s">
        <v>9</v>
      </c>
      <c r="T24" s="2">
        <v>2</v>
      </c>
      <c r="U24" s="2" t="s">
        <v>9</v>
      </c>
      <c r="V24" s="2">
        <v>2</v>
      </c>
      <c r="W24" s="2" t="s">
        <v>9</v>
      </c>
      <c r="X24" s="2">
        <v>2</v>
      </c>
      <c r="Y24" s="2" t="s">
        <v>12</v>
      </c>
      <c r="Z24" s="2" t="s">
        <v>13</v>
      </c>
      <c r="AA24" s="2" t="s">
        <v>14</v>
      </c>
      <c r="AB24" s="2" t="s">
        <v>15</v>
      </c>
      <c r="AC24" s="2" t="s">
        <v>15</v>
      </c>
      <c r="AD24" s="2" t="s">
        <v>15</v>
      </c>
      <c r="AE24" s="2" t="s">
        <v>15</v>
      </c>
      <c r="AF24" s="2">
        <v>2</v>
      </c>
      <c r="AG24" s="2" t="s">
        <v>16</v>
      </c>
      <c r="AH24" s="2" t="s">
        <v>17</v>
      </c>
      <c r="AI24" s="4">
        <v>0.15556</v>
      </c>
      <c r="AJ24" s="2" t="s">
        <v>17</v>
      </c>
      <c r="AK24" s="2" t="s">
        <v>9</v>
      </c>
      <c r="AL24" s="2" t="s">
        <v>17</v>
      </c>
      <c r="AM24" s="2" t="s">
        <v>17</v>
      </c>
      <c r="AN24" s="2" t="s">
        <v>17</v>
      </c>
      <c r="AO24" s="2" t="s">
        <v>17</v>
      </c>
      <c r="AP24" s="2" t="s">
        <v>9</v>
      </c>
      <c r="AQ24" s="2" t="s">
        <v>17</v>
      </c>
      <c r="AR24" s="2" t="s">
        <v>17</v>
      </c>
      <c r="AS24" s="2" t="s">
        <v>17</v>
      </c>
      <c r="AT24" s="2">
        <v>0</v>
      </c>
      <c r="AU24" s="5">
        <v>37500</v>
      </c>
      <c r="AV24" s="5">
        <v>460000</v>
      </c>
      <c r="AW24" s="2">
        <v>0</v>
      </c>
      <c r="AX24" s="2">
        <v>11</v>
      </c>
      <c r="AY24" s="2">
        <v>0</v>
      </c>
      <c r="AZ24" s="2">
        <v>18</v>
      </c>
      <c r="BA24" s="2">
        <v>0</v>
      </c>
      <c r="BB24" s="2">
        <v>1</v>
      </c>
      <c r="BC24" s="2">
        <v>1</v>
      </c>
      <c r="BD24" s="2">
        <v>0</v>
      </c>
      <c r="BE24" s="2">
        <v>0</v>
      </c>
      <c r="BF24" s="2">
        <v>1</v>
      </c>
      <c r="BG24" s="2">
        <v>0</v>
      </c>
      <c r="BH24" s="2">
        <v>0</v>
      </c>
      <c r="BI24" s="2">
        <v>13</v>
      </c>
      <c r="BJ24" s="2">
        <v>1</v>
      </c>
      <c r="BK24" s="2">
        <v>0</v>
      </c>
      <c r="BL24" s="2">
        <v>3</v>
      </c>
      <c r="BM24" s="2">
        <v>0</v>
      </c>
      <c r="BN24" s="2">
        <v>12</v>
      </c>
      <c r="BO24" s="2">
        <v>11</v>
      </c>
      <c r="BP24" s="2">
        <v>0</v>
      </c>
      <c r="BQ24" s="2">
        <v>10</v>
      </c>
      <c r="BR24" s="2">
        <v>13.95</v>
      </c>
      <c r="BS24" s="2">
        <v>0</v>
      </c>
      <c r="BT24" s="4">
        <v>0.06</v>
      </c>
      <c r="BU24" s="2" t="s">
        <v>9</v>
      </c>
      <c r="BV24" s="6">
        <v>194120</v>
      </c>
      <c r="BW24" s="2" t="s">
        <v>18</v>
      </c>
      <c r="BX24" s="2" t="s">
        <v>17</v>
      </c>
      <c r="BY24" s="2" t="s">
        <v>17</v>
      </c>
      <c r="BZ24" s="2" t="s">
        <v>17</v>
      </c>
      <c r="CA24" s="2" t="s">
        <v>17</v>
      </c>
      <c r="CB24" s="2" t="s">
        <v>17</v>
      </c>
      <c r="CC24" s="2" t="s">
        <v>17</v>
      </c>
      <c r="CD24" s="2" t="s">
        <v>17</v>
      </c>
      <c r="CE24" s="2" t="s">
        <v>19</v>
      </c>
      <c r="CF24" s="2" t="s">
        <v>9</v>
      </c>
      <c r="CG24" s="2" t="s">
        <v>20</v>
      </c>
      <c r="CH24" s="2"/>
      <c r="CI24" s="2"/>
      <c r="CJ24" s="2" t="s">
        <v>9</v>
      </c>
      <c r="CK24" s="2" t="s">
        <v>21</v>
      </c>
      <c r="CL24" s="2" t="s">
        <v>20</v>
      </c>
      <c r="CM24" s="2" t="s">
        <v>22</v>
      </c>
      <c r="CN24" s="2" t="s">
        <v>23</v>
      </c>
      <c r="CO24" s="2" t="s">
        <v>24</v>
      </c>
      <c r="CP24" s="2"/>
      <c r="CQ24" s="2">
        <v>90</v>
      </c>
      <c r="CR24" s="2" t="s">
        <v>25</v>
      </c>
      <c r="CS24" s="2">
        <v>2017</v>
      </c>
      <c r="CT24" s="2" t="s">
        <v>26</v>
      </c>
      <c r="CU24" s="2" t="s">
        <v>27</v>
      </c>
      <c r="CV24" s="2" t="s">
        <v>28</v>
      </c>
      <c r="CW24" s="2" t="s">
        <v>29</v>
      </c>
      <c r="CX24" s="2" t="s">
        <v>24</v>
      </c>
      <c r="CY24" s="2"/>
      <c r="CZ24" s="2">
        <v>69</v>
      </c>
      <c r="DA24" s="2" t="s">
        <v>25</v>
      </c>
      <c r="DB24" s="2">
        <v>2016</v>
      </c>
      <c r="DC24" s="2" t="s">
        <v>30</v>
      </c>
      <c r="DD24" s="2" t="s">
        <v>27</v>
      </c>
      <c r="DE24" s="2" t="s">
        <v>31</v>
      </c>
      <c r="DF24" s="2" t="s">
        <v>32</v>
      </c>
      <c r="DG24" s="2" t="s">
        <v>24</v>
      </c>
      <c r="DH24" s="2"/>
      <c r="DI24" s="2">
        <v>76</v>
      </c>
      <c r="DJ24" s="2" t="s">
        <v>25</v>
      </c>
      <c r="DK24" s="2">
        <v>2016</v>
      </c>
      <c r="DL24" s="2" t="s">
        <v>30</v>
      </c>
      <c r="DM24" s="2" t="s">
        <v>27</v>
      </c>
      <c r="DN24" s="2" t="s">
        <v>33</v>
      </c>
      <c r="DO24" s="2" t="s">
        <v>34</v>
      </c>
      <c r="DP24" s="2"/>
      <c r="DQ24" s="2" t="s">
        <v>35</v>
      </c>
      <c r="DR24" s="2" t="s">
        <v>36</v>
      </c>
      <c r="DS24" s="2">
        <v>1</v>
      </c>
      <c r="DT24" s="2" t="s">
        <v>37</v>
      </c>
      <c r="DU24" s="2" t="s">
        <v>38</v>
      </c>
      <c r="DV24" s="2" t="s">
        <v>39</v>
      </c>
      <c r="DW24" s="2">
        <v>32405</v>
      </c>
      <c r="DX24" s="2" t="s">
        <v>40</v>
      </c>
      <c r="DY24" s="2"/>
      <c r="DZ24" s="2" t="s">
        <v>41</v>
      </c>
      <c r="EA24" s="2" t="s">
        <v>36</v>
      </c>
      <c r="EB24" s="2" t="s">
        <v>42</v>
      </c>
      <c r="EC24" s="2" t="s">
        <v>43</v>
      </c>
      <c r="ED24" s="2" t="s">
        <v>44</v>
      </c>
      <c r="EE24" s="2">
        <v>84</v>
      </c>
      <c r="EF24" s="2" t="s">
        <v>45</v>
      </c>
      <c r="EG24" s="2">
        <v>6</v>
      </c>
      <c r="EH24" s="2" t="s">
        <v>46</v>
      </c>
      <c r="EI24" s="2" t="s">
        <v>47</v>
      </c>
      <c r="EJ24" s="2" t="s">
        <v>48</v>
      </c>
      <c r="EK24" s="2" t="s">
        <v>49</v>
      </c>
      <c r="EL24" s="2" t="s">
        <v>44</v>
      </c>
      <c r="EM24" s="2">
        <v>112</v>
      </c>
      <c r="EN24" s="2" t="s">
        <v>45</v>
      </c>
      <c r="EO24" s="2">
        <v>5</v>
      </c>
      <c r="EP24" s="2" t="s">
        <v>46</v>
      </c>
      <c r="EQ24" s="2" t="s">
        <v>47</v>
      </c>
      <c r="ER24" s="2" t="s">
        <v>50</v>
      </c>
      <c r="ES24" s="2"/>
      <c r="ET24" s="2" t="s">
        <v>51</v>
      </c>
      <c r="EU24" s="2" t="s">
        <v>52</v>
      </c>
      <c r="EV24" s="2" t="s">
        <v>53</v>
      </c>
      <c r="EW24" s="2" t="s">
        <v>54</v>
      </c>
      <c r="EX24" s="2" t="s">
        <v>55</v>
      </c>
      <c r="EY24" s="2">
        <v>91730</v>
      </c>
      <c r="EZ24" s="2" t="s">
        <v>56</v>
      </c>
      <c r="FA24" s="2"/>
      <c r="FB24" s="2" t="s">
        <v>57</v>
      </c>
      <c r="FC24" s="2" t="s">
        <v>58</v>
      </c>
      <c r="FD24" s="2"/>
      <c r="FE24" s="2" t="s">
        <v>59</v>
      </c>
      <c r="FF24" s="2" t="s">
        <v>52</v>
      </c>
      <c r="FG24" s="2" t="s">
        <v>53</v>
      </c>
      <c r="FH24" s="2" t="s">
        <v>54</v>
      </c>
      <c r="FI24" s="2" t="s">
        <v>55</v>
      </c>
      <c r="FJ24" s="2">
        <v>91730</v>
      </c>
      <c r="FK24" s="2" t="s">
        <v>60</v>
      </c>
      <c r="FL24" s="2"/>
      <c r="FM24" s="2" t="s">
        <v>61</v>
      </c>
      <c r="FN24" s="2" t="s">
        <v>62</v>
      </c>
      <c r="FO24" s="2" t="s">
        <v>63</v>
      </c>
      <c r="FP24" s="2" t="s">
        <v>64</v>
      </c>
      <c r="FQ24" s="2" t="s">
        <v>9</v>
      </c>
      <c r="FR24" s="2" t="s">
        <v>17</v>
      </c>
      <c r="FS24" s="2" t="s">
        <v>17</v>
      </c>
      <c r="FT24" s="2" t="s">
        <v>9</v>
      </c>
      <c r="FU24" s="2">
        <v>0</v>
      </c>
      <c r="FV24" s="2">
        <v>0</v>
      </c>
      <c r="FW24" s="4">
        <v>0</v>
      </c>
      <c r="FX24" s="4">
        <v>0</v>
      </c>
      <c r="FY24" s="2" t="s">
        <v>65</v>
      </c>
      <c r="FZ24" s="2" t="s">
        <v>66</v>
      </c>
      <c r="GA24" s="2" t="s">
        <v>67</v>
      </c>
      <c r="GB24" s="2"/>
      <c r="GC24" s="2"/>
      <c r="GD24" s="2"/>
      <c r="GE24" s="2" t="s">
        <v>68</v>
      </c>
      <c r="GF24" s="2"/>
      <c r="GG24" s="2"/>
      <c r="GH24" s="2">
        <v>90</v>
      </c>
      <c r="GI24" s="2"/>
      <c r="GJ24" s="2"/>
      <c r="GK24" s="2"/>
      <c r="GL24" s="2"/>
      <c r="GM24" s="2"/>
      <c r="GN24" s="2"/>
      <c r="GO24" s="2"/>
      <c r="GP24" s="2"/>
      <c r="GQ24" s="2">
        <v>90</v>
      </c>
      <c r="GR24" s="2" t="s">
        <v>69</v>
      </c>
      <c r="GS24" s="2" t="s">
        <v>70</v>
      </c>
      <c r="GT24" s="2" t="s">
        <v>71</v>
      </c>
      <c r="GU24" s="2" t="s">
        <v>72</v>
      </c>
      <c r="GV24" s="2" t="s">
        <v>17</v>
      </c>
      <c r="GW24" s="2">
        <v>29.711957999999999</v>
      </c>
      <c r="GX24" s="2">
        <v>-82.360568000000001</v>
      </c>
      <c r="GY24" s="2"/>
      <c r="GZ24" s="2" t="s">
        <v>17</v>
      </c>
      <c r="HA24" s="2" t="s">
        <v>17</v>
      </c>
      <c r="HB24" s="2">
        <v>0</v>
      </c>
      <c r="HC24" s="2" t="s">
        <v>17</v>
      </c>
      <c r="HD24" s="2"/>
      <c r="HE24" s="2">
        <v>0</v>
      </c>
      <c r="HF24" s="2">
        <v>29.711334999999998</v>
      </c>
      <c r="HG24" s="2">
        <v>-82.360174000000001</v>
      </c>
      <c r="HH24" s="2">
        <v>0.05</v>
      </c>
      <c r="HI24" s="2">
        <v>3</v>
      </c>
      <c r="HJ24" s="2">
        <v>29.709899</v>
      </c>
      <c r="HK24" s="2">
        <v>-82.355846999999997</v>
      </c>
      <c r="HL24" s="2">
        <v>0.32</v>
      </c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 t="s">
        <v>73</v>
      </c>
      <c r="HY24" s="2" t="s">
        <v>17</v>
      </c>
      <c r="HZ24" s="2"/>
      <c r="IA24" s="2" t="s">
        <v>74</v>
      </c>
      <c r="IB24" s="2" t="s">
        <v>75</v>
      </c>
      <c r="IC24" s="2">
        <v>0.3</v>
      </c>
      <c r="ID24" s="2">
        <v>4</v>
      </c>
      <c r="IE24" s="2"/>
      <c r="IF24" s="2"/>
      <c r="IG24" s="2"/>
      <c r="IH24" s="2" t="s">
        <v>76</v>
      </c>
      <c r="II24" s="2">
        <v>0.3</v>
      </c>
      <c r="IJ24" s="2">
        <v>4</v>
      </c>
      <c r="IK24" s="2" t="s">
        <v>77</v>
      </c>
      <c r="IL24" s="2" t="s">
        <v>78</v>
      </c>
      <c r="IM24" s="2">
        <v>1.18</v>
      </c>
      <c r="IN24" s="2">
        <v>2.5</v>
      </c>
      <c r="IO24" s="2" t="s">
        <v>17</v>
      </c>
      <c r="IP24" s="2">
        <v>3</v>
      </c>
      <c r="IQ24" s="2">
        <v>10.5</v>
      </c>
      <c r="IR24" s="2">
        <v>0</v>
      </c>
      <c r="IS24" s="2">
        <v>13.5</v>
      </c>
      <c r="IT24" s="2" t="s">
        <v>17</v>
      </c>
      <c r="IU24" s="2" t="s">
        <v>17</v>
      </c>
      <c r="IV24" s="2" t="s">
        <v>17</v>
      </c>
      <c r="IW24" s="2" t="s">
        <v>9</v>
      </c>
      <c r="IX24" s="2" t="s">
        <v>9</v>
      </c>
      <c r="IY24" s="2">
        <v>13.5</v>
      </c>
      <c r="IZ24" s="2">
        <v>90</v>
      </c>
      <c r="JA24" s="2" t="s">
        <v>81</v>
      </c>
      <c r="JB24" s="2" t="s">
        <v>82</v>
      </c>
      <c r="JC24" s="2"/>
      <c r="JD24" s="2"/>
      <c r="JE24" s="2"/>
      <c r="JF24" s="2"/>
      <c r="JG24" s="2"/>
      <c r="JH24" s="7">
        <v>0</v>
      </c>
      <c r="JI24" s="2">
        <v>0</v>
      </c>
      <c r="JJ24" s="7">
        <v>0</v>
      </c>
      <c r="JK24" s="2">
        <v>0</v>
      </c>
      <c r="JL24" s="7">
        <v>0</v>
      </c>
      <c r="JM24" s="2">
        <v>14</v>
      </c>
      <c r="JN24" s="2"/>
      <c r="JO24" s="2"/>
      <c r="JP24" s="2">
        <v>46</v>
      </c>
      <c r="JQ24" s="2">
        <v>18</v>
      </c>
      <c r="JR24" s="2">
        <v>12</v>
      </c>
      <c r="JS24" s="2">
        <v>0</v>
      </c>
      <c r="JT24" s="2">
        <v>0</v>
      </c>
      <c r="JU24" s="2"/>
      <c r="JV24" s="2">
        <v>90</v>
      </c>
      <c r="JW24" s="4">
        <v>1</v>
      </c>
      <c r="JX24" s="2">
        <v>90</v>
      </c>
      <c r="JY24" s="4">
        <v>0.6</v>
      </c>
      <c r="JZ24" s="2">
        <v>0</v>
      </c>
      <c r="KA24" s="2"/>
      <c r="KB24" s="2"/>
      <c r="KC24" s="2"/>
      <c r="KD24" s="2"/>
      <c r="KE24" s="2"/>
      <c r="KF24" s="2"/>
      <c r="KG24" s="2"/>
      <c r="KH24" s="2">
        <v>30</v>
      </c>
      <c r="KI24" s="2">
        <v>48</v>
      </c>
      <c r="KJ24" s="2"/>
      <c r="KK24" s="2"/>
      <c r="KL24" s="2">
        <v>12</v>
      </c>
      <c r="KM24" s="2"/>
      <c r="KN24" s="2"/>
      <c r="KO24" s="2"/>
      <c r="KP24" s="2"/>
      <c r="KQ24" s="2" t="s">
        <v>83</v>
      </c>
      <c r="KR24" s="2" t="s">
        <v>73</v>
      </c>
      <c r="KS24" s="2"/>
      <c r="KT24" s="2">
        <v>3</v>
      </c>
      <c r="KU24" s="2" t="s">
        <v>84</v>
      </c>
      <c r="KV24" s="2" t="s">
        <v>85</v>
      </c>
      <c r="KW24" s="2" t="s">
        <v>86</v>
      </c>
      <c r="KX24" s="2" t="s">
        <v>17</v>
      </c>
      <c r="KY24" s="2" t="s">
        <v>17</v>
      </c>
      <c r="KZ24" s="2" t="s">
        <v>17</v>
      </c>
      <c r="LA24" s="2" t="s">
        <v>17</v>
      </c>
      <c r="LB24" s="2" t="s">
        <v>17</v>
      </c>
      <c r="LC24" s="2" t="s">
        <v>17</v>
      </c>
      <c r="LD24" s="2" t="s">
        <v>17</v>
      </c>
      <c r="LE24" s="2" t="s">
        <v>17</v>
      </c>
      <c r="LF24" s="2" t="s">
        <v>17</v>
      </c>
      <c r="LG24" s="2" t="s">
        <v>17</v>
      </c>
      <c r="LH24" s="2" t="s">
        <v>17</v>
      </c>
      <c r="LI24" s="2" t="s">
        <v>17</v>
      </c>
      <c r="LJ24" s="2" t="s">
        <v>87</v>
      </c>
      <c r="LK24" s="2" t="s">
        <v>17</v>
      </c>
      <c r="LL24" s="2" t="s">
        <v>17</v>
      </c>
      <c r="LM24" s="2">
        <v>0</v>
      </c>
      <c r="LN24" s="2" t="s">
        <v>17</v>
      </c>
      <c r="LO24" s="2" t="s">
        <v>9</v>
      </c>
      <c r="LP24" s="2" t="s">
        <v>9</v>
      </c>
      <c r="LQ24" s="2" t="s">
        <v>17</v>
      </c>
      <c r="LR24" s="2" t="s">
        <v>9</v>
      </c>
      <c r="LS24" s="2" t="s">
        <v>17</v>
      </c>
      <c r="LT24" s="2" t="s">
        <v>17</v>
      </c>
      <c r="LU24" s="2" t="s">
        <v>17</v>
      </c>
      <c r="LV24" s="2" t="s">
        <v>17</v>
      </c>
      <c r="LW24" s="2" t="s">
        <v>17</v>
      </c>
      <c r="LX24" s="2" t="s">
        <v>17</v>
      </c>
      <c r="LY24" s="5">
        <v>6500000</v>
      </c>
      <c r="LZ24" s="5">
        <v>0</v>
      </c>
      <c r="MA24" s="5">
        <v>7200000</v>
      </c>
      <c r="MB24" s="5">
        <v>0</v>
      </c>
      <c r="MC24" s="5">
        <v>0</v>
      </c>
      <c r="MD24" s="5">
        <v>0</v>
      </c>
      <c r="ME24" s="5">
        <v>9450000</v>
      </c>
      <c r="MF24" s="5">
        <v>0</v>
      </c>
      <c r="MG24" s="5">
        <v>0</v>
      </c>
      <c r="MH24" s="5">
        <v>0</v>
      </c>
      <c r="MI24" s="5">
        <v>0</v>
      </c>
      <c r="MJ24" s="5">
        <v>0</v>
      </c>
      <c r="MK24" s="5">
        <v>0</v>
      </c>
      <c r="ML24" s="2">
        <v>0</v>
      </c>
      <c r="MM24" s="5">
        <v>0</v>
      </c>
      <c r="MN24" s="5">
        <v>0</v>
      </c>
      <c r="MO24" s="2">
        <v>0</v>
      </c>
      <c r="MP24" s="2">
        <v>0</v>
      </c>
      <c r="MQ24" s="2">
        <v>0</v>
      </c>
      <c r="MR24" s="5">
        <v>2950000</v>
      </c>
      <c r="MS24" s="5">
        <v>0</v>
      </c>
      <c r="MT24" s="5">
        <v>4600000</v>
      </c>
      <c r="MU24" s="5">
        <v>0</v>
      </c>
      <c r="MV24" s="5">
        <v>0</v>
      </c>
      <c r="MW24" s="5">
        <v>0</v>
      </c>
      <c r="MX24" s="5">
        <v>0</v>
      </c>
      <c r="MY24" s="5">
        <v>2500000</v>
      </c>
      <c r="MZ24" s="5">
        <v>0</v>
      </c>
      <c r="NA24" s="5">
        <v>5000000</v>
      </c>
      <c r="NB24" s="5">
        <v>0</v>
      </c>
      <c r="NC24" s="5">
        <v>0</v>
      </c>
      <c r="ND24" s="5">
        <v>0</v>
      </c>
      <c r="NE24" s="5">
        <v>0</v>
      </c>
      <c r="NF24" s="5">
        <v>0</v>
      </c>
      <c r="NG24" s="5">
        <v>2142000</v>
      </c>
      <c r="NH24" s="5">
        <v>2110000</v>
      </c>
      <c r="NI24" s="5">
        <v>2110000</v>
      </c>
      <c r="NJ24" s="5">
        <v>0</v>
      </c>
      <c r="NK24" s="5"/>
      <c r="NL24" s="2" t="s">
        <v>17</v>
      </c>
      <c r="NM24" s="2" t="s">
        <v>17</v>
      </c>
      <c r="NN24" s="2"/>
      <c r="NO24" s="2" t="s">
        <v>17</v>
      </c>
      <c r="NP24" s="2"/>
      <c r="NQ24" s="2"/>
      <c r="NR24" s="2" t="s">
        <v>17</v>
      </c>
      <c r="NS24" s="2"/>
      <c r="NT24" s="2" t="s">
        <v>17</v>
      </c>
      <c r="NU24" s="2"/>
      <c r="NV24" s="2"/>
      <c r="NW24" s="2"/>
      <c r="NX24" s="2" t="s">
        <v>9</v>
      </c>
      <c r="NY24" s="2" t="s">
        <v>88</v>
      </c>
      <c r="NZ24" s="2">
        <v>18.03</v>
      </c>
      <c r="OA24" s="2" t="s">
        <v>89</v>
      </c>
      <c r="OB24" s="2" t="s">
        <v>90</v>
      </c>
      <c r="OC24" s="2" t="s">
        <v>90</v>
      </c>
      <c r="OD24" s="2" t="s">
        <v>17</v>
      </c>
      <c r="OE24" s="2" t="s">
        <v>91</v>
      </c>
      <c r="OF24" s="2" t="s">
        <v>17</v>
      </c>
      <c r="OG24" s="2" t="s">
        <v>9</v>
      </c>
      <c r="OH24" s="2" t="s">
        <v>92</v>
      </c>
      <c r="OI24" s="2"/>
      <c r="OJ24" s="2"/>
      <c r="OK24" s="2" t="s">
        <v>17</v>
      </c>
      <c r="OL24" s="2" t="s">
        <v>17</v>
      </c>
      <c r="OM24" s="2" t="s">
        <v>85</v>
      </c>
      <c r="ON24" s="6">
        <v>0</v>
      </c>
      <c r="OO24" s="6">
        <v>0</v>
      </c>
      <c r="OP24" s="2" t="s">
        <v>93</v>
      </c>
      <c r="OQ24" s="2" t="s">
        <v>93</v>
      </c>
      <c r="OR24" s="6">
        <v>0</v>
      </c>
      <c r="OS24" s="4">
        <v>0</v>
      </c>
      <c r="OT24" s="2" t="s">
        <v>17</v>
      </c>
      <c r="OU24" s="2" t="s">
        <v>17</v>
      </c>
      <c r="OV24" s="2"/>
      <c r="OW24" s="2"/>
      <c r="OX24" s="5">
        <v>17470800</v>
      </c>
      <c r="OY24" s="6">
        <v>194120</v>
      </c>
      <c r="OZ24" s="2"/>
      <c r="PA24" s="2"/>
      <c r="PB24" s="8">
        <v>13610200</v>
      </c>
      <c r="PC24" s="2"/>
      <c r="PD24" s="8">
        <v>13610200</v>
      </c>
      <c r="PE24" s="2"/>
      <c r="PF24" s="2"/>
      <c r="PG24" s="2"/>
      <c r="PH24" s="2"/>
      <c r="PI24" s="2"/>
      <c r="PJ24" s="2"/>
      <c r="PK24" s="8">
        <v>13610200</v>
      </c>
      <c r="PL24" s="2"/>
      <c r="PM24" s="8">
        <v>13610200</v>
      </c>
      <c r="PN24" s="8">
        <v>1905428</v>
      </c>
      <c r="PO24" s="2"/>
      <c r="PP24" s="8">
        <v>1905428</v>
      </c>
      <c r="PQ24" s="6">
        <v>1905428</v>
      </c>
      <c r="PR24" s="8">
        <v>15515628</v>
      </c>
      <c r="PS24" s="2"/>
      <c r="PT24" s="8">
        <v>15515628</v>
      </c>
      <c r="PU24" s="8">
        <v>775781</v>
      </c>
      <c r="PV24" s="2"/>
      <c r="PW24" s="8">
        <v>775781</v>
      </c>
      <c r="PX24" s="6">
        <v>775781.4</v>
      </c>
      <c r="PY24" s="8">
        <v>972309</v>
      </c>
      <c r="PZ24" s="8">
        <v>50000</v>
      </c>
      <c r="QA24" s="8">
        <v>1022309</v>
      </c>
      <c r="QB24" s="8">
        <v>286740</v>
      </c>
      <c r="QC24" s="2"/>
      <c r="QD24" s="8">
        <v>286740</v>
      </c>
      <c r="QE24" s="8">
        <v>540000</v>
      </c>
      <c r="QF24" s="2"/>
      <c r="QG24" s="8">
        <v>540000</v>
      </c>
      <c r="QH24" s="2"/>
      <c r="QI24" s="8">
        <v>339050</v>
      </c>
      <c r="QJ24" s="8">
        <v>339050</v>
      </c>
      <c r="QK24" s="2"/>
      <c r="QL24" s="2"/>
      <c r="QM24" s="2"/>
      <c r="QN24" s="2"/>
      <c r="QO24" s="8">
        <v>50000</v>
      </c>
      <c r="QP24" s="8">
        <v>50000</v>
      </c>
      <c r="QQ24" s="8">
        <v>1799049</v>
      </c>
      <c r="QR24" s="8">
        <v>439050</v>
      </c>
      <c r="QS24" s="8">
        <v>2238099</v>
      </c>
      <c r="QT24" s="8">
        <v>111904</v>
      </c>
      <c r="QU24" s="2"/>
      <c r="QV24" s="8">
        <v>111904</v>
      </c>
      <c r="QW24" s="6">
        <v>111904.95</v>
      </c>
      <c r="QX24" s="8">
        <v>1015295</v>
      </c>
      <c r="QY24" s="8">
        <v>830250</v>
      </c>
      <c r="QZ24" s="8">
        <v>1845545</v>
      </c>
      <c r="RA24" s="8">
        <v>70800</v>
      </c>
      <c r="RB24" s="8">
        <v>70800</v>
      </c>
      <c r="RC24" s="2"/>
      <c r="RD24" s="2"/>
      <c r="RE24" s="2"/>
      <c r="RF24" s="8">
        <v>1015295</v>
      </c>
      <c r="RG24" s="8">
        <v>901050</v>
      </c>
      <c r="RH24" s="8">
        <v>1916345</v>
      </c>
      <c r="RI24" s="2"/>
      <c r="RJ24" s="2"/>
      <c r="RK24" s="2"/>
      <c r="RL24" s="2"/>
      <c r="RM24" s="8">
        <v>19217657</v>
      </c>
      <c r="RN24" s="8">
        <v>1340100</v>
      </c>
      <c r="RO24" s="8">
        <v>20557757</v>
      </c>
      <c r="RP24" s="2"/>
      <c r="RQ24" s="2"/>
      <c r="RR24" s="2">
        <v>0</v>
      </c>
      <c r="RS24" s="6">
        <v>0</v>
      </c>
      <c r="RT24" s="8">
        <v>3289241</v>
      </c>
      <c r="RU24" s="2"/>
      <c r="RV24" s="8">
        <v>3289241</v>
      </c>
      <c r="RW24" s="6">
        <v>3289241</v>
      </c>
      <c r="RX24" s="6">
        <v>0</v>
      </c>
      <c r="RY24" s="8">
        <v>3289241</v>
      </c>
      <c r="RZ24" s="2"/>
      <c r="SA24" s="8">
        <v>3289241</v>
      </c>
      <c r="SB24" s="6">
        <v>3289241</v>
      </c>
      <c r="SC24" s="8">
        <v>301000</v>
      </c>
      <c r="SD24" s="8">
        <v>301000</v>
      </c>
      <c r="SE24" s="6">
        <v>315000</v>
      </c>
      <c r="SF24" s="8">
        <v>815000</v>
      </c>
      <c r="SG24" s="8">
        <v>815000</v>
      </c>
      <c r="SH24" s="8">
        <v>22506898</v>
      </c>
      <c r="SI24" s="8">
        <v>2456100</v>
      </c>
      <c r="SJ24" s="8">
        <v>24962998</v>
      </c>
      <c r="SK24" s="2"/>
      <c r="SL24" s="2"/>
      <c r="SM24" s="2" t="s">
        <v>94</v>
      </c>
      <c r="SN24" s="2"/>
      <c r="SO24" s="2"/>
      <c r="SP24" s="8">
        <v>16500000</v>
      </c>
      <c r="SQ24" s="2" t="s">
        <v>95</v>
      </c>
      <c r="SR24" s="2"/>
      <c r="SS24" s="2"/>
      <c r="ST24" s="2"/>
      <c r="SU24" s="2"/>
      <c r="SV24" s="2"/>
      <c r="SW24" s="2"/>
      <c r="SX24" s="2" t="s">
        <v>96</v>
      </c>
      <c r="SY24" s="2" t="s">
        <v>96</v>
      </c>
      <c r="SZ24" s="2" t="s">
        <v>96</v>
      </c>
      <c r="TA24" s="2" t="s">
        <v>96</v>
      </c>
      <c r="TB24" s="8">
        <v>8544645</v>
      </c>
      <c r="TC24" s="2"/>
      <c r="TD24" s="2"/>
      <c r="TE24" s="2"/>
      <c r="TF24" s="2"/>
      <c r="TG24" s="2"/>
      <c r="TH24" s="2"/>
      <c r="TI24" s="2">
        <v>0</v>
      </c>
      <c r="TJ24" s="8">
        <v>25044645</v>
      </c>
      <c r="TK24" s="8">
        <v>81647</v>
      </c>
      <c r="TL24" s="2" t="s">
        <v>9</v>
      </c>
      <c r="TM24" s="8">
        <v>5900000</v>
      </c>
      <c r="TN24" s="2" t="s">
        <v>95</v>
      </c>
      <c r="TO24" s="2"/>
      <c r="TP24" s="2"/>
      <c r="TQ24" s="2"/>
      <c r="TR24" s="2"/>
      <c r="TS24" s="2"/>
      <c r="TT24" s="2"/>
      <c r="TU24" s="2" t="s">
        <v>96</v>
      </c>
      <c r="TV24" s="8">
        <v>18988101</v>
      </c>
      <c r="TW24" s="2"/>
      <c r="TX24" s="2"/>
      <c r="TY24" s="2"/>
      <c r="TZ24" s="2"/>
      <c r="UA24" s="2"/>
      <c r="UB24" s="2"/>
      <c r="UC24" s="8">
        <v>74897</v>
      </c>
      <c r="UD24" s="8">
        <v>24962998</v>
      </c>
      <c r="UE24" s="6">
        <v>5900000</v>
      </c>
      <c r="UF24" s="2">
        <v>0</v>
      </c>
      <c r="UG24" s="2" t="s">
        <v>9</v>
      </c>
      <c r="UH24" s="2">
        <v>90</v>
      </c>
      <c r="UI24" s="5">
        <v>220000</v>
      </c>
      <c r="UJ24" s="6">
        <v>293333.33</v>
      </c>
      <c r="UK24" s="6">
        <v>293333.33</v>
      </c>
      <c r="UL24" s="6">
        <v>310933.33</v>
      </c>
      <c r="UM24" s="6">
        <v>27984000</v>
      </c>
      <c r="UN24" s="6">
        <v>4477440</v>
      </c>
      <c r="UO24" s="6">
        <v>4477440</v>
      </c>
      <c r="UP24" s="6">
        <v>32461440</v>
      </c>
      <c r="UQ24" s="6">
        <v>23846998</v>
      </c>
      <c r="UR24" s="2"/>
      <c r="US24" s="2"/>
      <c r="UT24" s="6">
        <v>0</v>
      </c>
      <c r="UU24" s="2"/>
      <c r="UV24" s="6">
        <v>0</v>
      </c>
      <c r="UW24" s="6">
        <v>0</v>
      </c>
      <c r="UX24" s="6">
        <v>0</v>
      </c>
      <c r="UY24" s="6">
        <v>0</v>
      </c>
      <c r="UZ24" s="2"/>
      <c r="VA24" s="2"/>
      <c r="VB24" s="2"/>
      <c r="VC24" s="2"/>
      <c r="VD24" s="2" t="s">
        <v>17</v>
      </c>
      <c r="VE24" s="2" t="s">
        <v>17</v>
      </c>
      <c r="VF24" s="2"/>
      <c r="VG24" s="2" t="s">
        <v>17</v>
      </c>
      <c r="VH24" s="2"/>
      <c r="VI24" s="388" t="s">
        <v>21</v>
      </c>
      <c r="VJ24" s="2" t="s">
        <v>98</v>
      </c>
      <c r="VK24" s="2" t="s">
        <v>99</v>
      </c>
      <c r="VL24" s="23">
        <f t="shared" si="0"/>
        <v>162</v>
      </c>
      <c r="VM24" s="17">
        <f t="shared" si="1"/>
        <v>1.8</v>
      </c>
      <c r="VN24" s="17" t="str">
        <f t="shared" si="12"/>
        <v>NC-GA-F</v>
      </c>
      <c r="VO24" s="17" t="str">
        <f t="shared" si="13"/>
        <v>NC-GA-F-Non</v>
      </c>
      <c r="VP24" s="12">
        <v>9</v>
      </c>
      <c r="VQ24" s="57">
        <v>1</v>
      </c>
      <c r="VR24" s="57">
        <f t="shared" si="2"/>
        <v>1</v>
      </c>
      <c r="VS24" s="14">
        <f t="shared" si="3"/>
        <v>1</v>
      </c>
      <c r="VT24" s="12">
        <f t="shared" si="4"/>
        <v>1</v>
      </c>
      <c r="VU24" s="16">
        <f t="shared" si="5"/>
        <v>18990000</v>
      </c>
      <c r="VV24" s="16">
        <f t="shared" si="6"/>
        <v>211000</v>
      </c>
      <c r="VW24" s="12" t="str">
        <f t="shared" si="14"/>
        <v>A</v>
      </c>
      <c r="VX24" s="12" t="str">
        <f t="shared" si="15"/>
        <v>NC-GA-Non</v>
      </c>
      <c r="VY24" s="351">
        <f t="shared" si="16"/>
        <v>2</v>
      </c>
      <c r="WA24" s="12">
        <f t="shared" si="17"/>
        <v>0</v>
      </c>
      <c r="WB24" s="12">
        <f t="shared" si="18"/>
        <v>0</v>
      </c>
      <c r="WC24" s="12">
        <f t="shared" si="18"/>
        <v>0</v>
      </c>
      <c r="WD24" s="12">
        <f t="shared" si="18"/>
        <v>0</v>
      </c>
      <c r="WE24" s="12">
        <f t="shared" si="19"/>
        <v>0</v>
      </c>
      <c r="WF24" s="12">
        <f t="shared" si="7"/>
        <v>1</v>
      </c>
      <c r="WG24" s="12">
        <f t="shared" si="8"/>
        <v>0</v>
      </c>
      <c r="WH24" s="12">
        <f t="shared" si="9"/>
        <v>0</v>
      </c>
      <c r="WI24" s="31">
        <f t="shared" si="10"/>
        <v>1</v>
      </c>
      <c r="WJ24" s="2"/>
      <c r="WK24" s="443" t="str">
        <f t="shared" si="20"/>
        <v>NC-GA-Non-BBN-BRN-NPH-F</v>
      </c>
      <c r="WL24" s="443"/>
      <c r="WM24" s="443"/>
    </row>
    <row r="25" spans="1:611" x14ac:dyDescent="0.25">
      <c r="A25" s="2">
        <v>9522</v>
      </c>
      <c r="B25" s="2" t="s">
        <v>1992</v>
      </c>
      <c r="C25" s="2" t="s">
        <v>8</v>
      </c>
      <c r="D25" s="3">
        <v>45153</v>
      </c>
      <c r="E25" s="2" t="s">
        <v>9</v>
      </c>
      <c r="F25" s="2">
        <v>3</v>
      </c>
      <c r="G25" s="2" t="s">
        <v>9</v>
      </c>
      <c r="H25" s="2">
        <v>3</v>
      </c>
      <c r="I25" s="2" t="s">
        <v>9</v>
      </c>
      <c r="J25" s="2">
        <v>3</v>
      </c>
      <c r="K25" s="2" t="s">
        <v>9</v>
      </c>
      <c r="L25" s="2">
        <v>3</v>
      </c>
      <c r="M25" s="2" t="s">
        <v>10</v>
      </c>
      <c r="N25" s="2">
        <v>0</v>
      </c>
      <c r="O25" s="2" t="s">
        <v>10</v>
      </c>
      <c r="P25" s="2">
        <v>0</v>
      </c>
      <c r="Q25" s="2" t="s">
        <v>11</v>
      </c>
      <c r="R25" s="2">
        <v>0</v>
      </c>
      <c r="S25" s="2" t="s">
        <v>9</v>
      </c>
      <c r="T25" s="2">
        <v>2</v>
      </c>
      <c r="U25" s="2" t="s">
        <v>9</v>
      </c>
      <c r="V25" s="2">
        <v>2</v>
      </c>
      <c r="W25" s="2" t="s">
        <v>9</v>
      </c>
      <c r="X25" s="2">
        <v>2</v>
      </c>
      <c r="Y25" s="2" t="s">
        <v>12</v>
      </c>
      <c r="Z25" s="2" t="s">
        <v>15</v>
      </c>
      <c r="AA25" s="2" t="s">
        <v>15</v>
      </c>
      <c r="AB25" s="2" t="s">
        <v>15</v>
      </c>
      <c r="AC25" s="2" t="s">
        <v>15</v>
      </c>
      <c r="AD25" s="2" t="s">
        <v>15</v>
      </c>
      <c r="AE25" s="2" t="s">
        <v>15</v>
      </c>
      <c r="AF25" s="2">
        <v>0</v>
      </c>
      <c r="AG25" s="2" t="s">
        <v>234</v>
      </c>
      <c r="AH25" s="2" t="s">
        <v>17</v>
      </c>
      <c r="AI25" s="4">
        <v>0.15662999999999999</v>
      </c>
      <c r="AJ25" s="2" t="s">
        <v>17</v>
      </c>
      <c r="AK25" s="2" t="s">
        <v>9</v>
      </c>
      <c r="AL25" s="2" t="s">
        <v>17</v>
      </c>
      <c r="AM25" s="2" t="s">
        <v>17</v>
      </c>
      <c r="AN25" s="2" t="s">
        <v>17</v>
      </c>
      <c r="AO25" s="2" t="s">
        <v>17</v>
      </c>
      <c r="AP25" s="2" t="s">
        <v>17</v>
      </c>
      <c r="AQ25" s="2" t="s">
        <v>17</v>
      </c>
      <c r="AR25" s="2" t="s">
        <v>9</v>
      </c>
      <c r="AS25" s="2" t="s">
        <v>17</v>
      </c>
      <c r="AT25" s="2">
        <v>0</v>
      </c>
      <c r="AU25" s="5">
        <v>10000</v>
      </c>
      <c r="AV25" s="5">
        <v>340000</v>
      </c>
      <c r="AW25" s="2">
        <v>0</v>
      </c>
      <c r="AX25" s="2">
        <v>19</v>
      </c>
      <c r="AY25" s="2">
        <v>1</v>
      </c>
      <c r="AZ25" s="2">
        <v>18</v>
      </c>
      <c r="BA25" s="2">
        <v>0</v>
      </c>
      <c r="BB25" s="2">
        <v>1</v>
      </c>
      <c r="BC25" s="2">
        <v>0</v>
      </c>
      <c r="BD25" s="2">
        <v>0</v>
      </c>
      <c r="BE25" s="2">
        <v>0</v>
      </c>
      <c r="BF25" s="2">
        <v>1</v>
      </c>
      <c r="BG25" s="2">
        <v>0</v>
      </c>
      <c r="BH25" s="2">
        <v>0</v>
      </c>
      <c r="BI25" s="2">
        <v>13</v>
      </c>
      <c r="BJ25" s="2">
        <v>1</v>
      </c>
      <c r="BK25" s="2">
        <v>0</v>
      </c>
      <c r="BL25" s="2">
        <v>3</v>
      </c>
      <c r="BM25" s="2">
        <v>0</v>
      </c>
      <c r="BN25" s="2">
        <v>13</v>
      </c>
      <c r="BO25" s="2">
        <v>11</v>
      </c>
      <c r="BP25" s="2">
        <v>0</v>
      </c>
      <c r="BQ25" s="2">
        <v>10</v>
      </c>
      <c r="BR25" s="2">
        <v>13.92</v>
      </c>
      <c r="BS25" s="2">
        <v>0</v>
      </c>
      <c r="BT25" s="4">
        <v>0.06</v>
      </c>
      <c r="BU25" s="2" t="s">
        <v>9</v>
      </c>
      <c r="BV25" s="6">
        <v>194530.12</v>
      </c>
      <c r="BW25" s="2" t="s">
        <v>18</v>
      </c>
      <c r="BX25" s="2" t="s">
        <v>17</v>
      </c>
      <c r="BY25" s="2" t="s">
        <v>17</v>
      </c>
      <c r="BZ25" s="2" t="s">
        <v>17</v>
      </c>
      <c r="CA25" s="2" t="s">
        <v>17</v>
      </c>
      <c r="CB25" s="2" t="s">
        <v>17</v>
      </c>
      <c r="CC25" s="2" t="s">
        <v>17</v>
      </c>
      <c r="CD25" s="2" t="s">
        <v>17</v>
      </c>
      <c r="CE25" s="2" t="s">
        <v>1993</v>
      </c>
      <c r="CF25" s="2" t="s">
        <v>17</v>
      </c>
      <c r="CG25" s="2" t="s">
        <v>732</v>
      </c>
      <c r="CH25" s="2"/>
      <c r="CI25" s="2"/>
      <c r="CJ25" s="2" t="s">
        <v>9</v>
      </c>
      <c r="CK25" s="2" t="s">
        <v>733</v>
      </c>
      <c r="CL25" s="2" t="s">
        <v>732</v>
      </c>
      <c r="CM25" s="2" t="s">
        <v>734</v>
      </c>
      <c r="CN25" s="2" t="s">
        <v>692</v>
      </c>
      <c r="CO25" s="2" t="s">
        <v>24</v>
      </c>
      <c r="CP25" s="2"/>
      <c r="CQ25" s="2">
        <v>104</v>
      </c>
      <c r="CR25" s="2" t="s">
        <v>1994</v>
      </c>
      <c r="CS25" s="2">
        <v>2014</v>
      </c>
      <c r="CT25" s="2" t="s">
        <v>26</v>
      </c>
      <c r="CU25" s="2" t="s">
        <v>27</v>
      </c>
      <c r="CV25" s="2" t="s">
        <v>735</v>
      </c>
      <c r="CW25" s="2" t="s">
        <v>692</v>
      </c>
      <c r="CX25" s="2" t="s">
        <v>24</v>
      </c>
      <c r="CY25" s="2"/>
      <c r="CZ25" s="2">
        <v>116</v>
      </c>
      <c r="DA25" s="2" t="s">
        <v>1994</v>
      </c>
      <c r="DB25" s="2">
        <v>2017</v>
      </c>
      <c r="DC25" s="2" t="s">
        <v>30</v>
      </c>
      <c r="DD25" s="2" t="s">
        <v>27</v>
      </c>
      <c r="DE25" s="2" t="s">
        <v>736</v>
      </c>
      <c r="DF25" s="2" t="s">
        <v>737</v>
      </c>
      <c r="DG25" s="2" t="s">
        <v>24</v>
      </c>
      <c r="DH25" s="2"/>
      <c r="DI25" s="2">
        <v>61</v>
      </c>
      <c r="DJ25" s="2" t="s">
        <v>1994</v>
      </c>
      <c r="DK25" s="2">
        <v>2014</v>
      </c>
      <c r="DL25" s="2" t="s">
        <v>30</v>
      </c>
      <c r="DM25" s="2" t="s">
        <v>27</v>
      </c>
      <c r="DN25" s="2" t="s">
        <v>33</v>
      </c>
      <c r="DO25" s="2" t="s">
        <v>738</v>
      </c>
      <c r="DP25" s="2"/>
      <c r="DQ25" s="2" t="s">
        <v>739</v>
      </c>
      <c r="DR25" s="2" t="s">
        <v>740</v>
      </c>
      <c r="DS25" s="2">
        <v>1</v>
      </c>
      <c r="DT25" s="2" t="s">
        <v>741</v>
      </c>
      <c r="DU25" s="2" t="s">
        <v>661</v>
      </c>
      <c r="DV25" s="2" t="s">
        <v>39</v>
      </c>
      <c r="DW25" s="2">
        <v>327851</v>
      </c>
      <c r="DX25" s="2" t="s">
        <v>742</v>
      </c>
      <c r="DY25" s="2"/>
      <c r="DZ25" s="2" t="s">
        <v>743</v>
      </c>
      <c r="EA25" s="2" t="s">
        <v>740</v>
      </c>
      <c r="EB25" s="2" t="s">
        <v>744</v>
      </c>
      <c r="EC25" s="2" t="s">
        <v>737</v>
      </c>
      <c r="ED25" s="2" t="s">
        <v>44</v>
      </c>
      <c r="EE25" s="2">
        <v>106</v>
      </c>
      <c r="EF25" s="2" t="s">
        <v>1995</v>
      </c>
      <c r="EG25" s="2">
        <v>12</v>
      </c>
      <c r="EH25" s="2" t="s">
        <v>46</v>
      </c>
      <c r="EI25" s="2" t="s">
        <v>47</v>
      </c>
      <c r="EJ25" s="2" t="s">
        <v>745</v>
      </c>
      <c r="EK25" s="2" t="s">
        <v>746</v>
      </c>
      <c r="EL25" s="2" t="s">
        <v>44</v>
      </c>
      <c r="EM25" s="2">
        <v>76</v>
      </c>
      <c r="EN25" s="2" t="s">
        <v>1995</v>
      </c>
      <c r="EO25" s="2">
        <v>13</v>
      </c>
      <c r="EP25" s="2" t="s">
        <v>46</v>
      </c>
      <c r="EQ25" s="2" t="s">
        <v>47</v>
      </c>
      <c r="ER25" s="2" t="s">
        <v>747</v>
      </c>
      <c r="ES25" s="2" t="s">
        <v>748</v>
      </c>
      <c r="ET25" s="2" t="s">
        <v>749</v>
      </c>
      <c r="EU25" s="2" t="s">
        <v>750</v>
      </c>
      <c r="EV25" s="2" t="s">
        <v>751</v>
      </c>
      <c r="EW25" s="2" t="s">
        <v>752</v>
      </c>
      <c r="EX25" s="2" t="s">
        <v>39</v>
      </c>
      <c r="EY25" s="2">
        <v>32789</v>
      </c>
      <c r="EZ25" s="2" t="s">
        <v>753</v>
      </c>
      <c r="FA25" s="2"/>
      <c r="FB25" s="2" t="s">
        <v>754</v>
      </c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 t="s">
        <v>1996</v>
      </c>
      <c r="FO25" s="2" t="s">
        <v>63</v>
      </c>
      <c r="FP25" s="2"/>
      <c r="FQ25" s="2" t="s">
        <v>9</v>
      </c>
      <c r="FR25" s="2" t="s">
        <v>17</v>
      </c>
      <c r="FS25" s="2" t="s">
        <v>17</v>
      </c>
      <c r="FT25" s="2" t="s">
        <v>9</v>
      </c>
      <c r="FU25" s="2">
        <v>0</v>
      </c>
      <c r="FV25" s="2">
        <v>0</v>
      </c>
      <c r="FW25" s="4">
        <v>0</v>
      </c>
      <c r="FX25" s="4">
        <v>0</v>
      </c>
      <c r="FY25" s="2" t="s">
        <v>65</v>
      </c>
      <c r="FZ25" s="2" t="s">
        <v>66</v>
      </c>
      <c r="GA25" s="2" t="s">
        <v>67</v>
      </c>
      <c r="GB25" s="2"/>
      <c r="GC25" s="2"/>
      <c r="GD25" s="2"/>
      <c r="GE25" s="2" t="s">
        <v>68</v>
      </c>
      <c r="GF25" s="2"/>
      <c r="GG25" s="2"/>
      <c r="GH25" s="2">
        <v>83</v>
      </c>
      <c r="GI25" s="2"/>
      <c r="GJ25" s="2"/>
      <c r="GK25" s="2"/>
      <c r="GL25" s="2"/>
      <c r="GM25" s="2"/>
      <c r="GN25" s="2"/>
      <c r="GO25" s="2"/>
      <c r="GP25" s="2"/>
      <c r="GQ25" s="2">
        <v>83</v>
      </c>
      <c r="GR25" s="2" t="s">
        <v>1997</v>
      </c>
      <c r="GS25" s="2" t="s">
        <v>70</v>
      </c>
      <c r="GT25" s="2" t="s">
        <v>1998</v>
      </c>
      <c r="GU25" s="2" t="s">
        <v>1999</v>
      </c>
      <c r="GV25" s="2" t="s">
        <v>17</v>
      </c>
      <c r="GW25" s="2">
        <v>28.914664999999999</v>
      </c>
      <c r="GX25" s="2">
        <v>-81.954106999999993</v>
      </c>
      <c r="GY25" s="2"/>
      <c r="GZ25" s="2" t="s">
        <v>17</v>
      </c>
      <c r="HA25" s="2" t="s">
        <v>17</v>
      </c>
      <c r="HB25" s="2">
        <v>0</v>
      </c>
      <c r="HC25" s="2" t="s">
        <v>17</v>
      </c>
      <c r="HD25" s="2"/>
      <c r="HE25" s="2">
        <v>0</v>
      </c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 t="s">
        <v>73</v>
      </c>
      <c r="HY25" s="2" t="s">
        <v>17</v>
      </c>
      <c r="HZ25" s="2"/>
      <c r="IA25" s="2" t="s">
        <v>359</v>
      </c>
      <c r="IB25" s="2" t="s">
        <v>2000</v>
      </c>
      <c r="IC25" s="2">
        <v>1.1100000000000001</v>
      </c>
      <c r="ID25" s="2">
        <v>2</v>
      </c>
      <c r="IE25" s="2" t="s">
        <v>2001</v>
      </c>
      <c r="IF25" s="2">
        <v>1.24</v>
      </c>
      <c r="IG25" s="2">
        <v>2</v>
      </c>
      <c r="IH25" s="2" t="s">
        <v>359</v>
      </c>
      <c r="II25" s="2">
        <v>1.1100000000000001</v>
      </c>
      <c r="IJ25" s="2">
        <v>2</v>
      </c>
      <c r="IK25" s="2"/>
      <c r="IL25" s="2"/>
      <c r="IM25" s="2"/>
      <c r="IN25" s="2"/>
      <c r="IO25" s="2" t="s">
        <v>17</v>
      </c>
      <c r="IP25" s="2">
        <v>0</v>
      </c>
      <c r="IQ25" s="2">
        <v>6</v>
      </c>
      <c r="IR25" s="2">
        <v>0</v>
      </c>
      <c r="IS25" s="2">
        <v>6</v>
      </c>
      <c r="IT25" s="2" t="s">
        <v>9</v>
      </c>
      <c r="IU25" s="2" t="s">
        <v>17</v>
      </c>
      <c r="IV25" s="2" t="s">
        <v>17</v>
      </c>
      <c r="IW25" s="2" t="s">
        <v>17</v>
      </c>
      <c r="IX25" s="2" t="s">
        <v>17</v>
      </c>
      <c r="IY25" s="2">
        <v>6</v>
      </c>
      <c r="IZ25" s="2">
        <v>83</v>
      </c>
      <c r="JA25" s="2" t="s">
        <v>81</v>
      </c>
      <c r="JB25" s="2" t="s">
        <v>82</v>
      </c>
      <c r="JC25" s="2"/>
      <c r="JD25" s="2"/>
      <c r="JE25" s="2"/>
      <c r="JF25" s="2"/>
      <c r="JG25" s="2"/>
      <c r="JH25" s="7">
        <v>0</v>
      </c>
      <c r="JI25" s="2">
        <v>0</v>
      </c>
      <c r="JJ25" s="7">
        <v>0</v>
      </c>
      <c r="JK25" s="2">
        <v>0</v>
      </c>
      <c r="JL25" s="7">
        <v>0</v>
      </c>
      <c r="JM25" s="2">
        <v>13</v>
      </c>
      <c r="JN25" s="2"/>
      <c r="JO25" s="2"/>
      <c r="JP25" s="2">
        <v>51</v>
      </c>
      <c r="JQ25" s="2"/>
      <c r="JR25" s="2">
        <v>19</v>
      </c>
      <c r="JS25" s="2">
        <v>0</v>
      </c>
      <c r="JT25" s="2">
        <v>0</v>
      </c>
      <c r="JU25" s="2"/>
      <c r="JV25" s="2">
        <v>83</v>
      </c>
      <c r="JW25" s="4">
        <v>1</v>
      </c>
      <c r="JX25" s="2">
        <v>83</v>
      </c>
      <c r="JY25" s="4">
        <v>0.5988</v>
      </c>
      <c r="JZ25" s="2">
        <v>0</v>
      </c>
      <c r="KA25" s="2"/>
      <c r="KB25" s="2"/>
      <c r="KC25" s="2"/>
      <c r="KD25" s="2"/>
      <c r="KE25" s="2"/>
      <c r="KF25" s="2"/>
      <c r="KG25" s="2"/>
      <c r="KH25" s="2">
        <v>60</v>
      </c>
      <c r="KI25" s="2"/>
      <c r="KJ25" s="2"/>
      <c r="KK25" s="2">
        <v>12</v>
      </c>
      <c r="KL25" s="2"/>
      <c r="KM25" s="2"/>
      <c r="KN25" s="2"/>
      <c r="KO25" s="2"/>
      <c r="KP25" s="2">
        <v>11</v>
      </c>
      <c r="KQ25" s="2" t="s">
        <v>83</v>
      </c>
      <c r="KR25" s="2" t="s">
        <v>73</v>
      </c>
      <c r="KS25" s="2"/>
      <c r="KT25" s="2">
        <v>3</v>
      </c>
      <c r="KU25" s="2" t="s">
        <v>84</v>
      </c>
      <c r="KV25" s="2" t="s">
        <v>85</v>
      </c>
      <c r="KW25" s="2" t="s">
        <v>530</v>
      </c>
      <c r="KX25" s="2" t="s">
        <v>17</v>
      </c>
      <c r="KY25" s="2" t="s">
        <v>17</v>
      </c>
      <c r="KZ25" s="2" t="s">
        <v>17</v>
      </c>
      <c r="LA25" s="2" t="s">
        <v>17</v>
      </c>
      <c r="LB25" s="2" t="s">
        <v>17</v>
      </c>
      <c r="LC25" s="2" t="s">
        <v>17</v>
      </c>
      <c r="LD25" s="2" t="s">
        <v>17</v>
      </c>
      <c r="LE25" s="2" t="s">
        <v>17</v>
      </c>
      <c r="LF25" s="2" t="s">
        <v>17</v>
      </c>
      <c r="LG25" s="2" t="s">
        <v>17</v>
      </c>
      <c r="LH25" s="2" t="s">
        <v>17</v>
      </c>
      <c r="LI25" s="2" t="s">
        <v>17</v>
      </c>
      <c r="LJ25" s="2" t="s">
        <v>87</v>
      </c>
      <c r="LK25" s="2" t="s">
        <v>17</v>
      </c>
      <c r="LL25" s="2" t="s">
        <v>17</v>
      </c>
      <c r="LM25" s="2">
        <v>0</v>
      </c>
      <c r="LN25" s="2" t="s">
        <v>17</v>
      </c>
      <c r="LO25" s="2" t="s">
        <v>9</v>
      </c>
      <c r="LP25" s="2" t="s">
        <v>9</v>
      </c>
      <c r="LQ25" s="2" t="s">
        <v>17</v>
      </c>
      <c r="LR25" s="2" t="s">
        <v>9</v>
      </c>
      <c r="LS25" s="2" t="s">
        <v>17</v>
      </c>
      <c r="LT25" s="2" t="s">
        <v>17</v>
      </c>
      <c r="LU25" s="2" t="s">
        <v>17</v>
      </c>
      <c r="LV25" s="2" t="s">
        <v>17</v>
      </c>
      <c r="LW25" s="2" t="s">
        <v>17</v>
      </c>
      <c r="LX25" s="2" t="s">
        <v>17</v>
      </c>
      <c r="LY25" s="5">
        <v>6500000</v>
      </c>
      <c r="LZ25" s="5">
        <v>0</v>
      </c>
      <c r="MA25" s="5">
        <v>7200000</v>
      </c>
      <c r="MB25" s="5">
        <v>0</v>
      </c>
      <c r="MC25" s="5">
        <v>0</v>
      </c>
      <c r="MD25" s="5">
        <v>0</v>
      </c>
      <c r="ME25" s="5">
        <v>8715000</v>
      </c>
      <c r="MF25" s="5">
        <v>0</v>
      </c>
      <c r="MG25" s="5">
        <v>0</v>
      </c>
      <c r="MH25" s="5">
        <v>0</v>
      </c>
      <c r="MI25" s="5">
        <v>0</v>
      </c>
      <c r="MJ25" s="5">
        <v>0</v>
      </c>
      <c r="MK25" s="5">
        <v>0</v>
      </c>
      <c r="ML25" s="2">
        <v>0</v>
      </c>
      <c r="MM25" s="5">
        <v>0</v>
      </c>
      <c r="MN25" s="5">
        <v>0</v>
      </c>
      <c r="MO25" s="2">
        <v>0</v>
      </c>
      <c r="MP25" s="2">
        <v>0</v>
      </c>
      <c r="MQ25" s="2">
        <v>0</v>
      </c>
      <c r="MR25" s="5">
        <v>2950000</v>
      </c>
      <c r="MS25" s="5">
        <v>0</v>
      </c>
      <c r="MT25" s="5">
        <v>4600000</v>
      </c>
      <c r="MU25" s="5">
        <v>0</v>
      </c>
      <c r="MV25" s="5">
        <v>0</v>
      </c>
      <c r="MW25" s="5">
        <v>0</v>
      </c>
      <c r="MX25" s="5">
        <v>0</v>
      </c>
      <c r="MY25" s="5">
        <v>2500000</v>
      </c>
      <c r="MZ25" s="5">
        <v>0</v>
      </c>
      <c r="NA25" s="5">
        <v>5000000</v>
      </c>
      <c r="NB25" s="5">
        <v>0</v>
      </c>
      <c r="NC25" s="5">
        <v>0</v>
      </c>
      <c r="ND25" s="5">
        <v>0</v>
      </c>
      <c r="NE25" s="5">
        <v>0</v>
      </c>
      <c r="NF25" s="5">
        <v>0</v>
      </c>
      <c r="NG25" s="5">
        <v>2142000</v>
      </c>
      <c r="NH25" s="5">
        <v>1950000</v>
      </c>
      <c r="NI25" s="5">
        <v>1950000</v>
      </c>
      <c r="NJ25" s="5">
        <v>0</v>
      </c>
      <c r="NK25" s="5"/>
      <c r="NL25" s="2" t="s">
        <v>17</v>
      </c>
      <c r="NM25" s="2" t="s">
        <v>17</v>
      </c>
      <c r="NN25" s="2"/>
      <c r="NO25" s="2" t="s">
        <v>17</v>
      </c>
      <c r="NP25" s="2"/>
      <c r="NQ25" s="2"/>
      <c r="NR25" s="2" t="s">
        <v>17</v>
      </c>
      <c r="NS25" s="2"/>
      <c r="NT25" s="2" t="s">
        <v>17</v>
      </c>
      <c r="NU25" s="2"/>
      <c r="NV25" s="2"/>
      <c r="NW25" s="2"/>
      <c r="NX25" s="2" t="s">
        <v>9</v>
      </c>
      <c r="NY25" s="2" t="s">
        <v>762</v>
      </c>
      <c r="NZ25" s="2">
        <v>9112.01</v>
      </c>
      <c r="OA25" s="2" t="s">
        <v>2002</v>
      </c>
      <c r="OB25" s="2" t="s">
        <v>2003</v>
      </c>
      <c r="OC25" s="2" t="s">
        <v>2003</v>
      </c>
      <c r="OD25" s="2" t="s">
        <v>9</v>
      </c>
      <c r="OE25" s="2" t="s">
        <v>320</v>
      </c>
      <c r="OF25" s="2" t="s">
        <v>17</v>
      </c>
      <c r="OG25" s="2" t="s">
        <v>17</v>
      </c>
      <c r="OH25" s="2"/>
      <c r="OI25" s="2"/>
      <c r="OJ25" s="2"/>
      <c r="OK25" s="2" t="s">
        <v>17</v>
      </c>
      <c r="OL25" s="2" t="s">
        <v>17</v>
      </c>
      <c r="OM25" s="2" t="s">
        <v>85</v>
      </c>
      <c r="ON25" s="6">
        <v>0</v>
      </c>
      <c r="OO25" s="6">
        <v>0</v>
      </c>
      <c r="OP25" s="2" t="s">
        <v>93</v>
      </c>
      <c r="OQ25" s="2" t="s">
        <v>93</v>
      </c>
      <c r="OR25" s="6">
        <v>0</v>
      </c>
      <c r="OS25" s="4">
        <v>0</v>
      </c>
      <c r="OT25" s="2" t="s">
        <v>17</v>
      </c>
      <c r="OU25" s="2" t="s">
        <v>17</v>
      </c>
      <c r="OV25" s="2"/>
      <c r="OW25" s="2"/>
      <c r="OX25" s="5">
        <v>16146000</v>
      </c>
      <c r="OY25" s="6">
        <v>194530.12</v>
      </c>
      <c r="OZ25" s="2"/>
      <c r="PA25" s="2"/>
      <c r="PB25" s="8">
        <v>12822009</v>
      </c>
      <c r="PC25" s="8">
        <v>250991</v>
      </c>
      <c r="PD25" s="8">
        <v>13073000</v>
      </c>
      <c r="PE25" s="2"/>
      <c r="PF25" s="2"/>
      <c r="PG25" s="2"/>
      <c r="PH25" s="2"/>
      <c r="PI25" s="2"/>
      <c r="PJ25" s="2"/>
      <c r="PK25" s="8">
        <v>12822009</v>
      </c>
      <c r="PL25" s="8">
        <v>250991</v>
      </c>
      <c r="PM25" s="8">
        <v>13073000</v>
      </c>
      <c r="PN25" s="8">
        <v>1830219</v>
      </c>
      <c r="PO25" s="2"/>
      <c r="PP25" s="8">
        <v>1830219</v>
      </c>
      <c r="PQ25" s="6">
        <v>1830220</v>
      </c>
      <c r="PR25" s="8">
        <v>14652228</v>
      </c>
      <c r="PS25" s="8">
        <v>250991</v>
      </c>
      <c r="PT25" s="8">
        <v>14903219</v>
      </c>
      <c r="PU25" s="8">
        <v>653650</v>
      </c>
      <c r="PV25" s="2"/>
      <c r="PW25" s="8">
        <v>653650</v>
      </c>
      <c r="PX25" s="6">
        <v>745160.95</v>
      </c>
      <c r="PY25" s="8">
        <v>346618</v>
      </c>
      <c r="PZ25" s="8">
        <v>55000</v>
      </c>
      <c r="QA25" s="8">
        <v>401618</v>
      </c>
      <c r="QB25" s="8">
        <v>119226</v>
      </c>
      <c r="QC25" s="2"/>
      <c r="QD25" s="8">
        <v>119226</v>
      </c>
      <c r="QE25" s="8">
        <v>585125</v>
      </c>
      <c r="QF25" s="2"/>
      <c r="QG25" s="8">
        <v>585125</v>
      </c>
      <c r="QH25" s="2"/>
      <c r="QI25" s="8">
        <v>423595</v>
      </c>
      <c r="QJ25" s="8">
        <v>423595</v>
      </c>
      <c r="QK25" s="2"/>
      <c r="QL25" s="2"/>
      <c r="QM25" s="2"/>
      <c r="QN25" s="2"/>
      <c r="QO25" s="2"/>
      <c r="QP25" s="2"/>
      <c r="QQ25" s="8">
        <v>1050969</v>
      </c>
      <c r="QR25" s="8">
        <v>478595</v>
      </c>
      <c r="QS25" s="8">
        <v>1529564</v>
      </c>
      <c r="QT25" s="8">
        <v>76478</v>
      </c>
      <c r="QU25" s="2"/>
      <c r="QV25" s="8">
        <v>76478</v>
      </c>
      <c r="QW25" s="6">
        <v>76478.2</v>
      </c>
      <c r="QX25" s="8">
        <v>1101142</v>
      </c>
      <c r="QY25" s="2"/>
      <c r="QZ25" s="8">
        <v>1101142</v>
      </c>
      <c r="RA25" s="8">
        <v>149032</v>
      </c>
      <c r="RB25" s="8">
        <v>149032</v>
      </c>
      <c r="RC25" s="2"/>
      <c r="RD25" s="2"/>
      <c r="RE25" s="2"/>
      <c r="RF25" s="8">
        <v>1101142</v>
      </c>
      <c r="RG25" s="8">
        <v>149032</v>
      </c>
      <c r="RH25" s="8">
        <v>1250174</v>
      </c>
      <c r="RI25" s="2"/>
      <c r="RJ25" s="2"/>
      <c r="RK25" s="2"/>
      <c r="RL25" s="2"/>
      <c r="RM25" s="8">
        <v>17534467</v>
      </c>
      <c r="RN25" s="8">
        <v>878618</v>
      </c>
      <c r="RO25" s="8">
        <v>18413085</v>
      </c>
      <c r="RP25" s="2"/>
      <c r="RQ25" s="2"/>
      <c r="RR25" s="2">
        <v>0</v>
      </c>
      <c r="RS25" s="6">
        <v>0</v>
      </c>
      <c r="RT25" s="8">
        <v>2946093</v>
      </c>
      <c r="RU25" s="2"/>
      <c r="RV25" s="8">
        <v>2946093</v>
      </c>
      <c r="RW25" s="6">
        <v>2946093</v>
      </c>
      <c r="RX25" s="6">
        <v>0</v>
      </c>
      <c r="RY25" s="8">
        <v>2946093</v>
      </c>
      <c r="RZ25" s="2"/>
      <c r="SA25" s="8">
        <v>2946093</v>
      </c>
      <c r="SB25" s="6">
        <v>2946093</v>
      </c>
      <c r="SC25" s="2"/>
      <c r="SD25" s="2"/>
      <c r="SE25" s="6">
        <v>290500</v>
      </c>
      <c r="SF25" s="2"/>
      <c r="SG25" s="2"/>
      <c r="SH25" s="8">
        <v>20480560</v>
      </c>
      <c r="SI25" s="8">
        <v>878618</v>
      </c>
      <c r="SJ25" s="8">
        <v>21359178</v>
      </c>
      <c r="SK25" s="2"/>
      <c r="SL25" s="2"/>
      <c r="SM25" s="2"/>
      <c r="SN25" s="2"/>
      <c r="SO25" s="2"/>
      <c r="SP25" s="8">
        <v>1721000</v>
      </c>
      <c r="SQ25" s="2" t="s">
        <v>95</v>
      </c>
      <c r="SR25" s="2"/>
      <c r="SS25" s="2"/>
      <c r="ST25" s="2"/>
      <c r="SU25" s="2"/>
      <c r="SV25" s="2"/>
      <c r="SW25" s="2"/>
      <c r="SX25" s="2" t="s">
        <v>96</v>
      </c>
      <c r="SY25" s="2" t="s">
        <v>96</v>
      </c>
      <c r="SZ25" s="2" t="s">
        <v>96</v>
      </c>
      <c r="TA25" s="2" t="s">
        <v>96</v>
      </c>
      <c r="TB25" s="8">
        <v>16670833</v>
      </c>
      <c r="TC25" s="2" t="s">
        <v>2004</v>
      </c>
      <c r="TD25" s="8">
        <v>340000</v>
      </c>
      <c r="TE25" s="2" t="s">
        <v>180</v>
      </c>
      <c r="TF25" s="2"/>
      <c r="TG25" s="2"/>
      <c r="TH25" s="2"/>
      <c r="TI25" s="8">
        <v>2627345</v>
      </c>
      <c r="TJ25" s="8">
        <v>21359178</v>
      </c>
      <c r="TK25" s="2">
        <v>0</v>
      </c>
      <c r="TL25" s="2" t="s">
        <v>9</v>
      </c>
      <c r="TM25" s="8">
        <v>1721000</v>
      </c>
      <c r="TN25" s="2" t="s">
        <v>95</v>
      </c>
      <c r="TO25" s="2"/>
      <c r="TP25" s="2"/>
      <c r="TQ25" s="2"/>
      <c r="TR25" s="2"/>
      <c r="TS25" s="2"/>
      <c r="TT25" s="2"/>
      <c r="TU25" s="2" t="s">
        <v>96</v>
      </c>
      <c r="TV25" s="8">
        <v>17548245</v>
      </c>
      <c r="TW25" s="2" t="s">
        <v>2004</v>
      </c>
      <c r="TX25" s="8">
        <v>340000</v>
      </c>
      <c r="TY25" s="2" t="s">
        <v>180</v>
      </c>
      <c r="TZ25" s="2"/>
      <c r="UA25" s="2"/>
      <c r="UB25" s="2"/>
      <c r="UC25" s="8">
        <v>1749933</v>
      </c>
      <c r="UD25" s="8">
        <v>21359178</v>
      </c>
      <c r="UE25" s="6">
        <v>2061000</v>
      </c>
      <c r="UF25" s="2">
        <v>0</v>
      </c>
      <c r="UG25" s="2" t="s">
        <v>9</v>
      </c>
      <c r="UH25" s="2">
        <v>83</v>
      </c>
      <c r="UI25" s="5">
        <v>220000</v>
      </c>
      <c r="UJ25" s="6">
        <v>293333.33</v>
      </c>
      <c r="UK25" s="6">
        <v>293333.33</v>
      </c>
      <c r="UL25" s="6">
        <v>310933.33</v>
      </c>
      <c r="UM25" s="6">
        <v>25807466.670000002</v>
      </c>
      <c r="UN25" s="6">
        <v>4129194</v>
      </c>
      <c r="UO25" s="6">
        <v>4129194</v>
      </c>
      <c r="UP25" s="6">
        <v>29936660.670000002</v>
      </c>
      <c r="UQ25" s="6">
        <v>21359178</v>
      </c>
      <c r="UR25" s="6">
        <v>340000</v>
      </c>
      <c r="US25" s="6">
        <v>0</v>
      </c>
      <c r="UT25" s="6">
        <v>340000</v>
      </c>
      <c r="UU25" s="2"/>
      <c r="UV25" s="6">
        <v>0</v>
      </c>
      <c r="UW25" s="6">
        <v>340000</v>
      </c>
      <c r="UX25" s="6">
        <v>0</v>
      </c>
      <c r="UY25" s="6">
        <v>340000</v>
      </c>
      <c r="UZ25" s="2" t="s">
        <v>2005</v>
      </c>
      <c r="VA25" s="2" t="s">
        <v>182</v>
      </c>
      <c r="VB25" s="2"/>
      <c r="VC25" s="2"/>
      <c r="VD25" s="2" t="s">
        <v>9</v>
      </c>
      <c r="VE25" s="2" t="s">
        <v>17</v>
      </c>
      <c r="VF25" s="2"/>
      <c r="VG25" s="2" t="s">
        <v>17</v>
      </c>
      <c r="VH25" s="2"/>
      <c r="VI25" s="388" t="s">
        <v>768</v>
      </c>
      <c r="VJ25" s="2" t="s">
        <v>98</v>
      </c>
      <c r="VK25" s="2" t="s">
        <v>2006</v>
      </c>
      <c r="VL25" s="23">
        <f t="shared" si="0"/>
        <v>128</v>
      </c>
      <c r="VM25" s="17">
        <f t="shared" si="1"/>
        <v>1.5421686746987953</v>
      </c>
      <c r="VN25" s="17" t="str">
        <f t="shared" si="12"/>
        <v>NC-GA-F</v>
      </c>
      <c r="VO25" s="17" t="str">
        <f t="shared" si="13"/>
        <v>NC-GA-F-Non</v>
      </c>
      <c r="VP25" s="12">
        <v>9</v>
      </c>
      <c r="VQ25" s="57">
        <v>1</v>
      </c>
      <c r="VR25" s="57">
        <f t="shared" si="2"/>
        <v>1</v>
      </c>
      <c r="VS25" s="14">
        <f t="shared" si="3"/>
        <v>1</v>
      </c>
      <c r="VT25" s="12">
        <f t="shared" si="4"/>
        <v>1</v>
      </c>
      <c r="VU25" s="16">
        <f t="shared" si="5"/>
        <v>17550000</v>
      </c>
      <c r="VV25" s="16">
        <f t="shared" si="6"/>
        <v>211445.78313253011</v>
      </c>
      <c r="VW25" s="12" t="str">
        <f t="shared" si="14"/>
        <v>A</v>
      </c>
      <c r="VX25" s="12" t="str">
        <f t="shared" si="15"/>
        <v>NC-GA-Non</v>
      </c>
      <c r="VY25" s="351">
        <f t="shared" si="16"/>
        <v>2</v>
      </c>
      <c r="WA25" s="12">
        <f t="shared" si="17"/>
        <v>0</v>
      </c>
      <c r="WB25" s="12">
        <f t="shared" si="18"/>
        <v>0</v>
      </c>
      <c r="WC25" s="12">
        <f t="shared" si="18"/>
        <v>0</v>
      </c>
      <c r="WD25" s="12">
        <f t="shared" si="18"/>
        <v>0</v>
      </c>
      <c r="WE25" s="12">
        <f t="shared" si="19"/>
        <v>0</v>
      </c>
      <c r="WF25" s="12">
        <f t="shared" si="7"/>
        <v>1</v>
      </c>
      <c r="WG25" s="12">
        <f t="shared" si="8"/>
        <v>0</v>
      </c>
      <c r="WH25" s="12">
        <f t="shared" si="9"/>
        <v>0</v>
      </c>
      <c r="WI25" s="31">
        <f t="shared" si="10"/>
        <v>1</v>
      </c>
      <c r="WJ25" s="2"/>
      <c r="WK25" s="443" t="str">
        <f t="shared" si="20"/>
        <v>NC-GA-Non-BBN-BRN-NPH-F</v>
      </c>
      <c r="WL25" s="443"/>
      <c r="WM25" s="443"/>
    </row>
    <row r="26" spans="1:611" x14ac:dyDescent="0.25">
      <c r="A26" s="2">
        <v>9513</v>
      </c>
      <c r="B26" s="2" t="s">
        <v>1357</v>
      </c>
      <c r="C26" s="2" t="s">
        <v>8</v>
      </c>
      <c r="D26" s="3">
        <v>45153</v>
      </c>
      <c r="E26" s="2" t="s">
        <v>9</v>
      </c>
      <c r="F26" s="2">
        <v>3</v>
      </c>
      <c r="G26" s="2" t="s">
        <v>9</v>
      </c>
      <c r="H26" s="2">
        <v>3</v>
      </c>
      <c r="I26" s="2" t="s">
        <v>9</v>
      </c>
      <c r="J26" s="2">
        <v>3</v>
      </c>
      <c r="K26" s="2" t="s">
        <v>9</v>
      </c>
      <c r="L26" s="2">
        <v>3</v>
      </c>
      <c r="M26" s="2" t="s">
        <v>10</v>
      </c>
      <c r="N26" s="2">
        <v>0</v>
      </c>
      <c r="O26" s="2" t="s">
        <v>10</v>
      </c>
      <c r="P26" s="2">
        <v>0</v>
      </c>
      <c r="Q26" s="2" t="s">
        <v>11</v>
      </c>
      <c r="R26" s="2">
        <v>0</v>
      </c>
      <c r="S26" s="2" t="s">
        <v>9</v>
      </c>
      <c r="T26" s="2">
        <v>2</v>
      </c>
      <c r="U26" s="2" t="s">
        <v>9</v>
      </c>
      <c r="V26" s="2">
        <v>2</v>
      </c>
      <c r="W26" s="2" t="s">
        <v>9</v>
      </c>
      <c r="X26" s="2">
        <v>2</v>
      </c>
      <c r="Y26" s="2" t="s">
        <v>12</v>
      </c>
      <c r="Z26" s="2" t="s">
        <v>15</v>
      </c>
      <c r="AA26" s="2" t="s">
        <v>15</v>
      </c>
      <c r="AB26" s="2" t="s">
        <v>15</v>
      </c>
      <c r="AC26" s="2" t="s">
        <v>15</v>
      </c>
      <c r="AD26" s="2" t="s">
        <v>15</v>
      </c>
      <c r="AE26" s="2" t="s">
        <v>15</v>
      </c>
      <c r="AF26" s="2">
        <v>0</v>
      </c>
      <c r="AG26" s="2" t="s">
        <v>234</v>
      </c>
      <c r="AH26" s="2" t="s">
        <v>17</v>
      </c>
      <c r="AI26" s="4">
        <v>0.1</v>
      </c>
      <c r="AJ26" s="2" t="s">
        <v>17</v>
      </c>
      <c r="AK26" s="2" t="s">
        <v>9</v>
      </c>
      <c r="AL26" s="2" t="s">
        <v>17</v>
      </c>
      <c r="AM26" s="2" t="s">
        <v>17</v>
      </c>
      <c r="AN26" s="2" t="s">
        <v>17</v>
      </c>
      <c r="AO26" s="2" t="s">
        <v>9</v>
      </c>
      <c r="AP26" s="2" t="s">
        <v>17</v>
      </c>
      <c r="AQ26" s="2" t="s">
        <v>17</v>
      </c>
      <c r="AR26" s="2" t="s">
        <v>17</v>
      </c>
      <c r="AS26" s="2" t="s">
        <v>17</v>
      </c>
      <c r="AT26" s="2">
        <v>0</v>
      </c>
      <c r="AU26" s="5">
        <v>50000</v>
      </c>
      <c r="AV26" s="5">
        <v>460000</v>
      </c>
      <c r="AW26" s="2">
        <v>0</v>
      </c>
      <c r="AX26" s="2">
        <v>4</v>
      </c>
      <c r="AY26" s="2">
        <v>0</v>
      </c>
      <c r="AZ26" s="2">
        <v>18</v>
      </c>
      <c r="BA26" s="2">
        <v>0</v>
      </c>
      <c r="BB26" s="2">
        <v>1</v>
      </c>
      <c r="BC26" s="2">
        <v>0</v>
      </c>
      <c r="BD26" s="2">
        <v>0</v>
      </c>
      <c r="BE26" s="2">
        <v>0</v>
      </c>
      <c r="BF26" s="2">
        <v>1</v>
      </c>
      <c r="BG26" s="2">
        <v>0</v>
      </c>
      <c r="BH26" s="2">
        <v>0</v>
      </c>
      <c r="BI26" s="2">
        <v>13</v>
      </c>
      <c r="BJ26" s="2">
        <v>1</v>
      </c>
      <c r="BK26" s="2">
        <v>0</v>
      </c>
      <c r="BL26" s="2">
        <v>2</v>
      </c>
      <c r="BM26" s="2">
        <v>0</v>
      </c>
      <c r="BN26" s="2">
        <v>10</v>
      </c>
      <c r="BO26" s="2">
        <v>11</v>
      </c>
      <c r="BP26" s="2">
        <v>0</v>
      </c>
      <c r="BQ26" s="2">
        <v>10</v>
      </c>
      <c r="BR26" s="2">
        <v>12.83</v>
      </c>
      <c r="BS26" s="2">
        <v>0</v>
      </c>
      <c r="BT26" s="4">
        <v>0.06</v>
      </c>
      <c r="BU26" s="2" t="s">
        <v>9</v>
      </c>
      <c r="BV26" s="6">
        <v>195075</v>
      </c>
      <c r="BW26" s="2" t="s">
        <v>126</v>
      </c>
      <c r="BX26" s="2" t="s">
        <v>17</v>
      </c>
      <c r="BY26" s="2" t="s">
        <v>17</v>
      </c>
      <c r="BZ26" s="2" t="s">
        <v>17</v>
      </c>
      <c r="CA26" s="2" t="s">
        <v>17</v>
      </c>
      <c r="CB26" s="2" t="s">
        <v>17</v>
      </c>
      <c r="CC26" s="2" t="s">
        <v>17</v>
      </c>
      <c r="CD26" s="2" t="s">
        <v>17</v>
      </c>
      <c r="CE26" s="2" t="s">
        <v>1358</v>
      </c>
      <c r="CF26" s="2" t="s">
        <v>17</v>
      </c>
      <c r="CG26" s="2" t="s">
        <v>1322</v>
      </c>
      <c r="CH26" s="2" t="s">
        <v>1323</v>
      </c>
      <c r="CI26" s="2"/>
      <c r="CJ26" s="2" t="s">
        <v>9</v>
      </c>
      <c r="CK26" s="2" t="s">
        <v>1324</v>
      </c>
      <c r="CL26" s="2" t="s">
        <v>1322</v>
      </c>
      <c r="CM26" s="2" t="s">
        <v>1325</v>
      </c>
      <c r="CN26" s="2" t="s">
        <v>1326</v>
      </c>
      <c r="CO26" s="2" t="s">
        <v>24</v>
      </c>
      <c r="CP26" s="2"/>
      <c r="CQ26" s="2">
        <v>80</v>
      </c>
      <c r="CR26" s="2" t="s">
        <v>461</v>
      </c>
      <c r="CS26" s="2">
        <v>2019</v>
      </c>
      <c r="CT26" s="2" t="s">
        <v>26</v>
      </c>
      <c r="CU26" s="2" t="s">
        <v>27</v>
      </c>
      <c r="CV26" s="2" t="s">
        <v>1327</v>
      </c>
      <c r="CW26" s="2" t="s">
        <v>692</v>
      </c>
      <c r="CX26" s="2" t="s">
        <v>24</v>
      </c>
      <c r="CY26" s="2"/>
      <c r="CZ26" s="2">
        <v>110</v>
      </c>
      <c r="DA26" s="2" t="s">
        <v>461</v>
      </c>
      <c r="DB26" s="2">
        <v>2021</v>
      </c>
      <c r="DC26" s="2" t="s">
        <v>30</v>
      </c>
      <c r="DD26" s="2" t="s">
        <v>27</v>
      </c>
      <c r="DE26" s="2" t="s">
        <v>1328</v>
      </c>
      <c r="DF26" s="2" t="s">
        <v>389</v>
      </c>
      <c r="DG26" s="2" t="s">
        <v>24</v>
      </c>
      <c r="DH26" s="2"/>
      <c r="DI26" s="2">
        <v>102</v>
      </c>
      <c r="DJ26" s="2" t="s">
        <v>461</v>
      </c>
      <c r="DK26" s="2">
        <v>2022</v>
      </c>
      <c r="DL26" s="2" t="s">
        <v>30</v>
      </c>
      <c r="DM26" s="2" t="s">
        <v>27</v>
      </c>
      <c r="DN26" s="2" t="s">
        <v>33</v>
      </c>
      <c r="DO26" s="2" t="s">
        <v>1329</v>
      </c>
      <c r="DP26" s="2" t="s">
        <v>1330</v>
      </c>
      <c r="DQ26" s="2" t="s">
        <v>1331</v>
      </c>
      <c r="DR26" s="2" t="s">
        <v>1332</v>
      </c>
      <c r="DS26" s="2">
        <v>1</v>
      </c>
      <c r="DT26" s="2" t="s">
        <v>1333</v>
      </c>
      <c r="DU26" s="2" t="s">
        <v>1334</v>
      </c>
      <c r="DV26" s="2" t="s">
        <v>39</v>
      </c>
      <c r="DW26" s="2">
        <v>34744</v>
      </c>
      <c r="DX26" s="2" t="s">
        <v>1335</v>
      </c>
      <c r="DY26" s="2">
        <v>2</v>
      </c>
      <c r="DZ26" s="2" t="s">
        <v>1336</v>
      </c>
      <c r="EA26" s="2" t="s">
        <v>1332</v>
      </c>
      <c r="EB26" s="2" t="s">
        <v>1337</v>
      </c>
      <c r="EC26" s="2" t="s">
        <v>1338</v>
      </c>
      <c r="ED26" s="2" t="s">
        <v>44</v>
      </c>
      <c r="EE26" s="2">
        <v>96</v>
      </c>
      <c r="EF26" s="2" t="s">
        <v>473</v>
      </c>
      <c r="EG26" s="2">
        <v>13</v>
      </c>
      <c r="EH26" s="2" t="s">
        <v>46</v>
      </c>
      <c r="EI26" s="2" t="s">
        <v>47</v>
      </c>
      <c r="EJ26" s="2" t="s">
        <v>1339</v>
      </c>
      <c r="EK26" s="2" t="s">
        <v>1340</v>
      </c>
      <c r="EL26" s="2" t="s">
        <v>44</v>
      </c>
      <c r="EM26" s="2">
        <v>92</v>
      </c>
      <c r="EN26" s="2" t="s">
        <v>473</v>
      </c>
      <c r="EO26" s="2">
        <v>12</v>
      </c>
      <c r="EP26" s="2" t="s">
        <v>46</v>
      </c>
      <c r="EQ26" s="2" t="s">
        <v>47</v>
      </c>
      <c r="ER26" s="2" t="s">
        <v>1341</v>
      </c>
      <c r="ES26" s="2" t="s">
        <v>256</v>
      </c>
      <c r="ET26" s="2" t="s">
        <v>1342</v>
      </c>
      <c r="EU26" s="2" t="s">
        <v>1322</v>
      </c>
      <c r="EV26" s="2" t="s">
        <v>1343</v>
      </c>
      <c r="EW26" s="2" t="s">
        <v>1359</v>
      </c>
      <c r="EX26" s="2" t="s">
        <v>39</v>
      </c>
      <c r="EY26" s="2">
        <v>32789</v>
      </c>
      <c r="EZ26" s="2" t="s">
        <v>1344</v>
      </c>
      <c r="FA26" s="2"/>
      <c r="FB26" s="2" t="s">
        <v>1345</v>
      </c>
      <c r="FC26" s="2" t="s">
        <v>1346</v>
      </c>
      <c r="FD26" s="2"/>
      <c r="FE26" s="2" t="s">
        <v>1347</v>
      </c>
      <c r="FF26" s="2" t="s">
        <v>1323</v>
      </c>
      <c r="FG26" s="2" t="s">
        <v>1343</v>
      </c>
      <c r="FH26" s="2" t="s">
        <v>752</v>
      </c>
      <c r="FI26" s="2" t="s">
        <v>39</v>
      </c>
      <c r="FJ26" s="2">
        <v>32789</v>
      </c>
      <c r="FK26" s="2" t="s">
        <v>1348</v>
      </c>
      <c r="FL26" s="2"/>
      <c r="FM26" s="2" t="s">
        <v>1349</v>
      </c>
      <c r="FN26" s="2" t="s">
        <v>1360</v>
      </c>
      <c r="FO26" s="2" t="s">
        <v>63</v>
      </c>
      <c r="FP26" s="2" t="s">
        <v>64</v>
      </c>
      <c r="FQ26" s="2" t="s">
        <v>9</v>
      </c>
      <c r="FR26" s="2" t="s">
        <v>17</v>
      </c>
      <c r="FS26" s="2" t="s">
        <v>17</v>
      </c>
      <c r="FT26" s="2" t="s">
        <v>9</v>
      </c>
      <c r="FU26" s="2">
        <v>0</v>
      </c>
      <c r="FV26" s="2">
        <v>0</v>
      </c>
      <c r="FW26" s="4">
        <v>0</v>
      </c>
      <c r="FX26" s="4">
        <v>0</v>
      </c>
      <c r="FY26" s="2" t="s">
        <v>65</v>
      </c>
      <c r="FZ26" s="2" t="s">
        <v>66</v>
      </c>
      <c r="GA26" s="2" t="s">
        <v>67</v>
      </c>
      <c r="GB26" s="2"/>
      <c r="GC26" s="2"/>
      <c r="GD26" s="2"/>
      <c r="GE26" s="2" t="s">
        <v>108</v>
      </c>
      <c r="GF26" s="2"/>
      <c r="GG26" s="2"/>
      <c r="GH26" s="2"/>
      <c r="GI26" s="2"/>
      <c r="GJ26" s="2">
        <v>84</v>
      </c>
      <c r="GK26" s="2"/>
      <c r="GL26" s="2"/>
      <c r="GM26" s="2"/>
      <c r="GN26" s="2"/>
      <c r="GO26" s="2"/>
      <c r="GP26" s="2"/>
      <c r="GQ26" s="2">
        <v>84</v>
      </c>
      <c r="GR26" s="2" t="s">
        <v>968</v>
      </c>
      <c r="GS26" s="2" t="s">
        <v>70</v>
      </c>
      <c r="GT26" s="2" t="s">
        <v>1361</v>
      </c>
      <c r="GU26" s="2" t="s">
        <v>1362</v>
      </c>
      <c r="GV26" s="2" t="s">
        <v>17</v>
      </c>
      <c r="GW26" s="2">
        <v>29.224667</v>
      </c>
      <c r="GX26" s="2">
        <v>-81.025527999999994</v>
      </c>
      <c r="GY26" s="2"/>
      <c r="GZ26" s="2" t="s">
        <v>17</v>
      </c>
      <c r="HA26" s="2" t="s">
        <v>17</v>
      </c>
      <c r="HB26" s="2">
        <v>0</v>
      </c>
      <c r="HC26" s="2" t="s">
        <v>17</v>
      </c>
      <c r="HD26" s="2" t="s">
        <v>17</v>
      </c>
      <c r="HE26" s="2">
        <v>0</v>
      </c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 t="s">
        <v>73</v>
      </c>
      <c r="HY26" s="2" t="s">
        <v>17</v>
      </c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 t="s">
        <v>9</v>
      </c>
      <c r="IP26" s="2">
        <v>0</v>
      </c>
      <c r="IQ26" s="2">
        <v>0</v>
      </c>
      <c r="IR26" s="2">
        <v>0</v>
      </c>
      <c r="IS26" s="2">
        <v>0</v>
      </c>
      <c r="IT26" s="2" t="s">
        <v>9</v>
      </c>
      <c r="IU26" s="2" t="s">
        <v>17</v>
      </c>
      <c r="IV26" s="2" t="s">
        <v>17</v>
      </c>
      <c r="IW26" s="2" t="s">
        <v>17</v>
      </c>
      <c r="IX26" s="2" t="s">
        <v>17</v>
      </c>
      <c r="IY26" s="2">
        <v>0</v>
      </c>
      <c r="IZ26" s="2">
        <v>84</v>
      </c>
      <c r="JA26" s="2" t="s">
        <v>172</v>
      </c>
      <c r="JB26" s="2" t="s">
        <v>173</v>
      </c>
      <c r="JC26" s="2"/>
      <c r="JD26" s="2"/>
      <c r="JE26" s="7">
        <v>0.1</v>
      </c>
      <c r="JF26" s="2"/>
      <c r="JG26" s="7">
        <v>0.9</v>
      </c>
      <c r="JH26" s="7">
        <v>0</v>
      </c>
      <c r="JI26" s="2">
        <v>84</v>
      </c>
      <c r="JJ26" s="7">
        <v>1</v>
      </c>
      <c r="JK26" s="2">
        <v>84</v>
      </c>
      <c r="JL26" s="7">
        <v>1</v>
      </c>
      <c r="JM26" s="2"/>
      <c r="JN26" s="2"/>
      <c r="JO26" s="2"/>
      <c r="JP26" s="2"/>
      <c r="JQ26" s="2"/>
      <c r="JR26" s="2"/>
      <c r="JS26" s="2">
        <v>0</v>
      </c>
      <c r="JT26" s="2">
        <v>0</v>
      </c>
      <c r="JU26" s="2"/>
      <c r="JV26" s="2">
        <v>0</v>
      </c>
      <c r="JW26" s="4">
        <v>0</v>
      </c>
      <c r="JX26" s="2">
        <v>0</v>
      </c>
      <c r="JY26" s="4">
        <v>0</v>
      </c>
      <c r="JZ26" s="2">
        <v>0</v>
      </c>
      <c r="KA26" s="2"/>
      <c r="KB26" s="2"/>
      <c r="KC26" s="2"/>
      <c r="KD26" s="2"/>
      <c r="KE26" s="2"/>
      <c r="KF26" s="2"/>
      <c r="KG26" s="2"/>
      <c r="KH26" s="2">
        <v>42</v>
      </c>
      <c r="KI26" s="2">
        <v>42</v>
      </c>
      <c r="KJ26" s="2"/>
      <c r="KK26" s="2"/>
      <c r="KL26" s="2"/>
      <c r="KM26" s="2"/>
      <c r="KN26" s="2"/>
      <c r="KO26" s="2"/>
      <c r="KP26" s="2"/>
      <c r="KQ26" s="2" t="s">
        <v>83</v>
      </c>
      <c r="KR26" s="2"/>
      <c r="KS26" s="2" t="s">
        <v>73</v>
      </c>
      <c r="KT26" s="2">
        <v>1</v>
      </c>
      <c r="KU26" s="2" t="s">
        <v>84</v>
      </c>
      <c r="KV26" s="2" t="s">
        <v>85</v>
      </c>
      <c r="KW26" s="2" t="s">
        <v>86</v>
      </c>
      <c r="KX26" s="2" t="s">
        <v>17</v>
      </c>
      <c r="KY26" s="2" t="s">
        <v>17</v>
      </c>
      <c r="KZ26" s="2" t="s">
        <v>17</v>
      </c>
      <c r="LA26" s="2" t="s">
        <v>17</v>
      </c>
      <c r="LB26" s="2" t="s">
        <v>17</v>
      </c>
      <c r="LC26" s="2" t="s">
        <v>17</v>
      </c>
      <c r="LD26" s="2" t="s">
        <v>17</v>
      </c>
      <c r="LE26" s="2" t="s">
        <v>17</v>
      </c>
      <c r="LF26" s="2" t="s">
        <v>17</v>
      </c>
      <c r="LG26" s="2" t="s">
        <v>17</v>
      </c>
      <c r="LH26" s="2" t="s">
        <v>17</v>
      </c>
      <c r="LI26" s="2" t="s">
        <v>17</v>
      </c>
      <c r="LJ26" s="2" t="s">
        <v>87</v>
      </c>
      <c r="LK26" s="2" t="s">
        <v>17</v>
      </c>
      <c r="LL26" s="2" t="s">
        <v>17</v>
      </c>
      <c r="LM26" s="2">
        <v>0</v>
      </c>
      <c r="LN26" s="2" t="s">
        <v>17</v>
      </c>
      <c r="LO26" s="2" t="s">
        <v>17</v>
      </c>
      <c r="LP26" s="2" t="s">
        <v>17</v>
      </c>
      <c r="LQ26" s="2" t="s">
        <v>17</v>
      </c>
      <c r="LR26" s="2" t="s">
        <v>17</v>
      </c>
      <c r="LS26" s="2" t="s">
        <v>17</v>
      </c>
      <c r="LT26" s="2" t="s">
        <v>17</v>
      </c>
      <c r="LU26" s="2" t="s">
        <v>17</v>
      </c>
      <c r="LV26" s="2" t="s">
        <v>9</v>
      </c>
      <c r="LW26" s="2" t="s">
        <v>9</v>
      </c>
      <c r="LX26" s="2" t="s">
        <v>9</v>
      </c>
      <c r="LY26" s="5">
        <v>6500000</v>
      </c>
      <c r="LZ26" s="5">
        <v>0</v>
      </c>
      <c r="MA26" s="5">
        <v>7200000</v>
      </c>
      <c r="MB26" s="5">
        <v>0</v>
      </c>
      <c r="MC26" s="5">
        <v>0</v>
      </c>
      <c r="MD26" s="5">
        <v>0</v>
      </c>
      <c r="ME26" s="5">
        <v>8820000</v>
      </c>
      <c r="MF26" s="5">
        <v>0</v>
      </c>
      <c r="MG26" s="5">
        <v>0</v>
      </c>
      <c r="MH26" s="5">
        <v>0</v>
      </c>
      <c r="MI26" s="5">
        <v>0</v>
      </c>
      <c r="MJ26" s="5">
        <v>0</v>
      </c>
      <c r="MK26" s="5">
        <v>0</v>
      </c>
      <c r="ML26" s="2">
        <v>0</v>
      </c>
      <c r="MM26" s="5">
        <v>0</v>
      </c>
      <c r="MN26" s="5">
        <v>0</v>
      </c>
      <c r="MO26" s="2">
        <v>0</v>
      </c>
      <c r="MP26" s="2">
        <v>0</v>
      </c>
      <c r="MQ26" s="2">
        <v>0</v>
      </c>
      <c r="MR26" s="5">
        <v>2950000</v>
      </c>
      <c r="MS26" s="5">
        <v>0</v>
      </c>
      <c r="MT26" s="5">
        <v>4600000</v>
      </c>
      <c r="MU26" s="5">
        <v>0</v>
      </c>
      <c r="MV26" s="5">
        <v>0</v>
      </c>
      <c r="MW26" s="5">
        <v>0</v>
      </c>
      <c r="MX26" s="5">
        <v>0</v>
      </c>
      <c r="MY26" s="5">
        <v>2500000</v>
      </c>
      <c r="MZ26" s="5">
        <v>0</v>
      </c>
      <c r="NA26" s="5">
        <v>5000000</v>
      </c>
      <c r="NB26" s="5">
        <v>0</v>
      </c>
      <c r="NC26" s="5">
        <v>0</v>
      </c>
      <c r="ND26" s="5">
        <v>0</v>
      </c>
      <c r="NE26" s="5">
        <v>0</v>
      </c>
      <c r="NF26" s="5">
        <v>0</v>
      </c>
      <c r="NG26" s="5">
        <v>2142000</v>
      </c>
      <c r="NH26" s="5">
        <v>2142000</v>
      </c>
      <c r="NI26" s="5">
        <v>2142000</v>
      </c>
      <c r="NJ26" s="5">
        <v>0</v>
      </c>
      <c r="NK26" s="5"/>
      <c r="NL26" s="2" t="s">
        <v>17</v>
      </c>
      <c r="NM26" s="2" t="s">
        <v>17</v>
      </c>
      <c r="NN26" s="2"/>
      <c r="NO26" s="2" t="s">
        <v>17</v>
      </c>
      <c r="NP26" s="2"/>
      <c r="NQ26" s="2"/>
      <c r="NR26" s="2" t="s">
        <v>17</v>
      </c>
      <c r="NS26" s="2"/>
      <c r="NT26" s="2" t="s">
        <v>9</v>
      </c>
      <c r="NU26" s="2" t="s">
        <v>450</v>
      </c>
      <c r="NV26" s="2">
        <v>815</v>
      </c>
      <c r="NW26" s="2" t="s">
        <v>1363</v>
      </c>
      <c r="NX26" s="2" t="s">
        <v>17</v>
      </c>
      <c r="NY26" s="2"/>
      <c r="NZ26" s="2"/>
      <c r="OA26" s="2" t="s">
        <v>118</v>
      </c>
      <c r="OB26" s="2" t="s">
        <v>118</v>
      </c>
      <c r="OC26" s="2" t="s">
        <v>118</v>
      </c>
      <c r="OD26" s="2" t="s">
        <v>17</v>
      </c>
      <c r="OE26" s="2" t="s">
        <v>119</v>
      </c>
      <c r="OF26" s="2" t="s">
        <v>17</v>
      </c>
      <c r="OG26" s="2" t="s">
        <v>17</v>
      </c>
      <c r="OH26" s="2"/>
      <c r="OI26" s="2"/>
      <c r="OJ26" s="2"/>
      <c r="OK26" s="2" t="s">
        <v>17</v>
      </c>
      <c r="OL26" s="2" t="s">
        <v>17</v>
      </c>
      <c r="OM26" s="2" t="s">
        <v>85</v>
      </c>
      <c r="ON26" s="6">
        <v>0</v>
      </c>
      <c r="OO26" s="6">
        <v>0</v>
      </c>
      <c r="OP26" s="2" t="s">
        <v>93</v>
      </c>
      <c r="OQ26" s="2" t="s">
        <v>93</v>
      </c>
      <c r="OR26" s="6">
        <v>0</v>
      </c>
      <c r="OS26" s="4">
        <v>0</v>
      </c>
      <c r="OT26" s="2" t="s">
        <v>17</v>
      </c>
      <c r="OU26" s="2" t="s">
        <v>17</v>
      </c>
      <c r="OV26" s="2"/>
      <c r="OW26" s="2"/>
      <c r="OX26" s="5">
        <v>16386300</v>
      </c>
      <c r="OY26" s="6">
        <v>195075</v>
      </c>
      <c r="OZ26" s="2"/>
      <c r="PA26" s="2"/>
      <c r="PB26" s="8">
        <v>12800000</v>
      </c>
      <c r="PC26" s="2"/>
      <c r="PD26" s="8">
        <v>12800000</v>
      </c>
      <c r="PE26" s="8">
        <v>500000</v>
      </c>
      <c r="PF26" s="2"/>
      <c r="PG26" s="8">
        <v>500000</v>
      </c>
      <c r="PH26" s="2"/>
      <c r="PI26" s="2"/>
      <c r="PJ26" s="2"/>
      <c r="PK26" s="8">
        <v>13300000</v>
      </c>
      <c r="PL26" s="2"/>
      <c r="PM26" s="8">
        <v>13300000</v>
      </c>
      <c r="PN26" s="8">
        <v>1861990</v>
      </c>
      <c r="PO26" s="2"/>
      <c r="PP26" s="8">
        <v>1861990</v>
      </c>
      <c r="PQ26" s="6">
        <v>1862000</v>
      </c>
      <c r="PR26" s="8">
        <v>15161990</v>
      </c>
      <c r="PS26" s="2"/>
      <c r="PT26" s="8">
        <v>15161990</v>
      </c>
      <c r="PU26" s="8">
        <v>758090</v>
      </c>
      <c r="PV26" s="2"/>
      <c r="PW26" s="8">
        <v>758090</v>
      </c>
      <c r="PX26" s="6">
        <v>758099.5</v>
      </c>
      <c r="PY26" s="8">
        <v>789500</v>
      </c>
      <c r="PZ26" s="8">
        <v>35000</v>
      </c>
      <c r="QA26" s="8">
        <v>824500</v>
      </c>
      <c r="QB26" s="8">
        <v>125000</v>
      </c>
      <c r="QC26" s="8">
        <v>50000</v>
      </c>
      <c r="QD26" s="8">
        <v>175000</v>
      </c>
      <c r="QE26" s="8">
        <v>80000</v>
      </c>
      <c r="QF26" s="2"/>
      <c r="QG26" s="8">
        <v>80000</v>
      </c>
      <c r="QH26" s="2"/>
      <c r="QI26" s="8">
        <v>410780</v>
      </c>
      <c r="QJ26" s="8">
        <v>410780</v>
      </c>
      <c r="QK26" s="2"/>
      <c r="QL26" s="2"/>
      <c r="QM26" s="2"/>
      <c r="QN26" s="2"/>
      <c r="QO26" s="2"/>
      <c r="QP26" s="2"/>
      <c r="QQ26" s="8">
        <v>994500</v>
      </c>
      <c r="QR26" s="8">
        <v>495780</v>
      </c>
      <c r="QS26" s="8">
        <v>1490280</v>
      </c>
      <c r="QT26" s="8">
        <v>49715</v>
      </c>
      <c r="QU26" s="8">
        <v>24779</v>
      </c>
      <c r="QV26" s="8">
        <v>74494</v>
      </c>
      <c r="QW26" s="6">
        <v>74514</v>
      </c>
      <c r="QX26" s="8">
        <v>735188</v>
      </c>
      <c r="QY26" s="8">
        <v>69792</v>
      </c>
      <c r="QZ26" s="8">
        <v>804980</v>
      </c>
      <c r="RA26" s="8">
        <v>26000</v>
      </c>
      <c r="RB26" s="8">
        <v>26000</v>
      </c>
      <c r="RC26" s="2"/>
      <c r="RD26" s="2"/>
      <c r="RE26" s="2"/>
      <c r="RF26" s="8">
        <v>735188</v>
      </c>
      <c r="RG26" s="8">
        <v>95792</v>
      </c>
      <c r="RH26" s="8">
        <v>830980</v>
      </c>
      <c r="RI26" s="2"/>
      <c r="RJ26" s="2"/>
      <c r="RK26" s="2"/>
      <c r="RL26" s="2"/>
      <c r="RM26" s="8">
        <v>17699483</v>
      </c>
      <c r="RN26" s="8">
        <v>616351</v>
      </c>
      <c r="RO26" s="8">
        <v>18315834</v>
      </c>
      <c r="RP26" s="2"/>
      <c r="RQ26" s="2"/>
      <c r="RR26" s="2">
        <v>0</v>
      </c>
      <c r="RS26" s="6">
        <v>0</v>
      </c>
      <c r="RT26" s="8">
        <v>2831907</v>
      </c>
      <c r="RU26" s="8">
        <v>98607</v>
      </c>
      <c r="RV26" s="8">
        <v>2930514</v>
      </c>
      <c r="RW26" s="6">
        <v>2930533</v>
      </c>
      <c r="RX26" s="6">
        <v>0</v>
      </c>
      <c r="RY26" s="8">
        <v>2831907</v>
      </c>
      <c r="RZ26" s="8">
        <v>98607</v>
      </c>
      <c r="SA26" s="8">
        <v>2930514</v>
      </c>
      <c r="SB26" s="6">
        <v>2930533</v>
      </c>
      <c r="SC26" s="8">
        <v>179854</v>
      </c>
      <c r="SD26" s="8">
        <v>179854</v>
      </c>
      <c r="SE26" s="6">
        <v>294000</v>
      </c>
      <c r="SF26" s="8">
        <v>750000</v>
      </c>
      <c r="SG26" s="8">
        <v>750000</v>
      </c>
      <c r="SH26" s="8">
        <v>20531390</v>
      </c>
      <c r="SI26" s="8">
        <v>1644812</v>
      </c>
      <c r="SJ26" s="8">
        <v>22176202</v>
      </c>
      <c r="SK26" s="2" t="s">
        <v>229</v>
      </c>
      <c r="SL26" s="2"/>
      <c r="SM26" s="2"/>
      <c r="SN26" s="2"/>
      <c r="SO26" s="2"/>
      <c r="SP26" s="8">
        <v>1850000</v>
      </c>
      <c r="SQ26" s="2" t="s">
        <v>95</v>
      </c>
      <c r="SR26" s="8">
        <v>460000</v>
      </c>
      <c r="SS26" s="2" t="s">
        <v>180</v>
      </c>
      <c r="ST26" s="2"/>
      <c r="SU26" s="2"/>
      <c r="SV26" s="2"/>
      <c r="SW26" s="2"/>
      <c r="SX26" s="2" t="s">
        <v>96</v>
      </c>
      <c r="SY26" s="2" t="s">
        <v>96</v>
      </c>
      <c r="SZ26" s="2" t="s">
        <v>96</v>
      </c>
      <c r="TA26" s="2" t="s">
        <v>96</v>
      </c>
      <c r="TB26" s="8">
        <v>2846005</v>
      </c>
      <c r="TC26" s="2" t="s">
        <v>1355</v>
      </c>
      <c r="TD26" s="8">
        <v>14441855</v>
      </c>
      <c r="TE26" s="2" t="s">
        <v>95</v>
      </c>
      <c r="TF26" s="2"/>
      <c r="TG26" s="2"/>
      <c r="TH26" s="2"/>
      <c r="TI26" s="8">
        <v>2578342</v>
      </c>
      <c r="TJ26" s="8">
        <v>22176202</v>
      </c>
      <c r="TK26" s="2">
        <v>0</v>
      </c>
      <c r="TL26" s="2" t="s">
        <v>9</v>
      </c>
      <c r="TM26" s="8">
        <v>1850000</v>
      </c>
      <c r="TN26" s="2" t="s">
        <v>95</v>
      </c>
      <c r="TO26" s="8">
        <v>460000</v>
      </c>
      <c r="TP26" s="2" t="s">
        <v>180</v>
      </c>
      <c r="TQ26" s="2"/>
      <c r="TR26" s="2"/>
      <c r="TS26" s="2"/>
      <c r="TT26" s="2"/>
      <c r="TU26" s="2" t="s">
        <v>96</v>
      </c>
      <c r="TV26" s="8">
        <v>18847715</v>
      </c>
      <c r="TW26" s="2"/>
      <c r="TX26" s="2"/>
      <c r="TY26" s="2"/>
      <c r="TZ26" s="2"/>
      <c r="UA26" s="2"/>
      <c r="UB26" s="2"/>
      <c r="UC26" s="8">
        <v>1018487</v>
      </c>
      <c r="UD26" s="8">
        <v>22176202</v>
      </c>
      <c r="UE26" s="6">
        <v>2310000</v>
      </c>
      <c r="UF26" s="2">
        <v>0</v>
      </c>
      <c r="UG26" s="2" t="s">
        <v>9</v>
      </c>
      <c r="UH26" s="2">
        <v>84</v>
      </c>
      <c r="UI26" s="5">
        <v>240000</v>
      </c>
      <c r="UJ26" s="6">
        <v>320000</v>
      </c>
      <c r="UK26" s="6">
        <v>320000</v>
      </c>
      <c r="UL26" s="6">
        <v>339200</v>
      </c>
      <c r="UM26" s="6">
        <v>28492800</v>
      </c>
      <c r="UN26" s="6">
        <v>4558848</v>
      </c>
      <c r="UO26" s="6">
        <v>4558848</v>
      </c>
      <c r="UP26" s="6">
        <v>33051648</v>
      </c>
      <c r="UQ26" s="6">
        <v>21246348</v>
      </c>
      <c r="UR26" s="6">
        <v>460000</v>
      </c>
      <c r="US26" s="2"/>
      <c r="UT26" s="6">
        <v>460000</v>
      </c>
      <c r="UU26" s="2"/>
      <c r="UV26" s="6">
        <v>0</v>
      </c>
      <c r="UW26" s="6">
        <v>460000</v>
      </c>
      <c r="UX26" s="6">
        <v>0</v>
      </c>
      <c r="UY26" s="6">
        <v>460000</v>
      </c>
      <c r="UZ26" s="2" t="s">
        <v>1364</v>
      </c>
      <c r="VA26" s="2" t="s">
        <v>182</v>
      </c>
      <c r="VB26" s="2"/>
      <c r="VC26" s="2"/>
      <c r="VD26" s="2" t="s">
        <v>9</v>
      </c>
      <c r="VE26" s="2" t="s">
        <v>17</v>
      </c>
      <c r="VF26" s="2"/>
      <c r="VG26" s="2" t="s">
        <v>17</v>
      </c>
      <c r="VH26" s="2"/>
      <c r="VI26" s="388" t="s">
        <v>1324</v>
      </c>
      <c r="VJ26" s="2" t="s">
        <v>98</v>
      </c>
      <c r="VK26" s="2" t="s">
        <v>536</v>
      </c>
      <c r="VL26" s="23">
        <f t="shared" si="0"/>
        <v>126</v>
      </c>
      <c r="VM26" s="17">
        <f t="shared" si="1"/>
        <v>1.5</v>
      </c>
      <c r="VN26" s="17" t="str">
        <f t="shared" si="12"/>
        <v>NC-MR-E</v>
      </c>
      <c r="VO26" s="17" t="str">
        <f t="shared" si="13"/>
        <v>NC-MR-E-Non</v>
      </c>
      <c r="VP26" s="12">
        <v>9</v>
      </c>
      <c r="VQ26" s="57">
        <v>1</v>
      </c>
      <c r="VR26" s="57">
        <f t="shared" si="2"/>
        <v>1</v>
      </c>
      <c r="VS26" s="14">
        <f t="shared" si="3"/>
        <v>1</v>
      </c>
      <c r="VT26" s="12">
        <f t="shared" si="4"/>
        <v>0.97000000000000008</v>
      </c>
      <c r="VU26" s="16">
        <f t="shared" si="5"/>
        <v>18699660</v>
      </c>
      <c r="VV26" s="16">
        <f t="shared" si="6"/>
        <v>222615</v>
      </c>
      <c r="VW26" s="12" t="str">
        <f t="shared" si="14"/>
        <v>A</v>
      </c>
      <c r="VX26" s="12" t="str">
        <f t="shared" si="15"/>
        <v>NC-MR-Non</v>
      </c>
      <c r="VY26" s="351">
        <f t="shared" si="16"/>
        <v>2</v>
      </c>
      <c r="WA26" s="12">
        <f t="shared" si="17"/>
        <v>1</v>
      </c>
      <c r="WB26" s="12">
        <f t="shared" si="18"/>
        <v>0</v>
      </c>
      <c r="WC26" s="12">
        <f t="shared" si="18"/>
        <v>0</v>
      </c>
      <c r="WD26" s="12">
        <f t="shared" si="18"/>
        <v>0</v>
      </c>
      <c r="WE26" s="12">
        <f t="shared" si="19"/>
        <v>0</v>
      </c>
      <c r="WF26" s="12">
        <f t="shared" si="7"/>
        <v>0</v>
      </c>
      <c r="WG26" s="12">
        <f t="shared" si="8"/>
        <v>1</v>
      </c>
      <c r="WH26" s="12">
        <f t="shared" si="9"/>
        <v>0</v>
      </c>
      <c r="WI26" s="31">
        <f t="shared" si="10"/>
        <v>2</v>
      </c>
      <c r="WJ26" s="2"/>
      <c r="WK26" s="445" t="str">
        <f t="shared" si="20"/>
        <v>NC-MR-Non-BBN-BRN-NPH-E</v>
      </c>
      <c r="WL26" s="445"/>
      <c r="WM26" s="445"/>
    </row>
    <row r="27" spans="1:611" x14ac:dyDescent="0.25">
      <c r="A27" s="2">
        <v>9420</v>
      </c>
      <c r="B27" s="2" t="s">
        <v>1957</v>
      </c>
      <c r="C27" s="2" t="s">
        <v>8</v>
      </c>
      <c r="D27" s="3">
        <v>45153</v>
      </c>
      <c r="E27" s="2" t="e">
        <v>#VALUE!</v>
      </c>
      <c r="F27" s="2" t="e">
        <v>#VALUE!</v>
      </c>
      <c r="G27" s="2" t="s">
        <v>9</v>
      </c>
      <c r="H27" s="2">
        <v>3</v>
      </c>
      <c r="I27" s="2" t="s">
        <v>9</v>
      </c>
      <c r="J27" s="2">
        <v>3</v>
      </c>
      <c r="K27" s="2" t="s">
        <v>9</v>
      </c>
      <c r="L27" s="2">
        <v>3</v>
      </c>
      <c r="M27" s="2" t="s">
        <v>10</v>
      </c>
      <c r="N27" s="2">
        <v>0</v>
      </c>
      <c r="O27" s="2" t="s">
        <v>10</v>
      </c>
      <c r="P27" s="2">
        <v>0</v>
      </c>
      <c r="Q27" s="2" t="s">
        <v>11</v>
      </c>
      <c r="R27" s="2">
        <v>0</v>
      </c>
      <c r="S27" s="2" t="s">
        <v>9</v>
      </c>
      <c r="T27" s="2">
        <v>2</v>
      </c>
      <c r="U27" s="2" t="s">
        <v>9</v>
      </c>
      <c r="V27" s="2">
        <v>2</v>
      </c>
      <c r="W27" s="2" t="s">
        <v>9</v>
      </c>
      <c r="X27" s="2">
        <v>2</v>
      </c>
      <c r="Y27" s="2" t="s">
        <v>12</v>
      </c>
      <c r="Z27" s="2" t="s">
        <v>187</v>
      </c>
      <c r="AA27" s="2" t="s">
        <v>15</v>
      </c>
      <c r="AB27" s="2" t="s">
        <v>15</v>
      </c>
      <c r="AC27" s="2" t="s">
        <v>15</v>
      </c>
      <c r="AD27" s="2" t="s">
        <v>15</v>
      </c>
      <c r="AE27" s="2" t="s">
        <v>15</v>
      </c>
      <c r="AF27" s="2">
        <v>1</v>
      </c>
      <c r="AG27" s="2" t="s">
        <v>1483</v>
      </c>
      <c r="AH27" s="2" t="s">
        <v>17</v>
      </c>
      <c r="AI27" s="4">
        <v>0.1</v>
      </c>
      <c r="AJ27" s="2" t="s">
        <v>17</v>
      </c>
      <c r="AK27" s="2" t="s">
        <v>9</v>
      </c>
      <c r="AL27" s="2" t="s">
        <v>17</v>
      </c>
      <c r="AM27" s="2" t="s">
        <v>17</v>
      </c>
      <c r="AN27" s="2" t="s">
        <v>17</v>
      </c>
      <c r="AO27" s="2" t="s">
        <v>9</v>
      </c>
      <c r="AP27" s="2" t="s">
        <v>17</v>
      </c>
      <c r="AQ27" s="2" t="s">
        <v>17</v>
      </c>
      <c r="AR27" s="2" t="s">
        <v>17</v>
      </c>
      <c r="AS27" s="2" t="s">
        <v>17</v>
      </c>
      <c r="AT27" s="2">
        <v>0</v>
      </c>
      <c r="AU27" s="5">
        <v>50000</v>
      </c>
      <c r="AV27" s="5">
        <v>460000</v>
      </c>
      <c r="AW27" s="2">
        <v>0</v>
      </c>
      <c r="AX27" s="2">
        <v>9</v>
      </c>
      <c r="AY27" s="2">
        <v>0</v>
      </c>
      <c r="AZ27" s="2">
        <v>18</v>
      </c>
      <c r="BA27" s="2">
        <v>0</v>
      </c>
      <c r="BB27" s="2">
        <v>1</v>
      </c>
      <c r="BC27" s="2">
        <v>1</v>
      </c>
      <c r="BD27" s="2">
        <v>0</v>
      </c>
      <c r="BE27" s="2">
        <v>0</v>
      </c>
      <c r="BF27" s="2">
        <v>1</v>
      </c>
      <c r="BG27" s="2">
        <v>0</v>
      </c>
      <c r="BH27" s="2">
        <v>0</v>
      </c>
      <c r="BI27" s="2">
        <v>13</v>
      </c>
      <c r="BJ27" s="2">
        <v>1</v>
      </c>
      <c r="BK27" s="2">
        <v>0</v>
      </c>
      <c r="BL27" s="2">
        <v>3</v>
      </c>
      <c r="BM27" s="2">
        <v>0</v>
      </c>
      <c r="BN27" s="2">
        <v>11</v>
      </c>
      <c r="BO27" s="2">
        <v>11</v>
      </c>
      <c r="BP27" s="2">
        <v>0</v>
      </c>
      <c r="BQ27" s="2">
        <v>10</v>
      </c>
      <c r="BR27" s="2">
        <v>12.83</v>
      </c>
      <c r="BS27" s="2">
        <v>0</v>
      </c>
      <c r="BT27" s="4">
        <v>0.06</v>
      </c>
      <c r="BU27" s="2" t="s">
        <v>9</v>
      </c>
      <c r="BV27" s="6">
        <v>195075</v>
      </c>
      <c r="BW27" s="2" t="s">
        <v>18</v>
      </c>
      <c r="BX27" s="2" t="s">
        <v>17</v>
      </c>
      <c r="BY27" s="2" t="s">
        <v>17</v>
      </c>
      <c r="BZ27" s="2" t="s">
        <v>17</v>
      </c>
      <c r="CA27" s="2" t="s">
        <v>17</v>
      </c>
      <c r="CB27" s="2" t="s">
        <v>17</v>
      </c>
      <c r="CC27" s="2" t="s">
        <v>17</v>
      </c>
      <c r="CD27" s="2" t="s">
        <v>17</v>
      </c>
      <c r="CE27" s="2" t="s">
        <v>1958</v>
      </c>
      <c r="CF27" s="2" t="s">
        <v>17</v>
      </c>
      <c r="CG27" s="2" t="s">
        <v>1959</v>
      </c>
      <c r="CH27" s="2"/>
      <c r="CI27" s="2"/>
      <c r="CJ27" s="2" t="s">
        <v>9</v>
      </c>
      <c r="CK27" s="2" t="s">
        <v>1960</v>
      </c>
      <c r="CL27" s="2" t="s">
        <v>1959</v>
      </c>
      <c r="CM27" s="2" t="s">
        <v>1961</v>
      </c>
      <c r="CN27" s="2" t="s">
        <v>620</v>
      </c>
      <c r="CO27" s="2" t="s">
        <v>24</v>
      </c>
      <c r="CP27" s="2"/>
      <c r="CQ27" s="2">
        <v>126</v>
      </c>
      <c r="CR27" s="2" t="s">
        <v>461</v>
      </c>
      <c r="CS27" s="2">
        <v>2013</v>
      </c>
      <c r="CT27" s="2" t="s">
        <v>26</v>
      </c>
      <c r="CU27" s="2" t="e">
        <v>#VALUE!</v>
      </c>
      <c r="CV27" s="2" t="s">
        <v>1962</v>
      </c>
      <c r="CW27" s="2" t="s">
        <v>1175</v>
      </c>
      <c r="CX27" s="2" t="s">
        <v>24</v>
      </c>
      <c r="CY27" s="2"/>
      <c r="CZ27" s="2">
        <v>110</v>
      </c>
      <c r="DA27" s="2" t="s">
        <v>461</v>
      </c>
      <c r="DB27" s="2">
        <v>2017</v>
      </c>
      <c r="DC27" s="2" t="s">
        <v>30</v>
      </c>
      <c r="DD27" s="2" t="e">
        <v>#VALUE!</v>
      </c>
      <c r="DE27" s="2" t="s">
        <v>1963</v>
      </c>
      <c r="DF27" s="2" t="s">
        <v>330</v>
      </c>
      <c r="DG27" s="2" t="s">
        <v>24</v>
      </c>
      <c r="DH27" s="2"/>
      <c r="DI27" s="2">
        <v>96</v>
      </c>
      <c r="DJ27" s="2" t="s">
        <v>461</v>
      </c>
      <c r="DK27" s="2">
        <v>2020</v>
      </c>
      <c r="DL27" s="2" t="s">
        <v>30</v>
      </c>
      <c r="DM27" s="2" t="e">
        <v>#VALUE!</v>
      </c>
      <c r="DN27" s="2" t="s">
        <v>33</v>
      </c>
      <c r="DO27" s="2" t="s">
        <v>34</v>
      </c>
      <c r="DP27" s="2"/>
      <c r="DQ27" s="2" t="s">
        <v>35</v>
      </c>
      <c r="DR27" s="2" t="s">
        <v>1964</v>
      </c>
      <c r="DS27" s="2">
        <v>1</v>
      </c>
      <c r="DT27" s="2" t="s">
        <v>1965</v>
      </c>
      <c r="DU27" s="2" t="s">
        <v>38</v>
      </c>
      <c r="DV27" s="2" t="s">
        <v>39</v>
      </c>
      <c r="DW27" s="2">
        <v>32405</v>
      </c>
      <c r="DX27" s="2" t="s">
        <v>1966</v>
      </c>
      <c r="DY27" s="2"/>
      <c r="DZ27" s="2" t="s">
        <v>618</v>
      </c>
      <c r="EA27" s="2" t="s">
        <v>1964</v>
      </c>
      <c r="EB27" s="2" t="s">
        <v>1961</v>
      </c>
      <c r="EC27" s="2" t="s">
        <v>620</v>
      </c>
      <c r="ED27" s="2" t="s">
        <v>44</v>
      </c>
      <c r="EE27" s="2">
        <v>126</v>
      </c>
      <c r="EF27" s="2" t="s">
        <v>473</v>
      </c>
      <c r="EG27" s="2">
        <v>40</v>
      </c>
      <c r="EH27" s="2" t="s">
        <v>46</v>
      </c>
      <c r="EI27" s="2" t="s">
        <v>47</v>
      </c>
      <c r="EJ27" s="2" t="s">
        <v>1967</v>
      </c>
      <c r="EK27" s="2" t="s">
        <v>1968</v>
      </c>
      <c r="EL27" s="2" t="s">
        <v>44</v>
      </c>
      <c r="EM27" s="2">
        <v>93</v>
      </c>
      <c r="EN27" s="2" t="s">
        <v>473</v>
      </c>
      <c r="EO27" s="2">
        <v>13</v>
      </c>
      <c r="EP27" s="2" t="s">
        <v>46</v>
      </c>
      <c r="EQ27" s="2" t="s">
        <v>47</v>
      </c>
      <c r="ER27" s="2" t="s">
        <v>587</v>
      </c>
      <c r="ES27" s="2" t="s">
        <v>631</v>
      </c>
      <c r="ET27" s="2" t="s">
        <v>1969</v>
      </c>
      <c r="EU27" s="2" t="s">
        <v>1970</v>
      </c>
      <c r="EV27" s="2" t="s">
        <v>1965</v>
      </c>
      <c r="EW27" s="2" t="s">
        <v>38</v>
      </c>
      <c r="EX27" s="2" t="s">
        <v>39</v>
      </c>
      <c r="EY27" s="2">
        <v>32405</v>
      </c>
      <c r="EZ27" s="2" t="s">
        <v>1966</v>
      </c>
      <c r="FA27" s="2"/>
      <c r="FB27" s="2" t="s">
        <v>1971</v>
      </c>
      <c r="FC27" s="2" t="s">
        <v>475</v>
      </c>
      <c r="FD27" s="2" t="s">
        <v>381</v>
      </c>
      <c r="FE27" s="2" t="s">
        <v>1972</v>
      </c>
      <c r="FF27" s="2" t="s">
        <v>1973</v>
      </c>
      <c r="FG27" s="2" t="s">
        <v>1965</v>
      </c>
      <c r="FH27" s="2" t="s">
        <v>1974</v>
      </c>
      <c r="FI27" s="2" t="s">
        <v>39</v>
      </c>
      <c r="FJ27" s="2">
        <v>32405</v>
      </c>
      <c r="FK27" s="2" t="s">
        <v>1966</v>
      </c>
      <c r="FL27" s="2"/>
      <c r="FM27" s="2" t="s">
        <v>1975</v>
      </c>
      <c r="FN27" s="2" t="s">
        <v>1976</v>
      </c>
      <c r="FO27" s="2" t="s">
        <v>63</v>
      </c>
      <c r="FP27" s="2" t="s">
        <v>64</v>
      </c>
      <c r="FQ27" s="2" t="s">
        <v>9</v>
      </c>
      <c r="FR27" s="2" t="s">
        <v>17</v>
      </c>
      <c r="FS27" s="2" t="s">
        <v>17</v>
      </c>
      <c r="FT27" s="2" t="s">
        <v>9</v>
      </c>
      <c r="FU27" s="2">
        <v>0</v>
      </c>
      <c r="FV27" s="2">
        <v>0</v>
      </c>
      <c r="FW27" s="4">
        <v>0</v>
      </c>
      <c r="FX27" s="4">
        <v>0</v>
      </c>
      <c r="FY27" s="2" t="s">
        <v>65</v>
      </c>
      <c r="FZ27" s="2" t="s">
        <v>66</v>
      </c>
      <c r="GA27" s="2" t="s">
        <v>67</v>
      </c>
      <c r="GB27" s="2"/>
      <c r="GC27" s="2"/>
      <c r="GD27" s="2"/>
      <c r="GE27" s="2" t="s">
        <v>108</v>
      </c>
      <c r="GF27" s="2"/>
      <c r="GG27" s="2"/>
      <c r="GH27" s="2"/>
      <c r="GI27" s="2"/>
      <c r="GJ27" s="2">
        <v>84</v>
      </c>
      <c r="GK27" s="2"/>
      <c r="GL27" s="2"/>
      <c r="GM27" s="2"/>
      <c r="GN27" s="2"/>
      <c r="GO27" s="2"/>
      <c r="GP27" s="2"/>
      <c r="GQ27" s="2">
        <v>84</v>
      </c>
      <c r="GR27" s="2" t="s">
        <v>1773</v>
      </c>
      <c r="GS27" s="2" t="s">
        <v>70</v>
      </c>
      <c r="GT27" s="2" t="s">
        <v>1977</v>
      </c>
      <c r="GU27" s="2" t="s">
        <v>1844</v>
      </c>
      <c r="GV27" s="2" t="s">
        <v>17</v>
      </c>
      <c r="GW27" s="2">
        <v>28.355698</v>
      </c>
      <c r="GX27" s="2">
        <v>-82.201238000000004</v>
      </c>
      <c r="GY27" s="2"/>
      <c r="GZ27" s="2" t="s">
        <v>17</v>
      </c>
      <c r="HA27" s="2" t="s">
        <v>17</v>
      </c>
      <c r="HB27" s="2">
        <v>0</v>
      </c>
      <c r="HC27" s="2" t="s">
        <v>17</v>
      </c>
      <c r="HD27" s="2"/>
      <c r="HE27" s="2">
        <v>0</v>
      </c>
      <c r="HF27" s="2">
        <v>28.357631000000001</v>
      </c>
      <c r="HG27" s="2">
        <v>-82.200022000000004</v>
      </c>
      <c r="HH27" s="2">
        <v>0.16</v>
      </c>
      <c r="HI27" s="2">
        <v>2</v>
      </c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 t="s">
        <v>73</v>
      </c>
      <c r="HY27" s="2" t="s">
        <v>17</v>
      </c>
      <c r="HZ27" s="2"/>
      <c r="IA27" s="2" t="s">
        <v>1978</v>
      </c>
      <c r="IB27" s="2" t="s">
        <v>1979</v>
      </c>
      <c r="IC27" s="2">
        <v>1.17</v>
      </c>
      <c r="ID27" s="2">
        <v>2</v>
      </c>
      <c r="IE27" s="2"/>
      <c r="IF27" s="2"/>
      <c r="IG27" s="2"/>
      <c r="IH27" s="2" t="s">
        <v>1118</v>
      </c>
      <c r="II27" s="2">
        <v>1.17</v>
      </c>
      <c r="IJ27" s="2">
        <v>2</v>
      </c>
      <c r="IK27" s="2" t="s">
        <v>1846</v>
      </c>
      <c r="IL27" s="2" t="s">
        <v>1980</v>
      </c>
      <c r="IM27" s="2">
        <v>0.34</v>
      </c>
      <c r="IN27" s="2">
        <v>4</v>
      </c>
      <c r="IO27" s="2" t="s">
        <v>17</v>
      </c>
      <c r="IP27" s="2">
        <v>2</v>
      </c>
      <c r="IQ27" s="2">
        <v>8</v>
      </c>
      <c r="IR27" s="2">
        <v>0</v>
      </c>
      <c r="IS27" s="2">
        <v>10</v>
      </c>
      <c r="IT27" s="2" t="s">
        <v>17</v>
      </c>
      <c r="IU27" s="2" t="s">
        <v>17</v>
      </c>
      <c r="IV27" s="2" t="s">
        <v>17</v>
      </c>
      <c r="IW27" s="2" t="s">
        <v>9</v>
      </c>
      <c r="IX27" s="2" t="s">
        <v>9</v>
      </c>
      <c r="IY27" s="2">
        <v>10</v>
      </c>
      <c r="IZ27" s="2">
        <v>84</v>
      </c>
      <c r="JA27" s="2" t="s">
        <v>81</v>
      </c>
      <c r="JB27" s="2" t="s">
        <v>173</v>
      </c>
      <c r="JC27" s="2"/>
      <c r="JD27" s="2"/>
      <c r="JE27" s="7">
        <v>0.1</v>
      </c>
      <c r="JF27" s="2"/>
      <c r="JG27" s="7">
        <v>0.9</v>
      </c>
      <c r="JH27" s="7">
        <v>0</v>
      </c>
      <c r="JI27" s="2">
        <v>84</v>
      </c>
      <c r="JJ27" s="7">
        <v>1</v>
      </c>
      <c r="JK27" s="2">
        <v>84</v>
      </c>
      <c r="JL27" s="7">
        <v>1</v>
      </c>
      <c r="JM27" s="2"/>
      <c r="JN27" s="2"/>
      <c r="JO27" s="2"/>
      <c r="JP27" s="2"/>
      <c r="JQ27" s="2"/>
      <c r="JR27" s="2"/>
      <c r="JS27" s="2">
        <v>0</v>
      </c>
      <c r="JT27" s="2">
        <v>0</v>
      </c>
      <c r="JU27" s="2"/>
      <c r="JV27" s="2">
        <v>0</v>
      </c>
      <c r="JW27" s="4">
        <v>0</v>
      </c>
      <c r="JX27" s="2">
        <v>0</v>
      </c>
      <c r="JY27" s="4">
        <v>0</v>
      </c>
      <c r="JZ27" s="2">
        <v>0</v>
      </c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>
        <v>44</v>
      </c>
      <c r="KL27" s="2">
        <v>40</v>
      </c>
      <c r="KM27" s="2"/>
      <c r="KN27" s="2"/>
      <c r="KO27" s="2"/>
      <c r="KP27" s="2"/>
      <c r="KQ27" s="2" t="s">
        <v>83</v>
      </c>
      <c r="KR27" s="2" t="s">
        <v>73</v>
      </c>
      <c r="KS27" s="2"/>
      <c r="KT27" s="2">
        <v>1</v>
      </c>
      <c r="KU27" s="2" t="s">
        <v>84</v>
      </c>
      <c r="KV27" s="2" t="s">
        <v>85</v>
      </c>
      <c r="KW27" s="2" t="s">
        <v>86</v>
      </c>
      <c r="KX27" s="2" t="s">
        <v>17</v>
      </c>
      <c r="KY27" s="2" t="s">
        <v>17</v>
      </c>
      <c r="KZ27" s="2" t="s">
        <v>17</v>
      </c>
      <c r="LA27" s="2" t="s">
        <v>17</v>
      </c>
      <c r="LB27" s="2" t="s">
        <v>17</v>
      </c>
      <c r="LC27" s="2" t="s">
        <v>17</v>
      </c>
      <c r="LD27" s="2" t="s">
        <v>17</v>
      </c>
      <c r="LE27" s="2" t="s">
        <v>17</v>
      </c>
      <c r="LF27" s="2" t="s">
        <v>17</v>
      </c>
      <c r="LG27" s="2" t="s">
        <v>17</v>
      </c>
      <c r="LH27" s="2" t="s">
        <v>17</v>
      </c>
      <c r="LI27" s="2" t="s">
        <v>17</v>
      </c>
      <c r="LJ27" s="2" t="s">
        <v>87</v>
      </c>
      <c r="LK27" s="2" t="s">
        <v>17</v>
      </c>
      <c r="LL27" s="2" t="s">
        <v>17</v>
      </c>
      <c r="LM27" s="2">
        <v>0</v>
      </c>
      <c r="LN27" s="2" t="s">
        <v>17</v>
      </c>
      <c r="LO27" s="2" t="s">
        <v>9</v>
      </c>
      <c r="LP27" s="2" t="s">
        <v>9</v>
      </c>
      <c r="LQ27" s="2" t="s">
        <v>17</v>
      </c>
      <c r="LR27" s="2" t="s">
        <v>9</v>
      </c>
      <c r="LS27" s="2" t="s">
        <v>17</v>
      </c>
      <c r="LT27" s="2" t="s">
        <v>17</v>
      </c>
      <c r="LU27" s="2" t="s">
        <v>17</v>
      </c>
      <c r="LV27" s="2" t="s">
        <v>17</v>
      </c>
      <c r="LW27" s="2" t="s">
        <v>17</v>
      </c>
      <c r="LX27" s="2" t="s">
        <v>17</v>
      </c>
      <c r="LY27" s="5">
        <v>6500000</v>
      </c>
      <c r="LZ27" s="5">
        <v>0</v>
      </c>
      <c r="MA27" s="5">
        <v>7200000</v>
      </c>
      <c r="MB27" s="5">
        <v>0</v>
      </c>
      <c r="MC27" s="5">
        <v>0</v>
      </c>
      <c r="MD27" s="5">
        <v>0</v>
      </c>
      <c r="ME27" s="5">
        <v>8820000</v>
      </c>
      <c r="MF27" s="5">
        <v>0</v>
      </c>
      <c r="MG27" s="5">
        <v>0</v>
      </c>
      <c r="MH27" s="5">
        <v>0</v>
      </c>
      <c r="MI27" s="5">
        <v>0</v>
      </c>
      <c r="MJ27" s="5">
        <v>0</v>
      </c>
      <c r="MK27" s="5">
        <v>0</v>
      </c>
      <c r="ML27" s="2">
        <v>0</v>
      </c>
      <c r="MM27" s="5">
        <v>0</v>
      </c>
      <c r="MN27" s="5">
        <v>0</v>
      </c>
      <c r="MO27" s="2">
        <v>0</v>
      </c>
      <c r="MP27" s="2">
        <v>0</v>
      </c>
      <c r="MQ27" s="2">
        <v>0</v>
      </c>
      <c r="MR27" s="5">
        <v>2950000</v>
      </c>
      <c r="MS27" s="5">
        <v>0</v>
      </c>
      <c r="MT27" s="5">
        <v>4600000</v>
      </c>
      <c r="MU27" s="5">
        <v>0</v>
      </c>
      <c r="MV27" s="5">
        <v>0</v>
      </c>
      <c r="MW27" s="5">
        <v>0</v>
      </c>
      <c r="MX27" s="5">
        <v>0</v>
      </c>
      <c r="MY27" s="5">
        <v>2500000</v>
      </c>
      <c r="MZ27" s="5">
        <v>0</v>
      </c>
      <c r="NA27" s="5">
        <v>5000000</v>
      </c>
      <c r="NB27" s="5">
        <v>0</v>
      </c>
      <c r="NC27" s="5">
        <v>0</v>
      </c>
      <c r="ND27" s="5">
        <v>0</v>
      </c>
      <c r="NE27" s="5">
        <v>0</v>
      </c>
      <c r="NF27" s="5">
        <v>0</v>
      </c>
      <c r="NG27" s="5">
        <v>2142000</v>
      </c>
      <c r="NH27" s="5">
        <v>2142000</v>
      </c>
      <c r="NI27" s="5">
        <v>2142000</v>
      </c>
      <c r="NJ27" s="5">
        <v>0</v>
      </c>
      <c r="NK27" s="5"/>
      <c r="NL27" s="2" t="s">
        <v>17</v>
      </c>
      <c r="NM27" s="2" t="s">
        <v>17</v>
      </c>
      <c r="NN27" s="2"/>
      <c r="NO27" s="2" t="s">
        <v>17</v>
      </c>
      <c r="NP27" s="2"/>
      <c r="NQ27" s="2"/>
      <c r="NR27" s="2" t="s">
        <v>17</v>
      </c>
      <c r="NS27" s="2"/>
      <c r="NT27" s="2" t="s">
        <v>9</v>
      </c>
      <c r="NU27" s="2" t="s">
        <v>450</v>
      </c>
      <c r="NV27" s="2">
        <v>326.02</v>
      </c>
      <c r="NW27" s="2" t="s">
        <v>1848</v>
      </c>
      <c r="NX27" s="2" t="s">
        <v>9</v>
      </c>
      <c r="NY27" s="2" t="s">
        <v>119</v>
      </c>
      <c r="NZ27" s="2">
        <v>326.02</v>
      </c>
      <c r="OA27" s="2" t="s">
        <v>1849</v>
      </c>
      <c r="OB27" s="2" t="s">
        <v>1780</v>
      </c>
      <c r="OC27" s="2" t="s">
        <v>1780</v>
      </c>
      <c r="OD27" s="2" t="s">
        <v>17</v>
      </c>
      <c r="OE27" s="2" t="s">
        <v>119</v>
      </c>
      <c r="OF27" s="2" t="s">
        <v>17</v>
      </c>
      <c r="OG27" s="2" t="s">
        <v>9</v>
      </c>
      <c r="OH27" s="2" t="s">
        <v>92</v>
      </c>
      <c r="OI27" s="2"/>
      <c r="OJ27" s="2"/>
      <c r="OK27" s="2" t="s">
        <v>17</v>
      </c>
      <c r="OL27" s="2" t="s">
        <v>17</v>
      </c>
      <c r="OM27" s="2" t="s">
        <v>85</v>
      </c>
      <c r="ON27" s="6">
        <v>0</v>
      </c>
      <c r="OO27" s="6">
        <v>0</v>
      </c>
      <c r="OP27" s="2" t="s">
        <v>93</v>
      </c>
      <c r="OQ27" s="2" t="s">
        <v>93</v>
      </c>
      <c r="OR27" s="6">
        <v>0</v>
      </c>
      <c r="OS27" s="4">
        <v>0</v>
      </c>
      <c r="OT27" s="2" t="s">
        <v>17</v>
      </c>
      <c r="OU27" s="2" t="s">
        <v>17</v>
      </c>
      <c r="OV27" s="2"/>
      <c r="OW27" s="2"/>
      <c r="OX27" s="5">
        <v>16386300</v>
      </c>
      <c r="OY27" s="6">
        <v>195075</v>
      </c>
      <c r="OZ27" s="2"/>
      <c r="PA27" s="2"/>
      <c r="PB27" s="8">
        <v>12895155</v>
      </c>
      <c r="PC27" s="2"/>
      <c r="PD27" s="8">
        <v>12895155</v>
      </c>
      <c r="PE27" s="2"/>
      <c r="PF27" s="2"/>
      <c r="PG27" s="2"/>
      <c r="PH27" s="2"/>
      <c r="PI27" s="2"/>
      <c r="PJ27" s="2"/>
      <c r="PK27" s="8">
        <v>12895155</v>
      </c>
      <c r="PL27" s="2"/>
      <c r="PM27" s="8">
        <v>12895155</v>
      </c>
      <c r="PN27" s="8">
        <v>1805321</v>
      </c>
      <c r="PO27" s="2"/>
      <c r="PP27" s="8">
        <v>1805321</v>
      </c>
      <c r="PQ27" s="6">
        <v>1805321</v>
      </c>
      <c r="PR27" s="8">
        <v>14700476</v>
      </c>
      <c r="PS27" s="2"/>
      <c r="PT27" s="8">
        <v>14700476</v>
      </c>
      <c r="PU27" s="8">
        <v>735023</v>
      </c>
      <c r="PV27" s="2"/>
      <c r="PW27" s="8">
        <v>735023</v>
      </c>
      <c r="PX27" s="6">
        <v>735023.8</v>
      </c>
      <c r="PY27" s="8">
        <v>749000</v>
      </c>
      <c r="PZ27" s="2"/>
      <c r="QA27" s="8">
        <v>749000</v>
      </c>
      <c r="QB27" s="8">
        <v>165436</v>
      </c>
      <c r="QC27" s="2"/>
      <c r="QD27" s="8">
        <v>165436</v>
      </c>
      <c r="QE27" s="8">
        <v>912000</v>
      </c>
      <c r="QF27" s="2"/>
      <c r="QG27" s="8">
        <v>912000</v>
      </c>
      <c r="QH27" s="8">
        <v>16377</v>
      </c>
      <c r="QI27" s="8">
        <v>407780</v>
      </c>
      <c r="QJ27" s="8">
        <v>424157</v>
      </c>
      <c r="QK27" s="2"/>
      <c r="QL27" s="2"/>
      <c r="QM27" s="2"/>
      <c r="QN27" s="2"/>
      <c r="QO27" s="2"/>
      <c r="QP27" s="2"/>
      <c r="QQ27" s="8">
        <v>1842813</v>
      </c>
      <c r="QR27" s="8">
        <v>407780</v>
      </c>
      <c r="QS27" s="8">
        <v>2250593</v>
      </c>
      <c r="QT27" s="8">
        <v>112529</v>
      </c>
      <c r="QU27" s="2"/>
      <c r="QV27" s="8">
        <v>112529</v>
      </c>
      <c r="QW27" s="6">
        <v>112529.65</v>
      </c>
      <c r="QX27" s="8">
        <v>1261800</v>
      </c>
      <c r="QY27" s="8">
        <v>252700</v>
      </c>
      <c r="QZ27" s="8">
        <v>1514500</v>
      </c>
      <c r="RA27" s="8">
        <v>180763</v>
      </c>
      <c r="RB27" s="8">
        <v>180763</v>
      </c>
      <c r="RC27" s="2"/>
      <c r="RD27" s="2"/>
      <c r="RE27" s="2"/>
      <c r="RF27" s="8">
        <v>1261800</v>
      </c>
      <c r="RG27" s="8">
        <v>433463</v>
      </c>
      <c r="RH27" s="8">
        <v>1695263</v>
      </c>
      <c r="RI27" s="2"/>
      <c r="RJ27" s="2"/>
      <c r="RK27" s="2"/>
      <c r="RL27" s="2"/>
      <c r="RM27" s="8">
        <v>18652641</v>
      </c>
      <c r="RN27" s="8">
        <v>841243</v>
      </c>
      <c r="RO27" s="8">
        <v>19493884</v>
      </c>
      <c r="RP27" s="2"/>
      <c r="RQ27" s="2"/>
      <c r="RR27" s="2">
        <v>0</v>
      </c>
      <c r="RS27" s="6">
        <v>0</v>
      </c>
      <c r="RT27" s="8">
        <v>3119021</v>
      </c>
      <c r="RU27" s="2"/>
      <c r="RV27" s="8">
        <v>3119021</v>
      </c>
      <c r="RW27" s="6">
        <v>3119021</v>
      </c>
      <c r="RX27" s="6">
        <v>0</v>
      </c>
      <c r="RY27" s="8">
        <v>3119021</v>
      </c>
      <c r="RZ27" s="2"/>
      <c r="SA27" s="8">
        <v>3119021</v>
      </c>
      <c r="SB27" s="6">
        <v>3119021</v>
      </c>
      <c r="SC27" s="2"/>
      <c r="SD27" s="2"/>
      <c r="SE27" s="6">
        <v>294000</v>
      </c>
      <c r="SF27" s="8">
        <v>1650000</v>
      </c>
      <c r="SG27" s="8">
        <v>1650000</v>
      </c>
      <c r="SH27" s="8">
        <v>21771662</v>
      </c>
      <c r="SI27" s="8">
        <v>2491243</v>
      </c>
      <c r="SJ27" s="8">
        <v>24262905</v>
      </c>
      <c r="SK27" s="2"/>
      <c r="SL27" s="2"/>
      <c r="SM27" s="2"/>
      <c r="SN27" s="2"/>
      <c r="SO27" s="2"/>
      <c r="SP27" s="8">
        <v>19000000</v>
      </c>
      <c r="SQ27" s="2" t="s">
        <v>95</v>
      </c>
      <c r="SR27" s="2"/>
      <c r="SS27" s="2"/>
      <c r="ST27" s="2"/>
      <c r="SU27" s="2"/>
      <c r="SV27" s="2"/>
      <c r="SW27" s="2"/>
      <c r="SX27" s="2" t="s">
        <v>96</v>
      </c>
      <c r="SY27" s="2" t="s">
        <v>96</v>
      </c>
      <c r="SZ27" s="2" t="s">
        <v>96</v>
      </c>
      <c r="TA27" s="2" t="s">
        <v>96</v>
      </c>
      <c r="TB27" s="8">
        <v>2891411</v>
      </c>
      <c r="TC27" s="2"/>
      <c r="TD27" s="2"/>
      <c r="TE27" s="2"/>
      <c r="TF27" s="2"/>
      <c r="TG27" s="2"/>
      <c r="TH27" s="2"/>
      <c r="TI27" s="8">
        <v>2371494</v>
      </c>
      <c r="TJ27" s="8">
        <v>24262905</v>
      </c>
      <c r="TK27" s="2">
        <v>0</v>
      </c>
      <c r="TL27" s="2" t="s">
        <v>9</v>
      </c>
      <c r="TM27" s="8">
        <v>4175000</v>
      </c>
      <c r="TN27" s="2" t="s">
        <v>95</v>
      </c>
      <c r="TO27" s="2"/>
      <c r="TP27" s="2"/>
      <c r="TQ27" s="2"/>
      <c r="TR27" s="2"/>
      <c r="TS27" s="2"/>
      <c r="TT27" s="2"/>
      <c r="TU27" s="2" t="s">
        <v>96</v>
      </c>
      <c r="TV27" s="8">
        <v>19276072</v>
      </c>
      <c r="TW27" s="2"/>
      <c r="TX27" s="2"/>
      <c r="TY27" s="2"/>
      <c r="TZ27" s="2"/>
      <c r="UA27" s="2"/>
      <c r="UB27" s="2"/>
      <c r="UC27" s="8">
        <v>811833</v>
      </c>
      <c r="UD27" s="8">
        <v>24262905</v>
      </c>
      <c r="UE27" s="6">
        <v>4175000</v>
      </c>
      <c r="UF27" s="2">
        <v>0</v>
      </c>
      <c r="UG27" s="2" t="s">
        <v>9</v>
      </c>
      <c r="UH27" s="2">
        <v>84</v>
      </c>
      <c r="UI27" s="5">
        <v>240000</v>
      </c>
      <c r="UJ27" s="6">
        <v>320000</v>
      </c>
      <c r="UK27" s="6">
        <v>320000</v>
      </c>
      <c r="UL27" s="6">
        <v>339200</v>
      </c>
      <c r="UM27" s="6">
        <v>28492800</v>
      </c>
      <c r="UN27" s="6">
        <v>4558848</v>
      </c>
      <c r="UO27" s="6">
        <v>4558848</v>
      </c>
      <c r="UP27" s="6">
        <v>33051648</v>
      </c>
      <c r="UQ27" s="6">
        <v>22612905</v>
      </c>
      <c r="UR27" s="2"/>
      <c r="US27" s="2"/>
      <c r="UT27" s="6">
        <v>0</v>
      </c>
      <c r="UU27" s="2"/>
      <c r="UV27" s="6">
        <v>0</v>
      </c>
      <c r="UW27" s="6">
        <v>0</v>
      </c>
      <c r="UX27" s="6">
        <v>0</v>
      </c>
      <c r="UY27" s="6">
        <v>0</v>
      </c>
      <c r="UZ27" s="2"/>
      <c r="VA27" s="2"/>
      <c r="VB27" s="2"/>
      <c r="VC27" s="2"/>
      <c r="VD27" s="2"/>
      <c r="VE27" s="2" t="s">
        <v>17</v>
      </c>
      <c r="VF27" s="2"/>
      <c r="VG27" s="2" t="s">
        <v>17</v>
      </c>
      <c r="VH27" s="2"/>
      <c r="VI27" s="388" t="s">
        <v>1981</v>
      </c>
      <c r="VJ27" s="2" t="s">
        <v>98</v>
      </c>
      <c r="VK27" s="2" t="s">
        <v>1982</v>
      </c>
      <c r="VL27" s="23">
        <f t="shared" si="0"/>
        <v>208</v>
      </c>
      <c r="VM27" s="17">
        <f t="shared" si="1"/>
        <v>2.4761904761904763</v>
      </c>
      <c r="VN27" s="17" t="str">
        <f t="shared" si="12"/>
        <v>NC-MR-F</v>
      </c>
      <c r="VO27" s="17" t="str">
        <f t="shared" si="13"/>
        <v>NC-MR-F-Non</v>
      </c>
      <c r="VP27" s="12">
        <v>9</v>
      </c>
      <c r="VQ27" s="57">
        <v>1</v>
      </c>
      <c r="VR27" s="57">
        <f t="shared" si="2"/>
        <v>1</v>
      </c>
      <c r="VS27" s="14">
        <f t="shared" si="3"/>
        <v>1</v>
      </c>
      <c r="VT27" s="12">
        <f t="shared" si="4"/>
        <v>0.97000000000000008</v>
      </c>
      <c r="VU27" s="16">
        <f t="shared" si="5"/>
        <v>18699660</v>
      </c>
      <c r="VV27" s="16">
        <f t="shared" si="6"/>
        <v>222615</v>
      </c>
      <c r="VW27" s="12" t="str">
        <f t="shared" si="14"/>
        <v>A</v>
      </c>
      <c r="VX27" s="12" t="str">
        <f t="shared" si="15"/>
        <v>NC-MR-Non</v>
      </c>
      <c r="VY27" s="351">
        <f t="shared" si="16"/>
        <v>2</v>
      </c>
      <c r="WA27" s="12">
        <f t="shared" si="17"/>
        <v>0</v>
      </c>
      <c r="WB27" s="12">
        <f t="shared" si="18"/>
        <v>0</v>
      </c>
      <c r="WC27" s="12">
        <f t="shared" si="18"/>
        <v>0</v>
      </c>
      <c r="WD27" s="12">
        <f t="shared" si="18"/>
        <v>0</v>
      </c>
      <c r="WE27" s="12">
        <f t="shared" si="19"/>
        <v>0</v>
      </c>
      <c r="WF27" s="12">
        <f t="shared" si="7"/>
        <v>0</v>
      </c>
      <c r="WG27" s="12">
        <f t="shared" si="8"/>
        <v>1</v>
      </c>
      <c r="WH27" s="12">
        <f t="shared" si="9"/>
        <v>0</v>
      </c>
      <c r="WI27" s="31">
        <f t="shared" si="10"/>
        <v>1</v>
      </c>
      <c r="WJ27" s="2"/>
      <c r="WK27" s="445" t="str">
        <f t="shared" si="20"/>
        <v>NC-MR-Non-BBN-BRN-NPH-F</v>
      </c>
      <c r="WL27" s="445"/>
      <c r="WM27" s="445"/>
    </row>
    <row r="28" spans="1:611" x14ac:dyDescent="0.25">
      <c r="A28" s="2">
        <v>9432</v>
      </c>
      <c r="B28" s="15" t="s">
        <v>686</v>
      </c>
      <c r="C28" s="2" t="s">
        <v>8</v>
      </c>
      <c r="D28" s="3">
        <v>45153</v>
      </c>
      <c r="E28" s="2" t="s">
        <v>9</v>
      </c>
      <c r="F28" s="2">
        <v>3</v>
      </c>
      <c r="G28" s="2" t="s">
        <v>9</v>
      </c>
      <c r="H28" s="2">
        <v>3</v>
      </c>
      <c r="I28" s="2" t="s">
        <v>9</v>
      </c>
      <c r="J28" s="2">
        <v>2</v>
      </c>
      <c r="K28" s="2" t="s">
        <v>9</v>
      </c>
      <c r="L28" s="2">
        <v>3</v>
      </c>
      <c r="M28" s="2" t="s">
        <v>10</v>
      </c>
      <c r="N28" s="2">
        <v>0</v>
      </c>
      <c r="O28" s="2" t="s">
        <v>10</v>
      </c>
      <c r="P28" s="2">
        <v>0</v>
      </c>
      <c r="Q28" s="2" t="s">
        <v>11</v>
      </c>
      <c r="R28" s="2">
        <v>0</v>
      </c>
      <c r="S28" s="2" t="s">
        <v>9</v>
      </c>
      <c r="T28" s="2">
        <v>2</v>
      </c>
      <c r="U28" s="2" t="s">
        <v>9</v>
      </c>
      <c r="V28" s="2">
        <v>2</v>
      </c>
      <c r="W28" s="2" t="s">
        <v>9</v>
      </c>
      <c r="X28" s="2">
        <v>2</v>
      </c>
      <c r="Y28" s="2" t="s">
        <v>12</v>
      </c>
      <c r="Z28" s="2" t="s">
        <v>13</v>
      </c>
      <c r="AA28" s="2" t="s">
        <v>188</v>
      </c>
      <c r="AB28" s="2" t="s">
        <v>189</v>
      </c>
      <c r="AC28" s="2" t="s">
        <v>15</v>
      </c>
      <c r="AD28" s="2" t="s">
        <v>15</v>
      </c>
      <c r="AE28" s="2" t="s">
        <v>15</v>
      </c>
      <c r="AF28" s="2">
        <v>3</v>
      </c>
      <c r="AG28" s="2" t="s">
        <v>190</v>
      </c>
      <c r="AH28" s="2" t="s">
        <v>17</v>
      </c>
      <c r="AI28" s="4">
        <v>0.1</v>
      </c>
      <c r="AJ28" s="2" t="s">
        <v>17</v>
      </c>
      <c r="AK28" s="2" t="s">
        <v>9</v>
      </c>
      <c r="AL28" s="2" t="s">
        <v>17</v>
      </c>
      <c r="AM28" s="2" t="s">
        <v>17</v>
      </c>
      <c r="AN28" s="2" t="s">
        <v>17</v>
      </c>
      <c r="AO28" s="2" t="s">
        <v>9</v>
      </c>
      <c r="AP28" s="2" t="s">
        <v>17</v>
      </c>
      <c r="AQ28" s="2" t="s">
        <v>17</v>
      </c>
      <c r="AR28" s="2" t="s">
        <v>17</v>
      </c>
      <c r="AS28" s="2" t="s">
        <v>17</v>
      </c>
      <c r="AT28" s="2">
        <v>0</v>
      </c>
      <c r="AU28" s="5">
        <v>37500</v>
      </c>
      <c r="AV28" s="5">
        <v>460000</v>
      </c>
      <c r="AW28" s="2">
        <v>0</v>
      </c>
      <c r="AX28" s="2">
        <v>10</v>
      </c>
      <c r="AY28" s="2">
        <v>0</v>
      </c>
      <c r="AZ28" s="2">
        <v>18</v>
      </c>
      <c r="BA28" s="2">
        <v>0</v>
      </c>
      <c r="BB28" s="2">
        <v>1</v>
      </c>
      <c r="BC28" s="2">
        <v>0</v>
      </c>
      <c r="BD28" s="2">
        <v>0</v>
      </c>
      <c r="BE28" s="2">
        <v>0</v>
      </c>
      <c r="BF28" s="2">
        <v>1</v>
      </c>
      <c r="BG28" s="2">
        <v>0</v>
      </c>
      <c r="BH28" s="2">
        <v>0</v>
      </c>
      <c r="BI28" s="2">
        <v>13</v>
      </c>
      <c r="BJ28" s="2">
        <v>1</v>
      </c>
      <c r="BK28" s="2">
        <v>0</v>
      </c>
      <c r="BL28" s="2">
        <v>2</v>
      </c>
      <c r="BM28" s="2">
        <v>2</v>
      </c>
      <c r="BN28" s="2">
        <v>12</v>
      </c>
      <c r="BO28" s="2">
        <v>11</v>
      </c>
      <c r="BP28" s="2">
        <v>0</v>
      </c>
      <c r="BQ28" s="2">
        <v>10</v>
      </c>
      <c r="BR28" s="2">
        <v>13.74</v>
      </c>
      <c r="BS28" s="2">
        <v>0</v>
      </c>
      <c r="BT28" s="4">
        <v>0.06</v>
      </c>
      <c r="BU28" s="2" t="s">
        <v>9</v>
      </c>
      <c r="BV28" s="6">
        <v>196360.2</v>
      </c>
      <c r="BW28" s="2" t="s">
        <v>126</v>
      </c>
      <c r="BX28" s="2" t="s">
        <v>17</v>
      </c>
      <c r="BY28" s="2" t="s">
        <v>17</v>
      </c>
      <c r="BZ28" s="2" t="s">
        <v>17</v>
      </c>
      <c r="CA28" s="2" t="s">
        <v>17</v>
      </c>
      <c r="CB28" s="2" t="s">
        <v>17</v>
      </c>
      <c r="CC28" s="2" t="s">
        <v>17</v>
      </c>
      <c r="CD28" s="2" t="s">
        <v>17</v>
      </c>
      <c r="CE28" s="2" t="s">
        <v>687</v>
      </c>
      <c r="CF28" s="2" t="s">
        <v>17</v>
      </c>
      <c r="CG28" s="2" t="s">
        <v>688</v>
      </c>
      <c r="CH28" s="2" t="s">
        <v>689</v>
      </c>
      <c r="CI28" s="2"/>
      <c r="CJ28" s="2" t="s">
        <v>9</v>
      </c>
      <c r="CK28" s="2" t="s">
        <v>690</v>
      </c>
      <c r="CL28" s="2" t="s">
        <v>688</v>
      </c>
      <c r="CM28" s="2" t="s">
        <v>691</v>
      </c>
      <c r="CN28" s="2" t="s">
        <v>692</v>
      </c>
      <c r="CO28" s="2" t="s">
        <v>24</v>
      </c>
      <c r="CP28" s="2"/>
      <c r="CQ28" s="2">
        <v>200</v>
      </c>
      <c r="CR28" s="2" t="s">
        <v>25</v>
      </c>
      <c r="CS28" s="2">
        <v>2018</v>
      </c>
      <c r="CT28" s="2" t="s">
        <v>26</v>
      </c>
      <c r="CU28" s="2" t="s">
        <v>27</v>
      </c>
      <c r="CV28" s="2" t="s">
        <v>693</v>
      </c>
      <c r="CW28" s="2" t="s">
        <v>692</v>
      </c>
      <c r="CX28" s="2" t="s">
        <v>24</v>
      </c>
      <c r="CY28" s="2"/>
      <c r="CZ28" s="2">
        <v>120</v>
      </c>
      <c r="DA28" s="2" t="s">
        <v>25</v>
      </c>
      <c r="DB28" s="2">
        <v>2020</v>
      </c>
      <c r="DC28" s="2" t="s">
        <v>30</v>
      </c>
      <c r="DD28" s="2" t="s">
        <v>27</v>
      </c>
      <c r="DE28" s="2" t="s">
        <v>694</v>
      </c>
      <c r="DF28" s="2" t="s">
        <v>695</v>
      </c>
      <c r="DG28" s="2" t="s">
        <v>24</v>
      </c>
      <c r="DH28" s="2"/>
      <c r="DI28" s="2">
        <v>466</v>
      </c>
      <c r="DJ28" s="2" t="s">
        <v>25</v>
      </c>
      <c r="DK28" s="2">
        <v>2010</v>
      </c>
      <c r="DL28" s="2" t="s">
        <v>243</v>
      </c>
      <c r="DM28" s="2" t="s">
        <v>27</v>
      </c>
      <c r="DN28" s="2" t="s">
        <v>33</v>
      </c>
      <c r="DO28" s="2" t="s">
        <v>696</v>
      </c>
      <c r="DP28" s="2"/>
      <c r="DQ28" s="2" t="s">
        <v>697</v>
      </c>
      <c r="DR28" s="2" t="s">
        <v>698</v>
      </c>
      <c r="DS28" s="2">
        <v>1</v>
      </c>
      <c r="DT28" s="2" t="s">
        <v>699</v>
      </c>
      <c r="DU28" s="2" t="s">
        <v>700</v>
      </c>
      <c r="DV28" s="2" t="s">
        <v>701</v>
      </c>
      <c r="DW28" s="2">
        <v>30309</v>
      </c>
      <c r="DX28" s="2" t="s">
        <v>702</v>
      </c>
      <c r="DY28" s="2"/>
      <c r="DZ28" s="2" t="s">
        <v>703</v>
      </c>
      <c r="EA28" s="2" t="s">
        <v>698</v>
      </c>
      <c r="EB28" s="2" t="s">
        <v>691</v>
      </c>
      <c r="EC28" s="2" t="s">
        <v>692</v>
      </c>
      <c r="ED28" s="2" t="s">
        <v>44</v>
      </c>
      <c r="EE28" s="2">
        <v>200</v>
      </c>
      <c r="EF28" s="2" t="s">
        <v>45</v>
      </c>
      <c r="EG28" s="2">
        <v>4</v>
      </c>
      <c r="EH28" s="2" t="s">
        <v>46</v>
      </c>
      <c r="EI28" s="2" t="s">
        <v>47</v>
      </c>
      <c r="EJ28" s="2" t="s">
        <v>704</v>
      </c>
      <c r="EK28" s="2" t="s">
        <v>705</v>
      </c>
      <c r="EL28" s="2" t="s">
        <v>44</v>
      </c>
      <c r="EM28" s="2">
        <v>100</v>
      </c>
      <c r="EN28" s="2" t="s">
        <v>45</v>
      </c>
      <c r="EO28" s="2">
        <v>4</v>
      </c>
      <c r="EP28" s="2" t="s">
        <v>46</v>
      </c>
      <c r="EQ28" s="2" t="s">
        <v>47</v>
      </c>
      <c r="ER28" s="2" t="s">
        <v>706</v>
      </c>
      <c r="ES28" s="2"/>
      <c r="ET28" s="2" t="s">
        <v>707</v>
      </c>
      <c r="EU28" s="2" t="s">
        <v>687</v>
      </c>
      <c r="EV28" s="2" t="s">
        <v>699</v>
      </c>
      <c r="EW28" s="2" t="s">
        <v>708</v>
      </c>
      <c r="EX28" s="2" t="s">
        <v>701</v>
      </c>
      <c r="EY28" s="2">
        <v>30309</v>
      </c>
      <c r="EZ28" s="2" t="s">
        <v>709</v>
      </c>
      <c r="FA28" s="2"/>
      <c r="FB28" s="2" t="s">
        <v>710</v>
      </c>
      <c r="FC28" s="2" t="s">
        <v>711</v>
      </c>
      <c r="FD28" s="2"/>
      <c r="FE28" s="2" t="s">
        <v>712</v>
      </c>
      <c r="FF28" s="2" t="s">
        <v>713</v>
      </c>
      <c r="FG28" s="2" t="s">
        <v>699</v>
      </c>
      <c r="FH28" s="2" t="s">
        <v>700</v>
      </c>
      <c r="FI28" s="2" t="s">
        <v>701</v>
      </c>
      <c r="FJ28" s="2">
        <v>30309</v>
      </c>
      <c r="FK28" s="2" t="s">
        <v>714</v>
      </c>
      <c r="FL28" s="2"/>
      <c r="FM28" s="2" t="s">
        <v>715</v>
      </c>
      <c r="FN28" s="2" t="s">
        <v>716</v>
      </c>
      <c r="FO28" s="2" t="s">
        <v>63</v>
      </c>
      <c r="FP28" s="2" t="s">
        <v>64</v>
      </c>
      <c r="FQ28" s="2" t="s">
        <v>9</v>
      </c>
      <c r="FR28" s="2" t="s">
        <v>17</v>
      </c>
      <c r="FS28" s="2" t="s">
        <v>17</v>
      </c>
      <c r="FT28" s="2" t="s">
        <v>9</v>
      </c>
      <c r="FU28" s="2">
        <v>0</v>
      </c>
      <c r="FV28" s="2">
        <v>0</v>
      </c>
      <c r="FW28" s="4">
        <v>0</v>
      </c>
      <c r="FX28" s="4">
        <v>0</v>
      </c>
      <c r="FY28" s="2" t="s">
        <v>65</v>
      </c>
      <c r="FZ28" s="2" t="s">
        <v>66</v>
      </c>
      <c r="GA28" s="2" t="s">
        <v>67</v>
      </c>
      <c r="GB28" s="2"/>
      <c r="GC28" s="2"/>
      <c r="GD28" s="2"/>
      <c r="GE28" s="2" t="s">
        <v>68</v>
      </c>
      <c r="GF28" s="2"/>
      <c r="GG28" s="2"/>
      <c r="GH28" s="2">
        <v>90</v>
      </c>
      <c r="GI28" s="2"/>
      <c r="GJ28" s="2"/>
      <c r="GK28" s="2"/>
      <c r="GL28" s="2"/>
      <c r="GM28" s="2"/>
      <c r="GN28" s="2"/>
      <c r="GO28" s="2"/>
      <c r="GP28" s="2"/>
      <c r="GQ28" s="2">
        <v>90</v>
      </c>
      <c r="GR28" s="2" t="s">
        <v>219</v>
      </c>
      <c r="GS28" s="2" t="s">
        <v>70</v>
      </c>
      <c r="GT28" s="2" t="s">
        <v>717</v>
      </c>
      <c r="GU28" s="2" t="s">
        <v>221</v>
      </c>
      <c r="GV28" s="2" t="s">
        <v>17</v>
      </c>
      <c r="GW28" s="2">
        <v>30.413388000000001</v>
      </c>
      <c r="GX28" s="2">
        <v>-84.268332000000001</v>
      </c>
      <c r="GY28" s="2"/>
      <c r="GZ28" s="2" t="s">
        <v>17</v>
      </c>
      <c r="HA28" s="2" t="s">
        <v>17</v>
      </c>
      <c r="HB28" s="2">
        <v>0</v>
      </c>
      <c r="HC28" s="2" t="s">
        <v>17</v>
      </c>
      <c r="HD28" s="2" t="s">
        <v>17</v>
      </c>
      <c r="HE28" s="2">
        <v>0</v>
      </c>
      <c r="HF28" s="2">
        <v>30.412773999999999</v>
      </c>
      <c r="HG28" s="2">
        <v>-84.268711999999994</v>
      </c>
      <c r="HH28" s="2">
        <v>0.05</v>
      </c>
      <c r="HI28" s="2">
        <v>6</v>
      </c>
      <c r="HJ28" s="2">
        <v>30.412559000000002</v>
      </c>
      <c r="HK28" s="2">
        <v>-84.270826</v>
      </c>
      <c r="HL28" s="2">
        <v>0.16</v>
      </c>
      <c r="HM28" s="2">
        <v>30.413070999999999</v>
      </c>
      <c r="HN28" s="2">
        <v>-84.264004999999997</v>
      </c>
      <c r="HO28" s="2">
        <v>0.26</v>
      </c>
      <c r="HP28" s="2"/>
      <c r="HQ28" s="2"/>
      <c r="HR28" s="2"/>
      <c r="HS28" s="2"/>
      <c r="HT28" s="2"/>
      <c r="HU28" s="2"/>
      <c r="HV28" s="2"/>
      <c r="HW28" s="2"/>
      <c r="HX28" s="2" t="s">
        <v>73</v>
      </c>
      <c r="HY28" s="2" t="s">
        <v>17</v>
      </c>
      <c r="HZ28" s="2"/>
      <c r="IA28" s="2" t="s">
        <v>718</v>
      </c>
      <c r="IB28" s="2" t="s">
        <v>719</v>
      </c>
      <c r="IC28" s="2">
        <v>0.79</v>
      </c>
      <c r="ID28" s="2">
        <v>2.5</v>
      </c>
      <c r="IE28" s="2" t="s">
        <v>720</v>
      </c>
      <c r="IF28" s="2">
        <v>0.87</v>
      </c>
      <c r="IG28" s="2">
        <v>2.5</v>
      </c>
      <c r="IH28" s="2"/>
      <c r="II28" s="2"/>
      <c r="IJ28" s="2"/>
      <c r="IK28" s="2" t="s">
        <v>721</v>
      </c>
      <c r="IL28" s="2" t="s">
        <v>722</v>
      </c>
      <c r="IM28" s="2">
        <v>0.49</v>
      </c>
      <c r="IN28" s="2">
        <v>4</v>
      </c>
      <c r="IO28" s="2" t="s">
        <v>9</v>
      </c>
      <c r="IP28" s="2">
        <v>6</v>
      </c>
      <c r="IQ28" s="2">
        <v>9</v>
      </c>
      <c r="IR28" s="2">
        <v>0</v>
      </c>
      <c r="IS28" s="2">
        <v>15</v>
      </c>
      <c r="IT28" s="2" t="s">
        <v>9</v>
      </c>
      <c r="IU28" s="2" t="s">
        <v>17</v>
      </c>
      <c r="IV28" s="2" t="s">
        <v>17</v>
      </c>
      <c r="IW28" s="2" t="s">
        <v>9</v>
      </c>
      <c r="IX28" s="2" t="s">
        <v>9</v>
      </c>
      <c r="IY28" s="2">
        <v>15</v>
      </c>
      <c r="IZ28" s="2">
        <v>90</v>
      </c>
      <c r="JA28" s="2" t="s">
        <v>172</v>
      </c>
      <c r="JB28" s="2" t="s">
        <v>173</v>
      </c>
      <c r="JC28" s="2"/>
      <c r="JD28" s="2"/>
      <c r="JE28" s="7">
        <v>0.1</v>
      </c>
      <c r="JF28" s="2"/>
      <c r="JG28" s="7">
        <v>0.83</v>
      </c>
      <c r="JH28" s="7">
        <v>7.0000000000000007E-2</v>
      </c>
      <c r="JI28" s="2">
        <v>84</v>
      </c>
      <c r="JJ28" s="7">
        <v>0.93</v>
      </c>
      <c r="JK28" s="2">
        <v>90</v>
      </c>
      <c r="JL28" s="7">
        <v>1</v>
      </c>
      <c r="JM28" s="2"/>
      <c r="JN28" s="2"/>
      <c r="JO28" s="2"/>
      <c r="JP28" s="2"/>
      <c r="JQ28" s="2"/>
      <c r="JR28" s="2"/>
      <c r="JS28" s="2">
        <v>0</v>
      </c>
      <c r="JT28" s="2">
        <v>0</v>
      </c>
      <c r="JU28" s="2"/>
      <c r="JV28" s="2">
        <v>0</v>
      </c>
      <c r="JW28" s="4">
        <v>0</v>
      </c>
      <c r="JX28" s="2">
        <v>0</v>
      </c>
      <c r="JY28" s="4">
        <v>0</v>
      </c>
      <c r="JZ28" s="2">
        <v>0</v>
      </c>
      <c r="KA28" s="2"/>
      <c r="KB28" s="2"/>
      <c r="KC28" s="2"/>
      <c r="KD28" s="2"/>
      <c r="KE28" s="2"/>
      <c r="KF28" s="2"/>
      <c r="KG28" s="2"/>
      <c r="KH28" s="2">
        <v>80</v>
      </c>
      <c r="KI28" s="2">
        <v>10</v>
      </c>
      <c r="KJ28" s="2"/>
      <c r="KK28" s="2"/>
      <c r="KL28" s="2"/>
      <c r="KM28" s="2"/>
      <c r="KN28" s="2"/>
      <c r="KO28" s="2"/>
      <c r="KP28" s="2"/>
      <c r="KQ28" s="2" t="s">
        <v>83</v>
      </c>
      <c r="KR28" s="2"/>
      <c r="KS28" s="2" t="s">
        <v>73</v>
      </c>
      <c r="KT28" s="2">
        <v>1</v>
      </c>
      <c r="KU28" s="2" t="s">
        <v>84</v>
      </c>
      <c r="KV28" s="2" t="s">
        <v>85</v>
      </c>
      <c r="KW28" s="2" t="s">
        <v>86</v>
      </c>
      <c r="KX28" s="2" t="s">
        <v>17</v>
      </c>
      <c r="KY28" s="2" t="s">
        <v>17</v>
      </c>
      <c r="KZ28" s="2" t="s">
        <v>17</v>
      </c>
      <c r="LA28" s="2" t="s">
        <v>17</v>
      </c>
      <c r="LB28" s="2" t="s">
        <v>17</v>
      </c>
      <c r="LC28" s="2" t="s">
        <v>17</v>
      </c>
      <c r="LD28" s="2" t="s">
        <v>17</v>
      </c>
      <c r="LE28" s="2" t="s">
        <v>17</v>
      </c>
      <c r="LF28" s="2" t="s">
        <v>17</v>
      </c>
      <c r="LG28" s="2" t="s">
        <v>17</v>
      </c>
      <c r="LH28" s="2" t="s">
        <v>17</v>
      </c>
      <c r="LI28" s="2" t="s">
        <v>17</v>
      </c>
      <c r="LJ28" s="2" t="s">
        <v>87</v>
      </c>
      <c r="LK28" s="2" t="s">
        <v>17</v>
      </c>
      <c r="LL28" s="2" t="s">
        <v>17</v>
      </c>
      <c r="LM28" s="2">
        <v>0</v>
      </c>
      <c r="LN28" s="2" t="s">
        <v>17</v>
      </c>
      <c r="LO28" s="2" t="s">
        <v>17</v>
      </c>
      <c r="LP28" s="2" t="s">
        <v>17</v>
      </c>
      <c r="LQ28" s="2" t="s">
        <v>17</v>
      </c>
      <c r="LR28" s="2" t="s">
        <v>17</v>
      </c>
      <c r="LS28" s="2" t="s">
        <v>17</v>
      </c>
      <c r="LT28" s="2" t="s">
        <v>9</v>
      </c>
      <c r="LU28" s="2" t="s">
        <v>9</v>
      </c>
      <c r="LV28" s="2" t="s">
        <v>17</v>
      </c>
      <c r="LW28" s="2" t="s">
        <v>17</v>
      </c>
      <c r="LX28" s="2" t="s">
        <v>9</v>
      </c>
      <c r="LY28" s="5">
        <v>6500000</v>
      </c>
      <c r="LZ28" s="5">
        <v>0</v>
      </c>
      <c r="MA28" s="5">
        <v>7200000</v>
      </c>
      <c r="MB28" s="5">
        <v>0</v>
      </c>
      <c r="MC28" s="5">
        <v>0</v>
      </c>
      <c r="MD28" s="5">
        <v>0</v>
      </c>
      <c r="ME28" s="5">
        <v>9450000</v>
      </c>
      <c r="MF28" s="5">
        <v>0</v>
      </c>
      <c r="MG28" s="5">
        <v>0</v>
      </c>
      <c r="MH28" s="5">
        <v>0</v>
      </c>
      <c r="MI28" s="5">
        <v>0</v>
      </c>
      <c r="MJ28" s="5">
        <v>0</v>
      </c>
      <c r="MK28" s="5">
        <v>0</v>
      </c>
      <c r="ML28" s="2">
        <v>0</v>
      </c>
      <c r="MM28" s="5">
        <v>0</v>
      </c>
      <c r="MN28" s="5">
        <v>0</v>
      </c>
      <c r="MO28" s="2">
        <v>0</v>
      </c>
      <c r="MP28" s="2">
        <v>0</v>
      </c>
      <c r="MQ28" s="2">
        <v>0</v>
      </c>
      <c r="MR28" s="5">
        <v>2950000</v>
      </c>
      <c r="MS28" s="5">
        <v>0</v>
      </c>
      <c r="MT28" s="5">
        <v>4600000</v>
      </c>
      <c r="MU28" s="5">
        <v>0</v>
      </c>
      <c r="MV28" s="5">
        <v>0</v>
      </c>
      <c r="MW28" s="5">
        <v>0</v>
      </c>
      <c r="MX28" s="5">
        <v>0</v>
      </c>
      <c r="MY28" s="5">
        <v>2500000</v>
      </c>
      <c r="MZ28" s="5">
        <v>0</v>
      </c>
      <c r="NA28" s="5">
        <v>5000000</v>
      </c>
      <c r="NB28" s="5">
        <v>0</v>
      </c>
      <c r="NC28" s="5">
        <v>0</v>
      </c>
      <c r="ND28" s="5">
        <v>0</v>
      </c>
      <c r="NE28" s="5">
        <v>0</v>
      </c>
      <c r="NF28" s="5">
        <v>0</v>
      </c>
      <c r="NG28" s="5">
        <v>2142000</v>
      </c>
      <c r="NH28" s="5">
        <v>2142000</v>
      </c>
      <c r="NI28" s="5">
        <v>2142000</v>
      </c>
      <c r="NJ28" s="5">
        <v>0</v>
      </c>
      <c r="NK28" s="5"/>
      <c r="NL28" s="2" t="s">
        <v>17</v>
      </c>
      <c r="NM28" s="2" t="s">
        <v>17</v>
      </c>
      <c r="NN28" s="2"/>
      <c r="NO28" s="2" t="s">
        <v>17</v>
      </c>
      <c r="NP28" s="2"/>
      <c r="NQ28" s="2"/>
      <c r="NR28" s="2" t="s">
        <v>17</v>
      </c>
      <c r="NS28" s="2"/>
      <c r="NT28" s="2" t="s">
        <v>9</v>
      </c>
      <c r="NU28" s="2" t="s">
        <v>450</v>
      </c>
      <c r="NV28" s="2">
        <v>10.01</v>
      </c>
      <c r="NW28" s="2" t="s">
        <v>723</v>
      </c>
      <c r="NX28" s="2"/>
      <c r="NY28" s="2"/>
      <c r="NZ28" s="2"/>
      <c r="OA28" s="2" t="s">
        <v>118</v>
      </c>
      <c r="OB28" s="2" t="s">
        <v>118</v>
      </c>
      <c r="OC28" s="2" t="s">
        <v>118</v>
      </c>
      <c r="OD28" s="2" t="s">
        <v>17</v>
      </c>
      <c r="OE28" s="2" t="s">
        <v>119</v>
      </c>
      <c r="OF28" s="2"/>
      <c r="OG28" s="2" t="s">
        <v>17</v>
      </c>
      <c r="OH28" s="2"/>
      <c r="OI28" s="2"/>
      <c r="OJ28" s="2"/>
      <c r="OK28" s="2" t="s">
        <v>17</v>
      </c>
      <c r="OL28" s="2" t="s">
        <v>17</v>
      </c>
      <c r="OM28" s="2" t="s">
        <v>85</v>
      </c>
      <c r="ON28" s="6">
        <v>0</v>
      </c>
      <c r="OO28" s="6">
        <v>0</v>
      </c>
      <c r="OP28" s="2" t="s">
        <v>93</v>
      </c>
      <c r="OQ28" s="2" t="s">
        <v>93</v>
      </c>
      <c r="OR28" s="6">
        <v>0</v>
      </c>
      <c r="OS28" s="4">
        <v>0</v>
      </c>
      <c r="OT28" s="2" t="s">
        <v>17</v>
      </c>
      <c r="OU28" s="2" t="s">
        <v>9</v>
      </c>
      <c r="OV28" s="2"/>
      <c r="OW28" s="2" t="s">
        <v>724</v>
      </c>
      <c r="OX28" s="5">
        <v>16494257</v>
      </c>
      <c r="OY28" s="6">
        <v>196360.2</v>
      </c>
      <c r="OZ28" s="2"/>
      <c r="PA28" s="2"/>
      <c r="PB28" s="8">
        <v>13850000</v>
      </c>
      <c r="PC28" s="2"/>
      <c r="PD28" s="8">
        <v>13850000</v>
      </c>
      <c r="PE28" s="8">
        <v>800000</v>
      </c>
      <c r="PF28" s="8">
        <v>200000</v>
      </c>
      <c r="PG28" s="8">
        <v>1000000</v>
      </c>
      <c r="PH28" s="2"/>
      <c r="PI28" s="2"/>
      <c r="PJ28" s="2"/>
      <c r="PK28" s="8">
        <v>14650000</v>
      </c>
      <c r="PL28" s="8">
        <v>200000</v>
      </c>
      <c r="PM28" s="8">
        <v>14850000</v>
      </c>
      <c r="PN28" s="8">
        <v>2051000</v>
      </c>
      <c r="PO28" s="8">
        <v>28000</v>
      </c>
      <c r="PP28" s="8">
        <v>2079000</v>
      </c>
      <c r="PQ28" s="6">
        <v>2079000</v>
      </c>
      <c r="PR28" s="8">
        <v>16701000</v>
      </c>
      <c r="PS28" s="8">
        <v>228000</v>
      </c>
      <c r="PT28" s="8">
        <v>16929000</v>
      </c>
      <c r="PU28" s="8">
        <v>835050</v>
      </c>
      <c r="PV28" s="8">
        <v>11400</v>
      </c>
      <c r="PW28" s="8">
        <v>846450</v>
      </c>
      <c r="PX28" s="6">
        <v>846450</v>
      </c>
      <c r="PY28" s="8">
        <v>1850700</v>
      </c>
      <c r="PZ28" s="8">
        <v>139300</v>
      </c>
      <c r="QA28" s="8">
        <v>1990000</v>
      </c>
      <c r="QB28" s="8">
        <v>204600</v>
      </c>
      <c r="QC28" s="8">
        <v>15400</v>
      </c>
      <c r="QD28" s="8">
        <v>220000</v>
      </c>
      <c r="QE28" s="8">
        <v>325500</v>
      </c>
      <c r="QF28" s="8">
        <v>24500</v>
      </c>
      <c r="QG28" s="8">
        <v>350000</v>
      </c>
      <c r="QH28" s="2"/>
      <c r="QI28" s="8">
        <v>440875</v>
      </c>
      <c r="QJ28" s="8">
        <v>440875</v>
      </c>
      <c r="QK28" s="2"/>
      <c r="QL28" s="2"/>
      <c r="QM28" s="2"/>
      <c r="QN28" s="8">
        <v>627750</v>
      </c>
      <c r="QO28" s="8">
        <v>47250</v>
      </c>
      <c r="QP28" s="8">
        <v>675000</v>
      </c>
      <c r="QQ28" s="8">
        <v>3008550</v>
      </c>
      <c r="QR28" s="8">
        <v>667325</v>
      </c>
      <c r="QS28" s="8">
        <v>3675875</v>
      </c>
      <c r="QT28" s="8">
        <v>150427</v>
      </c>
      <c r="QU28" s="8">
        <v>33366</v>
      </c>
      <c r="QV28" s="8">
        <v>183793</v>
      </c>
      <c r="QW28" s="6">
        <v>183793.75</v>
      </c>
      <c r="QX28" s="8">
        <v>117180</v>
      </c>
      <c r="QY28" s="8">
        <v>8820</v>
      </c>
      <c r="QZ28" s="8">
        <v>126000</v>
      </c>
      <c r="RA28" s="8">
        <v>96500</v>
      </c>
      <c r="RB28" s="8">
        <v>96500</v>
      </c>
      <c r="RC28" s="8">
        <v>1237500</v>
      </c>
      <c r="RD28" s="8">
        <v>412500</v>
      </c>
      <c r="RE28" s="8">
        <v>1650000</v>
      </c>
      <c r="RF28" s="8">
        <v>1354680</v>
      </c>
      <c r="RG28" s="8">
        <v>517820</v>
      </c>
      <c r="RH28" s="8">
        <v>1872500</v>
      </c>
      <c r="RI28" s="2"/>
      <c r="RJ28" s="2"/>
      <c r="RK28" s="2"/>
      <c r="RL28" s="2"/>
      <c r="RM28" s="8">
        <v>22049707</v>
      </c>
      <c r="RN28" s="8">
        <v>1457911</v>
      </c>
      <c r="RO28" s="8">
        <v>23507618</v>
      </c>
      <c r="RP28" s="2"/>
      <c r="RQ28" s="2"/>
      <c r="RR28" s="2">
        <v>0</v>
      </c>
      <c r="RS28" s="6">
        <v>0</v>
      </c>
      <c r="RT28" s="8">
        <v>3527953</v>
      </c>
      <c r="RU28" s="8">
        <v>233265</v>
      </c>
      <c r="RV28" s="8">
        <v>3761218</v>
      </c>
      <c r="RW28" s="6">
        <v>3761218</v>
      </c>
      <c r="RX28" s="6">
        <v>0</v>
      </c>
      <c r="RY28" s="8">
        <v>3527953</v>
      </c>
      <c r="RZ28" s="8">
        <v>233265</v>
      </c>
      <c r="SA28" s="8">
        <v>3761218</v>
      </c>
      <c r="SB28" s="6">
        <v>3761218</v>
      </c>
      <c r="SC28" s="8">
        <v>315000</v>
      </c>
      <c r="SD28" s="8">
        <v>315000</v>
      </c>
      <c r="SE28" s="6">
        <v>315000</v>
      </c>
      <c r="SF28" s="8">
        <v>70000</v>
      </c>
      <c r="SG28" s="8">
        <v>70000</v>
      </c>
      <c r="SH28" s="8">
        <v>25577660</v>
      </c>
      <c r="SI28" s="8">
        <v>2076176</v>
      </c>
      <c r="SJ28" s="8">
        <v>27653836</v>
      </c>
      <c r="SK28" s="2" t="s">
        <v>85</v>
      </c>
      <c r="SL28" s="2"/>
      <c r="SM28" s="2" t="s">
        <v>725</v>
      </c>
      <c r="SN28" s="2" t="s">
        <v>726</v>
      </c>
      <c r="SO28" s="2"/>
      <c r="SP28" s="8">
        <v>16800000</v>
      </c>
      <c r="SQ28" s="2" t="s">
        <v>95</v>
      </c>
      <c r="SR28" s="8">
        <v>1250000</v>
      </c>
      <c r="SS28" s="2" t="s">
        <v>180</v>
      </c>
      <c r="ST28" s="8">
        <v>1000000</v>
      </c>
      <c r="SU28" s="2" t="s">
        <v>413</v>
      </c>
      <c r="SV28" s="2"/>
      <c r="SW28" s="2"/>
      <c r="SX28" s="2" t="s">
        <v>96</v>
      </c>
      <c r="SY28" s="2" t="s">
        <v>96</v>
      </c>
      <c r="SZ28" s="2" t="s">
        <v>96</v>
      </c>
      <c r="TA28" s="2" t="s">
        <v>96</v>
      </c>
      <c r="TB28" s="8">
        <v>6671663</v>
      </c>
      <c r="TC28" s="2"/>
      <c r="TD28" s="2"/>
      <c r="TE28" s="2"/>
      <c r="TF28" s="2"/>
      <c r="TG28" s="2"/>
      <c r="TH28" s="2"/>
      <c r="TI28" s="8">
        <v>1932173</v>
      </c>
      <c r="TJ28" s="8">
        <v>27653836</v>
      </c>
      <c r="TK28" s="2">
        <v>0</v>
      </c>
      <c r="TL28" s="2" t="s">
        <v>9</v>
      </c>
      <c r="TM28" s="8">
        <v>5650000</v>
      </c>
      <c r="TN28" s="2" t="s">
        <v>95</v>
      </c>
      <c r="TO28" s="8">
        <v>1250000</v>
      </c>
      <c r="TP28" s="2" t="s">
        <v>180</v>
      </c>
      <c r="TQ28" s="8">
        <v>1000000</v>
      </c>
      <c r="TR28" s="2" t="s">
        <v>413</v>
      </c>
      <c r="TS28" s="2"/>
      <c r="TT28" s="2"/>
      <c r="TU28" s="2" t="s">
        <v>96</v>
      </c>
      <c r="TV28" s="8">
        <v>19061894</v>
      </c>
      <c r="TW28" s="2"/>
      <c r="TX28" s="2"/>
      <c r="TY28" s="2"/>
      <c r="TZ28" s="2"/>
      <c r="UA28" s="2"/>
      <c r="UB28" s="2"/>
      <c r="UC28" s="8">
        <v>691942</v>
      </c>
      <c r="UD28" s="8">
        <v>27653836</v>
      </c>
      <c r="UE28" s="6">
        <v>7900000</v>
      </c>
      <c r="UF28" s="2">
        <v>0</v>
      </c>
      <c r="UG28" s="2" t="s">
        <v>9</v>
      </c>
      <c r="UH28" s="2">
        <v>90</v>
      </c>
      <c r="UI28" s="5">
        <v>220000</v>
      </c>
      <c r="UJ28" s="6">
        <v>293333.33</v>
      </c>
      <c r="UK28" s="6">
        <v>300833.33</v>
      </c>
      <c r="UL28" s="6">
        <v>318883.33</v>
      </c>
      <c r="UM28" s="6">
        <v>28699500</v>
      </c>
      <c r="UN28" s="6">
        <v>4591920</v>
      </c>
      <c r="UO28" s="6">
        <v>4591920</v>
      </c>
      <c r="UP28" s="6">
        <v>33291420</v>
      </c>
      <c r="UQ28" s="6">
        <v>27268836</v>
      </c>
      <c r="UR28" s="6">
        <v>1250000</v>
      </c>
      <c r="US28" s="2"/>
      <c r="UT28" s="6">
        <v>1250000</v>
      </c>
      <c r="UU28" s="2"/>
      <c r="UV28" s="6">
        <v>0</v>
      </c>
      <c r="UW28" s="6">
        <v>1250000</v>
      </c>
      <c r="UX28" s="6">
        <v>0</v>
      </c>
      <c r="UY28" s="6">
        <v>1250000</v>
      </c>
      <c r="UZ28" s="2" t="s">
        <v>727</v>
      </c>
      <c r="VA28" s="2" t="s">
        <v>182</v>
      </c>
      <c r="VB28" s="2"/>
      <c r="VC28" s="2"/>
      <c r="VD28" s="2" t="s">
        <v>9</v>
      </c>
      <c r="VE28" s="2" t="s">
        <v>17</v>
      </c>
      <c r="VF28" s="2"/>
      <c r="VG28" s="2" t="s">
        <v>17</v>
      </c>
      <c r="VH28" s="2"/>
      <c r="VI28" s="388" t="s">
        <v>728</v>
      </c>
      <c r="VJ28" s="2" t="s">
        <v>98</v>
      </c>
      <c r="VK28" s="2" t="s">
        <v>232</v>
      </c>
      <c r="VL28" s="23">
        <f t="shared" si="0"/>
        <v>100</v>
      </c>
      <c r="VM28" s="17">
        <f t="shared" si="1"/>
        <v>1.1111111111111112</v>
      </c>
      <c r="VN28" s="17" t="str">
        <f t="shared" si="12"/>
        <v>NC-GA-E</v>
      </c>
      <c r="VO28" s="17" t="str">
        <f t="shared" si="13"/>
        <v>NC-GA-E-Non</v>
      </c>
      <c r="VP28" s="12">
        <v>9</v>
      </c>
      <c r="VQ28" s="57">
        <v>1</v>
      </c>
      <c r="VR28" s="57">
        <f t="shared" si="2"/>
        <v>1</v>
      </c>
      <c r="VS28" s="14">
        <f t="shared" si="3"/>
        <v>0.97</v>
      </c>
      <c r="VT28" s="12">
        <f t="shared" si="4"/>
        <v>1</v>
      </c>
      <c r="VU28" s="16">
        <f t="shared" si="5"/>
        <v>18699660</v>
      </c>
      <c r="VV28" s="16">
        <f t="shared" si="6"/>
        <v>222615</v>
      </c>
      <c r="VW28" s="12" t="str">
        <f t="shared" si="14"/>
        <v>A</v>
      </c>
      <c r="VX28" s="12" t="str">
        <f t="shared" si="15"/>
        <v>NC-GA-Non</v>
      </c>
      <c r="VY28" s="351">
        <f t="shared" si="16"/>
        <v>2</v>
      </c>
      <c r="WA28" s="12">
        <f t="shared" si="17"/>
        <v>1</v>
      </c>
      <c r="WB28" s="12">
        <f t="shared" si="18"/>
        <v>0</v>
      </c>
      <c r="WC28" s="12">
        <f t="shared" si="18"/>
        <v>0</v>
      </c>
      <c r="WD28" s="12">
        <f t="shared" si="18"/>
        <v>1</v>
      </c>
      <c r="WE28" s="12">
        <f t="shared" si="19"/>
        <v>0</v>
      </c>
      <c r="WF28" s="12">
        <f t="shared" si="7"/>
        <v>1</v>
      </c>
      <c r="WG28" s="12">
        <f t="shared" si="8"/>
        <v>0</v>
      </c>
      <c r="WH28" s="12">
        <f t="shared" si="9"/>
        <v>0</v>
      </c>
      <c r="WI28" s="31">
        <f t="shared" si="10"/>
        <v>3</v>
      </c>
      <c r="WJ28" s="2"/>
      <c r="WK28" s="444" t="str">
        <f t="shared" si="20"/>
        <v>NC-GA-Non-BBN-BRN-PHA-E</v>
      </c>
      <c r="WL28" s="444"/>
      <c r="WM28" s="444"/>
    </row>
    <row r="29" spans="1:611" x14ac:dyDescent="0.25">
      <c r="A29" s="2">
        <v>9509</v>
      </c>
      <c r="B29" s="2" t="s">
        <v>1270</v>
      </c>
      <c r="C29" s="2" t="s">
        <v>8</v>
      </c>
      <c r="D29" s="3">
        <v>45153</v>
      </c>
      <c r="E29" s="2" t="s">
        <v>9</v>
      </c>
      <c r="F29" s="2">
        <v>3</v>
      </c>
      <c r="G29" s="2" t="s">
        <v>9</v>
      </c>
      <c r="H29" s="2">
        <v>3</v>
      </c>
      <c r="I29" s="2" t="s">
        <v>9</v>
      </c>
      <c r="J29" s="2">
        <v>1</v>
      </c>
      <c r="K29" s="2" t="s">
        <v>9</v>
      </c>
      <c r="L29" s="2">
        <v>3</v>
      </c>
      <c r="M29" s="2" t="s">
        <v>10</v>
      </c>
      <c r="N29" s="2">
        <v>0</v>
      </c>
      <c r="O29" s="2" t="s">
        <v>10</v>
      </c>
      <c r="P29" s="2">
        <v>0</v>
      </c>
      <c r="Q29" s="2" t="s">
        <v>11</v>
      </c>
      <c r="R29" s="2">
        <v>0</v>
      </c>
      <c r="S29" s="2" t="s">
        <v>9</v>
      </c>
      <c r="T29" s="2">
        <v>2</v>
      </c>
      <c r="U29" s="2" t="s">
        <v>9</v>
      </c>
      <c r="V29" s="2">
        <v>2</v>
      </c>
      <c r="W29" s="2" t="s">
        <v>9</v>
      </c>
      <c r="X29" s="2">
        <v>2</v>
      </c>
      <c r="Y29" s="2" t="s">
        <v>12</v>
      </c>
      <c r="Z29" s="2" t="s">
        <v>1271</v>
      </c>
      <c r="AA29" s="2" t="s">
        <v>834</v>
      </c>
      <c r="AB29" s="2" t="s">
        <v>15</v>
      </c>
      <c r="AC29" s="2" t="s">
        <v>15</v>
      </c>
      <c r="AD29" s="2" t="s">
        <v>15</v>
      </c>
      <c r="AE29" s="2" t="s">
        <v>15</v>
      </c>
      <c r="AF29" s="2">
        <v>2</v>
      </c>
      <c r="AG29" s="2" t="s">
        <v>835</v>
      </c>
      <c r="AH29" s="2" t="s">
        <v>17</v>
      </c>
      <c r="AI29" s="4">
        <v>0.15278</v>
      </c>
      <c r="AJ29" s="2" t="s">
        <v>17</v>
      </c>
      <c r="AK29" s="2" t="s">
        <v>9</v>
      </c>
      <c r="AL29" s="2" t="s">
        <v>17</v>
      </c>
      <c r="AM29" s="2" t="s">
        <v>17</v>
      </c>
      <c r="AN29" s="2" t="s">
        <v>17</v>
      </c>
      <c r="AO29" s="2" t="s">
        <v>17</v>
      </c>
      <c r="AP29" s="2" t="s">
        <v>17</v>
      </c>
      <c r="AQ29" s="2" t="s">
        <v>17</v>
      </c>
      <c r="AR29" s="2" t="s">
        <v>9</v>
      </c>
      <c r="AS29" s="2" t="s">
        <v>9</v>
      </c>
      <c r="AT29" s="2">
        <v>0</v>
      </c>
      <c r="AU29" s="5">
        <v>50000</v>
      </c>
      <c r="AV29" s="5">
        <v>460000</v>
      </c>
      <c r="AW29" s="2">
        <v>0</v>
      </c>
      <c r="AX29" s="2">
        <v>9</v>
      </c>
      <c r="AY29" s="2">
        <v>0</v>
      </c>
      <c r="AZ29" s="2">
        <v>18</v>
      </c>
      <c r="BA29" s="2">
        <v>0</v>
      </c>
      <c r="BB29" s="2">
        <v>1</v>
      </c>
      <c r="BC29" s="2">
        <v>0</v>
      </c>
      <c r="BD29" s="2">
        <v>0</v>
      </c>
      <c r="BE29" s="2">
        <v>0</v>
      </c>
      <c r="BF29" s="2">
        <v>1</v>
      </c>
      <c r="BG29" s="2">
        <v>0</v>
      </c>
      <c r="BH29" s="2">
        <v>0</v>
      </c>
      <c r="BI29" s="2">
        <v>13</v>
      </c>
      <c r="BJ29" s="2">
        <v>1</v>
      </c>
      <c r="BK29" s="2">
        <v>0</v>
      </c>
      <c r="BL29" s="2">
        <v>3</v>
      </c>
      <c r="BM29" s="2">
        <v>0</v>
      </c>
      <c r="BN29" s="2">
        <v>11</v>
      </c>
      <c r="BO29" s="2">
        <v>11</v>
      </c>
      <c r="BP29" s="2">
        <v>0</v>
      </c>
      <c r="BQ29" s="2">
        <v>10</v>
      </c>
      <c r="BR29" s="2">
        <v>11</v>
      </c>
      <c r="BS29" s="2">
        <v>0</v>
      </c>
      <c r="BT29" s="4">
        <v>0.06</v>
      </c>
      <c r="BU29" s="2" t="s">
        <v>9</v>
      </c>
      <c r="BV29" s="6">
        <v>199305.60000000001</v>
      </c>
      <c r="BW29" s="2" t="s">
        <v>18</v>
      </c>
      <c r="BX29" s="2" t="s">
        <v>17</v>
      </c>
      <c r="BY29" s="2" t="s">
        <v>17</v>
      </c>
      <c r="BZ29" s="2" t="s">
        <v>17</v>
      </c>
      <c r="CA29" s="2" t="s">
        <v>17</v>
      </c>
      <c r="CB29" s="2" t="s">
        <v>17</v>
      </c>
      <c r="CC29" s="2" t="s">
        <v>17</v>
      </c>
      <c r="CD29" s="2" t="s">
        <v>17</v>
      </c>
      <c r="CE29" s="2" t="s">
        <v>1272</v>
      </c>
      <c r="CF29" s="2" t="s">
        <v>9</v>
      </c>
      <c r="CG29" s="2" t="s">
        <v>1273</v>
      </c>
      <c r="CH29" s="2" t="s">
        <v>1274</v>
      </c>
      <c r="CI29" s="2"/>
      <c r="CJ29" s="2" t="s">
        <v>9</v>
      </c>
      <c r="CK29" s="2" t="s">
        <v>1275</v>
      </c>
      <c r="CL29" s="2" t="s">
        <v>1274</v>
      </c>
      <c r="CM29" s="2" t="s">
        <v>1276</v>
      </c>
      <c r="CN29" s="2" t="s">
        <v>1277</v>
      </c>
      <c r="CO29" s="2" t="s">
        <v>24</v>
      </c>
      <c r="CP29" s="2"/>
      <c r="CQ29" s="2">
        <v>144</v>
      </c>
      <c r="CR29" s="2" t="s">
        <v>1234</v>
      </c>
      <c r="CS29" s="2">
        <v>2020</v>
      </c>
      <c r="CT29" s="2" t="s">
        <v>26</v>
      </c>
      <c r="CU29" s="2" t="s">
        <v>27</v>
      </c>
      <c r="CV29" s="2" t="s">
        <v>1278</v>
      </c>
      <c r="CW29" s="2" t="s">
        <v>1279</v>
      </c>
      <c r="CX29" s="2" t="s">
        <v>853</v>
      </c>
      <c r="CY29" s="2"/>
      <c r="CZ29" s="2">
        <v>404</v>
      </c>
      <c r="DA29" s="2" t="s">
        <v>1234</v>
      </c>
      <c r="DB29" s="2">
        <v>2018</v>
      </c>
      <c r="DC29" s="2" t="s">
        <v>26</v>
      </c>
      <c r="DD29" s="2" t="s">
        <v>27</v>
      </c>
      <c r="DE29" s="2" t="s">
        <v>1280</v>
      </c>
      <c r="DF29" s="2" t="s">
        <v>1281</v>
      </c>
      <c r="DG29" s="2" t="s">
        <v>853</v>
      </c>
      <c r="DH29" s="2"/>
      <c r="DI29" s="2">
        <v>228</v>
      </c>
      <c r="DJ29" s="2" t="s">
        <v>1234</v>
      </c>
      <c r="DK29" s="2">
        <v>2020</v>
      </c>
      <c r="DL29" s="2" t="s">
        <v>26</v>
      </c>
      <c r="DM29" s="2" t="s">
        <v>27</v>
      </c>
      <c r="DN29" s="2" t="s">
        <v>33</v>
      </c>
      <c r="DO29" s="2" t="s">
        <v>1282</v>
      </c>
      <c r="DP29" s="2"/>
      <c r="DQ29" s="2" t="s">
        <v>1283</v>
      </c>
      <c r="DR29" s="2" t="s">
        <v>1284</v>
      </c>
      <c r="DS29" s="2">
        <v>1</v>
      </c>
      <c r="DT29" s="2" t="s">
        <v>1285</v>
      </c>
      <c r="DU29" s="2" t="s">
        <v>1286</v>
      </c>
      <c r="DV29" s="2" t="s">
        <v>39</v>
      </c>
      <c r="DW29" s="2">
        <v>33511</v>
      </c>
      <c r="DX29" s="2" t="s">
        <v>1287</v>
      </c>
      <c r="DY29" s="2"/>
      <c r="DZ29" s="2" t="s">
        <v>1288</v>
      </c>
      <c r="EA29" s="2" t="s">
        <v>1284</v>
      </c>
      <c r="EB29" s="2" t="s">
        <v>1289</v>
      </c>
      <c r="EC29" s="2" t="s">
        <v>1290</v>
      </c>
      <c r="ED29" s="2" t="s">
        <v>44</v>
      </c>
      <c r="EE29" s="2">
        <v>176</v>
      </c>
      <c r="EF29" s="2" t="s">
        <v>1244</v>
      </c>
      <c r="EG29" s="2">
        <v>5</v>
      </c>
      <c r="EH29" s="2" t="s">
        <v>46</v>
      </c>
      <c r="EI29" s="2" t="s">
        <v>47</v>
      </c>
      <c r="EJ29" s="2" t="s">
        <v>1291</v>
      </c>
      <c r="EK29" s="2" t="s">
        <v>1292</v>
      </c>
      <c r="EL29" s="2" t="s">
        <v>44</v>
      </c>
      <c r="EM29" s="2">
        <v>150</v>
      </c>
      <c r="EN29" s="2" t="s">
        <v>1244</v>
      </c>
      <c r="EO29" s="2">
        <v>12</v>
      </c>
      <c r="EP29" s="2" t="s">
        <v>46</v>
      </c>
      <c r="EQ29" s="2" t="s">
        <v>47</v>
      </c>
      <c r="ER29" s="2" t="s">
        <v>1293</v>
      </c>
      <c r="ES29" s="2" t="s">
        <v>583</v>
      </c>
      <c r="ET29" s="2" t="s">
        <v>1294</v>
      </c>
      <c r="EU29" s="2" t="s">
        <v>1295</v>
      </c>
      <c r="EV29" s="2" t="s">
        <v>1296</v>
      </c>
      <c r="EW29" s="2" t="s">
        <v>1297</v>
      </c>
      <c r="EX29" s="2" t="s">
        <v>39</v>
      </c>
      <c r="EY29" s="2">
        <v>33444</v>
      </c>
      <c r="EZ29" s="2" t="s">
        <v>1298</v>
      </c>
      <c r="FA29" s="2"/>
      <c r="FB29" s="2" t="s">
        <v>1299</v>
      </c>
      <c r="FC29" s="2" t="s">
        <v>1300</v>
      </c>
      <c r="FD29" s="2"/>
      <c r="FE29" s="2" t="s">
        <v>1107</v>
      </c>
      <c r="FF29" s="2" t="s">
        <v>1301</v>
      </c>
      <c r="FG29" s="2" t="s">
        <v>1296</v>
      </c>
      <c r="FH29" s="2" t="s">
        <v>1302</v>
      </c>
      <c r="FI29" s="2" t="s">
        <v>39</v>
      </c>
      <c r="FJ29" s="2">
        <v>33444</v>
      </c>
      <c r="FK29" s="2" t="s">
        <v>1303</v>
      </c>
      <c r="FL29" s="2"/>
      <c r="FM29" s="2" t="s">
        <v>1304</v>
      </c>
      <c r="FN29" s="2" t="s">
        <v>1305</v>
      </c>
      <c r="FO29" s="2" t="s">
        <v>63</v>
      </c>
      <c r="FP29" s="2" t="s">
        <v>64</v>
      </c>
      <c r="FQ29" s="2" t="s">
        <v>9</v>
      </c>
      <c r="FR29" s="2" t="s">
        <v>17</v>
      </c>
      <c r="FS29" s="2" t="s">
        <v>17</v>
      </c>
      <c r="FT29" s="2" t="s">
        <v>9</v>
      </c>
      <c r="FU29" s="2">
        <v>0</v>
      </c>
      <c r="FV29" s="2">
        <v>0</v>
      </c>
      <c r="FW29" s="4">
        <v>0</v>
      </c>
      <c r="FX29" s="4">
        <v>0</v>
      </c>
      <c r="FY29" s="2" t="s">
        <v>65</v>
      </c>
      <c r="FZ29" s="2" t="s">
        <v>66</v>
      </c>
      <c r="GA29" s="2" t="s">
        <v>67</v>
      </c>
      <c r="GB29" s="2"/>
      <c r="GC29" s="2"/>
      <c r="GD29" s="2"/>
      <c r="GE29" s="2" t="s">
        <v>68</v>
      </c>
      <c r="GF29" s="2">
        <v>72</v>
      </c>
      <c r="GG29" s="2">
        <v>72</v>
      </c>
      <c r="GH29" s="2"/>
      <c r="GI29" s="2"/>
      <c r="GJ29" s="2"/>
      <c r="GK29" s="2"/>
      <c r="GL29" s="2"/>
      <c r="GM29" s="2"/>
      <c r="GN29" s="2"/>
      <c r="GO29" s="2"/>
      <c r="GP29" s="2"/>
      <c r="GQ29" s="2">
        <v>72</v>
      </c>
      <c r="GR29" s="2" t="s">
        <v>968</v>
      </c>
      <c r="GS29" s="2" t="s">
        <v>70</v>
      </c>
      <c r="GT29" s="2" t="s">
        <v>1306</v>
      </c>
      <c r="GU29" s="2" t="s">
        <v>1307</v>
      </c>
      <c r="GV29" s="2" t="s">
        <v>9</v>
      </c>
      <c r="GW29" s="2">
        <v>29.028063</v>
      </c>
      <c r="GX29" s="2">
        <v>-80.937006999999994</v>
      </c>
      <c r="GY29" s="2" t="s">
        <v>1308</v>
      </c>
      <c r="GZ29" s="2" t="s">
        <v>17</v>
      </c>
      <c r="HA29" s="2" t="s">
        <v>9</v>
      </c>
      <c r="HB29" s="2">
        <v>3</v>
      </c>
      <c r="HC29" s="2" t="s">
        <v>17</v>
      </c>
      <c r="HD29" s="2"/>
      <c r="HE29" s="2">
        <v>0</v>
      </c>
      <c r="HF29" s="2">
        <v>29.030363000000001</v>
      </c>
      <c r="HG29" s="2">
        <v>-80.928769000000003</v>
      </c>
      <c r="HH29" s="2">
        <v>0.52</v>
      </c>
      <c r="HI29" s="2">
        <v>1</v>
      </c>
      <c r="HJ29" s="2">
        <v>29.031033999999998</v>
      </c>
      <c r="HK29" s="2">
        <v>-80.928781999999998</v>
      </c>
      <c r="HL29" s="2">
        <v>0.54</v>
      </c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 t="s">
        <v>73</v>
      </c>
      <c r="HY29" s="2" t="s">
        <v>17</v>
      </c>
      <c r="HZ29" s="2"/>
      <c r="IA29" s="2" t="s">
        <v>359</v>
      </c>
      <c r="IB29" s="2" t="s">
        <v>1309</v>
      </c>
      <c r="IC29" s="2">
        <v>0.94</v>
      </c>
      <c r="ID29" s="2">
        <v>2.5</v>
      </c>
      <c r="IE29" s="2" t="s">
        <v>1310</v>
      </c>
      <c r="IF29" s="2">
        <v>1</v>
      </c>
      <c r="IG29" s="2">
        <v>2.5</v>
      </c>
      <c r="IH29" s="2"/>
      <c r="II29" s="2"/>
      <c r="IJ29" s="2"/>
      <c r="IK29" s="2" t="s">
        <v>1311</v>
      </c>
      <c r="IL29" s="2" t="s">
        <v>1312</v>
      </c>
      <c r="IM29" s="2">
        <v>0.25</v>
      </c>
      <c r="IN29" s="2">
        <v>4</v>
      </c>
      <c r="IO29" s="2" t="s">
        <v>9</v>
      </c>
      <c r="IP29" s="2">
        <v>1</v>
      </c>
      <c r="IQ29" s="2">
        <v>9</v>
      </c>
      <c r="IR29" s="2">
        <v>3</v>
      </c>
      <c r="IS29" s="2">
        <v>13</v>
      </c>
      <c r="IT29" s="2" t="s">
        <v>9</v>
      </c>
      <c r="IU29" s="2" t="s">
        <v>17</v>
      </c>
      <c r="IV29" s="2" t="s">
        <v>17</v>
      </c>
      <c r="IW29" s="2" t="s">
        <v>9</v>
      </c>
      <c r="IX29" s="2" t="s">
        <v>9</v>
      </c>
      <c r="IY29" s="2">
        <v>10</v>
      </c>
      <c r="IZ29" s="2">
        <v>72</v>
      </c>
      <c r="JA29" s="2" t="s">
        <v>81</v>
      </c>
      <c r="JB29" s="2" t="s">
        <v>82</v>
      </c>
      <c r="JC29" s="2"/>
      <c r="JD29" s="2"/>
      <c r="JE29" s="2"/>
      <c r="JF29" s="2"/>
      <c r="JG29" s="2"/>
      <c r="JH29" s="7">
        <v>0</v>
      </c>
      <c r="JI29" s="2">
        <v>0</v>
      </c>
      <c r="JJ29" s="7">
        <v>0</v>
      </c>
      <c r="JK29" s="2">
        <v>0</v>
      </c>
      <c r="JL29" s="7">
        <v>0</v>
      </c>
      <c r="JM29" s="2">
        <v>11</v>
      </c>
      <c r="JN29" s="2"/>
      <c r="JO29" s="2"/>
      <c r="JP29" s="2">
        <v>36</v>
      </c>
      <c r="JQ29" s="2">
        <v>17</v>
      </c>
      <c r="JR29" s="2">
        <v>8</v>
      </c>
      <c r="JS29" s="2">
        <v>0</v>
      </c>
      <c r="JT29" s="2">
        <v>0</v>
      </c>
      <c r="JU29" s="2"/>
      <c r="JV29" s="2">
        <v>72</v>
      </c>
      <c r="JW29" s="4">
        <v>1</v>
      </c>
      <c r="JX29" s="2">
        <v>72</v>
      </c>
      <c r="JY29" s="4">
        <v>0.6</v>
      </c>
      <c r="JZ29" s="2">
        <v>0</v>
      </c>
      <c r="KA29" s="2"/>
      <c r="KB29" s="2"/>
      <c r="KC29" s="2"/>
      <c r="KD29" s="2"/>
      <c r="KE29" s="2"/>
      <c r="KF29" s="2"/>
      <c r="KG29" s="2"/>
      <c r="KH29" s="2">
        <v>24</v>
      </c>
      <c r="KI29" s="2"/>
      <c r="KJ29" s="2"/>
      <c r="KK29" s="2">
        <v>24</v>
      </c>
      <c r="KL29" s="2">
        <v>24</v>
      </c>
      <c r="KM29" s="2"/>
      <c r="KN29" s="2"/>
      <c r="KO29" s="2"/>
      <c r="KP29" s="2"/>
      <c r="KQ29" s="2" t="s">
        <v>83</v>
      </c>
      <c r="KR29" s="2" t="s">
        <v>73</v>
      </c>
      <c r="KS29" s="2"/>
      <c r="KT29" s="2">
        <v>3</v>
      </c>
      <c r="KU29" s="2" t="s">
        <v>84</v>
      </c>
      <c r="KV29" s="2" t="s">
        <v>85</v>
      </c>
      <c r="KW29" s="2" t="s">
        <v>86</v>
      </c>
      <c r="KX29" s="2" t="s">
        <v>17</v>
      </c>
      <c r="KY29" s="2" t="s">
        <v>17</v>
      </c>
      <c r="KZ29" s="2" t="s">
        <v>17</v>
      </c>
      <c r="LA29" s="2" t="s">
        <v>17</v>
      </c>
      <c r="LB29" s="2" t="s">
        <v>17</v>
      </c>
      <c r="LC29" s="2" t="s">
        <v>17</v>
      </c>
      <c r="LD29" s="2" t="s">
        <v>17</v>
      </c>
      <c r="LE29" s="2" t="s">
        <v>17</v>
      </c>
      <c r="LF29" s="2" t="s">
        <v>17</v>
      </c>
      <c r="LG29" s="2" t="s">
        <v>17</v>
      </c>
      <c r="LH29" s="2" t="s">
        <v>17</v>
      </c>
      <c r="LI29" s="2" t="s">
        <v>17</v>
      </c>
      <c r="LJ29" s="2" t="s">
        <v>87</v>
      </c>
      <c r="LK29" s="2" t="s">
        <v>17</v>
      </c>
      <c r="LL29" s="2" t="s">
        <v>17</v>
      </c>
      <c r="LM29" s="2">
        <v>0</v>
      </c>
      <c r="LN29" s="2" t="s">
        <v>17</v>
      </c>
      <c r="LO29" s="2" t="s">
        <v>9</v>
      </c>
      <c r="LP29" s="2" t="s">
        <v>9</v>
      </c>
      <c r="LQ29" s="2" t="s">
        <v>17</v>
      </c>
      <c r="LR29" s="2" t="s">
        <v>9</v>
      </c>
      <c r="LS29" s="2" t="s">
        <v>17</v>
      </c>
      <c r="LT29" s="2" t="s">
        <v>17</v>
      </c>
      <c r="LU29" s="2" t="s">
        <v>17</v>
      </c>
      <c r="LV29" s="2" t="s">
        <v>17</v>
      </c>
      <c r="LW29" s="2" t="s">
        <v>17</v>
      </c>
      <c r="LX29" s="2" t="s">
        <v>17</v>
      </c>
      <c r="LY29" s="5">
        <v>5760000</v>
      </c>
      <c r="LZ29" s="5">
        <v>0</v>
      </c>
      <c r="MA29" s="5">
        <v>7200000</v>
      </c>
      <c r="MB29" s="5">
        <v>0</v>
      </c>
      <c r="MC29" s="5">
        <v>0</v>
      </c>
      <c r="MD29" s="5">
        <v>0</v>
      </c>
      <c r="ME29" s="5">
        <v>7560000</v>
      </c>
      <c r="MF29" s="5">
        <v>0</v>
      </c>
      <c r="MG29" s="5">
        <v>0</v>
      </c>
      <c r="MH29" s="5">
        <v>0</v>
      </c>
      <c r="MI29" s="5">
        <v>0</v>
      </c>
      <c r="MJ29" s="5">
        <v>0</v>
      </c>
      <c r="MK29" s="5">
        <v>0</v>
      </c>
      <c r="ML29" s="2">
        <v>0</v>
      </c>
      <c r="MM29" s="5">
        <v>0</v>
      </c>
      <c r="MN29" s="5">
        <v>0</v>
      </c>
      <c r="MO29" s="2">
        <v>0</v>
      </c>
      <c r="MP29" s="2">
        <v>0</v>
      </c>
      <c r="MQ29" s="2">
        <v>0</v>
      </c>
      <c r="MR29" s="5">
        <v>2950000</v>
      </c>
      <c r="MS29" s="5">
        <v>0</v>
      </c>
      <c r="MT29" s="5">
        <v>4600000</v>
      </c>
      <c r="MU29" s="5">
        <v>0</v>
      </c>
      <c r="MV29" s="5">
        <v>0</v>
      </c>
      <c r="MW29" s="5">
        <v>0</v>
      </c>
      <c r="MX29" s="5">
        <v>0</v>
      </c>
      <c r="MY29" s="5">
        <v>2500000</v>
      </c>
      <c r="MZ29" s="5">
        <v>0</v>
      </c>
      <c r="NA29" s="5">
        <v>5000000</v>
      </c>
      <c r="NB29" s="5">
        <v>0</v>
      </c>
      <c r="NC29" s="5">
        <v>0</v>
      </c>
      <c r="ND29" s="5">
        <v>0</v>
      </c>
      <c r="NE29" s="5">
        <v>0</v>
      </c>
      <c r="NF29" s="5">
        <v>0</v>
      </c>
      <c r="NG29" s="5">
        <v>2142000</v>
      </c>
      <c r="NH29" s="5">
        <v>2142000</v>
      </c>
      <c r="NI29" s="5">
        <v>2142000</v>
      </c>
      <c r="NJ29" s="5">
        <v>0</v>
      </c>
      <c r="NK29" s="5"/>
      <c r="NL29" s="2" t="s">
        <v>17</v>
      </c>
      <c r="NM29" s="2" t="s">
        <v>17</v>
      </c>
      <c r="NN29" s="2"/>
      <c r="NO29" s="2" t="s">
        <v>17</v>
      </c>
      <c r="NP29" s="2"/>
      <c r="NQ29" s="2"/>
      <c r="NR29" s="2" t="s">
        <v>17</v>
      </c>
      <c r="NS29" s="2"/>
      <c r="NT29" s="2" t="s">
        <v>17</v>
      </c>
      <c r="NU29" s="2"/>
      <c r="NV29" s="2"/>
      <c r="NW29" s="2"/>
      <c r="NX29" s="2" t="s">
        <v>9</v>
      </c>
      <c r="NY29" s="2" t="s">
        <v>762</v>
      </c>
      <c r="NZ29" s="2">
        <v>829.03</v>
      </c>
      <c r="OA29" s="2" t="s">
        <v>975</v>
      </c>
      <c r="OB29" s="2" t="s">
        <v>976</v>
      </c>
      <c r="OC29" s="2" t="s">
        <v>976</v>
      </c>
      <c r="OD29" s="2" t="s">
        <v>9</v>
      </c>
      <c r="OE29" s="2" t="s">
        <v>320</v>
      </c>
      <c r="OF29" s="2" t="s">
        <v>9</v>
      </c>
      <c r="OG29" s="2" t="s">
        <v>9</v>
      </c>
      <c r="OH29" s="2" t="s">
        <v>92</v>
      </c>
      <c r="OI29" s="2"/>
      <c r="OJ29" s="2"/>
      <c r="OK29" s="2" t="s">
        <v>17</v>
      </c>
      <c r="OL29" s="2" t="s">
        <v>17</v>
      </c>
      <c r="OM29" s="2" t="s">
        <v>85</v>
      </c>
      <c r="ON29" s="6">
        <v>0</v>
      </c>
      <c r="OO29" s="6">
        <v>0</v>
      </c>
      <c r="OP29" s="2" t="s">
        <v>93</v>
      </c>
      <c r="OQ29" s="2" t="s">
        <v>93</v>
      </c>
      <c r="OR29" s="6">
        <v>0</v>
      </c>
      <c r="OS29" s="4">
        <v>0</v>
      </c>
      <c r="OT29" s="2" t="s">
        <v>9</v>
      </c>
      <c r="OU29" s="2" t="s">
        <v>9</v>
      </c>
      <c r="OV29" s="2"/>
      <c r="OW29" s="2" t="s">
        <v>1313</v>
      </c>
      <c r="OX29" s="5">
        <v>14350003</v>
      </c>
      <c r="OY29" s="6">
        <v>199305.60000000001</v>
      </c>
      <c r="OZ29" s="8">
        <v>150000</v>
      </c>
      <c r="PA29" s="8">
        <v>150000</v>
      </c>
      <c r="PB29" s="8">
        <v>14007895</v>
      </c>
      <c r="PC29" s="2"/>
      <c r="PD29" s="8">
        <v>14007895</v>
      </c>
      <c r="PE29" s="8">
        <v>1000000</v>
      </c>
      <c r="PF29" s="2"/>
      <c r="PG29" s="8">
        <v>1000000</v>
      </c>
      <c r="PH29" s="2"/>
      <c r="PI29" s="2"/>
      <c r="PJ29" s="2"/>
      <c r="PK29" s="8">
        <v>15007895</v>
      </c>
      <c r="PL29" s="8">
        <v>150000</v>
      </c>
      <c r="PM29" s="8">
        <v>15157895</v>
      </c>
      <c r="PN29" s="8">
        <v>2122105</v>
      </c>
      <c r="PO29" s="2"/>
      <c r="PP29" s="8">
        <v>2122105</v>
      </c>
      <c r="PQ29" s="6">
        <v>2122105</v>
      </c>
      <c r="PR29" s="8">
        <v>17130000</v>
      </c>
      <c r="PS29" s="8">
        <v>150000</v>
      </c>
      <c r="PT29" s="8">
        <v>17280000</v>
      </c>
      <c r="PU29" s="8">
        <v>864000</v>
      </c>
      <c r="PV29" s="2"/>
      <c r="PW29" s="8">
        <v>864000</v>
      </c>
      <c r="PX29" s="6">
        <v>864000</v>
      </c>
      <c r="PY29" s="8">
        <v>1222500</v>
      </c>
      <c r="PZ29" s="2"/>
      <c r="QA29" s="8">
        <v>1222500</v>
      </c>
      <c r="QB29" s="8">
        <v>216000</v>
      </c>
      <c r="QC29" s="8">
        <v>144000</v>
      </c>
      <c r="QD29" s="8">
        <v>360000</v>
      </c>
      <c r="QE29" s="8">
        <v>377721</v>
      </c>
      <c r="QF29" s="2"/>
      <c r="QG29" s="8">
        <v>377721</v>
      </c>
      <c r="QH29" s="2"/>
      <c r="QI29" s="8">
        <v>364353</v>
      </c>
      <c r="QJ29" s="8">
        <v>364353</v>
      </c>
      <c r="QK29" s="2"/>
      <c r="QL29" s="8">
        <v>100000</v>
      </c>
      <c r="QM29" s="8">
        <v>100000</v>
      </c>
      <c r="QN29" s="8">
        <v>377500</v>
      </c>
      <c r="QO29" s="8">
        <v>405000</v>
      </c>
      <c r="QP29" s="8">
        <v>782500</v>
      </c>
      <c r="QQ29" s="8">
        <v>2193721</v>
      </c>
      <c r="QR29" s="8">
        <v>1013353</v>
      </c>
      <c r="QS29" s="8">
        <v>3207074</v>
      </c>
      <c r="QT29" s="8">
        <v>101436</v>
      </c>
      <c r="QU29" s="2"/>
      <c r="QV29" s="8">
        <v>101436</v>
      </c>
      <c r="QW29" s="6">
        <v>160353.70000000001</v>
      </c>
      <c r="QX29" s="8">
        <v>1086629</v>
      </c>
      <c r="QY29" s="8">
        <v>378498</v>
      </c>
      <c r="QZ29" s="8">
        <v>1465127</v>
      </c>
      <c r="RA29" s="8">
        <v>68194</v>
      </c>
      <c r="RB29" s="8">
        <v>68194</v>
      </c>
      <c r="RC29" s="2"/>
      <c r="RD29" s="2"/>
      <c r="RE29" s="2"/>
      <c r="RF29" s="8">
        <v>1086629</v>
      </c>
      <c r="RG29" s="8">
        <v>446692</v>
      </c>
      <c r="RH29" s="8">
        <v>1533321</v>
      </c>
      <c r="RI29" s="2"/>
      <c r="RJ29" s="2"/>
      <c r="RK29" s="2"/>
      <c r="RL29" s="2"/>
      <c r="RM29" s="8">
        <v>21375786</v>
      </c>
      <c r="RN29" s="8">
        <v>1610045</v>
      </c>
      <c r="RO29" s="8">
        <v>22985831</v>
      </c>
      <c r="RP29" s="2"/>
      <c r="RQ29" s="2"/>
      <c r="RR29" s="2">
        <v>0</v>
      </c>
      <c r="RS29" s="6">
        <v>0</v>
      </c>
      <c r="RT29" s="8">
        <v>3654693</v>
      </c>
      <c r="RU29" s="2"/>
      <c r="RV29" s="8">
        <v>3654693</v>
      </c>
      <c r="RW29" s="6">
        <v>3677732</v>
      </c>
      <c r="RX29" s="6">
        <v>0</v>
      </c>
      <c r="RY29" s="8">
        <v>3654693</v>
      </c>
      <c r="RZ29" s="2"/>
      <c r="SA29" s="8">
        <v>3654693</v>
      </c>
      <c r="SB29" s="6">
        <v>3677732</v>
      </c>
      <c r="SC29" s="8">
        <v>249453</v>
      </c>
      <c r="SD29" s="8">
        <v>249453</v>
      </c>
      <c r="SE29" s="6">
        <v>252000</v>
      </c>
      <c r="SF29" s="8">
        <v>500000</v>
      </c>
      <c r="SG29" s="8">
        <v>500000</v>
      </c>
      <c r="SH29" s="8">
        <v>25030479</v>
      </c>
      <c r="SI29" s="8">
        <v>2359498</v>
      </c>
      <c r="SJ29" s="8">
        <v>27389977</v>
      </c>
      <c r="SK29" s="2" t="s">
        <v>1314</v>
      </c>
      <c r="SL29" s="2"/>
      <c r="SM29" s="2" t="s">
        <v>1315</v>
      </c>
      <c r="SN29" s="2"/>
      <c r="SO29" s="2"/>
      <c r="SP29" s="8">
        <v>19000000</v>
      </c>
      <c r="SQ29" s="2" t="s">
        <v>95</v>
      </c>
      <c r="SR29" s="8">
        <v>460000</v>
      </c>
      <c r="SS29" s="2" t="s">
        <v>180</v>
      </c>
      <c r="ST29" s="8">
        <v>460000</v>
      </c>
      <c r="SU29" s="2" t="s">
        <v>180</v>
      </c>
      <c r="SV29" s="8">
        <v>500000</v>
      </c>
      <c r="SW29" s="2" t="s">
        <v>1316</v>
      </c>
      <c r="SX29" s="2" t="s">
        <v>96</v>
      </c>
      <c r="SY29" s="2" t="s">
        <v>96</v>
      </c>
      <c r="SZ29" s="2" t="s">
        <v>96</v>
      </c>
      <c r="TA29" s="2" t="s">
        <v>96</v>
      </c>
      <c r="TB29" s="8">
        <v>3855215</v>
      </c>
      <c r="TC29" s="2"/>
      <c r="TD29" s="2"/>
      <c r="TE29" s="2"/>
      <c r="TF29" s="2"/>
      <c r="TG29" s="2"/>
      <c r="TH29" s="2"/>
      <c r="TI29" s="8">
        <v>3114762</v>
      </c>
      <c r="TJ29" s="8">
        <v>27389977</v>
      </c>
      <c r="TK29" s="2">
        <v>0</v>
      </c>
      <c r="TL29" s="2" t="s">
        <v>9</v>
      </c>
      <c r="TM29" s="8">
        <v>4900000</v>
      </c>
      <c r="TN29" s="2" t="s">
        <v>95</v>
      </c>
      <c r="TO29" s="8">
        <v>460000</v>
      </c>
      <c r="TP29" s="2" t="s">
        <v>180</v>
      </c>
      <c r="TQ29" s="8">
        <v>460000</v>
      </c>
      <c r="TR29" s="2" t="s">
        <v>180</v>
      </c>
      <c r="TS29" s="8">
        <v>500000</v>
      </c>
      <c r="TT29" s="2" t="s">
        <v>1316</v>
      </c>
      <c r="TU29" s="2" t="s">
        <v>96</v>
      </c>
      <c r="TV29" s="8">
        <v>19276072</v>
      </c>
      <c r="TW29" s="2"/>
      <c r="TX29" s="2"/>
      <c r="TY29" s="2"/>
      <c r="TZ29" s="2"/>
      <c r="UA29" s="2"/>
      <c r="UB29" s="2"/>
      <c r="UC29" s="8">
        <v>1793905</v>
      </c>
      <c r="UD29" s="8">
        <v>27389977</v>
      </c>
      <c r="UE29" s="6">
        <v>6320000</v>
      </c>
      <c r="UF29" s="2">
        <v>0</v>
      </c>
      <c r="UG29" s="2" t="s">
        <v>9</v>
      </c>
      <c r="UH29" s="2">
        <v>72</v>
      </c>
      <c r="UI29" s="5">
        <v>240000</v>
      </c>
      <c r="UJ29" s="6">
        <v>320000</v>
      </c>
      <c r="UK29" s="6">
        <v>327500</v>
      </c>
      <c r="UL29" s="6">
        <v>347150</v>
      </c>
      <c r="UM29" s="6">
        <v>24994800</v>
      </c>
      <c r="UN29" s="6">
        <v>3999168</v>
      </c>
      <c r="UO29" s="6">
        <v>3999168</v>
      </c>
      <c r="UP29" s="6">
        <v>28993968</v>
      </c>
      <c r="UQ29" s="6">
        <v>26390524</v>
      </c>
      <c r="UR29" s="6">
        <v>460000</v>
      </c>
      <c r="US29" s="2"/>
      <c r="UT29" s="6">
        <v>460000</v>
      </c>
      <c r="UU29" s="6">
        <v>460000</v>
      </c>
      <c r="UV29" s="6">
        <v>460000</v>
      </c>
      <c r="UW29" s="6">
        <v>920000</v>
      </c>
      <c r="UX29" s="6">
        <v>0</v>
      </c>
      <c r="UY29" s="6">
        <v>920000</v>
      </c>
      <c r="UZ29" s="2" t="s">
        <v>1307</v>
      </c>
      <c r="VA29" s="2" t="s">
        <v>453</v>
      </c>
      <c r="VB29" s="2" t="s">
        <v>1317</v>
      </c>
      <c r="VC29" s="2" t="s">
        <v>182</v>
      </c>
      <c r="VD29" s="2" t="s">
        <v>9</v>
      </c>
      <c r="VE29" s="2" t="s">
        <v>17</v>
      </c>
      <c r="VF29" s="2"/>
      <c r="VG29" s="2" t="s">
        <v>9</v>
      </c>
      <c r="VH29" s="2" t="s">
        <v>1318</v>
      </c>
      <c r="VI29" s="388" t="s">
        <v>1275</v>
      </c>
      <c r="VJ29" s="2" t="s">
        <v>98</v>
      </c>
      <c r="VK29" s="2" t="s">
        <v>1319</v>
      </c>
      <c r="VL29" s="23">
        <f t="shared" si="0"/>
        <v>144</v>
      </c>
      <c r="VM29" s="17">
        <f t="shared" si="1"/>
        <v>2</v>
      </c>
      <c r="VN29" s="17" t="str">
        <f t="shared" si="12"/>
        <v>NC-GA-F</v>
      </c>
      <c r="VO29" s="17" t="str">
        <f t="shared" si="13"/>
        <v>NC-GA-F-ESS</v>
      </c>
      <c r="VP29" s="12">
        <v>9</v>
      </c>
      <c r="VQ29" s="57">
        <v>1</v>
      </c>
      <c r="VR29" s="57">
        <f t="shared" si="2"/>
        <v>1</v>
      </c>
      <c r="VS29" s="14">
        <f t="shared" si="3"/>
        <v>0.97</v>
      </c>
      <c r="VT29" s="12">
        <f t="shared" si="4"/>
        <v>0.93000000000000016</v>
      </c>
      <c r="VU29" s="16">
        <f t="shared" si="5"/>
        <v>17390683.800000004</v>
      </c>
      <c r="VV29" s="16">
        <f t="shared" si="6"/>
        <v>241537.27500000005</v>
      </c>
      <c r="VW29" s="12" t="str">
        <f t="shared" si="14"/>
        <v>A</v>
      </c>
      <c r="VX29" s="12" t="str">
        <f t="shared" si="15"/>
        <v>NC-GA-ESS</v>
      </c>
      <c r="VY29" s="351">
        <f t="shared" si="16"/>
        <v>4</v>
      </c>
      <c r="WA29" s="12">
        <f t="shared" si="17"/>
        <v>0</v>
      </c>
      <c r="WB29" s="12">
        <f t="shared" si="18"/>
        <v>0</v>
      </c>
      <c r="WC29" s="12">
        <f t="shared" si="18"/>
        <v>0</v>
      </c>
      <c r="WD29" s="12">
        <f t="shared" si="18"/>
        <v>1</v>
      </c>
      <c r="WE29" s="12">
        <f t="shared" si="19"/>
        <v>1</v>
      </c>
      <c r="WF29" s="12">
        <f t="shared" si="7"/>
        <v>1</v>
      </c>
      <c r="WG29" s="12">
        <f t="shared" si="8"/>
        <v>0</v>
      </c>
      <c r="WH29" s="12">
        <f t="shared" si="9"/>
        <v>0</v>
      </c>
      <c r="WI29" s="31">
        <f t="shared" si="10"/>
        <v>3</v>
      </c>
      <c r="WJ29" s="2"/>
      <c r="WK29" s="443" t="str">
        <f t="shared" si="20"/>
        <v>NC-GA-ESS-BBN-BRN-PHA-F</v>
      </c>
      <c r="WL29" s="443"/>
      <c r="WM29" s="443"/>
    </row>
    <row r="30" spans="1:611" x14ac:dyDescent="0.25">
      <c r="A30" s="2">
        <v>9523</v>
      </c>
      <c r="B30" s="2" t="s">
        <v>1385</v>
      </c>
      <c r="C30" s="2" t="s">
        <v>8</v>
      </c>
      <c r="D30" s="3">
        <v>45153</v>
      </c>
      <c r="E30" s="2" t="s">
        <v>9</v>
      </c>
      <c r="F30" s="2">
        <v>3</v>
      </c>
      <c r="G30" s="2" t="s">
        <v>9</v>
      </c>
      <c r="H30" s="2">
        <v>3</v>
      </c>
      <c r="I30" s="2" t="s">
        <v>9</v>
      </c>
      <c r="J30" s="2">
        <v>2</v>
      </c>
      <c r="K30" s="2" t="s">
        <v>9</v>
      </c>
      <c r="L30" s="2">
        <v>3</v>
      </c>
      <c r="M30" s="2" t="s">
        <v>10</v>
      </c>
      <c r="N30" s="2">
        <v>0</v>
      </c>
      <c r="O30" s="2" t="s">
        <v>10</v>
      </c>
      <c r="P30" s="2">
        <v>0</v>
      </c>
      <c r="Q30" s="2" t="s">
        <v>11</v>
      </c>
      <c r="R30" s="2">
        <v>0</v>
      </c>
      <c r="S30" s="2" t="s">
        <v>9</v>
      </c>
      <c r="T30" s="2">
        <v>2</v>
      </c>
      <c r="U30" s="2" t="s">
        <v>9</v>
      </c>
      <c r="V30" s="2">
        <v>2</v>
      </c>
      <c r="W30" s="2" t="s">
        <v>9</v>
      </c>
      <c r="X30" s="2">
        <v>2</v>
      </c>
      <c r="Y30" s="2" t="s">
        <v>12</v>
      </c>
      <c r="Z30" s="2" t="s">
        <v>15</v>
      </c>
      <c r="AA30" s="2" t="s">
        <v>15</v>
      </c>
      <c r="AB30" s="2" t="s">
        <v>15</v>
      </c>
      <c r="AC30" s="2" t="s">
        <v>15</v>
      </c>
      <c r="AD30" s="2" t="s">
        <v>15</v>
      </c>
      <c r="AE30" s="2" t="s">
        <v>15</v>
      </c>
      <c r="AF30" s="2">
        <v>0</v>
      </c>
      <c r="AG30" s="2" t="s">
        <v>234</v>
      </c>
      <c r="AH30" s="2" t="s">
        <v>17</v>
      </c>
      <c r="AI30" s="4">
        <v>0.18182000000000001</v>
      </c>
      <c r="AJ30" s="2" t="s">
        <v>17</v>
      </c>
      <c r="AK30" s="2" t="s">
        <v>9</v>
      </c>
      <c r="AL30" s="2" t="s">
        <v>17</v>
      </c>
      <c r="AM30" s="2" t="s">
        <v>9</v>
      </c>
      <c r="AN30" s="2" t="s">
        <v>17</v>
      </c>
      <c r="AO30" s="2" t="s">
        <v>17</v>
      </c>
      <c r="AP30" s="2" t="s">
        <v>17</v>
      </c>
      <c r="AQ30" s="2" t="s">
        <v>17</v>
      </c>
      <c r="AR30" s="2" t="s">
        <v>17</v>
      </c>
      <c r="AS30" s="2" t="s">
        <v>17</v>
      </c>
      <c r="AT30" s="2">
        <v>0</v>
      </c>
      <c r="AU30" s="5">
        <v>50000</v>
      </c>
      <c r="AV30" s="5">
        <v>460000</v>
      </c>
      <c r="AW30" s="2">
        <v>0</v>
      </c>
      <c r="AX30" s="2">
        <v>10</v>
      </c>
      <c r="AY30" s="2">
        <v>0</v>
      </c>
      <c r="AZ30" s="2">
        <v>18</v>
      </c>
      <c r="BA30" s="2">
        <v>0</v>
      </c>
      <c r="BB30" s="2">
        <v>1</v>
      </c>
      <c r="BC30" s="2">
        <v>1</v>
      </c>
      <c r="BD30" s="2">
        <v>0</v>
      </c>
      <c r="BE30" s="2">
        <v>0</v>
      </c>
      <c r="BF30" s="2">
        <v>1</v>
      </c>
      <c r="BG30" s="2">
        <v>0</v>
      </c>
      <c r="BH30" s="2">
        <v>0</v>
      </c>
      <c r="BI30" s="2">
        <v>13</v>
      </c>
      <c r="BJ30" s="2">
        <v>1</v>
      </c>
      <c r="BK30" s="2">
        <v>0</v>
      </c>
      <c r="BL30" s="2">
        <v>3</v>
      </c>
      <c r="BM30" s="2">
        <v>2</v>
      </c>
      <c r="BN30" s="2">
        <v>11</v>
      </c>
      <c r="BO30" s="2">
        <v>11</v>
      </c>
      <c r="BP30" s="2">
        <v>0</v>
      </c>
      <c r="BQ30" s="2">
        <v>10</v>
      </c>
      <c r="BR30" s="2">
        <v>11.67</v>
      </c>
      <c r="BS30" s="2">
        <v>0</v>
      </c>
      <c r="BT30" s="4">
        <v>0.06</v>
      </c>
      <c r="BU30" s="2" t="s">
        <v>9</v>
      </c>
      <c r="BV30" s="6">
        <v>201919.09</v>
      </c>
      <c r="BW30" s="2" t="s">
        <v>18</v>
      </c>
      <c r="BX30" s="2" t="s">
        <v>17</v>
      </c>
      <c r="BY30" s="2" t="s">
        <v>17</v>
      </c>
      <c r="BZ30" s="2" t="s">
        <v>17</v>
      </c>
      <c r="CA30" s="2" t="s">
        <v>17</v>
      </c>
      <c r="CB30" s="2" t="s">
        <v>17</v>
      </c>
      <c r="CC30" s="2" t="s">
        <v>17</v>
      </c>
      <c r="CD30" s="2" t="s">
        <v>17</v>
      </c>
      <c r="CE30" s="2" t="s">
        <v>1386</v>
      </c>
      <c r="CF30" s="2" t="s">
        <v>17</v>
      </c>
      <c r="CG30" s="2" t="s">
        <v>1387</v>
      </c>
      <c r="CH30" s="2"/>
      <c r="CI30" s="2"/>
      <c r="CJ30" s="2" t="s">
        <v>9</v>
      </c>
      <c r="CK30" s="2" t="s">
        <v>1085</v>
      </c>
      <c r="CL30" s="2" t="s">
        <v>1387</v>
      </c>
      <c r="CM30" s="2" t="s">
        <v>1087</v>
      </c>
      <c r="CN30" s="2" t="s">
        <v>147</v>
      </c>
      <c r="CO30" s="2" t="s">
        <v>24</v>
      </c>
      <c r="CP30" s="2"/>
      <c r="CQ30" s="2">
        <v>112</v>
      </c>
      <c r="CR30" s="2" t="s">
        <v>565</v>
      </c>
      <c r="CS30" s="2">
        <v>2014</v>
      </c>
      <c r="CT30" s="2" t="s">
        <v>26</v>
      </c>
      <c r="CU30" s="2" t="s">
        <v>27</v>
      </c>
      <c r="CV30" s="2" t="s">
        <v>1088</v>
      </c>
      <c r="CW30" s="2" t="s">
        <v>330</v>
      </c>
      <c r="CX30" s="2" t="s">
        <v>24</v>
      </c>
      <c r="CY30" s="2"/>
      <c r="CZ30" s="2">
        <v>73</v>
      </c>
      <c r="DA30" s="2" t="s">
        <v>565</v>
      </c>
      <c r="DB30" s="2">
        <v>2017</v>
      </c>
      <c r="DC30" s="2" t="s">
        <v>30</v>
      </c>
      <c r="DD30" s="2" t="s">
        <v>27</v>
      </c>
      <c r="DE30" s="2" t="s">
        <v>1090</v>
      </c>
      <c r="DF30" s="2" t="s">
        <v>330</v>
      </c>
      <c r="DG30" s="2" t="s">
        <v>24</v>
      </c>
      <c r="DH30" s="2"/>
      <c r="DI30" s="2">
        <v>99</v>
      </c>
      <c r="DJ30" s="2" t="s">
        <v>565</v>
      </c>
      <c r="DK30" s="2">
        <v>2012</v>
      </c>
      <c r="DL30" s="2" t="s">
        <v>243</v>
      </c>
      <c r="DM30" s="2" t="s">
        <v>27</v>
      </c>
      <c r="DN30" s="2" t="s">
        <v>33</v>
      </c>
      <c r="DO30" s="2" t="s">
        <v>1091</v>
      </c>
      <c r="DP30" s="2"/>
      <c r="DQ30" s="2" t="s">
        <v>1092</v>
      </c>
      <c r="DR30" s="2" t="s">
        <v>1093</v>
      </c>
      <c r="DS30" s="2">
        <v>1</v>
      </c>
      <c r="DT30" s="2" t="s">
        <v>1388</v>
      </c>
      <c r="DU30" s="2" t="s">
        <v>1095</v>
      </c>
      <c r="DV30" s="2" t="s">
        <v>260</v>
      </c>
      <c r="DW30" s="2">
        <v>77024</v>
      </c>
      <c r="DX30" s="2" t="s">
        <v>1096</v>
      </c>
      <c r="DY30" s="2"/>
      <c r="DZ30" s="2" t="s">
        <v>1097</v>
      </c>
      <c r="EA30" s="2" t="s">
        <v>1389</v>
      </c>
      <c r="EB30" s="2" t="s">
        <v>1098</v>
      </c>
      <c r="EC30" s="2" t="s">
        <v>333</v>
      </c>
      <c r="ED30" s="2" t="s">
        <v>44</v>
      </c>
      <c r="EE30" s="2">
        <v>188</v>
      </c>
      <c r="EF30" s="2" t="s">
        <v>579</v>
      </c>
      <c r="EG30" s="2">
        <v>7</v>
      </c>
      <c r="EH30" s="2" t="s">
        <v>46</v>
      </c>
      <c r="EI30" s="2" t="s">
        <v>47</v>
      </c>
      <c r="EJ30" s="2" t="s">
        <v>1099</v>
      </c>
      <c r="EK30" s="2" t="s">
        <v>389</v>
      </c>
      <c r="EL30" s="2" t="s">
        <v>44</v>
      </c>
      <c r="EM30" s="2">
        <v>160</v>
      </c>
      <c r="EN30" s="2" t="s">
        <v>579</v>
      </c>
      <c r="EO30" s="2">
        <v>3</v>
      </c>
      <c r="EP30" s="2" t="s">
        <v>46</v>
      </c>
      <c r="EQ30" s="2" t="s">
        <v>47</v>
      </c>
      <c r="ER30" s="2" t="s">
        <v>1100</v>
      </c>
      <c r="ES30" s="2" t="s">
        <v>951</v>
      </c>
      <c r="ET30" s="2" t="s">
        <v>1101</v>
      </c>
      <c r="EU30" s="2" t="s">
        <v>1102</v>
      </c>
      <c r="EV30" s="2" t="s">
        <v>1103</v>
      </c>
      <c r="EW30" s="2" t="s">
        <v>299</v>
      </c>
      <c r="EX30" s="2" t="s">
        <v>39</v>
      </c>
      <c r="EY30" s="2">
        <v>33131</v>
      </c>
      <c r="EZ30" s="2" t="s">
        <v>1390</v>
      </c>
      <c r="FA30" s="2"/>
      <c r="FB30" s="2" t="s">
        <v>1105</v>
      </c>
      <c r="FC30" s="2" t="s">
        <v>1106</v>
      </c>
      <c r="FD30" s="2"/>
      <c r="FE30" s="2" t="s">
        <v>1107</v>
      </c>
      <c r="FF30" s="2" t="s">
        <v>1102</v>
      </c>
      <c r="FG30" s="2" t="s">
        <v>1391</v>
      </c>
      <c r="FH30" s="2" t="s">
        <v>299</v>
      </c>
      <c r="FI30" s="2" t="s">
        <v>39</v>
      </c>
      <c r="FJ30" s="2">
        <v>33131</v>
      </c>
      <c r="FK30" s="2" t="s">
        <v>1392</v>
      </c>
      <c r="FL30" s="2"/>
      <c r="FM30" s="2" t="s">
        <v>1110</v>
      </c>
      <c r="FN30" s="2" t="s">
        <v>1393</v>
      </c>
      <c r="FO30" s="2" t="s">
        <v>63</v>
      </c>
      <c r="FP30" s="2" t="s">
        <v>64</v>
      </c>
      <c r="FQ30" s="2" t="s">
        <v>9</v>
      </c>
      <c r="FR30" s="2" t="s">
        <v>17</v>
      </c>
      <c r="FS30" s="2" t="s">
        <v>17</v>
      </c>
      <c r="FT30" s="2" t="s">
        <v>9</v>
      </c>
      <c r="FU30" s="2">
        <v>0</v>
      </c>
      <c r="FV30" s="2">
        <v>0</v>
      </c>
      <c r="FW30" s="4">
        <v>0</v>
      </c>
      <c r="FX30" s="4">
        <v>0</v>
      </c>
      <c r="FY30" s="2" t="s">
        <v>65</v>
      </c>
      <c r="FZ30" s="2" t="s">
        <v>66</v>
      </c>
      <c r="GA30" s="2" t="s">
        <v>67</v>
      </c>
      <c r="GB30" s="2"/>
      <c r="GC30" s="2"/>
      <c r="GD30" s="2"/>
      <c r="GE30" s="2" t="s">
        <v>68</v>
      </c>
      <c r="GF30" s="2">
        <v>66</v>
      </c>
      <c r="GG30" s="2">
        <v>66</v>
      </c>
      <c r="GH30" s="2"/>
      <c r="GI30" s="2"/>
      <c r="GJ30" s="2"/>
      <c r="GK30" s="2"/>
      <c r="GL30" s="2"/>
      <c r="GM30" s="2"/>
      <c r="GN30" s="2"/>
      <c r="GO30" s="2"/>
      <c r="GP30" s="2"/>
      <c r="GQ30" s="2">
        <v>66</v>
      </c>
      <c r="GR30" s="2" t="s">
        <v>668</v>
      </c>
      <c r="GS30" s="2" t="s">
        <v>70</v>
      </c>
      <c r="GT30" s="2" t="s">
        <v>1394</v>
      </c>
      <c r="GU30" s="2" t="s">
        <v>1395</v>
      </c>
      <c r="GV30" s="2" t="s">
        <v>17</v>
      </c>
      <c r="GW30" s="2">
        <v>27.068049999999999</v>
      </c>
      <c r="GX30" s="2">
        <v>-82.160799999999995</v>
      </c>
      <c r="GY30" s="2"/>
      <c r="GZ30" s="2" t="s">
        <v>17</v>
      </c>
      <c r="HA30" s="2" t="s">
        <v>17</v>
      </c>
      <c r="HB30" s="2">
        <v>0</v>
      </c>
      <c r="HC30" s="2" t="s">
        <v>17</v>
      </c>
      <c r="HD30" s="2"/>
      <c r="HE30" s="2">
        <v>0</v>
      </c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 t="s">
        <v>73</v>
      </c>
      <c r="HY30" s="2" t="s">
        <v>17</v>
      </c>
      <c r="HZ30" s="2"/>
      <c r="IA30" s="2" t="s">
        <v>549</v>
      </c>
      <c r="IB30" s="2" t="s">
        <v>1396</v>
      </c>
      <c r="IC30" s="2">
        <v>0.16</v>
      </c>
      <c r="ID30" s="2">
        <v>4</v>
      </c>
      <c r="IE30" s="2"/>
      <c r="IF30" s="2"/>
      <c r="IG30" s="2"/>
      <c r="IH30" s="2" t="s">
        <v>115</v>
      </c>
      <c r="II30" s="2">
        <v>0.16</v>
      </c>
      <c r="IJ30" s="2">
        <v>4</v>
      </c>
      <c r="IK30" s="2" t="s">
        <v>1397</v>
      </c>
      <c r="IL30" s="2" t="s">
        <v>1398</v>
      </c>
      <c r="IM30" s="2">
        <v>0.74</v>
      </c>
      <c r="IN30" s="2">
        <v>3.5</v>
      </c>
      <c r="IO30" s="2" t="s">
        <v>17</v>
      </c>
      <c r="IP30" s="2">
        <v>0</v>
      </c>
      <c r="IQ30" s="2">
        <v>11.5</v>
      </c>
      <c r="IR30" s="2">
        <v>0</v>
      </c>
      <c r="IS30" s="2">
        <v>11.5</v>
      </c>
      <c r="IT30" s="2" t="s">
        <v>17</v>
      </c>
      <c r="IU30" s="2" t="s">
        <v>17</v>
      </c>
      <c r="IV30" s="2" t="s">
        <v>17</v>
      </c>
      <c r="IW30" s="2" t="s">
        <v>9</v>
      </c>
      <c r="IX30" s="2" t="s">
        <v>9</v>
      </c>
      <c r="IY30" s="2">
        <v>11.5</v>
      </c>
      <c r="IZ30" s="2">
        <v>66</v>
      </c>
      <c r="JA30" s="2" t="s">
        <v>81</v>
      </c>
      <c r="JB30" s="2" t="s">
        <v>82</v>
      </c>
      <c r="JC30" s="2"/>
      <c r="JD30" s="2"/>
      <c r="JE30" s="2"/>
      <c r="JF30" s="2"/>
      <c r="JG30" s="2"/>
      <c r="JH30" s="7">
        <v>0</v>
      </c>
      <c r="JI30" s="2">
        <v>0</v>
      </c>
      <c r="JJ30" s="7">
        <v>0</v>
      </c>
      <c r="JK30" s="2">
        <v>0</v>
      </c>
      <c r="JL30" s="7">
        <v>0</v>
      </c>
      <c r="JM30" s="2">
        <v>12</v>
      </c>
      <c r="JN30" s="2"/>
      <c r="JO30" s="2"/>
      <c r="JP30" s="2">
        <v>18</v>
      </c>
      <c r="JQ30" s="2">
        <v>36</v>
      </c>
      <c r="JR30" s="2"/>
      <c r="JS30" s="2">
        <v>0</v>
      </c>
      <c r="JT30" s="2">
        <v>0</v>
      </c>
      <c r="JU30" s="2"/>
      <c r="JV30" s="2">
        <v>66</v>
      </c>
      <c r="JW30" s="4">
        <v>1</v>
      </c>
      <c r="JX30" s="2">
        <v>66</v>
      </c>
      <c r="JY30" s="4">
        <v>0.6</v>
      </c>
      <c r="JZ30" s="2">
        <v>0</v>
      </c>
      <c r="KA30" s="2"/>
      <c r="KB30" s="2"/>
      <c r="KC30" s="2"/>
      <c r="KD30" s="2"/>
      <c r="KE30" s="2"/>
      <c r="KF30" s="2"/>
      <c r="KG30" s="2"/>
      <c r="KH30" s="2">
        <v>18</v>
      </c>
      <c r="KI30" s="2"/>
      <c r="KJ30" s="2"/>
      <c r="KK30" s="2">
        <v>33</v>
      </c>
      <c r="KL30" s="2">
        <v>15</v>
      </c>
      <c r="KM30" s="2"/>
      <c r="KN30" s="2"/>
      <c r="KO30" s="2"/>
      <c r="KP30" s="2"/>
      <c r="KQ30" s="2" t="s">
        <v>83</v>
      </c>
      <c r="KR30" s="2" t="s">
        <v>73</v>
      </c>
      <c r="KS30" s="2"/>
      <c r="KT30" s="2">
        <v>3</v>
      </c>
      <c r="KU30" s="2" t="s">
        <v>84</v>
      </c>
      <c r="KV30" s="2" t="s">
        <v>85</v>
      </c>
      <c r="KW30" s="2" t="s">
        <v>86</v>
      </c>
      <c r="KX30" s="2" t="s">
        <v>17</v>
      </c>
      <c r="KY30" s="2" t="s">
        <v>17</v>
      </c>
      <c r="KZ30" s="2" t="s">
        <v>17</v>
      </c>
      <c r="LA30" s="2" t="s">
        <v>17</v>
      </c>
      <c r="LB30" s="2" t="s">
        <v>17</v>
      </c>
      <c r="LC30" s="2" t="s">
        <v>17</v>
      </c>
      <c r="LD30" s="2" t="s">
        <v>17</v>
      </c>
      <c r="LE30" s="2" t="s">
        <v>17</v>
      </c>
      <c r="LF30" s="2" t="s">
        <v>17</v>
      </c>
      <c r="LG30" s="2" t="s">
        <v>17</v>
      </c>
      <c r="LH30" s="2" t="s">
        <v>17</v>
      </c>
      <c r="LI30" s="2" t="s">
        <v>17</v>
      </c>
      <c r="LJ30" s="2" t="s">
        <v>87</v>
      </c>
      <c r="LK30" s="2" t="s">
        <v>17</v>
      </c>
      <c r="LL30" s="2" t="s">
        <v>17</v>
      </c>
      <c r="LM30" s="2">
        <v>0</v>
      </c>
      <c r="LN30" s="2" t="s">
        <v>17</v>
      </c>
      <c r="LO30" s="2" t="s">
        <v>9</v>
      </c>
      <c r="LP30" s="2" t="s">
        <v>9</v>
      </c>
      <c r="LQ30" s="2" t="s">
        <v>17</v>
      </c>
      <c r="LR30" s="2" t="s">
        <v>9</v>
      </c>
      <c r="LS30" s="2" t="s">
        <v>17</v>
      </c>
      <c r="LT30" s="2" t="s">
        <v>17</v>
      </c>
      <c r="LU30" s="2" t="s">
        <v>17</v>
      </c>
      <c r="LV30" s="2" t="s">
        <v>17</v>
      </c>
      <c r="LW30" s="2" t="s">
        <v>17</v>
      </c>
      <c r="LX30" s="2" t="s">
        <v>17</v>
      </c>
      <c r="LY30" s="5">
        <v>5280000</v>
      </c>
      <c r="LZ30" s="5">
        <v>0</v>
      </c>
      <c r="MA30" s="5">
        <v>6600000</v>
      </c>
      <c r="MB30" s="5">
        <v>0</v>
      </c>
      <c r="MC30" s="5">
        <v>0</v>
      </c>
      <c r="MD30" s="5">
        <v>0</v>
      </c>
      <c r="ME30" s="5">
        <v>6930000</v>
      </c>
      <c r="MF30" s="5">
        <v>0</v>
      </c>
      <c r="MG30" s="5">
        <v>0</v>
      </c>
      <c r="MH30" s="5">
        <v>0</v>
      </c>
      <c r="MI30" s="5">
        <v>0</v>
      </c>
      <c r="MJ30" s="5">
        <v>0</v>
      </c>
      <c r="MK30" s="5">
        <v>0</v>
      </c>
      <c r="ML30" s="2">
        <v>0</v>
      </c>
      <c r="MM30" s="5">
        <v>0</v>
      </c>
      <c r="MN30" s="5">
        <v>0</v>
      </c>
      <c r="MO30" s="2">
        <v>0</v>
      </c>
      <c r="MP30" s="2">
        <v>0</v>
      </c>
      <c r="MQ30" s="2">
        <v>0</v>
      </c>
      <c r="MR30" s="5">
        <v>2950000</v>
      </c>
      <c r="MS30" s="5">
        <v>0</v>
      </c>
      <c r="MT30" s="5">
        <v>4600000</v>
      </c>
      <c r="MU30" s="5">
        <v>0</v>
      </c>
      <c r="MV30" s="5">
        <v>0</v>
      </c>
      <c r="MW30" s="5">
        <v>0</v>
      </c>
      <c r="MX30" s="5">
        <v>0</v>
      </c>
      <c r="MY30" s="5">
        <v>2500000</v>
      </c>
      <c r="MZ30" s="5">
        <v>0</v>
      </c>
      <c r="NA30" s="5">
        <v>5000000</v>
      </c>
      <c r="NB30" s="5">
        <v>0</v>
      </c>
      <c r="NC30" s="5">
        <v>0</v>
      </c>
      <c r="ND30" s="5">
        <v>0</v>
      </c>
      <c r="NE30" s="5">
        <v>0</v>
      </c>
      <c r="NF30" s="5">
        <v>0</v>
      </c>
      <c r="NG30" s="5">
        <v>2142000</v>
      </c>
      <c r="NH30" s="5">
        <v>1850000</v>
      </c>
      <c r="NI30" s="5">
        <v>1850000</v>
      </c>
      <c r="NJ30" s="5">
        <v>0</v>
      </c>
      <c r="NK30" s="5"/>
      <c r="NL30" s="2" t="s">
        <v>17</v>
      </c>
      <c r="NM30" s="2" t="s">
        <v>17</v>
      </c>
      <c r="NN30" s="2"/>
      <c r="NO30" s="2" t="s">
        <v>9</v>
      </c>
      <c r="NP30" s="2">
        <v>34288</v>
      </c>
      <c r="NQ30" s="2" t="s">
        <v>1399</v>
      </c>
      <c r="NR30" s="2" t="s">
        <v>17</v>
      </c>
      <c r="NS30" s="2"/>
      <c r="NT30" s="2" t="s">
        <v>17</v>
      </c>
      <c r="NU30" s="2"/>
      <c r="NV30" s="2"/>
      <c r="NW30" s="2"/>
      <c r="NX30" s="2" t="s">
        <v>9</v>
      </c>
      <c r="NY30" s="2" t="s">
        <v>119</v>
      </c>
      <c r="NZ30" s="2"/>
      <c r="OA30" s="2" t="s">
        <v>1400</v>
      </c>
      <c r="OB30" s="2" t="s">
        <v>1400</v>
      </c>
      <c r="OC30" s="2" t="s">
        <v>1400</v>
      </c>
      <c r="OD30" s="2" t="s">
        <v>17</v>
      </c>
      <c r="OE30" s="2" t="s">
        <v>119</v>
      </c>
      <c r="OF30" s="2"/>
      <c r="OG30" s="2" t="s">
        <v>9</v>
      </c>
      <c r="OH30" s="2" t="s">
        <v>557</v>
      </c>
      <c r="OI30" s="2"/>
      <c r="OJ30" s="2"/>
      <c r="OK30" s="2" t="s">
        <v>17</v>
      </c>
      <c r="OL30" s="2" t="s">
        <v>17</v>
      </c>
      <c r="OM30" s="2" t="s">
        <v>85</v>
      </c>
      <c r="ON30" s="6">
        <v>0</v>
      </c>
      <c r="OO30" s="6">
        <v>0</v>
      </c>
      <c r="OP30" s="2" t="s">
        <v>93</v>
      </c>
      <c r="OQ30" s="2" t="s">
        <v>93</v>
      </c>
      <c r="OR30" s="6">
        <v>0</v>
      </c>
      <c r="OS30" s="4">
        <v>0</v>
      </c>
      <c r="OT30" s="2" t="s">
        <v>17</v>
      </c>
      <c r="OU30" s="2" t="s">
        <v>17</v>
      </c>
      <c r="OV30" s="2"/>
      <c r="OW30" s="2"/>
      <c r="OX30" s="5">
        <v>13326660</v>
      </c>
      <c r="OY30" s="6">
        <v>201919.09</v>
      </c>
      <c r="OZ30" s="2"/>
      <c r="PA30" s="2"/>
      <c r="PB30" s="8">
        <v>11440049</v>
      </c>
      <c r="PC30" s="2"/>
      <c r="PD30" s="8">
        <v>11440049</v>
      </c>
      <c r="PE30" s="2"/>
      <c r="PF30" s="2"/>
      <c r="PG30" s="2"/>
      <c r="PH30" s="8">
        <v>300000</v>
      </c>
      <c r="PI30" s="2"/>
      <c r="PJ30" s="8">
        <v>300000</v>
      </c>
      <c r="PK30" s="8">
        <v>11740049</v>
      </c>
      <c r="PL30" s="2"/>
      <c r="PM30" s="8">
        <v>11740049</v>
      </c>
      <c r="PN30" s="8">
        <v>1643000</v>
      </c>
      <c r="PO30" s="2"/>
      <c r="PP30" s="8">
        <v>1643000</v>
      </c>
      <c r="PQ30" s="6">
        <v>1643606</v>
      </c>
      <c r="PR30" s="8">
        <v>13383049</v>
      </c>
      <c r="PS30" s="2"/>
      <c r="PT30" s="8">
        <v>13383049</v>
      </c>
      <c r="PU30" s="8">
        <v>669000</v>
      </c>
      <c r="PV30" s="2"/>
      <c r="PW30" s="8">
        <v>669000</v>
      </c>
      <c r="PX30" s="6">
        <v>669152.44999999995</v>
      </c>
      <c r="PY30" s="8">
        <v>578200</v>
      </c>
      <c r="PZ30" s="8">
        <v>67800</v>
      </c>
      <c r="QA30" s="8">
        <v>646000</v>
      </c>
      <c r="QB30" s="8">
        <v>132812</v>
      </c>
      <c r="QC30" s="8">
        <v>118800</v>
      </c>
      <c r="QD30" s="8">
        <v>251612</v>
      </c>
      <c r="QE30" s="8">
        <v>806172</v>
      </c>
      <c r="QF30" s="8">
        <v>459820</v>
      </c>
      <c r="QG30" s="8">
        <v>1265992</v>
      </c>
      <c r="QH30" s="2"/>
      <c r="QI30" s="2"/>
      <c r="QJ30" s="2" t="e">
        <v>#REF!</v>
      </c>
      <c r="QK30" s="2"/>
      <c r="QL30" s="2"/>
      <c r="QM30" s="2"/>
      <c r="QN30" s="8">
        <v>190283</v>
      </c>
      <c r="QO30" s="8">
        <v>103400</v>
      </c>
      <c r="QP30" s="8">
        <v>293683</v>
      </c>
      <c r="QQ30" s="8">
        <v>1707467</v>
      </c>
      <c r="QR30" s="8">
        <v>749820</v>
      </c>
      <c r="QS30" s="8">
        <v>2457287</v>
      </c>
      <c r="QT30" s="8">
        <v>122000</v>
      </c>
      <c r="QU30" s="2"/>
      <c r="QV30" s="8">
        <v>122000</v>
      </c>
      <c r="QW30" s="6">
        <v>122864.35</v>
      </c>
      <c r="QX30" s="8">
        <v>165000</v>
      </c>
      <c r="QY30" s="8">
        <v>45000</v>
      </c>
      <c r="QZ30" s="8">
        <v>210000</v>
      </c>
      <c r="RA30" s="8">
        <v>146450</v>
      </c>
      <c r="RB30" s="8">
        <v>146450</v>
      </c>
      <c r="RC30" s="8">
        <v>795436</v>
      </c>
      <c r="RD30" s="8">
        <v>382131</v>
      </c>
      <c r="RE30" s="8">
        <v>1177567</v>
      </c>
      <c r="RF30" s="8">
        <v>960436</v>
      </c>
      <c r="RG30" s="8">
        <v>573581</v>
      </c>
      <c r="RH30" s="8">
        <v>1534017</v>
      </c>
      <c r="RI30" s="2"/>
      <c r="RJ30" s="2"/>
      <c r="RK30" s="2"/>
      <c r="RL30" s="2"/>
      <c r="RM30" s="8">
        <v>16841952</v>
      </c>
      <c r="RN30" s="8">
        <v>1323401</v>
      </c>
      <c r="RO30" s="8">
        <v>18165353</v>
      </c>
      <c r="RP30" s="2"/>
      <c r="RQ30" s="2"/>
      <c r="RR30" s="2">
        <v>0</v>
      </c>
      <c r="RS30" s="6">
        <v>0</v>
      </c>
      <c r="RT30" s="8">
        <v>2906000</v>
      </c>
      <c r="RU30" s="2"/>
      <c r="RV30" s="8">
        <v>2906000</v>
      </c>
      <c r="RW30" s="6">
        <v>2906456</v>
      </c>
      <c r="RX30" s="6">
        <v>0</v>
      </c>
      <c r="RY30" s="8">
        <v>2906000</v>
      </c>
      <c r="RZ30" s="2"/>
      <c r="SA30" s="8">
        <v>2906000</v>
      </c>
      <c r="SB30" s="6">
        <v>2906456</v>
      </c>
      <c r="SC30" s="8">
        <v>231000</v>
      </c>
      <c r="SD30" s="8">
        <v>231000</v>
      </c>
      <c r="SE30" s="6">
        <v>231000</v>
      </c>
      <c r="SF30" s="8">
        <v>1500000</v>
      </c>
      <c r="SG30" s="8">
        <v>1500000</v>
      </c>
      <c r="SH30" s="8">
        <v>19747952</v>
      </c>
      <c r="SI30" s="8">
        <v>3054401</v>
      </c>
      <c r="SJ30" s="8">
        <v>22802353</v>
      </c>
      <c r="SK30" s="2"/>
      <c r="SL30" s="2" t="s">
        <v>1401</v>
      </c>
      <c r="SM30" s="2" t="s">
        <v>1402</v>
      </c>
      <c r="SN30" s="2" t="s">
        <v>1403</v>
      </c>
      <c r="SO30" s="2"/>
      <c r="SP30" s="8">
        <v>18000000</v>
      </c>
      <c r="SQ30" s="2" t="s">
        <v>95</v>
      </c>
      <c r="SR30" s="2"/>
      <c r="SS30" s="2"/>
      <c r="ST30" s="2"/>
      <c r="SU30" s="2"/>
      <c r="SV30" s="2"/>
      <c r="SW30" s="2"/>
      <c r="SX30" s="2" t="s">
        <v>96</v>
      </c>
      <c r="SY30" s="2" t="s">
        <v>96</v>
      </c>
      <c r="SZ30" s="2" t="s">
        <v>96</v>
      </c>
      <c r="TA30" s="2" t="s">
        <v>96</v>
      </c>
      <c r="TB30" s="8">
        <v>4300820</v>
      </c>
      <c r="TC30" s="2"/>
      <c r="TD30" s="2"/>
      <c r="TE30" s="2"/>
      <c r="TF30" s="2"/>
      <c r="TG30" s="2"/>
      <c r="TH30" s="2"/>
      <c r="TI30" s="8">
        <v>501533</v>
      </c>
      <c r="TJ30" s="8">
        <v>22802353</v>
      </c>
      <c r="TK30" s="2">
        <v>0</v>
      </c>
      <c r="TL30" s="2" t="s">
        <v>9</v>
      </c>
      <c r="TM30" s="8">
        <v>5000000</v>
      </c>
      <c r="TN30" s="2" t="s">
        <v>95</v>
      </c>
      <c r="TO30" s="2"/>
      <c r="TP30" s="2"/>
      <c r="TQ30" s="2"/>
      <c r="TR30" s="2"/>
      <c r="TS30" s="2"/>
      <c r="TT30" s="2"/>
      <c r="TU30" s="2" t="s">
        <v>96</v>
      </c>
      <c r="TV30" s="8">
        <v>17203280</v>
      </c>
      <c r="TW30" s="2"/>
      <c r="TX30" s="2"/>
      <c r="TY30" s="2"/>
      <c r="TZ30" s="2"/>
      <c r="UA30" s="2"/>
      <c r="UB30" s="2"/>
      <c r="UC30" s="8">
        <v>599073</v>
      </c>
      <c r="UD30" s="8">
        <v>22802353</v>
      </c>
      <c r="UE30" s="6">
        <v>5000000</v>
      </c>
      <c r="UF30" s="2">
        <v>0</v>
      </c>
      <c r="UG30" s="2" t="s">
        <v>9</v>
      </c>
      <c r="UH30" s="2">
        <v>66</v>
      </c>
      <c r="UI30" s="5">
        <v>240000</v>
      </c>
      <c r="UJ30" s="6">
        <v>320000</v>
      </c>
      <c r="UK30" s="6">
        <v>320000</v>
      </c>
      <c r="UL30" s="6">
        <v>339200</v>
      </c>
      <c r="UM30" s="6">
        <v>22387200</v>
      </c>
      <c r="UN30" s="6">
        <v>3581952</v>
      </c>
      <c r="UO30" s="6">
        <v>3581952</v>
      </c>
      <c r="UP30" s="6">
        <v>25969152</v>
      </c>
      <c r="UQ30" s="6">
        <v>21071353</v>
      </c>
      <c r="UR30" s="2"/>
      <c r="US30" s="2"/>
      <c r="UT30" s="6">
        <v>0</v>
      </c>
      <c r="UU30" s="2"/>
      <c r="UV30" s="6">
        <v>0</v>
      </c>
      <c r="UW30" s="6">
        <v>0</v>
      </c>
      <c r="UX30" s="6">
        <v>0</v>
      </c>
      <c r="UY30" s="6">
        <v>0</v>
      </c>
      <c r="UZ30" s="2"/>
      <c r="VA30" s="2"/>
      <c r="VB30" s="2"/>
      <c r="VC30" s="2"/>
      <c r="VD30" s="2"/>
      <c r="VE30" s="2" t="s">
        <v>17</v>
      </c>
      <c r="VF30" s="2"/>
      <c r="VG30" s="2" t="s">
        <v>17</v>
      </c>
      <c r="VH30" s="2"/>
      <c r="VI30" s="388" t="s">
        <v>1125</v>
      </c>
      <c r="VJ30" s="2" t="s">
        <v>98</v>
      </c>
      <c r="VK30" s="2" t="s">
        <v>1404</v>
      </c>
      <c r="VL30" s="23">
        <f t="shared" si="0"/>
        <v>129</v>
      </c>
      <c r="VM30" s="17">
        <f t="shared" si="1"/>
        <v>1.9545454545454546</v>
      </c>
      <c r="VN30" s="17" t="str">
        <f t="shared" si="12"/>
        <v>NC-GA-F</v>
      </c>
      <c r="VO30" s="17" t="str">
        <f t="shared" si="13"/>
        <v>NC-GA-F-ESS</v>
      </c>
      <c r="VP30" s="12">
        <v>9</v>
      </c>
      <c r="VQ30" s="57">
        <v>1</v>
      </c>
      <c r="VR30" s="57">
        <f t="shared" si="2"/>
        <v>1</v>
      </c>
      <c r="VS30" s="14">
        <f t="shared" si="3"/>
        <v>1</v>
      </c>
      <c r="VT30" s="12">
        <f t="shared" si="4"/>
        <v>0.93</v>
      </c>
      <c r="VU30" s="16">
        <f t="shared" si="5"/>
        <v>15484500</v>
      </c>
      <c r="VV30" s="16">
        <f t="shared" si="6"/>
        <v>234613.63636363635</v>
      </c>
      <c r="VW30" s="12" t="str">
        <f t="shared" si="14"/>
        <v>A</v>
      </c>
      <c r="VX30" s="12" t="str">
        <f t="shared" si="15"/>
        <v>NC-GA-ESS</v>
      </c>
      <c r="VY30" s="351">
        <f t="shared" si="16"/>
        <v>4</v>
      </c>
      <c r="WA30" s="12">
        <f t="shared" si="17"/>
        <v>0</v>
      </c>
      <c r="WB30" s="12">
        <f t="shared" si="18"/>
        <v>0</v>
      </c>
      <c r="WC30" s="12">
        <f t="shared" si="18"/>
        <v>0</v>
      </c>
      <c r="WD30" s="12">
        <f t="shared" si="18"/>
        <v>0</v>
      </c>
      <c r="WE30" s="12">
        <f t="shared" si="19"/>
        <v>1</v>
      </c>
      <c r="WF30" s="12">
        <f t="shared" si="7"/>
        <v>1</v>
      </c>
      <c r="WG30" s="12">
        <f t="shared" si="8"/>
        <v>0</v>
      </c>
      <c r="WH30" s="12">
        <f t="shared" si="9"/>
        <v>0</v>
      </c>
      <c r="WI30" s="31">
        <f t="shared" si="10"/>
        <v>2</v>
      </c>
      <c r="WJ30" s="2"/>
      <c r="WK30" s="443" t="str">
        <f t="shared" si="20"/>
        <v>NC-GA-ESS-BBN-BRN-NPH-F</v>
      </c>
      <c r="WL30" s="443"/>
      <c r="WM30" s="443"/>
    </row>
    <row r="31" spans="1:611" x14ac:dyDescent="0.25">
      <c r="A31" s="2">
        <v>9433</v>
      </c>
      <c r="B31" s="2" t="s">
        <v>647</v>
      </c>
      <c r="C31" s="2" t="s">
        <v>8</v>
      </c>
      <c r="D31" s="3">
        <v>45153</v>
      </c>
      <c r="E31" s="2" t="s">
        <v>9</v>
      </c>
      <c r="F31" s="2">
        <v>3</v>
      </c>
      <c r="G31" s="2" t="s">
        <v>9</v>
      </c>
      <c r="H31" s="2">
        <v>3</v>
      </c>
      <c r="I31" s="2" t="s">
        <v>9</v>
      </c>
      <c r="J31" s="2">
        <v>3</v>
      </c>
      <c r="K31" s="2" t="s">
        <v>9</v>
      </c>
      <c r="L31" s="2">
        <v>3</v>
      </c>
      <c r="M31" s="2" t="s">
        <v>10</v>
      </c>
      <c r="N31" s="2">
        <v>0</v>
      </c>
      <c r="O31" s="2" t="s">
        <v>10</v>
      </c>
      <c r="P31" s="2">
        <v>0</v>
      </c>
      <c r="Q31" s="2" t="s">
        <v>11</v>
      </c>
      <c r="R31" s="2">
        <v>0</v>
      </c>
      <c r="S31" s="2" t="s">
        <v>9</v>
      </c>
      <c r="T31" s="2">
        <v>2</v>
      </c>
      <c r="U31" s="2" t="s">
        <v>9</v>
      </c>
      <c r="V31" s="2">
        <v>2</v>
      </c>
      <c r="W31" s="2" t="s">
        <v>9</v>
      </c>
      <c r="X31" s="2">
        <v>2</v>
      </c>
      <c r="Y31" s="2" t="s">
        <v>12</v>
      </c>
      <c r="Z31" s="2" t="s">
        <v>15</v>
      </c>
      <c r="AA31" s="2" t="s">
        <v>15</v>
      </c>
      <c r="AB31" s="2" t="s">
        <v>15</v>
      </c>
      <c r="AC31" s="2" t="s">
        <v>15</v>
      </c>
      <c r="AD31" s="2" t="s">
        <v>15</v>
      </c>
      <c r="AE31" s="2" t="s">
        <v>15</v>
      </c>
      <c r="AF31" s="2">
        <v>0</v>
      </c>
      <c r="AG31" s="2" t="s">
        <v>234</v>
      </c>
      <c r="AH31" s="2" t="s">
        <v>17</v>
      </c>
      <c r="AI31" s="4">
        <v>0.1</v>
      </c>
      <c r="AJ31" s="2" t="s">
        <v>17</v>
      </c>
      <c r="AK31" s="2" t="s">
        <v>9</v>
      </c>
      <c r="AL31" s="2" t="s">
        <v>17</v>
      </c>
      <c r="AM31" s="2" t="s">
        <v>17</v>
      </c>
      <c r="AN31" s="2" t="s">
        <v>17</v>
      </c>
      <c r="AO31" s="2" t="s">
        <v>17</v>
      </c>
      <c r="AP31" s="2" t="s">
        <v>9</v>
      </c>
      <c r="AQ31" s="2" t="s">
        <v>17</v>
      </c>
      <c r="AR31" s="2" t="s">
        <v>17</v>
      </c>
      <c r="AS31" s="2" t="s">
        <v>17</v>
      </c>
      <c r="AT31" s="2">
        <v>0</v>
      </c>
      <c r="AU31" s="5">
        <v>20000</v>
      </c>
      <c r="AV31" s="5">
        <v>340000</v>
      </c>
      <c r="AW31" s="2">
        <v>0</v>
      </c>
      <c r="AX31" s="2">
        <v>6</v>
      </c>
      <c r="AY31" s="2">
        <v>0</v>
      </c>
      <c r="AZ31" s="2">
        <v>18</v>
      </c>
      <c r="BA31" s="2">
        <v>0</v>
      </c>
      <c r="BB31" s="2">
        <v>1</v>
      </c>
      <c r="BC31" s="2">
        <v>1</v>
      </c>
      <c r="BD31" s="2">
        <v>0</v>
      </c>
      <c r="BE31" s="2">
        <v>0</v>
      </c>
      <c r="BF31" s="2">
        <v>1</v>
      </c>
      <c r="BG31" s="2">
        <v>0</v>
      </c>
      <c r="BH31" s="2">
        <v>0</v>
      </c>
      <c r="BI31" s="2">
        <v>13</v>
      </c>
      <c r="BJ31" s="2">
        <v>1</v>
      </c>
      <c r="BK31" s="2">
        <v>0</v>
      </c>
      <c r="BL31" s="2">
        <v>3</v>
      </c>
      <c r="BM31" s="2">
        <v>0</v>
      </c>
      <c r="BN31" s="2">
        <v>12</v>
      </c>
      <c r="BO31" s="2">
        <v>11</v>
      </c>
      <c r="BP31" s="2">
        <v>0</v>
      </c>
      <c r="BQ31" s="2">
        <v>10</v>
      </c>
      <c r="BR31" s="2">
        <v>11.62</v>
      </c>
      <c r="BS31" s="2">
        <v>0</v>
      </c>
      <c r="BT31" s="4">
        <v>0.06</v>
      </c>
      <c r="BU31" s="2" t="s">
        <v>9</v>
      </c>
      <c r="BV31" s="6">
        <v>202838.21</v>
      </c>
      <c r="BW31" s="2" t="s">
        <v>18</v>
      </c>
      <c r="BX31" s="2" t="s">
        <v>17</v>
      </c>
      <c r="BY31" s="2" t="s">
        <v>17</v>
      </c>
      <c r="BZ31" s="2" t="s">
        <v>17</v>
      </c>
      <c r="CA31" s="2" t="s">
        <v>17</v>
      </c>
      <c r="CB31" s="2" t="s">
        <v>17</v>
      </c>
      <c r="CC31" s="2" t="s">
        <v>17</v>
      </c>
      <c r="CD31" s="2" t="s">
        <v>17</v>
      </c>
      <c r="CE31" s="2" t="s">
        <v>648</v>
      </c>
      <c r="CF31" s="2" t="s">
        <v>17</v>
      </c>
      <c r="CG31" s="2" t="s">
        <v>649</v>
      </c>
      <c r="CH31" s="2"/>
      <c r="CI31" s="2"/>
      <c r="CJ31" s="2" t="s">
        <v>9</v>
      </c>
      <c r="CK31" s="2" t="s">
        <v>650</v>
      </c>
      <c r="CL31" s="2" t="s">
        <v>649</v>
      </c>
      <c r="CM31" s="2" t="s">
        <v>651</v>
      </c>
      <c r="CN31" s="2" t="s">
        <v>464</v>
      </c>
      <c r="CO31" s="2" t="s">
        <v>24</v>
      </c>
      <c r="CP31" s="2"/>
      <c r="CQ31" s="2">
        <v>72</v>
      </c>
      <c r="CR31" s="2" t="s">
        <v>331</v>
      </c>
      <c r="CS31" s="2">
        <v>2020</v>
      </c>
      <c r="CT31" s="2" t="s">
        <v>26</v>
      </c>
      <c r="CU31" s="2" t="s">
        <v>27</v>
      </c>
      <c r="CV31" s="2" t="s">
        <v>652</v>
      </c>
      <c r="CW31" s="2" t="s">
        <v>653</v>
      </c>
      <c r="CX31" s="2" t="s">
        <v>24</v>
      </c>
      <c r="CY31" s="2"/>
      <c r="CZ31" s="2">
        <v>96</v>
      </c>
      <c r="DA31" s="2" t="s">
        <v>331</v>
      </c>
      <c r="DB31" s="2">
        <v>2016</v>
      </c>
      <c r="DC31" s="2" t="s">
        <v>30</v>
      </c>
      <c r="DD31" s="2" t="s">
        <v>27</v>
      </c>
      <c r="DE31" s="2" t="s">
        <v>654</v>
      </c>
      <c r="DF31" s="2" t="s">
        <v>655</v>
      </c>
      <c r="DG31" s="2" t="s">
        <v>24</v>
      </c>
      <c r="DH31" s="2"/>
      <c r="DI31" s="2">
        <v>91</v>
      </c>
      <c r="DJ31" s="2" t="s">
        <v>331</v>
      </c>
      <c r="DK31" s="2">
        <v>2016</v>
      </c>
      <c r="DL31" s="2" t="s">
        <v>30</v>
      </c>
      <c r="DM31" s="2" t="s">
        <v>27</v>
      </c>
      <c r="DN31" s="2" t="s">
        <v>33</v>
      </c>
      <c r="DO31" s="2" t="s">
        <v>656</v>
      </c>
      <c r="DP31" s="2" t="s">
        <v>657</v>
      </c>
      <c r="DQ31" s="2" t="s">
        <v>658</v>
      </c>
      <c r="DR31" s="2" t="s">
        <v>659</v>
      </c>
      <c r="DS31" s="2">
        <v>1</v>
      </c>
      <c r="DT31" s="2" t="s">
        <v>660</v>
      </c>
      <c r="DU31" s="2" t="s">
        <v>661</v>
      </c>
      <c r="DV31" s="2" t="s">
        <v>39</v>
      </c>
      <c r="DW31" s="2">
        <v>32751</v>
      </c>
      <c r="DX31" s="2" t="s">
        <v>662</v>
      </c>
      <c r="DY31" s="2"/>
      <c r="DZ31" s="2" t="s">
        <v>663</v>
      </c>
      <c r="EA31" s="2" t="s">
        <v>659</v>
      </c>
      <c r="EB31" s="2" t="s">
        <v>652</v>
      </c>
      <c r="EC31" s="2" t="s">
        <v>653</v>
      </c>
      <c r="ED31" s="2" t="s">
        <v>44</v>
      </c>
      <c r="EE31" s="2">
        <v>96</v>
      </c>
      <c r="EF31" s="2" t="s">
        <v>342</v>
      </c>
      <c r="EG31" s="2">
        <v>7</v>
      </c>
      <c r="EH31" s="2" t="s">
        <v>46</v>
      </c>
      <c r="EI31" s="2" t="s">
        <v>47</v>
      </c>
      <c r="EJ31" s="2" t="s">
        <v>651</v>
      </c>
      <c r="EK31" s="2" t="s">
        <v>464</v>
      </c>
      <c r="EL31" s="2" t="s">
        <v>44</v>
      </c>
      <c r="EM31" s="2">
        <v>72</v>
      </c>
      <c r="EN31" s="2" t="s">
        <v>342</v>
      </c>
      <c r="EO31" s="2">
        <v>3</v>
      </c>
      <c r="EP31" s="2" t="s">
        <v>46</v>
      </c>
      <c r="EQ31" s="2" t="s">
        <v>47</v>
      </c>
      <c r="ER31" s="2" t="s">
        <v>664</v>
      </c>
      <c r="ES31" s="2" t="s">
        <v>665</v>
      </c>
      <c r="ET31" s="2" t="s">
        <v>666</v>
      </c>
      <c r="EU31" s="2" t="s">
        <v>649</v>
      </c>
      <c r="EV31" s="2" t="s">
        <v>667</v>
      </c>
      <c r="EW31" s="2" t="s">
        <v>668</v>
      </c>
      <c r="EX31" s="2" t="s">
        <v>39</v>
      </c>
      <c r="EY31" s="2">
        <v>34236</v>
      </c>
      <c r="EZ31" s="2" t="s">
        <v>669</v>
      </c>
      <c r="FA31" s="2">
        <v>110</v>
      </c>
      <c r="FB31" s="2" t="s">
        <v>670</v>
      </c>
      <c r="FC31" s="2" t="s">
        <v>671</v>
      </c>
      <c r="FD31" s="2" t="s">
        <v>672</v>
      </c>
      <c r="FE31" s="2" t="s">
        <v>673</v>
      </c>
      <c r="FF31" s="2" t="s">
        <v>649</v>
      </c>
      <c r="FG31" s="2" t="s">
        <v>667</v>
      </c>
      <c r="FH31" s="2" t="s">
        <v>668</v>
      </c>
      <c r="FI31" s="2" t="s">
        <v>39</v>
      </c>
      <c r="FJ31" s="2">
        <v>34236</v>
      </c>
      <c r="FK31" s="2" t="s">
        <v>669</v>
      </c>
      <c r="FL31" s="2">
        <v>130</v>
      </c>
      <c r="FM31" s="2" t="s">
        <v>674</v>
      </c>
      <c r="FN31" s="2" t="s">
        <v>675</v>
      </c>
      <c r="FO31" s="2" t="s">
        <v>63</v>
      </c>
      <c r="FP31" s="2" t="s">
        <v>64</v>
      </c>
      <c r="FQ31" s="2" t="s">
        <v>9</v>
      </c>
      <c r="FR31" s="2" t="s">
        <v>17</v>
      </c>
      <c r="FS31" s="2" t="s">
        <v>17</v>
      </c>
      <c r="FT31" s="2" t="s">
        <v>9</v>
      </c>
      <c r="FU31" s="2">
        <v>0</v>
      </c>
      <c r="FV31" s="2">
        <v>0</v>
      </c>
      <c r="FW31" s="4">
        <v>0</v>
      </c>
      <c r="FX31" s="4">
        <v>0</v>
      </c>
      <c r="FY31" s="2" t="s">
        <v>65</v>
      </c>
      <c r="FZ31" s="2" t="s">
        <v>66</v>
      </c>
      <c r="GA31" s="2" t="s">
        <v>67</v>
      </c>
      <c r="GB31" s="2"/>
      <c r="GC31" s="2"/>
      <c r="GD31" s="2"/>
      <c r="GE31" s="2" t="s">
        <v>68</v>
      </c>
      <c r="GF31" s="2">
        <v>76</v>
      </c>
      <c r="GG31" s="2">
        <v>76</v>
      </c>
      <c r="GH31" s="2"/>
      <c r="GI31" s="2"/>
      <c r="GJ31" s="2"/>
      <c r="GK31" s="2"/>
      <c r="GL31" s="2"/>
      <c r="GM31" s="2"/>
      <c r="GN31" s="2"/>
      <c r="GO31" s="2"/>
      <c r="GP31" s="2"/>
      <c r="GQ31" s="2">
        <v>76</v>
      </c>
      <c r="GR31" s="2" t="s">
        <v>676</v>
      </c>
      <c r="GS31" s="2" t="s">
        <v>70</v>
      </c>
      <c r="GT31" s="2" t="s">
        <v>677</v>
      </c>
      <c r="GU31" s="2" t="s">
        <v>678</v>
      </c>
      <c r="GV31" s="2" t="s">
        <v>17</v>
      </c>
      <c r="GW31" s="2">
        <v>29.473141999999999</v>
      </c>
      <c r="GX31" s="2">
        <v>-81.179741000000007</v>
      </c>
      <c r="GY31" s="2"/>
      <c r="GZ31" s="2" t="s">
        <v>17</v>
      </c>
      <c r="HA31" s="2" t="s">
        <v>17</v>
      </c>
      <c r="HB31" s="2">
        <v>0</v>
      </c>
      <c r="HC31" s="2" t="s">
        <v>17</v>
      </c>
      <c r="HD31" s="2"/>
      <c r="HE31" s="2">
        <v>0</v>
      </c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 t="s">
        <v>73</v>
      </c>
      <c r="HY31" s="2" t="s">
        <v>17</v>
      </c>
      <c r="HZ31" s="2"/>
      <c r="IA31" s="2" t="s">
        <v>167</v>
      </c>
      <c r="IB31" s="2" t="s">
        <v>679</v>
      </c>
      <c r="IC31" s="2">
        <v>0.1</v>
      </c>
      <c r="ID31" s="2">
        <v>4</v>
      </c>
      <c r="IE31" s="2"/>
      <c r="IF31" s="2"/>
      <c r="IG31" s="2"/>
      <c r="IH31" s="2" t="s">
        <v>167</v>
      </c>
      <c r="II31" s="2">
        <v>0.1</v>
      </c>
      <c r="IJ31" s="2">
        <v>4</v>
      </c>
      <c r="IK31" s="2" t="s">
        <v>680</v>
      </c>
      <c r="IL31" s="2" t="s">
        <v>681</v>
      </c>
      <c r="IM31" s="2">
        <v>0.23</v>
      </c>
      <c r="IN31" s="2">
        <v>4</v>
      </c>
      <c r="IO31" s="2" t="s">
        <v>17</v>
      </c>
      <c r="IP31" s="2">
        <v>0</v>
      </c>
      <c r="IQ31" s="2">
        <v>12</v>
      </c>
      <c r="IR31" s="2">
        <v>0</v>
      </c>
      <c r="IS31" s="2">
        <v>12</v>
      </c>
      <c r="IT31" s="2" t="s">
        <v>17</v>
      </c>
      <c r="IU31" s="2" t="s">
        <v>17</v>
      </c>
      <c r="IV31" s="2" t="s">
        <v>17</v>
      </c>
      <c r="IW31" s="2" t="s">
        <v>9</v>
      </c>
      <c r="IX31" s="2" t="s">
        <v>9</v>
      </c>
      <c r="IY31" s="2">
        <v>12</v>
      </c>
      <c r="IZ31" s="2">
        <v>76</v>
      </c>
      <c r="JA31" s="2" t="s">
        <v>81</v>
      </c>
      <c r="JB31" s="2" t="s">
        <v>173</v>
      </c>
      <c r="JC31" s="2"/>
      <c r="JD31" s="2"/>
      <c r="JE31" s="7">
        <v>0.1</v>
      </c>
      <c r="JF31" s="2"/>
      <c r="JG31" s="7">
        <v>0.9</v>
      </c>
      <c r="JH31" s="7">
        <v>0</v>
      </c>
      <c r="JI31" s="2">
        <v>76</v>
      </c>
      <c r="JJ31" s="7">
        <v>1</v>
      </c>
      <c r="JK31" s="2">
        <v>76</v>
      </c>
      <c r="JL31" s="7">
        <v>1</v>
      </c>
      <c r="JM31" s="2"/>
      <c r="JN31" s="2"/>
      <c r="JO31" s="2"/>
      <c r="JP31" s="2"/>
      <c r="JQ31" s="2"/>
      <c r="JR31" s="2"/>
      <c r="JS31" s="2">
        <v>0</v>
      </c>
      <c r="JT31" s="2">
        <v>0</v>
      </c>
      <c r="JU31" s="2"/>
      <c r="JV31" s="2">
        <v>0</v>
      </c>
      <c r="JW31" s="4">
        <v>0</v>
      </c>
      <c r="JX31" s="2">
        <v>0</v>
      </c>
      <c r="JY31" s="4">
        <v>0</v>
      </c>
      <c r="JZ31" s="2">
        <v>0</v>
      </c>
      <c r="KA31" s="2"/>
      <c r="KB31" s="2"/>
      <c r="KC31" s="2"/>
      <c r="KD31" s="2"/>
      <c r="KE31" s="2"/>
      <c r="KF31" s="2"/>
      <c r="KG31" s="2"/>
      <c r="KH31" s="2">
        <v>23</v>
      </c>
      <c r="KI31" s="2"/>
      <c r="KJ31" s="2"/>
      <c r="KK31" s="2">
        <v>38</v>
      </c>
      <c r="KL31" s="2">
        <v>15</v>
      </c>
      <c r="KM31" s="2"/>
      <c r="KN31" s="2"/>
      <c r="KO31" s="2"/>
      <c r="KP31" s="2"/>
      <c r="KQ31" s="2" t="s">
        <v>83</v>
      </c>
      <c r="KR31" s="2" t="s">
        <v>73</v>
      </c>
      <c r="KS31" s="2"/>
      <c r="KT31" s="2">
        <v>4</v>
      </c>
      <c r="KU31" s="2" t="s">
        <v>84</v>
      </c>
      <c r="KV31" s="2" t="s">
        <v>85</v>
      </c>
      <c r="KW31" s="2" t="s">
        <v>530</v>
      </c>
      <c r="KX31" s="2" t="s">
        <v>17</v>
      </c>
      <c r="KY31" s="2" t="s">
        <v>17</v>
      </c>
      <c r="KZ31" s="2" t="s">
        <v>17</v>
      </c>
      <c r="LA31" s="2" t="s">
        <v>17</v>
      </c>
      <c r="LB31" s="2" t="s">
        <v>17</v>
      </c>
      <c r="LC31" s="2" t="s">
        <v>17</v>
      </c>
      <c r="LD31" s="2" t="s">
        <v>17</v>
      </c>
      <c r="LE31" s="2" t="s">
        <v>17</v>
      </c>
      <c r="LF31" s="2" t="s">
        <v>17</v>
      </c>
      <c r="LG31" s="2" t="s">
        <v>17</v>
      </c>
      <c r="LH31" s="2" t="s">
        <v>17</v>
      </c>
      <c r="LI31" s="2" t="s">
        <v>17</v>
      </c>
      <c r="LJ31" s="2" t="s">
        <v>87</v>
      </c>
      <c r="LK31" s="2" t="s">
        <v>17</v>
      </c>
      <c r="LL31" s="2" t="s">
        <v>17</v>
      </c>
      <c r="LM31" s="2">
        <v>0</v>
      </c>
      <c r="LN31" s="2" t="s">
        <v>17</v>
      </c>
      <c r="LO31" s="2" t="s">
        <v>17</v>
      </c>
      <c r="LP31" s="2" t="s">
        <v>9</v>
      </c>
      <c r="LQ31" s="2" t="s">
        <v>17</v>
      </c>
      <c r="LR31" s="2" t="s">
        <v>9</v>
      </c>
      <c r="LS31" s="2" t="s">
        <v>9</v>
      </c>
      <c r="LT31" s="2" t="s">
        <v>17</v>
      </c>
      <c r="LU31" s="2" t="s">
        <v>17</v>
      </c>
      <c r="LV31" s="2" t="s">
        <v>17</v>
      </c>
      <c r="LW31" s="2" t="s">
        <v>17</v>
      </c>
      <c r="LX31" s="2" t="s">
        <v>17</v>
      </c>
      <c r="LY31" s="5">
        <v>6080000</v>
      </c>
      <c r="LZ31" s="5">
        <v>0</v>
      </c>
      <c r="MA31" s="5">
        <v>7200000</v>
      </c>
      <c r="MB31" s="5">
        <v>0</v>
      </c>
      <c r="MC31" s="5">
        <v>0</v>
      </c>
      <c r="MD31" s="5">
        <v>0</v>
      </c>
      <c r="ME31" s="5">
        <v>7980000</v>
      </c>
      <c r="MF31" s="5">
        <v>0</v>
      </c>
      <c r="MG31" s="5">
        <v>0</v>
      </c>
      <c r="MH31" s="5">
        <v>0</v>
      </c>
      <c r="MI31" s="5">
        <v>0</v>
      </c>
      <c r="MJ31" s="5">
        <v>0</v>
      </c>
      <c r="MK31" s="5">
        <v>0</v>
      </c>
      <c r="ML31" s="2">
        <v>0</v>
      </c>
      <c r="MM31" s="5">
        <v>0</v>
      </c>
      <c r="MN31" s="5">
        <v>0</v>
      </c>
      <c r="MO31" s="2">
        <v>0</v>
      </c>
      <c r="MP31" s="2">
        <v>0</v>
      </c>
      <c r="MQ31" s="2">
        <v>0</v>
      </c>
      <c r="MR31" s="5">
        <v>2950000</v>
      </c>
      <c r="MS31" s="5">
        <v>0</v>
      </c>
      <c r="MT31" s="5">
        <v>4600000</v>
      </c>
      <c r="MU31" s="5">
        <v>0</v>
      </c>
      <c r="MV31" s="5">
        <v>0</v>
      </c>
      <c r="MW31" s="5">
        <v>0</v>
      </c>
      <c r="MX31" s="5">
        <v>0</v>
      </c>
      <c r="MY31" s="5">
        <v>2500000</v>
      </c>
      <c r="MZ31" s="5">
        <v>0</v>
      </c>
      <c r="NA31" s="5">
        <v>5000000</v>
      </c>
      <c r="NB31" s="5">
        <v>0</v>
      </c>
      <c r="NC31" s="5">
        <v>0</v>
      </c>
      <c r="ND31" s="5">
        <v>0</v>
      </c>
      <c r="NE31" s="5">
        <v>0</v>
      </c>
      <c r="NF31" s="5">
        <v>0</v>
      </c>
      <c r="NG31" s="5">
        <v>2142000</v>
      </c>
      <c r="NH31" s="5">
        <v>2140000</v>
      </c>
      <c r="NI31" s="5">
        <v>2140000</v>
      </c>
      <c r="NJ31" s="5">
        <v>0</v>
      </c>
      <c r="NK31" s="5"/>
      <c r="NL31" s="2" t="s">
        <v>17</v>
      </c>
      <c r="NM31" s="2" t="s">
        <v>17</v>
      </c>
      <c r="NN31" s="2"/>
      <c r="NO31" s="2" t="s">
        <v>17</v>
      </c>
      <c r="NP31" s="2"/>
      <c r="NQ31" s="2"/>
      <c r="NR31" s="2" t="s">
        <v>17</v>
      </c>
      <c r="NS31" s="2"/>
      <c r="NT31" s="2" t="s">
        <v>17</v>
      </c>
      <c r="NU31" s="2"/>
      <c r="NV31" s="2"/>
      <c r="NW31" s="2"/>
      <c r="NX31" s="2" t="s">
        <v>9</v>
      </c>
      <c r="NY31" s="2" t="s">
        <v>88</v>
      </c>
      <c r="NZ31" s="2">
        <v>603.04</v>
      </c>
      <c r="OA31" s="2" t="s">
        <v>682</v>
      </c>
      <c r="OB31" s="2" t="s">
        <v>683</v>
      </c>
      <c r="OC31" s="2" t="s">
        <v>683</v>
      </c>
      <c r="OD31" s="2" t="s">
        <v>17</v>
      </c>
      <c r="OE31" s="2"/>
      <c r="OF31" s="2" t="s">
        <v>17</v>
      </c>
      <c r="OG31" s="2" t="s">
        <v>9</v>
      </c>
      <c r="OH31" s="2" t="s">
        <v>92</v>
      </c>
      <c r="OI31" s="2"/>
      <c r="OJ31" s="2"/>
      <c r="OK31" s="2" t="s">
        <v>17</v>
      </c>
      <c r="OL31" s="2" t="s">
        <v>17</v>
      </c>
      <c r="OM31" s="2" t="s">
        <v>85</v>
      </c>
      <c r="ON31" s="6">
        <v>0</v>
      </c>
      <c r="OO31" s="6">
        <v>0</v>
      </c>
      <c r="OP31" s="2" t="s">
        <v>93</v>
      </c>
      <c r="OQ31" s="2" t="s">
        <v>93</v>
      </c>
      <c r="OR31" s="6">
        <v>0</v>
      </c>
      <c r="OS31" s="4">
        <v>0</v>
      </c>
      <c r="OT31" s="2" t="s">
        <v>17</v>
      </c>
      <c r="OU31" s="2" t="s">
        <v>17</v>
      </c>
      <c r="OV31" s="2"/>
      <c r="OW31" s="2"/>
      <c r="OX31" s="5">
        <v>15415704</v>
      </c>
      <c r="OY31" s="6">
        <v>202838.21</v>
      </c>
      <c r="OZ31" s="2"/>
      <c r="PA31" s="2"/>
      <c r="PB31" s="8">
        <v>11770336</v>
      </c>
      <c r="PC31" s="2"/>
      <c r="PD31" s="8">
        <v>11770336</v>
      </c>
      <c r="PE31" s="8">
        <v>900000</v>
      </c>
      <c r="PF31" s="8">
        <v>100000</v>
      </c>
      <c r="PG31" s="8">
        <v>1000000</v>
      </c>
      <c r="PH31" s="2"/>
      <c r="PI31" s="2"/>
      <c r="PJ31" s="2"/>
      <c r="PK31" s="8">
        <v>12670336</v>
      </c>
      <c r="PL31" s="8">
        <v>100000</v>
      </c>
      <c r="PM31" s="8">
        <v>12770336</v>
      </c>
      <c r="PN31" s="8">
        <v>1699784</v>
      </c>
      <c r="PO31" s="2"/>
      <c r="PP31" s="8">
        <v>1699784</v>
      </c>
      <c r="PQ31" s="6">
        <v>1787847</v>
      </c>
      <c r="PR31" s="8">
        <v>14370120</v>
      </c>
      <c r="PS31" s="8">
        <v>100000</v>
      </c>
      <c r="PT31" s="8">
        <v>14470120</v>
      </c>
      <c r="PU31" s="8">
        <v>692056</v>
      </c>
      <c r="PV31" s="2"/>
      <c r="PW31" s="8">
        <v>692056</v>
      </c>
      <c r="PX31" s="6">
        <v>723506</v>
      </c>
      <c r="PY31" s="8">
        <v>706612</v>
      </c>
      <c r="PZ31" s="8">
        <v>30000</v>
      </c>
      <c r="QA31" s="8">
        <v>736612</v>
      </c>
      <c r="QB31" s="8">
        <v>109232</v>
      </c>
      <c r="QC31" s="8">
        <v>33649</v>
      </c>
      <c r="QD31" s="8">
        <v>142881</v>
      </c>
      <c r="QE31" s="8">
        <v>1083062</v>
      </c>
      <c r="QF31" s="2"/>
      <c r="QG31" s="8">
        <v>1083062</v>
      </c>
      <c r="QH31" s="2"/>
      <c r="QI31" s="8">
        <v>361775</v>
      </c>
      <c r="QJ31" s="8">
        <v>361775</v>
      </c>
      <c r="QK31" s="2"/>
      <c r="QL31" s="2"/>
      <c r="QM31" s="2"/>
      <c r="QN31" s="2"/>
      <c r="QO31" s="2"/>
      <c r="QP31" s="2"/>
      <c r="QQ31" s="8">
        <v>1898906</v>
      </c>
      <c r="QR31" s="8">
        <v>425424</v>
      </c>
      <c r="QS31" s="8">
        <v>2324330</v>
      </c>
      <c r="QT31" s="8">
        <v>112167</v>
      </c>
      <c r="QU31" s="2"/>
      <c r="QV31" s="8">
        <v>112167</v>
      </c>
      <c r="QW31" s="6">
        <v>116216.5</v>
      </c>
      <c r="QX31" s="8">
        <v>905883</v>
      </c>
      <c r="QY31" s="2"/>
      <c r="QZ31" s="8">
        <v>905883</v>
      </c>
      <c r="RA31" s="8">
        <v>75887</v>
      </c>
      <c r="RB31" s="8">
        <v>75887</v>
      </c>
      <c r="RC31" s="2"/>
      <c r="RD31" s="2"/>
      <c r="RE31" s="2"/>
      <c r="RF31" s="8">
        <v>905883</v>
      </c>
      <c r="RG31" s="8">
        <v>75887</v>
      </c>
      <c r="RH31" s="8">
        <v>981770</v>
      </c>
      <c r="RI31" s="2"/>
      <c r="RJ31" s="2"/>
      <c r="RK31" s="2"/>
      <c r="RL31" s="2"/>
      <c r="RM31" s="8">
        <v>17979132</v>
      </c>
      <c r="RN31" s="8">
        <v>601311</v>
      </c>
      <c r="RO31" s="8">
        <v>18580443</v>
      </c>
      <c r="RP31" s="2"/>
      <c r="RQ31" s="2"/>
      <c r="RR31" s="2">
        <v>0</v>
      </c>
      <c r="RS31" s="6">
        <v>0</v>
      </c>
      <c r="RT31" s="8">
        <v>2915591</v>
      </c>
      <c r="RU31" s="2"/>
      <c r="RV31" s="8">
        <v>2915591</v>
      </c>
      <c r="RW31" s="6">
        <v>2972870</v>
      </c>
      <c r="RX31" s="6">
        <v>0</v>
      </c>
      <c r="RY31" s="8">
        <v>2915591</v>
      </c>
      <c r="RZ31" s="2"/>
      <c r="SA31" s="8">
        <v>2915591</v>
      </c>
      <c r="SB31" s="6">
        <v>2972870</v>
      </c>
      <c r="SC31" s="2"/>
      <c r="SD31" s="2"/>
      <c r="SE31" s="6">
        <v>266000</v>
      </c>
      <c r="SF31" s="8">
        <v>2500000</v>
      </c>
      <c r="SG31" s="8">
        <v>2500000</v>
      </c>
      <c r="SH31" s="8">
        <v>20894723</v>
      </c>
      <c r="SI31" s="8">
        <v>3101311</v>
      </c>
      <c r="SJ31" s="8">
        <v>23996034</v>
      </c>
      <c r="SK31" s="2" t="s">
        <v>684</v>
      </c>
      <c r="SL31" s="2"/>
      <c r="SM31" s="2"/>
      <c r="SN31" s="2"/>
      <c r="SO31" s="2"/>
      <c r="SP31" s="8">
        <v>11176094</v>
      </c>
      <c r="SQ31" s="2" t="s">
        <v>95</v>
      </c>
      <c r="SR31" s="2"/>
      <c r="SS31" s="2"/>
      <c r="ST31" s="2"/>
      <c r="SU31" s="2"/>
      <c r="SV31" s="2"/>
      <c r="SW31" s="2"/>
      <c r="SX31" s="2" t="s">
        <v>96</v>
      </c>
      <c r="SY31" s="2" t="s">
        <v>96</v>
      </c>
      <c r="SZ31" s="2" t="s">
        <v>96</v>
      </c>
      <c r="TA31" s="2" t="s">
        <v>96</v>
      </c>
      <c r="TB31" s="8">
        <v>10904349</v>
      </c>
      <c r="TC31" s="2"/>
      <c r="TD31" s="2"/>
      <c r="TE31" s="2"/>
      <c r="TF31" s="2"/>
      <c r="TG31" s="2"/>
      <c r="TH31" s="2"/>
      <c r="TI31" s="8">
        <v>1915591</v>
      </c>
      <c r="TJ31" s="8">
        <v>23996034</v>
      </c>
      <c r="TK31" s="2">
        <v>0</v>
      </c>
      <c r="TL31" s="2" t="s">
        <v>9</v>
      </c>
      <c r="TM31" s="8">
        <v>2839100</v>
      </c>
      <c r="TN31" s="2" t="s">
        <v>95</v>
      </c>
      <c r="TO31" s="2"/>
      <c r="TP31" s="2"/>
      <c r="TQ31" s="2"/>
      <c r="TR31" s="2"/>
      <c r="TS31" s="2"/>
      <c r="TT31" s="2"/>
      <c r="TU31" s="2" t="s">
        <v>96</v>
      </c>
      <c r="TV31" s="8">
        <v>19472053</v>
      </c>
      <c r="TW31" s="2"/>
      <c r="TX31" s="2"/>
      <c r="TY31" s="2"/>
      <c r="TZ31" s="2"/>
      <c r="UA31" s="2"/>
      <c r="UB31" s="2"/>
      <c r="UC31" s="8">
        <v>1684881</v>
      </c>
      <c r="UD31" s="8">
        <v>23996034</v>
      </c>
      <c r="UE31" s="6">
        <v>2839100</v>
      </c>
      <c r="UF31" s="2">
        <v>0</v>
      </c>
      <c r="UG31" s="2" t="s">
        <v>9</v>
      </c>
      <c r="UH31" s="2">
        <v>76</v>
      </c>
      <c r="UI31" s="5">
        <v>240000</v>
      </c>
      <c r="UJ31" s="6">
        <v>320000</v>
      </c>
      <c r="UK31" s="6">
        <v>320000</v>
      </c>
      <c r="UL31" s="6">
        <v>339200</v>
      </c>
      <c r="UM31" s="6">
        <v>25779200</v>
      </c>
      <c r="UN31" s="6">
        <v>4124672</v>
      </c>
      <c r="UO31" s="6">
        <v>4124672</v>
      </c>
      <c r="UP31" s="6">
        <v>29903872</v>
      </c>
      <c r="UQ31" s="6">
        <v>21496034</v>
      </c>
      <c r="UR31" s="2"/>
      <c r="US31" s="2"/>
      <c r="UT31" s="6">
        <v>0</v>
      </c>
      <c r="UU31" s="2"/>
      <c r="UV31" s="6">
        <v>0</v>
      </c>
      <c r="UW31" s="6">
        <v>0</v>
      </c>
      <c r="UX31" s="6">
        <v>0</v>
      </c>
      <c r="UY31" s="6">
        <v>0</v>
      </c>
      <c r="UZ31" s="2"/>
      <c r="VA31" s="2"/>
      <c r="VB31" s="2"/>
      <c r="VC31" s="2"/>
      <c r="VD31" s="2"/>
      <c r="VE31" s="2" t="s">
        <v>17</v>
      </c>
      <c r="VF31" s="2"/>
      <c r="VG31" s="2" t="s">
        <v>17</v>
      </c>
      <c r="VH31" s="2"/>
      <c r="VI31" s="388" t="s">
        <v>650</v>
      </c>
      <c r="VJ31" s="2" t="s">
        <v>98</v>
      </c>
      <c r="VK31" s="2" t="s">
        <v>685</v>
      </c>
      <c r="VL31" s="23">
        <f t="shared" si="0"/>
        <v>144</v>
      </c>
      <c r="VM31" s="17">
        <f t="shared" si="1"/>
        <v>1.8947368421052631</v>
      </c>
      <c r="VN31" s="17" t="str">
        <f t="shared" si="12"/>
        <v>NC-GA-F</v>
      </c>
      <c r="VO31" s="17" t="str">
        <f t="shared" si="13"/>
        <v>NC-GA-F-ESS</v>
      </c>
      <c r="VP31" s="12">
        <v>9</v>
      </c>
      <c r="VQ31" s="57">
        <v>1</v>
      </c>
      <c r="VR31" s="57">
        <f t="shared" si="2"/>
        <v>1</v>
      </c>
      <c r="VS31" s="14">
        <f t="shared" si="3"/>
        <v>1</v>
      </c>
      <c r="VT31" s="12">
        <f t="shared" si="4"/>
        <v>0.93</v>
      </c>
      <c r="VU31" s="16">
        <f t="shared" si="5"/>
        <v>17911800</v>
      </c>
      <c r="VV31" s="16">
        <f t="shared" si="6"/>
        <v>235681.57894736843</v>
      </c>
      <c r="VW31" s="12" t="str">
        <f t="shared" si="14"/>
        <v>A</v>
      </c>
      <c r="VX31" s="12" t="str">
        <f t="shared" si="15"/>
        <v>NC-GA-ESS</v>
      </c>
      <c r="VY31" s="351">
        <f t="shared" si="16"/>
        <v>4</v>
      </c>
      <c r="WA31" s="12">
        <f t="shared" si="17"/>
        <v>0</v>
      </c>
      <c r="WB31" s="12">
        <f t="shared" si="18"/>
        <v>0</v>
      </c>
      <c r="WC31" s="12">
        <f t="shared" si="18"/>
        <v>0</v>
      </c>
      <c r="WD31" s="12">
        <f t="shared" si="18"/>
        <v>0</v>
      </c>
      <c r="WE31" s="12">
        <f t="shared" si="19"/>
        <v>1</v>
      </c>
      <c r="WF31" s="12">
        <f t="shared" si="7"/>
        <v>1</v>
      </c>
      <c r="WG31" s="12">
        <f t="shared" si="8"/>
        <v>0</v>
      </c>
      <c r="WH31" s="12">
        <f t="shared" si="9"/>
        <v>0</v>
      </c>
      <c r="WI31" s="31">
        <f t="shared" si="10"/>
        <v>2</v>
      </c>
      <c r="WJ31" s="2"/>
      <c r="WK31" s="443" t="str">
        <f t="shared" si="20"/>
        <v>NC-GA-ESS-BBN-BRN-NPH-F</v>
      </c>
      <c r="WL31" s="443"/>
      <c r="WM31" s="443"/>
    </row>
    <row r="32" spans="1:611" x14ac:dyDescent="0.25">
      <c r="A32" s="2">
        <v>9436</v>
      </c>
      <c r="B32" s="15" t="s">
        <v>770</v>
      </c>
      <c r="C32" s="2" t="s">
        <v>8</v>
      </c>
      <c r="D32" s="3">
        <v>45153</v>
      </c>
      <c r="E32" s="2" t="s">
        <v>9</v>
      </c>
      <c r="F32" s="2">
        <v>3</v>
      </c>
      <c r="G32" s="2" t="s">
        <v>9</v>
      </c>
      <c r="H32" s="2">
        <v>3</v>
      </c>
      <c r="I32" s="2" t="s">
        <v>9</v>
      </c>
      <c r="J32" s="2">
        <v>3</v>
      </c>
      <c r="K32" s="2" t="s">
        <v>9</v>
      </c>
      <c r="L32" s="2">
        <v>3</v>
      </c>
      <c r="M32" s="2" t="s">
        <v>10</v>
      </c>
      <c r="N32" s="2">
        <v>0</v>
      </c>
      <c r="O32" s="2" t="s">
        <v>10</v>
      </c>
      <c r="P32" s="2">
        <v>0</v>
      </c>
      <c r="Q32" s="2" t="s">
        <v>11</v>
      </c>
      <c r="R32" s="2">
        <v>0</v>
      </c>
      <c r="S32" s="2" t="s">
        <v>9</v>
      </c>
      <c r="T32" s="2">
        <v>2</v>
      </c>
      <c r="U32" s="2" t="s">
        <v>9</v>
      </c>
      <c r="V32" s="2">
        <v>2</v>
      </c>
      <c r="W32" s="2" t="s">
        <v>9</v>
      </c>
      <c r="X32" s="2">
        <v>2</v>
      </c>
      <c r="Y32" s="2" t="s">
        <v>12</v>
      </c>
      <c r="Z32" s="2" t="s">
        <v>771</v>
      </c>
      <c r="AA32" s="2" t="s">
        <v>15</v>
      </c>
      <c r="AB32" s="2" t="s">
        <v>15</v>
      </c>
      <c r="AC32" s="2" t="s">
        <v>15</v>
      </c>
      <c r="AD32" s="2" t="s">
        <v>15</v>
      </c>
      <c r="AE32" s="2" t="s">
        <v>15</v>
      </c>
      <c r="AF32" s="2">
        <v>1</v>
      </c>
      <c r="AG32" s="2" t="s">
        <v>772</v>
      </c>
      <c r="AH32" s="2" t="s">
        <v>17</v>
      </c>
      <c r="AI32" s="4">
        <v>0.1</v>
      </c>
      <c r="AJ32" s="2" t="s">
        <v>17</v>
      </c>
      <c r="AK32" s="2" t="s">
        <v>9</v>
      </c>
      <c r="AL32" s="2" t="s">
        <v>17</v>
      </c>
      <c r="AM32" s="2" t="s">
        <v>17</v>
      </c>
      <c r="AN32" s="2" t="s">
        <v>17</v>
      </c>
      <c r="AO32" s="2" t="s">
        <v>17</v>
      </c>
      <c r="AP32" s="2" t="s">
        <v>9</v>
      </c>
      <c r="AQ32" s="2" t="s">
        <v>17</v>
      </c>
      <c r="AR32" s="2" t="s">
        <v>17</v>
      </c>
      <c r="AS32" s="2" t="s">
        <v>17</v>
      </c>
      <c r="AT32" s="2">
        <v>0</v>
      </c>
      <c r="AU32" s="5">
        <v>20000</v>
      </c>
      <c r="AV32" s="5">
        <v>340000</v>
      </c>
      <c r="AW32" s="2">
        <v>0</v>
      </c>
      <c r="AX32" s="2">
        <v>6</v>
      </c>
      <c r="AY32" s="2">
        <v>0</v>
      </c>
      <c r="AZ32" s="2">
        <v>18</v>
      </c>
      <c r="BA32" s="2">
        <v>0</v>
      </c>
      <c r="BB32" s="2">
        <v>1</v>
      </c>
      <c r="BC32" s="2">
        <v>1</v>
      </c>
      <c r="BD32" s="2">
        <v>0</v>
      </c>
      <c r="BE32" s="2">
        <v>0</v>
      </c>
      <c r="BF32" s="2">
        <v>1</v>
      </c>
      <c r="BG32" s="2">
        <v>0</v>
      </c>
      <c r="BH32" s="2">
        <v>0</v>
      </c>
      <c r="BI32" s="2">
        <v>13</v>
      </c>
      <c r="BJ32" s="2">
        <v>1</v>
      </c>
      <c r="BK32" s="2">
        <v>0</v>
      </c>
      <c r="BL32" s="2">
        <v>3</v>
      </c>
      <c r="BM32" s="2">
        <v>0</v>
      </c>
      <c r="BN32" s="2">
        <v>12</v>
      </c>
      <c r="BO32" s="2">
        <v>11</v>
      </c>
      <c r="BP32" s="2">
        <v>0</v>
      </c>
      <c r="BQ32" s="2">
        <v>10</v>
      </c>
      <c r="BR32" s="2">
        <v>11.62</v>
      </c>
      <c r="BS32" s="2">
        <v>0</v>
      </c>
      <c r="BT32" s="4">
        <v>0.06</v>
      </c>
      <c r="BU32" s="2" t="s">
        <v>9</v>
      </c>
      <c r="BV32" s="6">
        <v>202838.21</v>
      </c>
      <c r="BW32" s="2" t="s">
        <v>18</v>
      </c>
      <c r="BX32" s="2" t="s">
        <v>17</v>
      </c>
      <c r="BY32" s="2" t="s">
        <v>17</v>
      </c>
      <c r="BZ32" s="2" t="s">
        <v>17</v>
      </c>
      <c r="CA32" s="2" t="s">
        <v>17</v>
      </c>
      <c r="CB32" s="2" t="s">
        <v>17</v>
      </c>
      <c r="CC32" s="2" t="s">
        <v>17</v>
      </c>
      <c r="CD32" s="2" t="s">
        <v>17</v>
      </c>
      <c r="CE32" s="2" t="s">
        <v>773</v>
      </c>
      <c r="CF32" s="2" t="s">
        <v>17</v>
      </c>
      <c r="CG32" s="2" t="s">
        <v>649</v>
      </c>
      <c r="CH32" s="2"/>
      <c r="CI32" s="2"/>
      <c r="CJ32" s="2" t="s">
        <v>9</v>
      </c>
      <c r="CK32" s="2" t="s">
        <v>650</v>
      </c>
      <c r="CL32" s="2" t="s">
        <v>649</v>
      </c>
      <c r="CM32" s="2" t="s">
        <v>651</v>
      </c>
      <c r="CN32" s="2" t="s">
        <v>464</v>
      </c>
      <c r="CO32" s="2" t="s">
        <v>24</v>
      </c>
      <c r="CP32" s="2"/>
      <c r="CQ32" s="2">
        <v>72</v>
      </c>
      <c r="CR32" s="2" t="s">
        <v>331</v>
      </c>
      <c r="CS32" s="2">
        <v>2020</v>
      </c>
      <c r="CT32" s="2" t="s">
        <v>26</v>
      </c>
      <c r="CU32" s="2" t="s">
        <v>27</v>
      </c>
      <c r="CV32" s="2" t="s">
        <v>652</v>
      </c>
      <c r="CW32" s="2" t="s">
        <v>653</v>
      </c>
      <c r="CX32" s="2" t="s">
        <v>24</v>
      </c>
      <c r="CY32" s="2"/>
      <c r="CZ32" s="2">
        <v>96</v>
      </c>
      <c r="DA32" s="2" t="s">
        <v>331</v>
      </c>
      <c r="DB32" s="2">
        <v>2016</v>
      </c>
      <c r="DC32" s="2" t="s">
        <v>30</v>
      </c>
      <c r="DD32" s="2" t="s">
        <v>27</v>
      </c>
      <c r="DE32" s="2" t="s">
        <v>654</v>
      </c>
      <c r="DF32" s="2" t="s">
        <v>655</v>
      </c>
      <c r="DG32" s="2" t="s">
        <v>24</v>
      </c>
      <c r="DH32" s="2"/>
      <c r="DI32" s="2">
        <v>91</v>
      </c>
      <c r="DJ32" s="2" t="s">
        <v>331</v>
      </c>
      <c r="DK32" s="2">
        <v>2016</v>
      </c>
      <c r="DL32" s="2" t="s">
        <v>30</v>
      </c>
      <c r="DM32" s="2" t="s">
        <v>27</v>
      </c>
      <c r="DN32" s="2" t="s">
        <v>33</v>
      </c>
      <c r="DO32" s="2" t="s">
        <v>656</v>
      </c>
      <c r="DP32" s="2" t="s">
        <v>657</v>
      </c>
      <c r="DQ32" s="2" t="s">
        <v>658</v>
      </c>
      <c r="DR32" s="2" t="s">
        <v>659</v>
      </c>
      <c r="DS32" s="2">
        <v>1</v>
      </c>
      <c r="DT32" s="2" t="s">
        <v>660</v>
      </c>
      <c r="DU32" s="2" t="s">
        <v>661</v>
      </c>
      <c r="DV32" s="2" t="s">
        <v>39</v>
      </c>
      <c r="DW32" s="2">
        <v>32751</v>
      </c>
      <c r="DX32" s="2" t="s">
        <v>662</v>
      </c>
      <c r="DY32" s="2"/>
      <c r="DZ32" s="2" t="s">
        <v>663</v>
      </c>
      <c r="EA32" s="2" t="s">
        <v>659</v>
      </c>
      <c r="EB32" s="2" t="s">
        <v>652</v>
      </c>
      <c r="EC32" s="2" t="s">
        <v>653</v>
      </c>
      <c r="ED32" s="2" t="s">
        <v>44</v>
      </c>
      <c r="EE32" s="2">
        <v>96</v>
      </c>
      <c r="EF32" s="2" t="s">
        <v>342</v>
      </c>
      <c r="EG32" s="2">
        <v>7</v>
      </c>
      <c r="EH32" s="2" t="s">
        <v>46</v>
      </c>
      <c r="EI32" s="2" t="s">
        <v>47</v>
      </c>
      <c r="EJ32" s="2" t="s">
        <v>651</v>
      </c>
      <c r="EK32" s="2" t="s">
        <v>464</v>
      </c>
      <c r="EL32" s="2" t="s">
        <v>44</v>
      </c>
      <c r="EM32" s="2">
        <v>72</v>
      </c>
      <c r="EN32" s="2" t="s">
        <v>342</v>
      </c>
      <c r="EO32" s="2">
        <v>3</v>
      </c>
      <c r="EP32" s="2" t="s">
        <v>46</v>
      </c>
      <c r="EQ32" s="2" t="s">
        <v>47</v>
      </c>
      <c r="ER32" s="2" t="s">
        <v>664</v>
      </c>
      <c r="ES32" s="2" t="s">
        <v>665</v>
      </c>
      <c r="ET32" s="2" t="s">
        <v>666</v>
      </c>
      <c r="EU32" s="2" t="s">
        <v>649</v>
      </c>
      <c r="EV32" s="2" t="s">
        <v>667</v>
      </c>
      <c r="EW32" s="2" t="s">
        <v>668</v>
      </c>
      <c r="EX32" s="2" t="s">
        <v>39</v>
      </c>
      <c r="EY32" s="2">
        <v>34236</v>
      </c>
      <c r="EZ32" s="2" t="s">
        <v>669</v>
      </c>
      <c r="FA32" s="2">
        <v>110</v>
      </c>
      <c r="FB32" s="2" t="s">
        <v>670</v>
      </c>
      <c r="FC32" s="2" t="s">
        <v>671</v>
      </c>
      <c r="FD32" s="2" t="s">
        <v>672</v>
      </c>
      <c r="FE32" s="2" t="s">
        <v>673</v>
      </c>
      <c r="FF32" s="2" t="s">
        <v>649</v>
      </c>
      <c r="FG32" s="2" t="s">
        <v>667</v>
      </c>
      <c r="FH32" s="2" t="s">
        <v>668</v>
      </c>
      <c r="FI32" s="2" t="s">
        <v>39</v>
      </c>
      <c r="FJ32" s="2">
        <v>34236</v>
      </c>
      <c r="FK32" s="2" t="s">
        <v>669</v>
      </c>
      <c r="FL32" s="2">
        <v>130</v>
      </c>
      <c r="FM32" s="2" t="s">
        <v>674</v>
      </c>
      <c r="FN32" s="2" t="s">
        <v>774</v>
      </c>
      <c r="FO32" s="2" t="s">
        <v>63</v>
      </c>
      <c r="FP32" s="2" t="s">
        <v>64</v>
      </c>
      <c r="FQ32" s="2" t="s">
        <v>9</v>
      </c>
      <c r="FR32" s="2" t="s">
        <v>17</v>
      </c>
      <c r="FS32" s="2" t="s">
        <v>17</v>
      </c>
      <c r="FT32" s="2" t="s">
        <v>9</v>
      </c>
      <c r="FU32" s="2">
        <v>0</v>
      </c>
      <c r="FV32" s="2">
        <v>0</v>
      </c>
      <c r="FW32" s="4">
        <v>0</v>
      </c>
      <c r="FX32" s="4">
        <v>0</v>
      </c>
      <c r="FY32" s="2" t="s">
        <v>65</v>
      </c>
      <c r="FZ32" s="2" t="s">
        <v>66</v>
      </c>
      <c r="GA32" s="2" t="s">
        <v>67</v>
      </c>
      <c r="GB32" s="2"/>
      <c r="GC32" s="2"/>
      <c r="GD32" s="2"/>
      <c r="GE32" s="2" t="s">
        <v>68</v>
      </c>
      <c r="GF32" s="2">
        <v>76</v>
      </c>
      <c r="GG32" s="2">
        <v>76</v>
      </c>
      <c r="GH32" s="2"/>
      <c r="GI32" s="2"/>
      <c r="GJ32" s="2"/>
      <c r="GK32" s="2"/>
      <c r="GL32" s="2"/>
      <c r="GM32" s="2"/>
      <c r="GN32" s="2"/>
      <c r="GO32" s="2"/>
      <c r="GP32" s="2"/>
      <c r="GQ32" s="2">
        <v>76</v>
      </c>
      <c r="GR32" s="2" t="s">
        <v>775</v>
      </c>
      <c r="GS32" s="2" t="s">
        <v>70</v>
      </c>
      <c r="GT32" s="2" t="s">
        <v>776</v>
      </c>
      <c r="GU32" s="2" t="s">
        <v>777</v>
      </c>
      <c r="GV32" s="2" t="s">
        <v>17</v>
      </c>
      <c r="GW32" s="2">
        <v>28.523633</v>
      </c>
      <c r="GX32" s="2">
        <v>-82.568196</v>
      </c>
      <c r="GY32" s="2"/>
      <c r="GZ32" s="2" t="s">
        <v>17</v>
      </c>
      <c r="HA32" s="2" t="s">
        <v>17</v>
      </c>
      <c r="HB32" s="2">
        <v>0</v>
      </c>
      <c r="HC32" s="2" t="s">
        <v>17</v>
      </c>
      <c r="HD32" s="2"/>
      <c r="HE32" s="2">
        <v>0</v>
      </c>
      <c r="HF32" s="2">
        <v>28.519677000000001</v>
      </c>
      <c r="HG32" s="2">
        <v>-82.567684</v>
      </c>
      <c r="HH32" s="2">
        <v>0.28000000000000003</v>
      </c>
      <c r="HI32" s="2">
        <v>2</v>
      </c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 t="s">
        <v>73</v>
      </c>
      <c r="HY32" s="2" t="s">
        <v>17</v>
      </c>
      <c r="HZ32" s="2"/>
      <c r="IA32" s="2" t="s">
        <v>167</v>
      </c>
      <c r="IB32" s="2" t="s">
        <v>778</v>
      </c>
      <c r="IC32" s="2">
        <v>0.17</v>
      </c>
      <c r="ID32" s="2">
        <v>4</v>
      </c>
      <c r="IE32" s="2"/>
      <c r="IF32" s="2"/>
      <c r="IG32" s="2"/>
      <c r="IH32" s="2" t="s">
        <v>527</v>
      </c>
      <c r="II32" s="2">
        <v>0.43</v>
      </c>
      <c r="IJ32" s="2">
        <v>3.5</v>
      </c>
      <c r="IK32" s="2" t="s">
        <v>779</v>
      </c>
      <c r="IL32" s="2" t="s">
        <v>780</v>
      </c>
      <c r="IM32" s="2">
        <v>0.93</v>
      </c>
      <c r="IN32" s="2">
        <v>3</v>
      </c>
      <c r="IO32" s="2" t="s">
        <v>17</v>
      </c>
      <c r="IP32" s="2">
        <v>2</v>
      </c>
      <c r="IQ32" s="2">
        <v>10.5</v>
      </c>
      <c r="IR32" s="2">
        <v>0</v>
      </c>
      <c r="IS32" s="2">
        <v>12.5</v>
      </c>
      <c r="IT32" s="2" t="s">
        <v>17</v>
      </c>
      <c r="IU32" s="2" t="s">
        <v>17</v>
      </c>
      <c r="IV32" s="2" t="s">
        <v>17</v>
      </c>
      <c r="IW32" s="2" t="s">
        <v>9</v>
      </c>
      <c r="IX32" s="2" t="s">
        <v>9</v>
      </c>
      <c r="IY32" s="2">
        <v>12.5</v>
      </c>
      <c r="IZ32" s="2">
        <v>76</v>
      </c>
      <c r="JA32" s="2" t="s">
        <v>81</v>
      </c>
      <c r="JB32" s="2" t="s">
        <v>173</v>
      </c>
      <c r="JC32" s="2"/>
      <c r="JD32" s="2"/>
      <c r="JE32" s="7">
        <v>0.1</v>
      </c>
      <c r="JF32" s="2"/>
      <c r="JG32" s="7">
        <v>0.9</v>
      </c>
      <c r="JH32" s="7">
        <v>0</v>
      </c>
      <c r="JI32" s="2">
        <v>76</v>
      </c>
      <c r="JJ32" s="7">
        <v>1</v>
      </c>
      <c r="JK32" s="2">
        <v>76</v>
      </c>
      <c r="JL32" s="7">
        <v>1</v>
      </c>
      <c r="JM32" s="2"/>
      <c r="JN32" s="2"/>
      <c r="JO32" s="2"/>
      <c r="JP32" s="2"/>
      <c r="JQ32" s="2"/>
      <c r="JR32" s="2"/>
      <c r="JS32" s="2">
        <v>0</v>
      </c>
      <c r="JT32" s="2">
        <v>0</v>
      </c>
      <c r="JU32" s="2"/>
      <c r="JV32" s="2">
        <v>0</v>
      </c>
      <c r="JW32" s="4">
        <v>0</v>
      </c>
      <c r="JX32" s="2">
        <v>0</v>
      </c>
      <c r="JY32" s="4">
        <v>0</v>
      </c>
      <c r="JZ32" s="2">
        <v>0</v>
      </c>
      <c r="KA32" s="2"/>
      <c r="KB32" s="2"/>
      <c r="KC32" s="2"/>
      <c r="KD32" s="2"/>
      <c r="KE32" s="2"/>
      <c r="KF32" s="2"/>
      <c r="KG32" s="2"/>
      <c r="KH32" s="2">
        <v>24</v>
      </c>
      <c r="KI32" s="2"/>
      <c r="KJ32" s="2"/>
      <c r="KK32" s="2">
        <v>36</v>
      </c>
      <c r="KL32" s="2">
        <v>16</v>
      </c>
      <c r="KM32" s="2"/>
      <c r="KN32" s="2"/>
      <c r="KO32" s="2"/>
      <c r="KP32" s="2"/>
      <c r="KQ32" s="2" t="s">
        <v>83</v>
      </c>
      <c r="KR32" s="2" t="s">
        <v>73</v>
      </c>
      <c r="KS32" s="2"/>
      <c r="KT32" s="2">
        <v>4</v>
      </c>
      <c r="KU32" s="2" t="s">
        <v>84</v>
      </c>
      <c r="KV32" s="2" t="s">
        <v>85</v>
      </c>
      <c r="KW32" s="2" t="s">
        <v>530</v>
      </c>
      <c r="KX32" s="2" t="s">
        <v>17</v>
      </c>
      <c r="KY32" s="2" t="s">
        <v>17</v>
      </c>
      <c r="KZ32" s="2" t="s">
        <v>17</v>
      </c>
      <c r="LA32" s="2" t="s">
        <v>17</v>
      </c>
      <c r="LB32" s="2" t="s">
        <v>17</v>
      </c>
      <c r="LC32" s="2" t="s">
        <v>17</v>
      </c>
      <c r="LD32" s="2" t="s">
        <v>17</v>
      </c>
      <c r="LE32" s="2" t="s">
        <v>17</v>
      </c>
      <c r="LF32" s="2" t="s">
        <v>17</v>
      </c>
      <c r="LG32" s="2" t="s">
        <v>17</v>
      </c>
      <c r="LH32" s="2" t="s">
        <v>17</v>
      </c>
      <c r="LI32" s="2" t="s">
        <v>17</v>
      </c>
      <c r="LJ32" s="2" t="s">
        <v>87</v>
      </c>
      <c r="LK32" s="2" t="s">
        <v>17</v>
      </c>
      <c r="LL32" s="2" t="s">
        <v>17</v>
      </c>
      <c r="LM32" s="2">
        <v>0</v>
      </c>
      <c r="LN32" s="2" t="s">
        <v>17</v>
      </c>
      <c r="LO32" s="2" t="s">
        <v>17</v>
      </c>
      <c r="LP32" s="2" t="s">
        <v>9</v>
      </c>
      <c r="LQ32" s="2" t="s">
        <v>17</v>
      </c>
      <c r="LR32" s="2" t="s">
        <v>9</v>
      </c>
      <c r="LS32" s="2" t="s">
        <v>9</v>
      </c>
      <c r="LT32" s="2" t="s">
        <v>17</v>
      </c>
      <c r="LU32" s="2" t="s">
        <v>17</v>
      </c>
      <c r="LV32" s="2" t="s">
        <v>17</v>
      </c>
      <c r="LW32" s="2" t="s">
        <v>17</v>
      </c>
      <c r="LX32" s="2" t="s">
        <v>17</v>
      </c>
      <c r="LY32" s="5">
        <v>6080000</v>
      </c>
      <c r="LZ32" s="5">
        <v>0</v>
      </c>
      <c r="MA32" s="5">
        <v>7200000</v>
      </c>
      <c r="MB32" s="5">
        <v>0</v>
      </c>
      <c r="MC32" s="5">
        <v>0</v>
      </c>
      <c r="MD32" s="5">
        <v>0</v>
      </c>
      <c r="ME32" s="5">
        <v>7980000</v>
      </c>
      <c r="MF32" s="5">
        <v>0</v>
      </c>
      <c r="MG32" s="5">
        <v>0</v>
      </c>
      <c r="MH32" s="5">
        <v>0</v>
      </c>
      <c r="MI32" s="5">
        <v>0</v>
      </c>
      <c r="MJ32" s="5">
        <v>0</v>
      </c>
      <c r="MK32" s="5">
        <v>0</v>
      </c>
      <c r="ML32" s="2">
        <v>0</v>
      </c>
      <c r="MM32" s="5">
        <v>0</v>
      </c>
      <c r="MN32" s="5">
        <v>0</v>
      </c>
      <c r="MO32" s="2">
        <v>0</v>
      </c>
      <c r="MP32" s="2">
        <v>0</v>
      </c>
      <c r="MQ32" s="2">
        <v>0</v>
      </c>
      <c r="MR32" s="5">
        <v>2950000</v>
      </c>
      <c r="MS32" s="5">
        <v>0</v>
      </c>
      <c r="MT32" s="5">
        <v>4600000</v>
      </c>
      <c r="MU32" s="5">
        <v>0</v>
      </c>
      <c r="MV32" s="5">
        <v>0</v>
      </c>
      <c r="MW32" s="5">
        <v>0</v>
      </c>
      <c r="MX32" s="5">
        <v>0</v>
      </c>
      <c r="MY32" s="5">
        <v>2500000</v>
      </c>
      <c r="MZ32" s="5">
        <v>0</v>
      </c>
      <c r="NA32" s="5">
        <v>5000000</v>
      </c>
      <c r="NB32" s="5">
        <v>0</v>
      </c>
      <c r="NC32" s="5">
        <v>0</v>
      </c>
      <c r="ND32" s="5">
        <v>0</v>
      </c>
      <c r="NE32" s="5">
        <v>0</v>
      </c>
      <c r="NF32" s="5">
        <v>0</v>
      </c>
      <c r="NG32" s="5">
        <v>2142000</v>
      </c>
      <c r="NH32" s="5">
        <v>2140000</v>
      </c>
      <c r="NI32" s="5">
        <v>2140000</v>
      </c>
      <c r="NJ32" s="5">
        <v>0</v>
      </c>
      <c r="NK32" s="5"/>
      <c r="NL32" s="2" t="s">
        <v>17</v>
      </c>
      <c r="NM32" s="2" t="s">
        <v>17</v>
      </c>
      <c r="NN32" s="2"/>
      <c r="NO32" s="2" t="s">
        <v>17</v>
      </c>
      <c r="NP32" s="2"/>
      <c r="NQ32" s="2"/>
      <c r="NR32" s="2" t="s">
        <v>17</v>
      </c>
      <c r="NS32" s="2"/>
      <c r="NT32" s="2" t="s">
        <v>17</v>
      </c>
      <c r="NU32" s="2"/>
      <c r="NV32" s="2"/>
      <c r="NW32" s="2"/>
      <c r="NX32" s="2" t="s">
        <v>9</v>
      </c>
      <c r="NY32" s="2" t="s">
        <v>88</v>
      </c>
      <c r="NZ32" s="2">
        <v>407.02</v>
      </c>
      <c r="OA32" s="2" t="s">
        <v>781</v>
      </c>
      <c r="OB32" s="2" t="s">
        <v>782</v>
      </c>
      <c r="OC32" s="2" t="s">
        <v>782</v>
      </c>
      <c r="OD32" s="2" t="s">
        <v>17</v>
      </c>
      <c r="OE32" s="2"/>
      <c r="OF32" s="2" t="s">
        <v>17</v>
      </c>
      <c r="OG32" s="2" t="s">
        <v>9</v>
      </c>
      <c r="OH32" s="2" t="s">
        <v>92</v>
      </c>
      <c r="OI32" s="2"/>
      <c r="OJ32" s="2"/>
      <c r="OK32" s="2" t="s">
        <v>17</v>
      </c>
      <c r="OL32" s="2" t="s">
        <v>17</v>
      </c>
      <c r="OM32" s="2" t="s">
        <v>85</v>
      </c>
      <c r="ON32" s="6">
        <v>0</v>
      </c>
      <c r="OO32" s="6">
        <v>0</v>
      </c>
      <c r="OP32" s="2" t="s">
        <v>93</v>
      </c>
      <c r="OQ32" s="2" t="s">
        <v>93</v>
      </c>
      <c r="OR32" s="6">
        <v>0</v>
      </c>
      <c r="OS32" s="4">
        <v>0</v>
      </c>
      <c r="OT32" s="2" t="s">
        <v>17</v>
      </c>
      <c r="OU32" s="2" t="s">
        <v>17</v>
      </c>
      <c r="OV32" s="2"/>
      <c r="OW32" s="2"/>
      <c r="OX32" s="5">
        <v>15415704</v>
      </c>
      <c r="OY32" s="6">
        <v>202838.21</v>
      </c>
      <c r="OZ32" s="2"/>
      <c r="PA32" s="2"/>
      <c r="PB32" s="8">
        <v>12490203</v>
      </c>
      <c r="PC32" s="2"/>
      <c r="PD32" s="8">
        <v>12490203</v>
      </c>
      <c r="PE32" s="8">
        <v>900000</v>
      </c>
      <c r="PF32" s="8">
        <v>100000</v>
      </c>
      <c r="PG32" s="8">
        <v>1000000</v>
      </c>
      <c r="PH32" s="2"/>
      <c r="PI32" s="2"/>
      <c r="PJ32" s="2"/>
      <c r="PK32" s="8">
        <v>13390203</v>
      </c>
      <c r="PL32" s="8">
        <v>100000</v>
      </c>
      <c r="PM32" s="8">
        <v>13490203</v>
      </c>
      <c r="PN32" s="8">
        <v>1800565</v>
      </c>
      <c r="PO32" s="2"/>
      <c r="PP32" s="8">
        <v>1800565</v>
      </c>
      <c r="PQ32" s="6">
        <v>1888628</v>
      </c>
      <c r="PR32" s="8">
        <v>15190768</v>
      </c>
      <c r="PS32" s="8">
        <v>100000</v>
      </c>
      <c r="PT32" s="8">
        <v>15290768</v>
      </c>
      <c r="PU32" s="8">
        <v>733088</v>
      </c>
      <c r="PV32" s="2"/>
      <c r="PW32" s="8">
        <v>733088</v>
      </c>
      <c r="PX32" s="6">
        <v>764538.4</v>
      </c>
      <c r="PY32" s="8">
        <v>706612</v>
      </c>
      <c r="PZ32" s="8">
        <v>30000</v>
      </c>
      <c r="QA32" s="8">
        <v>736612</v>
      </c>
      <c r="QB32" s="8">
        <v>111755</v>
      </c>
      <c r="QC32" s="2"/>
      <c r="QD32" s="8">
        <v>111755</v>
      </c>
      <c r="QE32" s="8">
        <v>855585</v>
      </c>
      <c r="QF32" s="8">
        <v>33937</v>
      </c>
      <c r="QG32" s="8">
        <v>889522</v>
      </c>
      <c r="QH32" s="2"/>
      <c r="QI32" s="8">
        <v>361775</v>
      </c>
      <c r="QJ32" s="8">
        <v>361775</v>
      </c>
      <c r="QK32" s="2"/>
      <c r="QL32" s="2"/>
      <c r="QM32" s="2"/>
      <c r="QN32" s="2"/>
      <c r="QO32" s="2"/>
      <c r="QP32" s="2"/>
      <c r="QQ32" s="8">
        <v>1673952</v>
      </c>
      <c r="QR32" s="8">
        <v>425712</v>
      </c>
      <c r="QS32" s="8">
        <v>2099664</v>
      </c>
      <c r="QT32" s="8">
        <v>98403</v>
      </c>
      <c r="QU32" s="2"/>
      <c r="QV32" s="8">
        <v>98403</v>
      </c>
      <c r="QW32" s="6">
        <v>104983.2</v>
      </c>
      <c r="QX32" s="8">
        <v>927925</v>
      </c>
      <c r="QY32" s="2"/>
      <c r="QZ32" s="8">
        <v>927925</v>
      </c>
      <c r="RA32" s="8">
        <v>70624</v>
      </c>
      <c r="RB32" s="8">
        <v>70624</v>
      </c>
      <c r="RC32" s="2"/>
      <c r="RD32" s="2"/>
      <c r="RE32" s="2"/>
      <c r="RF32" s="8">
        <v>927925</v>
      </c>
      <c r="RG32" s="8">
        <v>70624</v>
      </c>
      <c r="RH32" s="8">
        <v>998549</v>
      </c>
      <c r="RI32" s="2"/>
      <c r="RJ32" s="2"/>
      <c r="RK32" s="2"/>
      <c r="RL32" s="2"/>
      <c r="RM32" s="8">
        <v>18624136</v>
      </c>
      <c r="RN32" s="8">
        <v>596336</v>
      </c>
      <c r="RO32" s="8">
        <v>19220472</v>
      </c>
      <c r="RP32" s="2"/>
      <c r="RQ32" s="2"/>
      <c r="RR32" s="2">
        <v>0</v>
      </c>
      <c r="RS32" s="6">
        <v>0</v>
      </c>
      <c r="RT32" s="8">
        <v>3017996</v>
      </c>
      <c r="RU32" s="2"/>
      <c r="RV32" s="8">
        <v>3017996</v>
      </c>
      <c r="RW32" s="6">
        <v>3075275</v>
      </c>
      <c r="RX32" s="6">
        <v>0</v>
      </c>
      <c r="RY32" s="8">
        <v>3017996</v>
      </c>
      <c r="RZ32" s="2"/>
      <c r="SA32" s="8">
        <v>3017996</v>
      </c>
      <c r="SB32" s="6">
        <v>3075275</v>
      </c>
      <c r="SC32" s="2"/>
      <c r="SD32" s="2"/>
      <c r="SE32" s="6">
        <v>266000</v>
      </c>
      <c r="SF32" s="8">
        <v>2150000</v>
      </c>
      <c r="SG32" s="8">
        <v>2150000</v>
      </c>
      <c r="SH32" s="8">
        <v>21642132</v>
      </c>
      <c r="SI32" s="8">
        <v>2746336</v>
      </c>
      <c r="SJ32" s="8">
        <v>24388468</v>
      </c>
      <c r="SK32" s="2" t="s">
        <v>783</v>
      </c>
      <c r="SL32" s="2"/>
      <c r="SM32" s="2"/>
      <c r="SN32" s="2"/>
      <c r="SO32" s="2"/>
      <c r="SP32" s="8">
        <v>11466124</v>
      </c>
      <c r="SQ32" s="2" t="s">
        <v>95</v>
      </c>
      <c r="SR32" s="2"/>
      <c r="SS32" s="2"/>
      <c r="ST32" s="2"/>
      <c r="SU32" s="2"/>
      <c r="SV32" s="2"/>
      <c r="SW32" s="2"/>
      <c r="SX32" s="2" t="s">
        <v>96</v>
      </c>
      <c r="SY32" s="2" t="s">
        <v>96</v>
      </c>
      <c r="SZ32" s="2" t="s">
        <v>96</v>
      </c>
      <c r="TA32" s="2" t="s">
        <v>96</v>
      </c>
      <c r="TB32" s="8">
        <v>10904349</v>
      </c>
      <c r="TC32" s="2"/>
      <c r="TD32" s="2"/>
      <c r="TE32" s="2"/>
      <c r="TF32" s="2"/>
      <c r="TG32" s="2"/>
      <c r="TH32" s="2"/>
      <c r="TI32" s="8">
        <v>2017995</v>
      </c>
      <c r="TJ32" s="8">
        <v>24388468</v>
      </c>
      <c r="TK32" s="2">
        <v>0</v>
      </c>
      <c r="TL32" s="2" t="s">
        <v>9</v>
      </c>
      <c r="TM32" s="8">
        <v>3334334</v>
      </c>
      <c r="TN32" s="2" t="s">
        <v>95</v>
      </c>
      <c r="TO32" s="2"/>
      <c r="TP32" s="2"/>
      <c r="TQ32" s="2"/>
      <c r="TR32" s="2"/>
      <c r="TS32" s="2"/>
      <c r="TT32" s="2"/>
      <c r="TU32" s="2" t="s">
        <v>96</v>
      </c>
      <c r="TV32" s="8">
        <v>19472053</v>
      </c>
      <c r="TW32" s="2"/>
      <c r="TX32" s="2"/>
      <c r="TY32" s="2"/>
      <c r="TZ32" s="2"/>
      <c r="UA32" s="2"/>
      <c r="UB32" s="2"/>
      <c r="UC32" s="8">
        <v>1582081</v>
      </c>
      <c r="UD32" s="8">
        <v>24388468</v>
      </c>
      <c r="UE32" s="6">
        <v>3334334</v>
      </c>
      <c r="UF32" s="2">
        <v>0</v>
      </c>
      <c r="UG32" s="2" t="s">
        <v>9</v>
      </c>
      <c r="UH32" s="2">
        <v>76</v>
      </c>
      <c r="UI32" s="5">
        <v>240000</v>
      </c>
      <c r="UJ32" s="6">
        <v>320000</v>
      </c>
      <c r="UK32" s="6">
        <v>320000</v>
      </c>
      <c r="UL32" s="6">
        <v>339200</v>
      </c>
      <c r="UM32" s="6">
        <v>25779200</v>
      </c>
      <c r="UN32" s="6">
        <v>4124672</v>
      </c>
      <c r="UO32" s="6">
        <v>4124672</v>
      </c>
      <c r="UP32" s="6">
        <v>29903872</v>
      </c>
      <c r="UQ32" s="6">
        <v>22238468</v>
      </c>
      <c r="UR32" s="2"/>
      <c r="US32" s="2"/>
      <c r="UT32" s="6">
        <v>0</v>
      </c>
      <c r="UU32" s="2"/>
      <c r="UV32" s="6">
        <v>0</v>
      </c>
      <c r="UW32" s="6">
        <v>0</v>
      </c>
      <c r="UX32" s="6">
        <v>0</v>
      </c>
      <c r="UY32" s="6">
        <v>0</v>
      </c>
      <c r="UZ32" s="2"/>
      <c r="VA32" s="2"/>
      <c r="VB32" s="2"/>
      <c r="VC32" s="2"/>
      <c r="VD32" s="2"/>
      <c r="VE32" s="2" t="s">
        <v>17</v>
      </c>
      <c r="VF32" s="2"/>
      <c r="VG32" s="2" t="s">
        <v>17</v>
      </c>
      <c r="VH32" s="2"/>
      <c r="VI32" s="388" t="s">
        <v>650</v>
      </c>
      <c r="VJ32" s="2" t="s">
        <v>98</v>
      </c>
      <c r="VK32" s="2" t="s">
        <v>685</v>
      </c>
      <c r="VL32" s="23">
        <f t="shared" si="0"/>
        <v>144</v>
      </c>
      <c r="VM32" s="17">
        <f t="shared" si="1"/>
        <v>1.8947368421052631</v>
      </c>
      <c r="VN32" s="17" t="str">
        <f t="shared" si="12"/>
        <v>NC-GA-F</v>
      </c>
      <c r="VO32" s="17" t="str">
        <f t="shared" si="13"/>
        <v>NC-GA-F-ESS</v>
      </c>
      <c r="VP32" s="12">
        <v>9</v>
      </c>
      <c r="VQ32" s="57">
        <v>1</v>
      </c>
      <c r="VR32" s="57">
        <f t="shared" si="2"/>
        <v>1</v>
      </c>
      <c r="VS32" s="14">
        <f t="shared" si="3"/>
        <v>1</v>
      </c>
      <c r="VT32" s="12">
        <f t="shared" si="4"/>
        <v>0.93</v>
      </c>
      <c r="VU32" s="16">
        <f t="shared" si="5"/>
        <v>17911800</v>
      </c>
      <c r="VV32" s="16">
        <f t="shared" si="6"/>
        <v>235681.57894736843</v>
      </c>
      <c r="VW32" s="12" t="str">
        <f t="shared" si="14"/>
        <v>A</v>
      </c>
      <c r="VX32" s="12" t="str">
        <f t="shared" si="15"/>
        <v>NC-GA-ESS</v>
      </c>
      <c r="VY32" s="351">
        <f t="shared" si="16"/>
        <v>4</v>
      </c>
      <c r="WA32" s="12">
        <f t="shared" si="17"/>
        <v>0</v>
      </c>
      <c r="WB32" s="12">
        <f t="shared" si="18"/>
        <v>0</v>
      </c>
      <c r="WC32" s="12">
        <f t="shared" si="18"/>
        <v>0</v>
      </c>
      <c r="WD32" s="12">
        <f t="shared" si="18"/>
        <v>0</v>
      </c>
      <c r="WE32" s="12">
        <f t="shared" si="19"/>
        <v>1</v>
      </c>
      <c r="WF32" s="12">
        <f t="shared" si="7"/>
        <v>1</v>
      </c>
      <c r="WG32" s="12">
        <f t="shared" si="8"/>
        <v>0</v>
      </c>
      <c r="WH32" s="12">
        <f t="shared" si="9"/>
        <v>0</v>
      </c>
      <c r="WI32" s="31">
        <f t="shared" si="10"/>
        <v>2</v>
      </c>
      <c r="WJ32" s="2"/>
      <c r="WK32" s="443" t="str">
        <f t="shared" si="20"/>
        <v>NC-GA-ESS-BBN-BRN-NPH-F</v>
      </c>
      <c r="WL32" s="443"/>
      <c r="WM32" s="443"/>
    </row>
    <row r="33" spans="1:611" x14ac:dyDescent="0.25">
      <c r="A33" s="2">
        <v>9350</v>
      </c>
      <c r="B33" s="2" t="s">
        <v>100</v>
      </c>
      <c r="C33" s="2" t="s">
        <v>8</v>
      </c>
      <c r="D33" s="3">
        <v>45135</v>
      </c>
      <c r="E33" s="2" t="s">
        <v>9</v>
      </c>
      <c r="F33" s="2">
        <v>3</v>
      </c>
      <c r="G33" s="2" t="s">
        <v>9</v>
      </c>
      <c r="H33" s="2">
        <v>3</v>
      </c>
      <c r="I33" s="2" t="s">
        <v>9</v>
      </c>
      <c r="J33" s="2">
        <v>3</v>
      </c>
      <c r="K33" s="2" t="s">
        <v>9</v>
      </c>
      <c r="L33" s="2">
        <v>3</v>
      </c>
      <c r="M33" s="2" t="s">
        <v>10</v>
      </c>
      <c r="N33" s="2">
        <v>0</v>
      </c>
      <c r="O33" s="2" t="s">
        <v>10</v>
      </c>
      <c r="P33" s="2">
        <v>0</v>
      </c>
      <c r="Q33" s="2" t="s">
        <v>11</v>
      </c>
      <c r="R33" s="2">
        <v>0</v>
      </c>
      <c r="S33" s="2" t="s">
        <v>9</v>
      </c>
      <c r="T33" s="2">
        <v>2</v>
      </c>
      <c r="U33" s="2" t="s">
        <v>9</v>
      </c>
      <c r="V33" s="2">
        <v>2</v>
      </c>
      <c r="W33" s="2" t="s">
        <v>9</v>
      </c>
      <c r="X33" s="2">
        <v>2</v>
      </c>
      <c r="Y33" s="2" t="s">
        <v>12</v>
      </c>
      <c r="Z33" s="2" t="s">
        <v>101</v>
      </c>
      <c r="AA33" s="2" t="s">
        <v>15</v>
      </c>
      <c r="AB33" s="2" t="s">
        <v>15</v>
      </c>
      <c r="AC33" s="2" t="s">
        <v>15</v>
      </c>
      <c r="AD33" s="2" t="s">
        <v>15</v>
      </c>
      <c r="AE33" s="2" t="s">
        <v>15</v>
      </c>
      <c r="AF33" s="2">
        <v>1</v>
      </c>
      <c r="AG33" s="2" t="s">
        <v>102</v>
      </c>
      <c r="AH33" s="2" t="s">
        <v>17</v>
      </c>
      <c r="AI33" s="4">
        <v>0.15714</v>
      </c>
      <c r="AJ33" s="2" t="s">
        <v>17</v>
      </c>
      <c r="AK33" s="2" t="s">
        <v>9</v>
      </c>
      <c r="AL33" s="2" t="s">
        <v>17</v>
      </c>
      <c r="AM33" s="2" t="s">
        <v>9</v>
      </c>
      <c r="AN33" s="2" t="s">
        <v>17</v>
      </c>
      <c r="AO33" s="2" t="s">
        <v>17</v>
      </c>
      <c r="AP33" s="2" t="s">
        <v>17</v>
      </c>
      <c r="AQ33" s="2" t="s">
        <v>17</v>
      </c>
      <c r="AR33" s="2" t="s">
        <v>17</v>
      </c>
      <c r="AS33" s="2" t="s">
        <v>17</v>
      </c>
      <c r="AT33" s="2">
        <v>0</v>
      </c>
      <c r="AU33" s="5">
        <v>20000</v>
      </c>
      <c r="AV33" s="5">
        <v>460000</v>
      </c>
      <c r="AW33" s="2">
        <v>0</v>
      </c>
      <c r="AX33" s="2">
        <v>11</v>
      </c>
      <c r="AY33" s="2">
        <v>0</v>
      </c>
      <c r="AZ33" s="2">
        <v>18</v>
      </c>
      <c r="BA33" s="2">
        <v>0</v>
      </c>
      <c r="BB33" s="2">
        <v>1</v>
      </c>
      <c r="BC33" s="2">
        <v>0</v>
      </c>
      <c r="BD33" s="2">
        <v>0</v>
      </c>
      <c r="BE33" s="2">
        <v>0</v>
      </c>
      <c r="BF33" s="2">
        <v>1</v>
      </c>
      <c r="BG33" s="2">
        <v>0</v>
      </c>
      <c r="BH33" s="2">
        <v>0</v>
      </c>
      <c r="BI33" s="2">
        <v>13</v>
      </c>
      <c r="BJ33" s="2">
        <v>1</v>
      </c>
      <c r="BK33" s="2">
        <v>0</v>
      </c>
      <c r="BL33" s="2">
        <v>3</v>
      </c>
      <c r="BM33" s="2">
        <v>2</v>
      </c>
      <c r="BN33" s="2">
        <v>12</v>
      </c>
      <c r="BO33" s="2">
        <v>11</v>
      </c>
      <c r="BP33" s="2">
        <v>0</v>
      </c>
      <c r="BQ33" s="2">
        <v>10</v>
      </c>
      <c r="BR33" s="2">
        <v>10.69</v>
      </c>
      <c r="BS33" s="2">
        <v>0</v>
      </c>
      <c r="BT33" s="4">
        <v>0.06</v>
      </c>
      <c r="BU33" s="2" t="s">
        <v>9</v>
      </c>
      <c r="BV33" s="6">
        <v>203658.3</v>
      </c>
      <c r="BW33" s="2" t="s">
        <v>18</v>
      </c>
      <c r="BX33" s="2" t="s">
        <v>17</v>
      </c>
      <c r="BY33" s="2" t="s">
        <v>17</v>
      </c>
      <c r="BZ33" s="2" t="s">
        <v>17</v>
      </c>
      <c r="CA33" s="2" t="s">
        <v>17</v>
      </c>
      <c r="CB33" s="2" t="s">
        <v>17</v>
      </c>
      <c r="CC33" s="2" t="s">
        <v>17</v>
      </c>
      <c r="CD33" s="2" t="s">
        <v>17</v>
      </c>
      <c r="CE33" s="2" t="s">
        <v>103</v>
      </c>
      <c r="CF33" s="2" t="s">
        <v>9</v>
      </c>
      <c r="CG33" s="2" t="s">
        <v>104</v>
      </c>
      <c r="CH33" s="2"/>
      <c r="CI33" s="2"/>
      <c r="CJ33" s="2" t="s">
        <v>9</v>
      </c>
      <c r="CK33" s="2" t="s">
        <v>21</v>
      </c>
      <c r="CL33" s="2" t="s">
        <v>104</v>
      </c>
      <c r="CM33" s="2" t="s">
        <v>22</v>
      </c>
      <c r="CN33" s="2" t="s">
        <v>23</v>
      </c>
      <c r="CO33" s="2" t="s">
        <v>24</v>
      </c>
      <c r="CP33" s="2"/>
      <c r="CQ33" s="2">
        <v>90</v>
      </c>
      <c r="CR33" s="2" t="s">
        <v>105</v>
      </c>
      <c r="CS33" s="2">
        <v>2017</v>
      </c>
      <c r="CT33" s="2" t="s">
        <v>26</v>
      </c>
      <c r="CU33" s="2" t="s">
        <v>27</v>
      </c>
      <c r="CV33" s="2" t="s">
        <v>28</v>
      </c>
      <c r="CW33" s="2" t="s">
        <v>29</v>
      </c>
      <c r="CX33" s="2" t="s">
        <v>24</v>
      </c>
      <c r="CY33" s="2"/>
      <c r="CZ33" s="2">
        <v>69</v>
      </c>
      <c r="DA33" s="2" t="s">
        <v>105</v>
      </c>
      <c r="DB33" s="2">
        <v>2016</v>
      </c>
      <c r="DC33" s="2" t="s">
        <v>30</v>
      </c>
      <c r="DD33" s="2" t="s">
        <v>27</v>
      </c>
      <c r="DE33" s="2" t="s">
        <v>31</v>
      </c>
      <c r="DF33" s="2" t="s">
        <v>32</v>
      </c>
      <c r="DG33" s="2" t="s">
        <v>24</v>
      </c>
      <c r="DH33" s="2"/>
      <c r="DI33" s="2">
        <v>76</v>
      </c>
      <c r="DJ33" s="2" t="s">
        <v>105</v>
      </c>
      <c r="DK33" s="2">
        <v>2016</v>
      </c>
      <c r="DL33" s="2" t="s">
        <v>30</v>
      </c>
      <c r="DM33" s="2" t="s">
        <v>27</v>
      </c>
      <c r="DN33" s="2" t="s">
        <v>33</v>
      </c>
      <c r="DO33" s="2" t="s">
        <v>34</v>
      </c>
      <c r="DP33" s="2"/>
      <c r="DQ33" s="2" t="s">
        <v>35</v>
      </c>
      <c r="DR33" s="2" t="s">
        <v>36</v>
      </c>
      <c r="DS33" s="2">
        <v>1</v>
      </c>
      <c r="DT33" s="2" t="s">
        <v>37</v>
      </c>
      <c r="DU33" s="2" t="s">
        <v>38</v>
      </c>
      <c r="DV33" s="2" t="s">
        <v>39</v>
      </c>
      <c r="DW33" s="2">
        <v>32405</v>
      </c>
      <c r="DX33" s="2" t="s">
        <v>40</v>
      </c>
      <c r="DY33" s="2"/>
      <c r="DZ33" s="2" t="s">
        <v>41</v>
      </c>
      <c r="EA33" s="2" t="s">
        <v>36</v>
      </c>
      <c r="EB33" s="2" t="s">
        <v>42</v>
      </c>
      <c r="EC33" s="2" t="s">
        <v>43</v>
      </c>
      <c r="ED33" s="2" t="s">
        <v>44</v>
      </c>
      <c r="EE33" s="2">
        <v>84</v>
      </c>
      <c r="EF33" s="2" t="s">
        <v>106</v>
      </c>
      <c r="EG33" s="2">
        <v>6</v>
      </c>
      <c r="EH33" s="2" t="s">
        <v>46</v>
      </c>
      <c r="EI33" s="2" t="s">
        <v>47</v>
      </c>
      <c r="EJ33" s="2" t="s">
        <v>48</v>
      </c>
      <c r="EK33" s="2" t="s">
        <v>49</v>
      </c>
      <c r="EL33" s="2" t="s">
        <v>44</v>
      </c>
      <c r="EM33" s="2">
        <v>112</v>
      </c>
      <c r="EN33" s="2" t="s">
        <v>106</v>
      </c>
      <c r="EO33" s="2">
        <v>5</v>
      </c>
      <c r="EP33" s="2" t="s">
        <v>46</v>
      </c>
      <c r="EQ33" s="2" t="s">
        <v>47</v>
      </c>
      <c r="ER33" s="2" t="s">
        <v>50</v>
      </c>
      <c r="ES33" s="2"/>
      <c r="ET33" s="2" t="s">
        <v>51</v>
      </c>
      <c r="EU33" s="2" t="s">
        <v>52</v>
      </c>
      <c r="EV33" s="2" t="s">
        <v>53</v>
      </c>
      <c r="EW33" s="2" t="s">
        <v>54</v>
      </c>
      <c r="EX33" s="2" t="s">
        <v>55</v>
      </c>
      <c r="EY33" s="2">
        <v>91730</v>
      </c>
      <c r="EZ33" s="2" t="s">
        <v>56</v>
      </c>
      <c r="FA33" s="2"/>
      <c r="FB33" s="2" t="s">
        <v>57</v>
      </c>
      <c r="FC33" s="2" t="s">
        <v>58</v>
      </c>
      <c r="FD33" s="2"/>
      <c r="FE33" s="2" t="s">
        <v>59</v>
      </c>
      <c r="FF33" s="2" t="s">
        <v>52</v>
      </c>
      <c r="FG33" s="2" t="s">
        <v>53</v>
      </c>
      <c r="FH33" s="2" t="s">
        <v>54</v>
      </c>
      <c r="FI33" s="2" t="s">
        <v>55</v>
      </c>
      <c r="FJ33" s="2">
        <v>91730</v>
      </c>
      <c r="FK33" s="2" t="s">
        <v>60</v>
      </c>
      <c r="FL33" s="2"/>
      <c r="FM33" s="2" t="s">
        <v>61</v>
      </c>
      <c r="FN33" s="2" t="s">
        <v>107</v>
      </c>
      <c r="FO33" s="2" t="s">
        <v>63</v>
      </c>
      <c r="FP33" s="2" t="s">
        <v>64</v>
      </c>
      <c r="FQ33" s="2" t="s">
        <v>9</v>
      </c>
      <c r="FR33" s="2" t="s">
        <v>17</v>
      </c>
      <c r="FS33" s="2" t="s">
        <v>17</v>
      </c>
      <c r="FT33" s="2" t="s">
        <v>9</v>
      </c>
      <c r="FU33" s="2">
        <v>0</v>
      </c>
      <c r="FV33" s="2">
        <v>0</v>
      </c>
      <c r="FW33" s="4">
        <v>0</v>
      </c>
      <c r="FX33" s="4">
        <v>0</v>
      </c>
      <c r="FY33" s="2" t="s">
        <v>65</v>
      </c>
      <c r="FZ33" s="2" t="s">
        <v>66</v>
      </c>
      <c r="GA33" s="2" t="s">
        <v>67</v>
      </c>
      <c r="GB33" s="2"/>
      <c r="GC33" s="2"/>
      <c r="GD33" s="2"/>
      <c r="GE33" s="2" t="s">
        <v>108</v>
      </c>
      <c r="GF33" s="2"/>
      <c r="GG33" s="2"/>
      <c r="GH33" s="2"/>
      <c r="GI33" s="2">
        <v>70</v>
      </c>
      <c r="GJ33" s="2"/>
      <c r="GK33" s="2"/>
      <c r="GL33" s="2"/>
      <c r="GM33" s="2"/>
      <c r="GN33" s="2"/>
      <c r="GO33" s="2"/>
      <c r="GP33" s="2"/>
      <c r="GQ33" s="2">
        <v>70</v>
      </c>
      <c r="GR33" s="2" t="s">
        <v>109</v>
      </c>
      <c r="GS33" s="2" t="s">
        <v>70</v>
      </c>
      <c r="GT33" s="2" t="s">
        <v>110</v>
      </c>
      <c r="GU33" s="2" t="s">
        <v>111</v>
      </c>
      <c r="GV33" s="2" t="s">
        <v>17</v>
      </c>
      <c r="GW33" s="2">
        <v>28.281918999999998</v>
      </c>
      <c r="GX33" s="2">
        <v>-81.350295000000003</v>
      </c>
      <c r="GY33" s="2"/>
      <c r="GZ33" s="2" t="s">
        <v>17</v>
      </c>
      <c r="HA33" s="2" t="s">
        <v>17</v>
      </c>
      <c r="HB33" s="2">
        <v>0</v>
      </c>
      <c r="HC33" s="2" t="s">
        <v>17</v>
      </c>
      <c r="HD33" s="2"/>
      <c r="HE33" s="2">
        <v>0</v>
      </c>
      <c r="HF33" s="2">
        <v>28.281963000000001</v>
      </c>
      <c r="HG33" s="2">
        <v>-81.348332999999997</v>
      </c>
      <c r="HH33" s="2">
        <v>0.12</v>
      </c>
      <c r="HI33" s="2">
        <v>2</v>
      </c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 t="s">
        <v>73</v>
      </c>
      <c r="HY33" s="2" t="s">
        <v>17</v>
      </c>
      <c r="HZ33" s="2"/>
      <c r="IA33" s="2" t="s">
        <v>112</v>
      </c>
      <c r="IB33" s="2" t="s">
        <v>113</v>
      </c>
      <c r="IC33" s="2">
        <v>0.23</v>
      </c>
      <c r="ID33" s="2">
        <v>4</v>
      </c>
      <c r="IE33" s="2" t="s">
        <v>114</v>
      </c>
      <c r="IF33" s="2">
        <v>0.6</v>
      </c>
      <c r="IG33" s="2">
        <v>3</v>
      </c>
      <c r="IH33" s="2" t="s">
        <v>115</v>
      </c>
      <c r="II33" s="2">
        <v>0.23</v>
      </c>
      <c r="IJ33" s="2">
        <v>4</v>
      </c>
      <c r="IK33" s="2"/>
      <c r="IL33" s="2"/>
      <c r="IM33" s="2"/>
      <c r="IN33" s="2"/>
      <c r="IO33" s="2" t="s">
        <v>17</v>
      </c>
      <c r="IP33" s="2">
        <v>2</v>
      </c>
      <c r="IQ33" s="2">
        <v>11</v>
      </c>
      <c r="IR33" s="2">
        <v>0</v>
      </c>
      <c r="IS33" s="2">
        <v>13</v>
      </c>
      <c r="IT33" s="2" t="s">
        <v>17</v>
      </c>
      <c r="IU33" s="2" t="s">
        <v>17</v>
      </c>
      <c r="IV33" s="2" t="s">
        <v>17</v>
      </c>
      <c r="IW33" s="2" t="s">
        <v>9</v>
      </c>
      <c r="IX33" s="2" t="s">
        <v>9</v>
      </c>
      <c r="IY33" s="2">
        <v>13</v>
      </c>
      <c r="IZ33" s="2">
        <v>70</v>
      </c>
      <c r="JA33" s="2" t="s">
        <v>81</v>
      </c>
      <c r="JB33" s="2" t="s">
        <v>82</v>
      </c>
      <c r="JC33" s="2"/>
      <c r="JD33" s="2"/>
      <c r="JE33" s="2"/>
      <c r="JF33" s="2"/>
      <c r="JG33" s="2"/>
      <c r="JH33" s="7">
        <v>0</v>
      </c>
      <c r="JI33" s="2">
        <v>0</v>
      </c>
      <c r="JJ33" s="7">
        <v>0</v>
      </c>
      <c r="JK33" s="2">
        <v>0</v>
      </c>
      <c r="JL33" s="7">
        <v>0</v>
      </c>
      <c r="JM33" s="2">
        <v>11</v>
      </c>
      <c r="JN33" s="2"/>
      <c r="JO33" s="2"/>
      <c r="JP33" s="2">
        <v>36</v>
      </c>
      <c r="JQ33" s="2">
        <v>14</v>
      </c>
      <c r="JR33" s="2">
        <v>9</v>
      </c>
      <c r="JS33" s="2">
        <v>0</v>
      </c>
      <c r="JT33" s="2">
        <v>0</v>
      </c>
      <c r="JU33" s="2"/>
      <c r="JV33" s="2">
        <v>70</v>
      </c>
      <c r="JW33" s="4">
        <v>1</v>
      </c>
      <c r="JX33" s="2">
        <v>70</v>
      </c>
      <c r="JY33" s="4">
        <v>0.59857000000000005</v>
      </c>
      <c r="JZ33" s="2">
        <v>0</v>
      </c>
      <c r="KA33" s="2"/>
      <c r="KB33" s="2"/>
      <c r="KC33" s="2"/>
      <c r="KD33" s="2"/>
      <c r="KE33" s="2"/>
      <c r="KF33" s="2"/>
      <c r="KG33" s="2"/>
      <c r="KH33" s="2">
        <v>24</v>
      </c>
      <c r="KI33" s="2">
        <v>46</v>
      </c>
      <c r="KJ33" s="2"/>
      <c r="KK33" s="2"/>
      <c r="KL33" s="2"/>
      <c r="KM33" s="2"/>
      <c r="KN33" s="2"/>
      <c r="KO33" s="2"/>
      <c r="KP33" s="2"/>
      <c r="KQ33" s="2" t="s">
        <v>83</v>
      </c>
      <c r="KR33" s="2" t="s">
        <v>73</v>
      </c>
      <c r="KS33" s="2"/>
      <c r="KT33" s="2">
        <v>1</v>
      </c>
      <c r="KU33" s="2" t="s">
        <v>84</v>
      </c>
      <c r="KV33" s="2" t="s">
        <v>85</v>
      </c>
      <c r="KW33" s="2" t="s">
        <v>86</v>
      </c>
      <c r="KX33" s="2" t="s">
        <v>17</v>
      </c>
      <c r="KY33" s="2" t="s">
        <v>17</v>
      </c>
      <c r="KZ33" s="2" t="s">
        <v>17</v>
      </c>
      <c r="LA33" s="2" t="s">
        <v>17</v>
      </c>
      <c r="LB33" s="2" t="s">
        <v>17</v>
      </c>
      <c r="LC33" s="2" t="s">
        <v>17</v>
      </c>
      <c r="LD33" s="2" t="s">
        <v>17</v>
      </c>
      <c r="LE33" s="2" t="s">
        <v>17</v>
      </c>
      <c r="LF33" s="2" t="s">
        <v>17</v>
      </c>
      <c r="LG33" s="2" t="s">
        <v>17</v>
      </c>
      <c r="LH33" s="2" t="s">
        <v>17</v>
      </c>
      <c r="LI33" s="2" t="s">
        <v>17</v>
      </c>
      <c r="LJ33" s="2" t="s">
        <v>87</v>
      </c>
      <c r="LK33" s="2" t="s">
        <v>17</v>
      </c>
      <c r="LL33" s="2" t="s">
        <v>17</v>
      </c>
      <c r="LM33" s="2">
        <v>0</v>
      </c>
      <c r="LN33" s="2" t="s">
        <v>17</v>
      </c>
      <c r="LO33" s="2" t="s">
        <v>9</v>
      </c>
      <c r="LP33" s="2" t="s">
        <v>9</v>
      </c>
      <c r="LQ33" s="2" t="s">
        <v>17</v>
      </c>
      <c r="LR33" s="2" t="s">
        <v>9</v>
      </c>
      <c r="LS33" s="2" t="s">
        <v>17</v>
      </c>
      <c r="LT33" s="2" t="s">
        <v>17</v>
      </c>
      <c r="LU33" s="2" t="s">
        <v>17</v>
      </c>
      <c r="LV33" s="2" t="s">
        <v>17</v>
      </c>
      <c r="LW33" s="2" t="s">
        <v>17</v>
      </c>
      <c r="LX33" s="2" t="s">
        <v>17</v>
      </c>
      <c r="LY33" s="5">
        <v>5600000</v>
      </c>
      <c r="LZ33" s="5">
        <v>0</v>
      </c>
      <c r="MA33" s="5">
        <v>7000000</v>
      </c>
      <c r="MB33" s="5">
        <v>0</v>
      </c>
      <c r="MC33" s="5">
        <v>0</v>
      </c>
      <c r="MD33" s="5">
        <v>0</v>
      </c>
      <c r="ME33" s="5">
        <v>7350000</v>
      </c>
      <c r="MF33" s="5">
        <v>0</v>
      </c>
      <c r="MG33" s="5">
        <v>0</v>
      </c>
      <c r="MH33" s="5">
        <v>0</v>
      </c>
      <c r="MI33" s="5">
        <v>0</v>
      </c>
      <c r="MJ33" s="5">
        <v>0</v>
      </c>
      <c r="MK33" s="5">
        <v>0</v>
      </c>
      <c r="ML33" s="2">
        <v>0</v>
      </c>
      <c r="MM33" s="5">
        <v>0</v>
      </c>
      <c r="MN33" s="5">
        <v>0</v>
      </c>
      <c r="MO33" s="2">
        <v>0</v>
      </c>
      <c r="MP33" s="2">
        <v>0</v>
      </c>
      <c r="MQ33" s="2">
        <v>0</v>
      </c>
      <c r="MR33" s="5">
        <v>2950000</v>
      </c>
      <c r="MS33" s="5">
        <v>0</v>
      </c>
      <c r="MT33" s="5">
        <v>4600000</v>
      </c>
      <c r="MU33" s="5">
        <v>0</v>
      </c>
      <c r="MV33" s="5">
        <v>0</v>
      </c>
      <c r="MW33" s="5">
        <v>0</v>
      </c>
      <c r="MX33" s="5">
        <v>0</v>
      </c>
      <c r="MY33" s="5">
        <v>2500000</v>
      </c>
      <c r="MZ33" s="5">
        <v>0</v>
      </c>
      <c r="NA33" s="5">
        <v>5000000</v>
      </c>
      <c r="NB33" s="5">
        <v>0</v>
      </c>
      <c r="NC33" s="5">
        <v>0</v>
      </c>
      <c r="ND33" s="5">
        <v>0</v>
      </c>
      <c r="NE33" s="5">
        <v>0</v>
      </c>
      <c r="NF33" s="5">
        <v>0</v>
      </c>
      <c r="NG33" s="5">
        <v>2142000</v>
      </c>
      <c r="NH33" s="5">
        <v>2142000</v>
      </c>
      <c r="NI33" s="5">
        <v>2142000</v>
      </c>
      <c r="NJ33" s="5">
        <v>0</v>
      </c>
      <c r="NK33" s="5"/>
      <c r="NL33" s="2" t="s">
        <v>17</v>
      </c>
      <c r="NM33" s="2" t="s">
        <v>17</v>
      </c>
      <c r="NN33" s="2"/>
      <c r="NO33" s="2" t="s">
        <v>9</v>
      </c>
      <c r="NP33" s="2">
        <v>34744</v>
      </c>
      <c r="NQ33" s="2" t="s">
        <v>117</v>
      </c>
      <c r="NR33" s="2" t="s">
        <v>17</v>
      </c>
      <c r="NS33" s="2"/>
      <c r="NT33" s="2" t="s">
        <v>17</v>
      </c>
      <c r="NU33" s="2"/>
      <c r="NV33" s="2"/>
      <c r="NW33" s="2"/>
      <c r="NX33" s="2"/>
      <c r="NY33" s="2"/>
      <c r="NZ33" s="2"/>
      <c r="OA33" s="2" t="s">
        <v>118</v>
      </c>
      <c r="OB33" s="2" t="s">
        <v>118</v>
      </c>
      <c r="OC33" s="2" t="s">
        <v>118</v>
      </c>
      <c r="OD33" s="2" t="s">
        <v>17</v>
      </c>
      <c r="OE33" s="2" t="s">
        <v>119</v>
      </c>
      <c r="OF33" s="2"/>
      <c r="OG33" s="2" t="s">
        <v>9</v>
      </c>
      <c r="OH33" s="2" t="s">
        <v>120</v>
      </c>
      <c r="OI33" s="2"/>
      <c r="OJ33" s="2"/>
      <c r="OK33" s="2" t="s">
        <v>17</v>
      </c>
      <c r="OL33" s="2" t="s">
        <v>17</v>
      </c>
      <c r="OM33" s="2" t="s">
        <v>85</v>
      </c>
      <c r="ON33" s="6">
        <v>0</v>
      </c>
      <c r="OO33" s="6">
        <v>0</v>
      </c>
      <c r="OP33" s="2" t="s">
        <v>93</v>
      </c>
      <c r="OQ33" s="2" t="s">
        <v>93</v>
      </c>
      <c r="OR33" s="6">
        <v>0</v>
      </c>
      <c r="OS33" s="4">
        <v>0</v>
      </c>
      <c r="OT33" s="2" t="s">
        <v>17</v>
      </c>
      <c r="OU33" s="2" t="s">
        <v>17</v>
      </c>
      <c r="OV33" s="2"/>
      <c r="OW33" s="2"/>
      <c r="OX33" s="5">
        <v>14256081</v>
      </c>
      <c r="OY33" s="6">
        <v>203658.3</v>
      </c>
      <c r="OZ33" s="2"/>
      <c r="PA33" s="2"/>
      <c r="PB33" s="8">
        <v>12194680</v>
      </c>
      <c r="PC33" s="2"/>
      <c r="PD33" s="8">
        <v>12194680</v>
      </c>
      <c r="PE33" s="2"/>
      <c r="PF33" s="2"/>
      <c r="PG33" s="2"/>
      <c r="PH33" s="2"/>
      <c r="PI33" s="2"/>
      <c r="PJ33" s="2"/>
      <c r="PK33" s="8">
        <v>12194680</v>
      </c>
      <c r="PL33" s="2"/>
      <c r="PM33" s="8">
        <v>12194680</v>
      </c>
      <c r="PN33" s="8">
        <v>1707255</v>
      </c>
      <c r="PO33" s="2"/>
      <c r="PP33" s="8">
        <v>1707255</v>
      </c>
      <c r="PQ33" s="6">
        <v>1707255</v>
      </c>
      <c r="PR33" s="8">
        <v>13901935</v>
      </c>
      <c r="PS33" s="2"/>
      <c r="PT33" s="8">
        <v>13901935</v>
      </c>
      <c r="PU33" s="8">
        <v>695096</v>
      </c>
      <c r="PV33" s="2"/>
      <c r="PW33" s="8">
        <v>695096</v>
      </c>
      <c r="PX33" s="6">
        <v>695096.75</v>
      </c>
      <c r="PY33" s="8">
        <v>876894</v>
      </c>
      <c r="PZ33" s="8">
        <v>40000</v>
      </c>
      <c r="QA33" s="8">
        <v>916894</v>
      </c>
      <c r="QB33" s="8">
        <v>217434</v>
      </c>
      <c r="QC33" s="2"/>
      <c r="QD33" s="8">
        <v>217434</v>
      </c>
      <c r="QE33" s="8">
        <v>1990000</v>
      </c>
      <c r="QF33" s="2"/>
      <c r="QG33" s="8">
        <v>1990000</v>
      </c>
      <c r="QH33" s="2"/>
      <c r="QI33" s="8">
        <v>340810</v>
      </c>
      <c r="QJ33" s="8">
        <v>340810</v>
      </c>
      <c r="QK33" s="2"/>
      <c r="QL33" s="2"/>
      <c r="QM33" s="2"/>
      <c r="QN33" s="2"/>
      <c r="QO33" s="8">
        <v>50000</v>
      </c>
      <c r="QP33" s="8">
        <v>50000</v>
      </c>
      <c r="QQ33" s="8">
        <v>3084328</v>
      </c>
      <c r="QR33" s="8">
        <v>430810</v>
      </c>
      <c r="QS33" s="8">
        <v>3515138</v>
      </c>
      <c r="QT33" s="8">
        <v>175756</v>
      </c>
      <c r="QU33" s="2"/>
      <c r="QV33" s="8">
        <v>175756</v>
      </c>
      <c r="QW33" s="6">
        <v>175756.9</v>
      </c>
      <c r="QX33" s="8">
        <v>1035074</v>
      </c>
      <c r="QY33" s="8">
        <v>704151</v>
      </c>
      <c r="QZ33" s="8">
        <v>1739225</v>
      </c>
      <c r="RA33" s="8">
        <v>57600</v>
      </c>
      <c r="RB33" s="8">
        <v>57600</v>
      </c>
      <c r="RC33" s="2"/>
      <c r="RD33" s="2"/>
      <c r="RE33" s="2"/>
      <c r="RF33" s="8">
        <v>1035074</v>
      </c>
      <c r="RG33" s="8">
        <v>761751</v>
      </c>
      <c r="RH33" s="8">
        <v>1796825</v>
      </c>
      <c r="RI33" s="2"/>
      <c r="RJ33" s="2"/>
      <c r="RK33" s="2"/>
      <c r="RL33" s="2"/>
      <c r="RM33" s="8">
        <v>18892189</v>
      </c>
      <c r="RN33" s="8">
        <v>1192561</v>
      </c>
      <c r="RO33" s="8">
        <v>20084750</v>
      </c>
      <c r="RP33" s="2"/>
      <c r="RQ33" s="2"/>
      <c r="RR33" s="2">
        <v>0</v>
      </c>
      <c r="RS33" s="6">
        <v>0</v>
      </c>
      <c r="RT33" s="8">
        <v>3213560</v>
      </c>
      <c r="RU33" s="2"/>
      <c r="RV33" s="8">
        <v>3213560</v>
      </c>
      <c r="RW33" s="6">
        <v>3213560</v>
      </c>
      <c r="RX33" s="6">
        <v>0</v>
      </c>
      <c r="RY33" s="8">
        <v>3213560</v>
      </c>
      <c r="RZ33" s="2"/>
      <c r="SA33" s="8">
        <v>3213560</v>
      </c>
      <c r="SB33" s="6">
        <v>3213560</v>
      </c>
      <c r="SC33" s="8">
        <v>245000</v>
      </c>
      <c r="SD33" s="8">
        <v>245000</v>
      </c>
      <c r="SE33" s="6">
        <v>245000</v>
      </c>
      <c r="SF33" s="8">
        <v>975000</v>
      </c>
      <c r="SG33" s="8">
        <v>975000</v>
      </c>
      <c r="SH33" s="8">
        <v>22105749</v>
      </c>
      <c r="SI33" s="8">
        <v>2412561</v>
      </c>
      <c r="SJ33" s="8">
        <v>24518310</v>
      </c>
      <c r="SK33" s="2"/>
      <c r="SL33" s="2"/>
      <c r="SM33" s="2" t="s">
        <v>121</v>
      </c>
      <c r="SN33" s="2"/>
      <c r="SO33" s="2"/>
      <c r="SP33" s="8">
        <v>16500000</v>
      </c>
      <c r="SQ33" s="2" t="s">
        <v>95</v>
      </c>
      <c r="SR33" s="2"/>
      <c r="SS33" s="2"/>
      <c r="ST33" s="2"/>
      <c r="SU33" s="2"/>
      <c r="SV33" s="2"/>
      <c r="SW33" s="2"/>
      <c r="SX33" s="2" t="s">
        <v>96</v>
      </c>
      <c r="SY33" s="2" t="s">
        <v>96</v>
      </c>
      <c r="SZ33" s="2" t="s">
        <v>96</v>
      </c>
      <c r="TA33" s="2" t="s">
        <v>96</v>
      </c>
      <c r="TB33" s="8">
        <v>8674233</v>
      </c>
      <c r="TC33" s="2"/>
      <c r="TD33" s="2"/>
      <c r="TE33" s="2"/>
      <c r="TF33" s="2"/>
      <c r="TG33" s="2"/>
      <c r="TH33" s="2"/>
      <c r="TI33" s="2">
        <v>0</v>
      </c>
      <c r="TJ33" s="8">
        <v>25174233</v>
      </c>
      <c r="TK33" s="8">
        <v>655923</v>
      </c>
      <c r="TL33" s="2" t="s">
        <v>9</v>
      </c>
      <c r="TM33" s="8">
        <v>4800000</v>
      </c>
      <c r="TN33" s="2" t="s">
        <v>95</v>
      </c>
      <c r="TO33" s="2"/>
      <c r="TP33" s="2"/>
      <c r="TQ33" s="2"/>
      <c r="TR33" s="2"/>
      <c r="TS33" s="2"/>
      <c r="TT33" s="2"/>
      <c r="TU33" s="2" t="s">
        <v>96</v>
      </c>
      <c r="TV33" s="8">
        <v>19276072</v>
      </c>
      <c r="TW33" s="2"/>
      <c r="TX33" s="2"/>
      <c r="TY33" s="2"/>
      <c r="TZ33" s="2"/>
      <c r="UA33" s="2"/>
      <c r="UB33" s="2"/>
      <c r="UC33" s="8">
        <v>442238</v>
      </c>
      <c r="UD33" s="8">
        <v>24518310</v>
      </c>
      <c r="UE33" s="6">
        <v>4800000</v>
      </c>
      <c r="UF33" s="2">
        <v>0</v>
      </c>
      <c r="UG33" s="2" t="s">
        <v>9</v>
      </c>
      <c r="UH33" s="2">
        <v>70</v>
      </c>
      <c r="UI33" s="5">
        <v>270000</v>
      </c>
      <c r="UJ33" s="6">
        <v>360000</v>
      </c>
      <c r="UK33" s="6">
        <v>360000</v>
      </c>
      <c r="UL33" s="6">
        <v>381600</v>
      </c>
      <c r="UM33" s="6">
        <v>26712000</v>
      </c>
      <c r="UN33" s="6">
        <v>4273920</v>
      </c>
      <c r="UO33" s="6">
        <v>4273920</v>
      </c>
      <c r="UP33" s="6">
        <v>30985920</v>
      </c>
      <c r="UQ33" s="6">
        <v>23298310</v>
      </c>
      <c r="UR33" s="2"/>
      <c r="US33" s="2"/>
      <c r="UT33" s="6">
        <v>0</v>
      </c>
      <c r="UU33" s="2"/>
      <c r="UV33" s="6">
        <v>0</v>
      </c>
      <c r="UW33" s="6">
        <v>0</v>
      </c>
      <c r="UX33" s="6">
        <v>0</v>
      </c>
      <c r="UY33" s="6">
        <v>0</v>
      </c>
      <c r="UZ33" s="2"/>
      <c r="VA33" s="2"/>
      <c r="VB33" s="2"/>
      <c r="VC33" s="2"/>
      <c r="VD33" s="2" t="s">
        <v>17</v>
      </c>
      <c r="VE33" s="2" t="s">
        <v>17</v>
      </c>
      <c r="VF33" s="2"/>
      <c r="VG33" s="2" t="s">
        <v>17</v>
      </c>
      <c r="VH33" s="2"/>
      <c r="VI33" s="388" t="s">
        <v>21</v>
      </c>
      <c r="VJ33" s="2" t="s">
        <v>98</v>
      </c>
      <c r="VK33" s="2" t="s">
        <v>99</v>
      </c>
      <c r="VL33" s="23">
        <f t="shared" si="0"/>
        <v>116</v>
      </c>
      <c r="VM33" s="17">
        <f t="shared" si="1"/>
        <v>1.6571428571428573</v>
      </c>
      <c r="VN33" s="17" t="str">
        <f t="shared" si="12"/>
        <v>NC-MR-F</v>
      </c>
      <c r="VO33" s="17" t="str">
        <f t="shared" si="13"/>
        <v>NC-MR-F-ESS</v>
      </c>
      <c r="VP33" s="12">
        <v>9</v>
      </c>
      <c r="VQ33" s="57">
        <v>1</v>
      </c>
      <c r="VR33" s="57">
        <f t="shared" si="2"/>
        <v>1</v>
      </c>
      <c r="VS33" s="14">
        <f t="shared" si="3"/>
        <v>1</v>
      </c>
      <c r="VT33" s="12">
        <f t="shared" si="4"/>
        <v>0.90210000000000001</v>
      </c>
      <c r="VU33" s="16">
        <f t="shared" si="5"/>
        <v>17390683.800000001</v>
      </c>
      <c r="VV33" s="16">
        <f t="shared" si="6"/>
        <v>248438.34</v>
      </c>
      <c r="VW33" s="12" t="str">
        <f t="shared" si="14"/>
        <v>A</v>
      </c>
      <c r="VX33" s="12" t="str">
        <f t="shared" si="15"/>
        <v>NC-MR-ESS</v>
      </c>
      <c r="VY33" s="351">
        <f t="shared" si="16"/>
        <v>5</v>
      </c>
      <c r="WA33" s="12">
        <f t="shared" si="17"/>
        <v>0</v>
      </c>
      <c r="WB33" s="12">
        <f t="shared" si="18"/>
        <v>0</v>
      </c>
      <c r="WC33" s="12">
        <f t="shared" si="18"/>
        <v>0</v>
      </c>
      <c r="WD33" s="12">
        <f t="shared" si="18"/>
        <v>0</v>
      </c>
      <c r="WE33" s="12">
        <f t="shared" si="19"/>
        <v>1</v>
      </c>
      <c r="WF33" s="12">
        <f t="shared" si="7"/>
        <v>0</v>
      </c>
      <c r="WG33" s="12">
        <f t="shared" si="8"/>
        <v>1</v>
      </c>
      <c r="WH33" s="12">
        <f t="shared" si="9"/>
        <v>0</v>
      </c>
      <c r="WI33" s="31">
        <f t="shared" si="10"/>
        <v>2</v>
      </c>
      <c r="WJ33" s="2"/>
      <c r="WK33" s="446" t="str">
        <f t="shared" si="20"/>
        <v>NC-MR-ESS-BBN-BRN-NPH-F</v>
      </c>
      <c r="WL33" s="446"/>
      <c r="WM33" s="446"/>
    </row>
    <row r="34" spans="1:611" x14ac:dyDescent="0.25">
      <c r="A34" s="2">
        <v>9493</v>
      </c>
      <c r="B34" s="2" t="s">
        <v>1015</v>
      </c>
      <c r="C34" s="2" t="s">
        <v>8</v>
      </c>
      <c r="D34" s="3">
        <v>45153</v>
      </c>
      <c r="E34" s="2" t="s">
        <v>9</v>
      </c>
      <c r="F34" s="2">
        <v>3</v>
      </c>
      <c r="G34" s="2" t="s">
        <v>9</v>
      </c>
      <c r="H34" s="2">
        <v>3</v>
      </c>
      <c r="I34" s="2" t="s">
        <v>9</v>
      </c>
      <c r="J34" s="2">
        <v>3</v>
      </c>
      <c r="K34" s="2" t="s">
        <v>9</v>
      </c>
      <c r="L34" s="2">
        <v>3</v>
      </c>
      <c r="M34" s="2" t="s">
        <v>10</v>
      </c>
      <c r="N34" s="2">
        <v>0</v>
      </c>
      <c r="O34" s="2" t="s">
        <v>10</v>
      </c>
      <c r="P34" s="2">
        <v>0</v>
      </c>
      <c r="Q34" s="2" t="s">
        <v>11</v>
      </c>
      <c r="R34" s="2">
        <v>0</v>
      </c>
      <c r="S34" s="2" t="s">
        <v>9</v>
      </c>
      <c r="T34" s="2">
        <v>2</v>
      </c>
      <c r="U34" s="2" t="s">
        <v>9</v>
      </c>
      <c r="V34" s="2">
        <v>2</v>
      </c>
      <c r="W34" s="2" t="s">
        <v>9</v>
      </c>
      <c r="X34" s="2">
        <v>2</v>
      </c>
      <c r="Y34" s="2" t="s">
        <v>12</v>
      </c>
      <c r="Z34" s="2" t="s">
        <v>15</v>
      </c>
      <c r="AA34" s="2" t="s">
        <v>15</v>
      </c>
      <c r="AB34" s="2" t="s">
        <v>15</v>
      </c>
      <c r="AC34" s="2" t="s">
        <v>15</v>
      </c>
      <c r="AD34" s="2" t="s">
        <v>15</v>
      </c>
      <c r="AE34" s="2" t="s">
        <v>123</v>
      </c>
      <c r="AF34" s="2">
        <v>0</v>
      </c>
      <c r="AG34" s="2" t="s">
        <v>234</v>
      </c>
      <c r="AH34" s="2" t="s">
        <v>17</v>
      </c>
      <c r="AI34" s="4">
        <v>0.15</v>
      </c>
      <c r="AJ34" s="2" t="s">
        <v>17</v>
      </c>
      <c r="AK34" s="2" t="s">
        <v>9</v>
      </c>
      <c r="AL34" s="2" t="s">
        <v>17</v>
      </c>
      <c r="AM34" s="2" t="s">
        <v>9</v>
      </c>
      <c r="AN34" s="2" t="s">
        <v>17</v>
      </c>
      <c r="AO34" s="2" t="s">
        <v>17</v>
      </c>
      <c r="AP34" s="2" t="s">
        <v>17</v>
      </c>
      <c r="AQ34" s="2" t="s">
        <v>17</v>
      </c>
      <c r="AR34" s="2" t="s">
        <v>17</v>
      </c>
      <c r="AS34" s="2" t="s">
        <v>17</v>
      </c>
      <c r="AT34" s="2">
        <v>0</v>
      </c>
      <c r="AU34" s="5">
        <v>20000</v>
      </c>
      <c r="AV34" s="5">
        <v>460000</v>
      </c>
      <c r="AW34" s="2">
        <v>0</v>
      </c>
      <c r="AX34" s="2">
        <v>8</v>
      </c>
      <c r="AY34" s="2">
        <v>0</v>
      </c>
      <c r="AZ34" s="2">
        <v>18</v>
      </c>
      <c r="BA34" s="2">
        <v>0</v>
      </c>
      <c r="BB34" s="2">
        <v>1</v>
      </c>
      <c r="BC34" s="2">
        <v>1</v>
      </c>
      <c r="BD34" s="2">
        <v>0</v>
      </c>
      <c r="BE34" s="2">
        <v>0</v>
      </c>
      <c r="BF34" s="2">
        <v>1</v>
      </c>
      <c r="BG34" s="2">
        <v>0</v>
      </c>
      <c r="BH34" s="2">
        <v>0</v>
      </c>
      <c r="BI34" s="2">
        <v>13</v>
      </c>
      <c r="BJ34" s="2">
        <v>1</v>
      </c>
      <c r="BK34" s="2">
        <v>0</v>
      </c>
      <c r="BL34" s="2">
        <v>2</v>
      </c>
      <c r="BM34" s="2">
        <v>0</v>
      </c>
      <c r="BN34" s="2">
        <v>12</v>
      </c>
      <c r="BO34" s="2">
        <v>11</v>
      </c>
      <c r="BP34" s="2">
        <v>0</v>
      </c>
      <c r="BQ34" s="2">
        <v>10</v>
      </c>
      <c r="BR34" s="2">
        <v>12.22</v>
      </c>
      <c r="BS34" s="2">
        <v>0</v>
      </c>
      <c r="BT34" s="4">
        <v>0.06</v>
      </c>
      <c r="BU34" s="2" t="s">
        <v>9</v>
      </c>
      <c r="BV34" s="6">
        <v>204828.75</v>
      </c>
      <c r="BW34" s="2" t="s">
        <v>126</v>
      </c>
      <c r="BX34" s="2" t="s">
        <v>17</v>
      </c>
      <c r="BY34" s="2" t="s">
        <v>17</v>
      </c>
      <c r="BZ34" s="2" t="s">
        <v>17</v>
      </c>
      <c r="CA34" s="2" t="s">
        <v>17</v>
      </c>
      <c r="CB34" s="2" t="s">
        <v>17</v>
      </c>
      <c r="CC34" s="2" t="s">
        <v>17</v>
      </c>
      <c r="CD34" s="2" t="s">
        <v>17</v>
      </c>
      <c r="CE34" s="2" t="s">
        <v>1016</v>
      </c>
      <c r="CF34" s="2" t="s">
        <v>17</v>
      </c>
      <c r="CG34" s="2" t="s">
        <v>1017</v>
      </c>
      <c r="CH34" s="2"/>
      <c r="CI34" s="2"/>
      <c r="CJ34" s="2" t="s">
        <v>9</v>
      </c>
      <c r="CK34" s="2" t="s">
        <v>1018</v>
      </c>
      <c r="CL34" s="2" t="s">
        <v>1017</v>
      </c>
      <c r="CM34" s="2" t="s">
        <v>1019</v>
      </c>
      <c r="CN34" s="2" t="s">
        <v>1020</v>
      </c>
      <c r="CO34" s="2" t="s">
        <v>24</v>
      </c>
      <c r="CP34" s="2"/>
      <c r="CQ34" s="2">
        <v>96</v>
      </c>
      <c r="CR34" s="2" t="s">
        <v>375</v>
      </c>
      <c r="CS34" s="2">
        <v>2020</v>
      </c>
      <c r="CT34" s="2" t="s">
        <v>26</v>
      </c>
      <c r="CU34" s="2" t="s">
        <v>27</v>
      </c>
      <c r="CV34" s="2" t="s">
        <v>1021</v>
      </c>
      <c r="CW34" s="2" t="s">
        <v>293</v>
      </c>
      <c r="CX34" s="2" t="s">
        <v>24</v>
      </c>
      <c r="CY34" s="2"/>
      <c r="CZ34" s="2">
        <v>139</v>
      </c>
      <c r="DA34" s="2" t="s">
        <v>375</v>
      </c>
      <c r="DB34" s="2">
        <v>2020</v>
      </c>
      <c r="DC34" s="2" t="s">
        <v>30</v>
      </c>
      <c r="DD34" s="2" t="s">
        <v>27</v>
      </c>
      <c r="DE34" s="2" t="s">
        <v>1022</v>
      </c>
      <c r="DF34" s="2" t="s">
        <v>1023</v>
      </c>
      <c r="DG34" s="2" t="s">
        <v>24</v>
      </c>
      <c r="DH34" s="2"/>
      <c r="DI34" s="2">
        <v>100</v>
      </c>
      <c r="DJ34" s="2" t="s">
        <v>375</v>
      </c>
      <c r="DK34" s="2">
        <v>2019</v>
      </c>
      <c r="DL34" s="2" t="s">
        <v>30</v>
      </c>
      <c r="DM34" s="2" t="s">
        <v>27</v>
      </c>
      <c r="DN34" s="2" t="s">
        <v>33</v>
      </c>
      <c r="DO34" s="2" t="s">
        <v>1024</v>
      </c>
      <c r="DP34" s="2"/>
      <c r="DQ34" s="2" t="s">
        <v>1025</v>
      </c>
      <c r="DR34" s="2" t="s">
        <v>1026</v>
      </c>
      <c r="DS34" s="2">
        <v>1</v>
      </c>
      <c r="DT34" s="2" t="s">
        <v>1027</v>
      </c>
      <c r="DU34" s="2" t="s">
        <v>510</v>
      </c>
      <c r="DV34" s="2" t="s">
        <v>39</v>
      </c>
      <c r="DW34" s="2">
        <v>32801</v>
      </c>
      <c r="DX34" s="2" t="s">
        <v>1028</v>
      </c>
      <c r="DY34" s="2">
        <v>2001</v>
      </c>
      <c r="DZ34" s="2" t="s">
        <v>1029</v>
      </c>
      <c r="EA34" s="2" t="s">
        <v>1026</v>
      </c>
      <c r="EB34" s="2" t="s">
        <v>1030</v>
      </c>
      <c r="EC34" s="2" t="s">
        <v>1031</v>
      </c>
      <c r="ED34" s="2" t="s">
        <v>44</v>
      </c>
      <c r="EE34" s="2">
        <v>85</v>
      </c>
      <c r="EF34" s="2" t="s">
        <v>390</v>
      </c>
      <c r="EG34" s="2">
        <v>4</v>
      </c>
      <c r="EH34" s="2" t="s">
        <v>46</v>
      </c>
      <c r="EI34" s="2" t="s">
        <v>47</v>
      </c>
      <c r="EJ34" s="2" t="s">
        <v>1022</v>
      </c>
      <c r="EK34" s="2" t="s">
        <v>1023</v>
      </c>
      <c r="EL34" s="2" t="s">
        <v>44</v>
      </c>
      <c r="EM34" s="2">
        <v>100</v>
      </c>
      <c r="EN34" s="2" t="s">
        <v>390</v>
      </c>
      <c r="EO34" s="2">
        <v>4</v>
      </c>
      <c r="EP34" s="2" t="s">
        <v>46</v>
      </c>
      <c r="EQ34" s="2" t="s">
        <v>47</v>
      </c>
      <c r="ER34" s="2" t="s">
        <v>1024</v>
      </c>
      <c r="ES34" s="2"/>
      <c r="ET34" s="2" t="s">
        <v>1025</v>
      </c>
      <c r="EU34" s="2" t="s">
        <v>1016</v>
      </c>
      <c r="EV34" s="2" t="s">
        <v>1027</v>
      </c>
      <c r="EW34" s="2" t="s">
        <v>510</v>
      </c>
      <c r="EX34" s="2" t="s">
        <v>39</v>
      </c>
      <c r="EY34" s="2">
        <v>32801</v>
      </c>
      <c r="EZ34" s="2" t="s">
        <v>1028</v>
      </c>
      <c r="FA34" s="2">
        <v>2001</v>
      </c>
      <c r="FB34" s="2" t="s">
        <v>1029</v>
      </c>
      <c r="FC34" s="2" t="s">
        <v>1032</v>
      </c>
      <c r="FD34" s="2"/>
      <c r="FE34" s="2" t="s">
        <v>1033</v>
      </c>
      <c r="FF34" s="2" t="s">
        <v>1017</v>
      </c>
      <c r="FG34" s="2" t="s">
        <v>1027</v>
      </c>
      <c r="FH34" s="2" t="s">
        <v>510</v>
      </c>
      <c r="FI34" s="2" t="s">
        <v>39</v>
      </c>
      <c r="FJ34" s="2">
        <v>32801</v>
      </c>
      <c r="FK34" s="2" t="s">
        <v>1034</v>
      </c>
      <c r="FL34" s="2">
        <v>2</v>
      </c>
      <c r="FM34" s="2" t="s">
        <v>1035</v>
      </c>
      <c r="FN34" s="2" t="s">
        <v>1036</v>
      </c>
      <c r="FO34" s="2" t="s">
        <v>63</v>
      </c>
      <c r="FP34" s="2" t="s">
        <v>64</v>
      </c>
      <c r="FQ34" s="2" t="s">
        <v>9</v>
      </c>
      <c r="FR34" s="2" t="s">
        <v>17</v>
      </c>
      <c r="FS34" s="2" t="s">
        <v>17</v>
      </c>
      <c r="FT34" s="2" t="s">
        <v>9</v>
      </c>
      <c r="FU34" s="2">
        <v>0</v>
      </c>
      <c r="FV34" s="2">
        <v>0</v>
      </c>
      <c r="FW34" s="4">
        <v>0</v>
      </c>
      <c r="FX34" s="4">
        <v>0</v>
      </c>
      <c r="FY34" s="2" t="s">
        <v>65</v>
      </c>
      <c r="FZ34" s="2" t="s">
        <v>66</v>
      </c>
      <c r="GA34" s="2" t="s">
        <v>67</v>
      </c>
      <c r="GB34" s="2"/>
      <c r="GC34" s="2"/>
      <c r="GD34" s="2"/>
      <c r="GE34" s="2" t="s">
        <v>108</v>
      </c>
      <c r="GF34" s="2"/>
      <c r="GG34" s="2"/>
      <c r="GH34" s="2"/>
      <c r="GI34" s="2"/>
      <c r="GJ34" s="2">
        <v>80</v>
      </c>
      <c r="GK34" s="2"/>
      <c r="GL34" s="2"/>
      <c r="GM34" s="2"/>
      <c r="GN34" s="2"/>
      <c r="GO34" s="2"/>
      <c r="GP34" s="2"/>
      <c r="GQ34" s="2">
        <v>80</v>
      </c>
      <c r="GR34" s="2" t="s">
        <v>109</v>
      </c>
      <c r="GS34" s="2" t="s">
        <v>70</v>
      </c>
      <c r="GT34" s="2" t="s">
        <v>1037</v>
      </c>
      <c r="GU34" s="2" t="s">
        <v>1038</v>
      </c>
      <c r="GV34" s="2" t="s">
        <v>17</v>
      </c>
      <c r="GW34" s="2">
        <v>28.254057</v>
      </c>
      <c r="GX34" s="2">
        <v>-81.479622000000006</v>
      </c>
      <c r="GY34" s="2"/>
      <c r="GZ34" s="2" t="s">
        <v>17</v>
      </c>
      <c r="HA34" s="2" t="s">
        <v>17</v>
      </c>
      <c r="HB34" s="2">
        <v>0</v>
      </c>
      <c r="HC34" s="2" t="s">
        <v>17</v>
      </c>
      <c r="HD34" s="2" t="s">
        <v>17</v>
      </c>
      <c r="HE34" s="2">
        <v>0</v>
      </c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>
        <v>28.258908000000002</v>
      </c>
      <c r="HU34" s="2">
        <v>-81.484431000000001</v>
      </c>
      <c r="HV34" s="2">
        <v>0.45</v>
      </c>
      <c r="HW34" s="2">
        <v>5.5</v>
      </c>
      <c r="HX34" s="2" t="s">
        <v>73</v>
      </c>
      <c r="HY34" s="2" t="s">
        <v>9</v>
      </c>
      <c r="HZ34" s="2" t="s">
        <v>1039</v>
      </c>
      <c r="IA34" s="2" t="s">
        <v>1040</v>
      </c>
      <c r="IB34" s="2" t="s">
        <v>1041</v>
      </c>
      <c r="IC34" s="2">
        <v>1.22</v>
      </c>
      <c r="ID34" s="2">
        <v>2</v>
      </c>
      <c r="IE34" s="2" t="s">
        <v>1042</v>
      </c>
      <c r="IF34" s="2">
        <v>0.16</v>
      </c>
      <c r="IG34" s="2">
        <v>4</v>
      </c>
      <c r="IH34" s="2"/>
      <c r="II34" s="2"/>
      <c r="IJ34" s="2"/>
      <c r="IK34" s="2" t="s">
        <v>1043</v>
      </c>
      <c r="IL34" s="2" t="s">
        <v>1044</v>
      </c>
      <c r="IM34" s="2">
        <v>1.22</v>
      </c>
      <c r="IN34" s="2">
        <v>2.5</v>
      </c>
      <c r="IO34" s="2" t="s">
        <v>9</v>
      </c>
      <c r="IP34" s="2">
        <v>5.5</v>
      </c>
      <c r="IQ34" s="2">
        <v>8.5</v>
      </c>
      <c r="IR34" s="2">
        <v>0</v>
      </c>
      <c r="IS34" s="2">
        <v>14</v>
      </c>
      <c r="IT34" s="2" t="s">
        <v>17</v>
      </c>
      <c r="IU34" s="2" t="s">
        <v>9</v>
      </c>
      <c r="IV34" s="2" t="s">
        <v>17</v>
      </c>
      <c r="IW34" s="2" t="s">
        <v>9</v>
      </c>
      <c r="IX34" s="2" t="s">
        <v>9</v>
      </c>
      <c r="IY34" s="2">
        <v>14</v>
      </c>
      <c r="IZ34" s="2">
        <v>80</v>
      </c>
      <c r="JA34" s="2" t="s">
        <v>172</v>
      </c>
      <c r="JB34" s="2" t="s">
        <v>82</v>
      </c>
      <c r="JC34" s="2"/>
      <c r="JD34" s="2"/>
      <c r="JE34" s="2"/>
      <c r="JF34" s="2"/>
      <c r="JG34" s="2"/>
      <c r="JH34" s="7">
        <v>0</v>
      </c>
      <c r="JI34" s="2">
        <v>0</v>
      </c>
      <c r="JJ34" s="7">
        <v>0</v>
      </c>
      <c r="JK34" s="2">
        <v>0</v>
      </c>
      <c r="JL34" s="7">
        <v>0</v>
      </c>
      <c r="JM34" s="2">
        <v>12</v>
      </c>
      <c r="JN34" s="2"/>
      <c r="JO34" s="2"/>
      <c r="JP34" s="2">
        <v>32</v>
      </c>
      <c r="JQ34" s="2">
        <v>36</v>
      </c>
      <c r="JR34" s="2"/>
      <c r="JS34" s="2">
        <v>0</v>
      </c>
      <c r="JT34" s="2">
        <v>0</v>
      </c>
      <c r="JU34" s="2"/>
      <c r="JV34" s="2">
        <v>80</v>
      </c>
      <c r="JW34" s="4">
        <v>1</v>
      </c>
      <c r="JX34" s="2">
        <v>80</v>
      </c>
      <c r="JY34" s="4">
        <v>0.6</v>
      </c>
      <c r="JZ34" s="2">
        <v>0</v>
      </c>
      <c r="KA34" s="2"/>
      <c r="KB34" s="2"/>
      <c r="KC34" s="2"/>
      <c r="KD34" s="2"/>
      <c r="KE34" s="2"/>
      <c r="KF34" s="2"/>
      <c r="KG34" s="2">
        <v>28</v>
      </c>
      <c r="KH34" s="2">
        <v>42</v>
      </c>
      <c r="KI34" s="2"/>
      <c r="KJ34" s="2"/>
      <c r="KK34" s="2">
        <v>10</v>
      </c>
      <c r="KL34" s="2"/>
      <c r="KM34" s="2"/>
      <c r="KN34" s="2"/>
      <c r="KO34" s="2"/>
      <c r="KP34" s="2"/>
      <c r="KQ34" s="2" t="s">
        <v>83</v>
      </c>
      <c r="KR34" s="2"/>
      <c r="KS34" s="2" t="s">
        <v>73</v>
      </c>
      <c r="KT34" s="2">
        <v>1</v>
      </c>
      <c r="KU34" s="2" t="s">
        <v>84</v>
      </c>
      <c r="KV34" s="2" t="s">
        <v>85</v>
      </c>
      <c r="KW34" s="2" t="s">
        <v>530</v>
      </c>
      <c r="KX34" s="2" t="s">
        <v>17</v>
      </c>
      <c r="KY34" s="2" t="s">
        <v>17</v>
      </c>
      <c r="KZ34" s="2" t="s">
        <v>17</v>
      </c>
      <c r="LA34" s="2" t="s">
        <v>17</v>
      </c>
      <c r="LB34" s="2" t="s">
        <v>17</v>
      </c>
      <c r="LC34" s="2" t="s">
        <v>17</v>
      </c>
      <c r="LD34" s="2" t="s">
        <v>17</v>
      </c>
      <c r="LE34" s="2" t="s">
        <v>17</v>
      </c>
      <c r="LF34" s="2" t="s">
        <v>17</v>
      </c>
      <c r="LG34" s="2" t="s">
        <v>17</v>
      </c>
      <c r="LH34" s="2" t="s">
        <v>17</v>
      </c>
      <c r="LI34" s="2" t="s">
        <v>17</v>
      </c>
      <c r="LJ34" s="2" t="s">
        <v>87</v>
      </c>
      <c r="LK34" s="2" t="s">
        <v>17</v>
      </c>
      <c r="LL34" s="2" t="s">
        <v>17</v>
      </c>
      <c r="LM34" s="2">
        <v>0</v>
      </c>
      <c r="LN34" s="2" t="s">
        <v>17</v>
      </c>
      <c r="LO34" s="2" t="s">
        <v>17</v>
      </c>
      <c r="LP34" s="2" t="s">
        <v>17</v>
      </c>
      <c r="LQ34" s="2" t="s">
        <v>17</v>
      </c>
      <c r="LR34" s="2" t="s">
        <v>17</v>
      </c>
      <c r="LS34" s="2" t="s">
        <v>17</v>
      </c>
      <c r="LT34" s="2" t="s">
        <v>9</v>
      </c>
      <c r="LU34" s="2" t="s">
        <v>9</v>
      </c>
      <c r="LV34" s="2" t="s">
        <v>17</v>
      </c>
      <c r="LW34" s="2" t="s">
        <v>9</v>
      </c>
      <c r="LX34" s="2" t="s">
        <v>17</v>
      </c>
      <c r="LY34" s="5">
        <v>6400000</v>
      </c>
      <c r="LZ34" s="5">
        <v>0</v>
      </c>
      <c r="MA34" s="5">
        <v>7200000</v>
      </c>
      <c r="MB34" s="5">
        <v>0</v>
      </c>
      <c r="MC34" s="5">
        <v>0</v>
      </c>
      <c r="MD34" s="5">
        <v>0</v>
      </c>
      <c r="ME34" s="5">
        <v>8400000</v>
      </c>
      <c r="MF34" s="5">
        <v>0</v>
      </c>
      <c r="MG34" s="5">
        <v>0</v>
      </c>
      <c r="MH34" s="5">
        <v>0</v>
      </c>
      <c r="MI34" s="5">
        <v>0</v>
      </c>
      <c r="MJ34" s="5">
        <v>0</v>
      </c>
      <c r="MK34" s="5">
        <v>0</v>
      </c>
      <c r="ML34" s="2">
        <v>0</v>
      </c>
      <c r="MM34" s="5">
        <v>0</v>
      </c>
      <c r="MN34" s="5">
        <v>0</v>
      </c>
      <c r="MO34" s="2">
        <v>0</v>
      </c>
      <c r="MP34" s="2">
        <v>0</v>
      </c>
      <c r="MQ34" s="2">
        <v>0</v>
      </c>
      <c r="MR34" s="5">
        <v>2950000</v>
      </c>
      <c r="MS34" s="5">
        <v>0</v>
      </c>
      <c r="MT34" s="5">
        <v>4600000</v>
      </c>
      <c r="MU34" s="5">
        <v>0</v>
      </c>
      <c r="MV34" s="5">
        <v>0</v>
      </c>
      <c r="MW34" s="5">
        <v>0</v>
      </c>
      <c r="MX34" s="5">
        <v>0</v>
      </c>
      <c r="MY34" s="5">
        <v>2500000</v>
      </c>
      <c r="MZ34" s="5">
        <v>0</v>
      </c>
      <c r="NA34" s="5">
        <v>5000000</v>
      </c>
      <c r="NB34" s="5">
        <v>0</v>
      </c>
      <c r="NC34" s="5">
        <v>0</v>
      </c>
      <c r="ND34" s="5">
        <v>0</v>
      </c>
      <c r="NE34" s="5">
        <v>0</v>
      </c>
      <c r="NF34" s="5">
        <v>0</v>
      </c>
      <c r="NG34" s="5">
        <v>2142000</v>
      </c>
      <c r="NH34" s="5">
        <v>2142000</v>
      </c>
      <c r="NI34" s="5">
        <v>2142000</v>
      </c>
      <c r="NJ34" s="5">
        <v>0</v>
      </c>
      <c r="NK34" s="5"/>
      <c r="NL34" s="2" t="s">
        <v>9</v>
      </c>
      <c r="NM34" s="2" t="s">
        <v>17</v>
      </c>
      <c r="NN34" s="2"/>
      <c r="NO34" s="2" t="s">
        <v>9</v>
      </c>
      <c r="NP34" s="2">
        <v>34758</v>
      </c>
      <c r="NQ34" s="2" t="s">
        <v>117</v>
      </c>
      <c r="NR34" s="2" t="s">
        <v>17</v>
      </c>
      <c r="NS34" s="2"/>
      <c r="NT34" s="2" t="s">
        <v>17</v>
      </c>
      <c r="NU34" s="2"/>
      <c r="NV34" s="2"/>
      <c r="NW34" s="2"/>
      <c r="NX34" s="2" t="s">
        <v>9</v>
      </c>
      <c r="NY34" s="2" t="s">
        <v>119</v>
      </c>
      <c r="NZ34" s="2">
        <v>410.03</v>
      </c>
      <c r="OA34" s="2" t="s">
        <v>1045</v>
      </c>
      <c r="OB34" s="2" t="s">
        <v>1046</v>
      </c>
      <c r="OC34" s="2" t="s">
        <v>1046</v>
      </c>
      <c r="OD34" s="2" t="s">
        <v>17</v>
      </c>
      <c r="OE34" s="2" t="s">
        <v>119</v>
      </c>
      <c r="OF34" s="2" t="s">
        <v>17</v>
      </c>
      <c r="OG34" s="2" t="s">
        <v>17</v>
      </c>
      <c r="OH34" s="2"/>
      <c r="OI34" s="2"/>
      <c r="OJ34" s="2"/>
      <c r="OK34" s="2" t="s">
        <v>17</v>
      </c>
      <c r="OL34" s="2" t="s">
        <v>17</v>
      </c>
      <c r="OM34" s="2" t="s">
        <v>85</v>
      </c>
      <c r="ON34" s="6">
        <v>0</v>
      </c>
      <c r="OO34" s="6">
        <v>0</v>
      </c>
      <c r="OP34" s="2" t="s">
        <v>93</v>
      </c>
      <c r="OQ34" s="2" t="s">
        <v>93</v>
      </c>
      <c r="OR34" s="6">
        <v>0</v>
      </c>
      <c r="OS34" s="4">
        <v>0</v>
      </c>
      <c r="OT34" s="2" t="s">
        <v>17</v>
      </c>
      <c r="OU34" s="2" t="s">
        <v>17</v>
      </c>
      <c r="OV34" s="2"/>
      <c r="OW34" s="2"/>
      <c r="OX34" s="5">
        <v>16386300</v>
      </c>
      <c r="OY34" s="6">
        <v>204828.75</v>
      </c>
      <c r="OZ34" s="2"/>
      <c r="PA34" s="2"/>
      <c r="PB34" s="8">
        <v>8982857</v>
      </c>
      <c r="PC34" s="2"/>
      <c r="PD34" s="8">
        <v>8982857</v>
      </c>
      <c r="PE34" s="8">
        <v>1872000</v>
      </c>
      <c r="PF34" s="8">
        <v>208000</v>
      </c>
      <c r="PG34" s="8">
        <v>2080000</v>
      </c>
      <c r="PH34" s="8">
        <v>194587</v>
      </c>
      <c r="PI34" s="2"/>
      <c r="PJ34" s="8">
        <v>194587</v>
      </c>
      <c r="PK34" s="8">
        <v>11049444</v>
      </c>
      <c r="PL34" s="8">
        <v>208000</v>
      </c>
      <c r="PM34" s="8">
        <v>11257444</v>
      </c>
      <c r="PN34" s="8">
        <v>1548800</v>
      </c>
      <c r="PO34" s="2"/>
      <c r="PP34" s="8">
        <v>1548800</v>
      </c>
      <c r="PQ34" s="6">
        <v>1576042</v>
      </c>
      <c r="PR34" s="8">
        <v>12598244</v>
      </c>
      <c r="PS34" s="8">
        <v>208000</v>
      </c>
      <c r="PT34" s="8">
        <v>12806244</v>
      </c>
      <c r="PU34" s="8">
        <v>630583</v>
      </c>
      <c r="PV34" s="2"/>
      <c r="PW34" s="8">
        <v>630583</v>
      </c>
      <c r="PX34" s="6">
        <v>640312.19999999995</v>
      </c>
      <c r="PY34" s="8">
        <v>670000</v>
      </c>
      <c r="PZ34" s="8">
        <v>105000</v>
      </c>
      <c r="QA34" s="8">
        <v>775000</v>
      </c>
      <c r="QB34" s="8">
        <v>200000</v>
      </c>
      <c r="QC34" s="2"/>
      <c r="QD34" s="8">
        <v>200000</v>
      </c>
      <c r="QE34" s="8">
        <v>792343</v>
      </c>
      <c r="QF34" s="2"/>
      <c r="QG34" s="8">
        <v>792343</v>
      </c>
      <c r="QH34" s="2"/>
      <c r="QI34" s="8">
        <v>475780</v>
      </c>
      <c r="QJ34" s="8">
        <v>475780</v>
      </c>
      <c r="QK34" s="2"/>
      <c r="QL34" s="2"/>
      <c r="QM34" s="2"/>
      <c r="QN34" s="2"/>
      <c r="QO34" s="8">
        <v>100000</v>
      </c>
      <c r="QP34" s="8">
        <v>100000</v>
      </c>
      <c r="QQ34" s="8">
        <v>1662343</v>
      </c>
      <c r="QR34" s="8">
        <v>680780</v>
      </c>
      <c r="QS34" s="8">
        <v>2343123</v>
      </c>
      <c r="QT34" s="8">
        <v>100000</v>
      </c>
      <c r="QU34" s="2"/>
      <c r="QV34" s="8">
        <v>100000</v>
      </c>
      <c r="QW34" s="6">
        <v>117156.15</v>
      </c>
      <c r="QX34" s="8">
        <v>180000</v>
      </c>
      <c r="QY34" s="2"/>
      <c r="QZ34" s="8">
        <v>180000</v>
      </c>
      <c r="RA34" s="8">
        <v>38500</v>
      </c>
      <c r="RB34" s="8">
        <v>38500</v>
      </c>
      <c r="RC34" s="8">
        <v>990000</v>
      </c>
      <c r="RD34" s="8">
        <v>495000</v>
      </c>
      <c r="RE34" s="8">
        <v>1485000</v>
      </c>
      <c r="RF34" s="8">
        <v>1170000</v>
      </c>
      <c r="RG34" s="8">
        <v>533500</v>
      </c>
      <c r="RH34" s="8">
        <v>1703500</v>
      </c>
      <c r="RI34" s="2"/>
      <c r="RJ34" s="2"/>
      <c r="RK34" s="2"/>
      <c r="RL34" s="2"/>
      <c r="RM34" s="8">
        <v>16161170</v>
      </c>
      <c r="RN34" s="8">
        <v>1422280</v>
      </c>
      <c r="RO34" s="8">
        <v>17583450</v>
      </c>
      <c r="RP34" s="2"/>
      <c r="RQ34" s="2"/>
      <c r="RR34" s="2">
        <v>0</v>
      </c>
      <c r="RS34" s="6">
        <v>0</v>
      </c>
      <c r="RT34" s="8">
        <v>2813352</v>
      </c>
      <c r="RU34" s="2"/>
      <c r="RV34" s="8">
        <v>2813352</v>
      </c>
      <c r="RW34" s="6">
        <v>2813352</v>
      </c>
      <c r="RX34" s="6">
        <v>0</v>
      </c>
      <c r="RY34" s="8">
        <v>2813352</v>
      </c>
      <c r="RZ34" s="2"/>
      <c r="SA34" s="8">
        <v>2813352</v>
      </c>
      <c r="SB34" s="6">
        <v>2813352</v>
      </c>
      <c r="SC34" s="8">
        <v>280000</v>
      </c>
      <c r="SD34" s="8">
        <v>280000</v>
      </c>
      <c r="SE34" s="6">
        <v>280000</v>
      </c>
      <c r="SF34" s="8">
        <v>3250000</v>
      </c>
      <c r="SG34" s="8">
        <v>3250000</v>
      </c>
      <c r="SH34" s="8">
        <v>18974522</v>
      </c>
      <c r="SI34" s="8">
        <v>4952280</v>
      </c>
      <c r="SJ34" s="8">
        <v>23926802</v>
      </c>
      <c r="SK34" s="2" t="s">
        <v>410</v>
      </c>
      <c r="SL34" s="2" t="s">
        <v>1047</v>
      </c>
      <c r="SM34" s="2" t="s">
        <v>1048</v>
      </c>
      <c r="SN34" s="2" t="s">
        <v>1049</v>
      </c>
      <c r="SO34" s="2"/>
      <c r="SP34" s="8">
        <v>18000000</v>
      </c>
      <c r="SQ34" s="2" t="s">
        <v>95</v>
      </c>
      <c r="SR34" s="2"/>
      <c r="SS34" s="2"/>
      <c r="ST34" s="2"/>
      <c r="SU34" s="2"/>
      <c r="SV34" s="2"/>
      <c r="SW34" s="2"/>
      <c r="SX34" s="2" t="s">
        <v>96</v>
      </c>
      <c r="SY34" s="2" t="s">
        <v>96</v>
      </c>
      <c r="SZ34" s="2" t="s">
        <v>96</v>
      </c>
      <c r="TA34" s="2" t="s">
        <v>96</v>
      </c>
      <c r="TB34" s="8">
        <v>4026557</v>
      </c>
      <c r="TC34" s="2"/>
      <c r="TD34" s="2"/>
      <c r="TE34" s="2"/>
      <c r="TF34" s="2"/>
      <c r="TG34" s="2"/>
      <c r="TH34" s="2"/>
      <c r="TI34" s="8">
        <v>1900245</v>
      </c>
      <c r="TJ34" s="8">
        <v>23926802</v>
      </c>
      <c r="TK34" s="2">
        <v>0</v>
      </c>
      <c r="TL34" s="2" t="s">
        <v>9</v>
      </c>
      <c r="TM34" s="8">
        <v>3800000</v>
      </c>
      <c r="TN34" s="2" t="s">
        <v>95</v>
      </c>
      <c r="TO34" s="2"/>
      <c r="TP34" s="2"/>
      <c r="TQ34" s="2"/>
      <c r="TR34" s="2"/>
      <c r="TS34" s="2"/>
      <c r="TT34" s="2"/>
      <c r="TU34" s="2" t="s">
        <v>96</v>
      </c>
      <c r="TV34" s="8">
        <v>20132787</v>
      </c>
      <c r="TW34" s="2"/>
      <c r="TX34" s="2"/>
      <c r="TY34" s="2"/>
      <c r="TZ34" s="2"/>
      <c r="UA34" s="2"/>
      <c r="UB34" s="2"/>
      <c r="UC34" s="2">
        <v>0</v>
      </c>
      <c r="UD34" s="8">
        <v>23932787</v>
      </c>
      <c r="UE34" s="6">
        <v>3800000</v>
      </c>
      <c r="UF34" s="8">
        <v>5985</v>
      </c>
      <c r="UG34" s="2" t="s">
        <v>9</v>
      </c>
      <c r="UH34" s="2">
        <v>80</v>
      </c>
      <c r="UI34" s="5">
        <v>240000</v>
      </c>
      <c r="UJ34" s="6">
        <v>320000</v>
      </c>
      <c r="UK34" s="6">
        <v>320000</v>
      </c>
      <c r="UL34" s="6">
        <v>339200</v>
      </c>
      <c r="UM34" s="6">
        <v>27136000</v>
      </c>
      <c r="UN34" s="6">
        <v>4341760</v>
      </c>
      <c r="UO34" s="6">
        <v>4341760</v>
      </c>
      <c r="UP34" s="6">
        <v>31477760</v>
      </c>
      <c r="UQ34" s="6">
        <v>20396802</v>
      </c>
      <c r="UR34" s="2"/>
      <c r="US34" s="2"/>
      <c r="UT34" s="6">
        <v>0</v>
      </c>
      <c r="UU34" s="2"/>
      <c r="UV34" s="6">
        <v>0</v>
      </c>
      <c r="UW34" s="6">
        <v>0</v>
      </c>
      <c r="UX34" s="6">
        <v>0</v>
      </c>
      <c r="UY34" s="6">
        <v>0</v>
      </c>
      <c r="UZ34" s="2"/>
      <c r="VA34" s="2"/>
      <c r="VB34" s="2"/>
      <c r="VC34" s="2"/>
      <c r="VD34" s="2" t="s">
        <v>17</v>
      </c>
      <c r="VE34" s="2" t="s">
        <v>17</v>
      </c>
      <c r="VF34" s="2"/>
      <c r="VG34" s="2" t="s">
        <v>17</v>
      </c>
      <c r="VH34" s="2"/>
      <c r="VI34" s="388" t="s">
        <v>1050</v>
      </c>
      <c r="VJ34" s="2" t="s">
        <v>98</v>
      </c>
      <c r="VK34" s="2" t="s">
        <v>1051</v>
      </c>
      <c r="VL34" s="23">
        <f t="shared" ref="VL34:VL65" si="21">KG34+KH34+2*(KI34+KJ34+KK34)+3*(KL34+KM34)+4*(KO34+KP34)</f>
        <v>90</v>
      </c>
      <c r="VM34" s="17">
        <f t="shared" ref="VM34:VM65" si="22">VL34/IZ34</f>
        <v>1.125</v>
      </c>
      <c r="VN34" s="17" t="str">
        <f t="shared" si="12"/>
        <v>NC-MR-E</v>
      </c>
      <c r="VO34" s="17" t="str">
        <f t="shared" si="13"/>
        <v>NC-MR-E-Non</v>
      </c>
      <c r="VP34" s="12">
        <v>9</v>
      </c>
      <c r="VQ34" s="57">
        <v>1</v>
      </c>
      <c r="VR34" s="57">
        <f t="shared" ref="VR34:VR65" si="23">IF(GR34="Broward",Broward_A,1)</f>
        <v>1</v>
      </c>
      <c r="VS34" s="14">
        <f t="shared" ref="VS34:VS65" si="24">IF(OR(OT34="Yes",OU34="Yes"),PHA_A,1)</f>
        <v>1</v>
      </c>
      <c r="VT34" s="12">
        <f t="shared" ref="VT34:VT65" si="25">(GG34*NC_GA_A*ESSC_A+GH34*NC_GA_A+GI34*NC_MR_A*ESSC_A+GJ34*NC_MR_A+GK34*NC_HR_A*ESSC_A+GL34*NC_OT_A*ESSC_A+GM34*NC_OT_A+GN34*1+GO34*1)/(GG34+GH34+GI34+GJ34+GK34+GL34+GM34+GN34+GO34)</f>
        <v>0.97</v>
      </c>
      <c r="VU34" s="16">
        <f t="shared" ref="VU34:VU65" si="26">NI34*VP34*VR34*VS34*VT34*IF(BW34="Elderly Non-ALF",Elderly_A,1)</f>
        <v>18699660</v>
      </c>
      <c r="VV34" s="16">
        <f t="shared" ref="VV34:VV65" si="27">VU34/(JI34+JV34)</f>
        <v>233745.75</v>
      </c>
      <c r="VW34" s="12" t="str">
        <f t="shared" si="14"/>
        <v>A</v>
      </c>
      <c r="VX34" s="12" t="str">
        <f t="shared" si="15"/>
        <v>NC-MR-Non</v>
      </c>
      <c r="VY34" s="351">
        <f t="shared" si="16"/>
        <v>3</v>
      </c>
      <c r="WA34" s="12">
        <f t="shared" si="17"/>
        <v>1</v>
      </c>
      <c r="WB34" s="12">
        <f t="shared" si="18"/>
        <v>0</v>
      </c>
      <c r="WC34" s="12">
        <f t="shared" si="18"/>
        <v>0</v>
      </c>
      <c r="WD34" s="12">
        <f t="shared" si="18"/>
        <v>0</v>
      </c>
      <c r="WE34" s="12">
        <f t="shared" si="19"/>
        <v>0</v>
      </c>
      <c r="WF34" s="12">
        <f t="shared" ref="WF34:WF65" si="28">IF(GG34+GH34&gt;0,1,0)</f>
        <v>0</v>
      </c>
      <c r="WG34" s="12">
        <f t="shared" ref="WG34:WG65" si="29">IF(GI34+GJ34&gt;0,1,0)</f>
        <v>1</v>
      </c>
      <c r="WH34" s="12">
        <f t="shared" ref="WH34:WH65" si="30">IF(GK34&gt;1,1,0)</f>
        <v>0</v>
      </c>
      <c r="WI34" s="31">
        <f t="shared" ref="WI34:WI65" si="31">SUM(WA34:WH34)</f>
        <v>2</v>
      </c>
      <c r="WJ34" s="2"/>
      <c r="WK34" s="445" t="str">
        <f t="shared" si="20"/>
        <v>NC-MR-Non-BBN-BRN-NPH-E</v>
      </c>
      <c r="WL34" s="445"/>
      <c r="WM34" s="445"/>
    </row>
    <row r="35" spans="1:611" x14ac:dyDescent="0.25">
      <c r="A35" s="2">
        <v>9419</v>
      </c>
      <c r="B35" s="2" t="s">
        <v>1983</v>
      </c>
      <c r="C35" s="2" t="s">
        <v>8</v>
      </c>
      <c r="D35" s="3">
        <v>45153</v>
      </c>
      <c r="E35" s="2" t="e">
        <v>#VALUE!</v>
      </c>
      <c r="F35" s="2" t="e">
        <v>#VALUE!</v>
      </c>
      <c r="G35" s="2" t="s">
        <v>9</v>
      </c>
      <c r="H35" s="2">
        <v>3</v>
      </c>
      <c r="I35" s="2" t="s">
        <v>9</v>
      </c>
      <c r="J35" s="2">
        <v>3</v>
      </c>
      <c r="K35" s="2" t="s">
        <v>9</v>
      </c>
      <c r="L35" s="2">
        <v>3</v>
      </c>
      <c r="M35" s="2" t="s">
        <v>10</v>
      </c>
      <c r="N35" s="2">
        <v>0</v>
      </c>
      <c r="O35" s="2" t="s">
        <v>10</v>
      </c>
      <c r="P35" s="2">
        <v>0</v>
      </c>
      <c r="Q35" s="2" t="s">
        <v>11</v>
      </c>
      <c r="R35" s="2">
        <v>0</v>
      </c>
      <c r="S35" s="2" t="s">
        <v>9</v>
      </c>
      <c r="T35" s="2">
        <v>2</v>
      </c>
      <c r="U35" s="2" t="s">
        <v>9</v>
      </c>
      <c r="V35" s="2">
        <v>2</v>
      </c>
      <c r="W35" s="2" t="s">
        <v>9</v>
      </c>
      <c r="X35" s="2">
        <v>2</v>
      </c>
      <c r="Y35" s="2" t="s">
        <v>12</v>
      </c>
      <c r="Z35" s="2" t="s">
        <v>187</v>
      </c>
      <c r="AA35" s="2" t="s">
        <v>15</v>
      </c>
      <c r="AB35" s="2" t="s">
        <v>15</v>
      </c>
      <c r="AC35" s="2" t="s">
        <v>15</v>
      </c>
      <c r="AD35" s="2" t="s">
        <v>15</v>
      </c>
      <c r="AE35" s="2" t="s">
        <v>15</v>
      </c>
      <c r="AF35" s="2">
        <v>1</v>
      </c>
      <c r="AG35" s="2" t="s">
        <v>1366</v>
      </c>
      <c r="AH35" s="2" t="s">
        <v>17</v>
      </c>
      <c r="AI35" s="4">
        <v>0.1</v>
      </c>
      <c r="AJ35" s="2" t="s">
        <v>17</v>
      </c>
      <c r="AK35" s="2" t="s">
        <v>9</v>
      </c>
      <c r="AL35" s="2" t="s">
        <v>17</v>
      </c>
      <c r="AM35" s="2" t="s">
        <v>17</v>
      </c>
      <c r="AN35" s="2" t="s">
        <v>17</v>
      </c>
      <c r="AO35" s="2" t="s">
        <v>17</v>
      </c>
      <c r="AP35" s="2" t="s">
        <v>9</v>
      </c>
      <c r="AQ35" s="2" t="s">
        <v>17</v>
      </c>
      <c r="AR35" s="2" t="s">
        <v>17</v>
      </c>
      <c r="AS35" s="2" t="s">
        <v>17</v>
      </c>
      <c r="AT35" s="2">
        <v>0</v>
      </c>
      <c r="AU35" s="5">
        <v>37500</v>
      </c>
      <c r="AV35" s="5">
        <v>460000</v>
      </c>
      <c r="AW35" s="2">
        <v>0</v>
      </c>
      <c r="AX35" s="2">
        <v>9</v>
      </c>
      <c r="AY35" s="2">
        <v>0</v>
      </c>
      <c r="AZ35" s="2">
        <v>18</v>
      </c>
      <c r="BA35" s="2">
        <v>0</v>
      </c>
      <c r="BB35" s="2">
        <v>1</v>
      </c>
      <c r="BC35" s="2">
        <v>1</v>
      </c>
      <c r="BD35" s="2">
        <v>0</v>
      </c>
      <c r="BE35" s="2">
        <v>0</v>
      </c>
      <c r="BF35" s="2">
        <v>1</v>
      </c>
      <c r="BG35" s="2">
        <v>0</v>
      </c>
      <c r="BH35" s="2">
        <v>0</v>
      </c>
      <c r="BI35" s="2">
        <v>13</v>
      </c>
      <c r="BJ35" s="2">
        <v>1</v>
      </c>
      <c r="BK35" s="2">
        <v>0</v>
      </c>
      <c r="BL35" s="2">
        <v>3</v>
      </c>
      <c r="BM35" s="2">
        <v>0</v>
      </c>
      <c r="BN35" s="2">
        <v>12</v>
      </c>
      <c r="BO35" s="2">
        <v>11</v>
      </c>
      <c r="BP35" s="2">
        <v>0</v>
      </c>
      <c r="BQ35" s="2">
        <v>10</v>
      </c>
      <c r="BR35" s="2">
        <v>12.22</v>
      </c>
      <c r="BS35" s="2">
        <v>0</v>
      </c>
      <c r="BT35" s="4">
        <v>0.06</v>
      </c>
      <c r="BU35" s="2" t="s">
        <v>9</v>
      </c>
      <c r="BV35" s="6">
        <v>204828.75</v>
      </c>
      <c r="BW35" s="2" t="s">
        <v>18</v>
      </c>
      <c r="BX35" s="2" t="s">
        <v>17</v>
      </c>
      <c r="BY35" s="2" t="s">
        <v>17</v>
      </c>
      <c r="BZ35" s="2" t="s">
        <v>17</v>
      </c>
      <c r="CA35" s="2" t="s">
        <v>17</v>
      </c>
      <c r="CB35" s="2" t="s">
        <v>17</v>
      </c>
      <c r="CC35" s="2" t="s">
        <v>17</v>
      </c>
      <c r="CD35" s="2" t="s">
        <v>17</v>
      </c>
      <c r="CE35" s="2" t="s">
        <v>1984</v>
      </c>
      <c r="CF35" s="2" t="s">
        <v>17</v>
      </c>
      <c r="CG35" s="2" t="s">
        <v>1959</v>
      </c>
      <c r="CH35" s="2"/>
      <c r="CI35" s="2"/>
      <c r="CJ35" s="2" t="s">
        <v>9</v>
      </c>
      <c r="CK35" s="2" t="s">
        <v>1960</v>
      </c>
      <c r="CL35" s="2" t="s">
        <v>1959</v>
      </c>
      <c r="CM35" s="2" t="s">
        <v>1961</v>
      </c>
      <c r="CN35" s="2" t="s">
        <v>620</v>
      </c>
      <c r="CO35" s="2" t="s">
        <v>24</v>
      </c>
      <c r="CP35" s="2"/>
      <c r="CQ35" s="2">
        <v>126</v>
      </c>
      <c r="CR35" s="2" t="s">
        <v>375</v>
      </c>
      <c r="CS35" s="2">
        <v>2013</v>
      </c>
      <c r="CT35" s="2" t="s">
        <v>26</v>
      </c>
      <c r="CU35" s="2" t="e">
        <v>#VALUE!</v>
      </c>
      <c r="CV35" s="2" t="s">
        <v>1962</v>
      </c>
      <c r="CW35" s="2" t="s">
        <v>1175</v>
      </c>
      <c r="CX35" s="2" t="s">
        <v>24</v>
      </c>
      <c r="CY35" s="2"/>
      <c r="CZ35" s="2">
        <v>110</v>
      </c>
      <c r="DA35" s="2" t="s">
        <v>375</v>
      </c>
      <c r="DB35" s="2">
        <v>2017</v>
      </c>
      <c r="DC35" s="2" t="s">
        <v>30</v>
      </c>
      <c r="DD35" s="2" t="e">
        <v>#VALUE!</v>
      </c>
      <c r="DE35" s="2" t="s">
        <v>1963</v>
      </c>
      <c r="DF35" s="2" t="s">
        <v>330</v>
      </c>
      <c r="DG35" s="2" t="s">
        <v>24</v>
      </c>
      <c r="DH35" s="2"/>
      <c r="DI35" s="2">
        <v>96</v>
      </c>
      <c r="DJ35" s="2" t="s">
        <v>375</v>
      </c>
      <c r="DK35" s="2">
        <v>2020</v>
      </c>
      <c r="DL35" s="2" t="s">
        <v>30</v>
      </c>
      <c r="DM35" s="2" t="e">
        <v>#VALUE!</v>
      </c>
      <c r="DN35" s="2" t="s">
        <v>33</v>
      </c>
      <c r="DO35" s="2" t="s">
        <v>34</v>
      </c>
      <c r="DP35" s="2"/>
      <c r="DQ35" s="2" t="s">
        <v>35</v>
      </c>
      <c r="DR35" s="2" t="s">
        <v>1964</v>
      </c>
      <c r="DS35" s="2">
        <v>1</v>
      </c>
      <c r="DT35" s="2" t="s">
        <v>1965</v>
      </c>
      <c r="DU35" s="2" t="s">
        <v>38</v>
      </c>
      <c r="DV35" s="2" t="s">
        <v>39</v>
      </c>
      <c r="DW35" s="2">
        <v>32405</v>
      </c>
      <c r="DX35" s="2" t="s">
        <v>1966</v>
      </c>
      <c r="DY35" s="2"/>
      <c r="DZ35" s="2" t="s">
        <v>618</v>
      </c>
      <c r="EA35" s="2" t="s">
        <v>1964</v>
      </c>
      <c r="EB35" s="2" t="s">
        <v>1961</v>
      </c>
      <c r="EC35" s="2" t="s">
        <v>620</v>
      </c>
      <c r="ED35" s="2" t="s">
        <v>44</v>
      </c>
      <c r="EE35" s="2">
        <v>126</v>
      </c>
      <c r="EF35" s="2" t="s">
        <v>390</v>
      </c>
      <c r="EG35" s="2">
        <v>40</v>
      </c>
      <c r="EH35" s="2" t="s">
        <v>46</v>
      </c>
      <c r="EI35" s="2" t="s">
        <v>47</v>
      </c>
      <c r="EJ35" s="2" t="s">
        <v>1967</v>
      </c>
      <c r="EK35" s="2" t="s">
        <v>1968</v>
      </c>
      <c r="EL35" s="2" t="s">
        <v>44</v>
      </c>
      <c r="EM35" s="2">
        <v>93</v>
      </c>
      <c r="EN35" s="2" t="s">
        <v>390</v>
      </c>
      <c r="EO35" s="2">
        <v>13</v>
      </c>
      <c r="EP35" s="2" t="s">
        <v>46</v>
      </c>
      <c r="EQ35" s="2" t="s">
        <v>47</v>
      </c>
      <c r="ER35" s="2" t="s">
        <v>587</v>
      </c>
      <c r="ES35" s="2" t="s">
        <v>631</v>
      </c>
      <c r="ET35" s="2" t="s">
        <v>1969</v>
      </c>
      <c r="EU35" s="2" t="s">
        <v>1970</v>
      </c>
      <c r="EV35" s="2" t="s">
        <v>1965</v>
      </c>
      <c r="EW35" s="2" t="s">
        <v>38</v>
      </c>
      <c r="EX35" s="2" t="s">
        <v>39</v>
      </c>
      <c r="EY35" s="2">
        <v>32405</v>
      </c>
      <c r="EZ35" s="2" t="s">
        <v>1966</v>
      </c>
      <c r="FA35" s="2"/>
      <c r="FB35" s="2" t="s">
        <v>1971</v>
      </c>
      <c r="FC35" s="2" t="s">
        <v>475</v>
      </c>
      <c r="FD35" s="2" t="s">
        <v>381</v>
      </c>
      <c r="FE35" s="2" t="s">
        <v>1972</v>
      </c>
      <c r="FF35" s="2" t="s">
        <v>1973</v>
      </c>
      <c r="FG35" s="2" t="s">
        <v>1965</v>
      </c>
      <c r="FH35" s="2" t="s">
        <v>1974</v>
      </c>
      <c r="FI35" s="2" t="s">
        <v>39</v>
      </c>
      <c r="FJ35" s="2">
        <v>32405</v>
      </c>
      <c r="FK35" s="2" t="s">
        <v>1966</v>
      </c>
      <c r="FL35" s="2"/>
      <c r="FM35" s="2" t="s">
        <v>1975</v>
      </c>
      <c r="FN35" s="2" t="s">
        <v>1985</v>
      </c>
      <c r="FO35" s="2" t="s">
        <v>63</v>
      </c>
      <c r="FP35" s="2" t="s">
        <v>64</v>
      </c>
      <c r="FQ35" s="2" t="s">
        <v>9</v>
      </c>
      <c r="FR35" s="2" t="s">
        <v>17</v>
      </c>
      <c r="FS35" s="2" t="s">
        <v>17</v>
      </c>
      <c r="FT35" s="2" t="s">
        <v>9</v>
      </c>
      <c r="FU35" s="2">
        <v>0</v>
      </c>
      <c r="FV35" s="2">
        <v>0</v>
      </c>
      <c r="FW35" s="4">
        <v>0</v>
      </c>
      <c r="FX35" s="4">
        <v>0</v>
      </c>
      <c r="FY35" s="2" t="s">
        <v>65</v>
      </c>
      <c r="FZ35" s="2" t="s">
        <v>66</v>
      </c>
      <c r="GA35" s="2" t="s">
        <v>67</v>
      </c>
      <c r="GB35" s="2"/>
      <c r="GC35" s="2"/>
      <c r="GD35" s="2"/>
      <c r="GE35" s="2" t="s">
        <v>108</v>
      </c>
      <c r="GF35" s="2"/>
      <c r="GG35" s="2"/>
      <c r="GH35" s="2"/>
      <c r="GI35" s="2"/>
      <c r="GJ35" s="2">
        <v>80</v>
      </c>
      <c r="GK35" s="2"/>
      <c r="GL35" s="2"/>
      <c r="GM35" s="2"/>
      <c r="GN35" s="2"/>
      <c r="GO35" s="2"/>
      <c r="GP35" s="2"/>
      <c r="GQ35" s="2">
        <v>80</v>
      </c>
      <c r="GR35" s="2" t="s">
        <v>69</v>
      </c>
      <c r="GS35" s="2" t="s">
        <v>70</v>
      </c>
      <c r="GT35" s="2" t="s">
        <v>1986</v>
      </c>
      <c r="GU35" s="2" t="s">
        <v>72</v>
      </c>
      <c r="GV35" s="2" t="s">
        <v>17</v>
      </c>
      <c r="GW35" s="2">
        <v>29.610125</v>
      </c>
      <c r="GX35" s="2">
        <v>-82.360519999999994</v>
      </c>
      <c r="GY35" s="2"/>
      <c r="GZ35" s="2" t="s">
        <v>17</v>
      </c>
      <c r="HA35" s="2" t="s">
        <v>17</v>
      </c>
      <c r="HB35" s="2">
        <v>0</v>
      </c>
      <c r="HC35" s="2" t="s">
        <v>17</v>
      </c>
      <c r="HD35" s="2"/>
      <c r="HE35" s="2">
        <v>0</v>
      </c>
      <c r="HF35" s="2">
        <v>29.612026</v>
      </c>
      <c r="HG35" s="2">
        <v>-82.359380000000002</v>
      </c>
      <c r="HH35" s="2">
        <v>0.15</v>
      </c>
      <c r="HI35" s="2">
        <v>2</v>
      </c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 t="s">
        <v>73</v>
      </c>
      <c r="HY35" s="2" t="s">
        <v>17</v>
      </c>
      <c r="HZ35" s="2"/>
      <c r="IA35" s="2" t="s">
        <v>1987</v>
      </c>
      <c r="IB35" s="2" t="s">
        <v>1988</v>
      </c>
      <c r="IC35" s="2">
        <v>0.8</v>
      </c>
      <c r="ID35" s="2">
        <v>2.5</v>
      </c>
      <c r="IE35" s="2"/>
      <c r="IF35" s="2"/>
      <c r="IG35" s="2"/>
      <c r="IH35" s="2" t="s">
        <v>1989</v>
      </c>
      <c r="II35" s="2">
        <v>0.8</v>
      </c>
      <c r="IJ35" s="2">
        <v>2.5</v>
      </c>
      <c r="IK35" s="2" t="s">
        <v>1990</v>
      </c>
      <c r="IL35" s="2" t="s">
        <v>1991</v>
      </c>
      <c r="IM35" s="2">
        <v>0.71</v>
      </c>
      <c r="IN35" s="2">
        <v>3.5</v>
      </c>
      <c r="IO35" s="2" t="s">
        <v>17</v>
      </c>
      <c r="IP35" s="2">
        <v>2</v>
      </c>
      <c r="IQ35" s="2">
        <v>8.5</v>
      </c>
      <c r="IR35" s="2">
        <v>0</v>
      </c>
      <c r="IS35" s="2">
        <v>10.5</v>
      </c>
      <c r="IT35" s="2" t="s">
        <v>17</v>
      </c>
      <c r="IU35" s="2" t="s">
        <v>17</v>
      </c>
      <c r="IV35" s="2" t="s">
        <v>17</v>
      </c>
      <c r="IW35" s="2" t="s">
        <v>9</v>
      </c>
      <c r="IX35" s="2" t="s">
        <v>9</v>
      </c>
      <c r="IY35" s="2">
        <v>10.5</v>
      </c>
      <c r="IZ35" s="2">
        <v>80</v>
      </c>
      <c r="JA35" s="2" t="s">
        <v>81</v>
      </c>
      <c r="JB35" s="2" t="s">
        <v>173</v>
      </c>
      <c r="JC35" s="2"/>
      <c r="JD35" s="2"/>
      <c r="JE35" s="7">
        <v>0.1</v>
      </c>
      <c r="JF35" s="2"/>
      <c r="JG35" s="7">
        <v>0.9</v>
      </c>
      <c r="JH35" s="7">
        <v>0</v>
      </c>
      <c r="JI35" s="2">
        <v>80</v>
      </c>
      <c r="JJ35" s="7">
        <v>1</v>
      </c>
      <c r="JK35" s="2">
        <v>80</v>
      </c>
      <c r="JL35" s="7">
        <v>1</v>
      </c>
      <c r="JM35" s="2"/>
      <c r="JN35" s="2"/>
      <c r="JO35" s="2"/>
      <c r="JP35" s="2"/>
      <c r="JQ35" s="2"/>
      <c r="JR35" s="2"/>
      <c r="JS35" s="2">
        <v>0</v>
      </c>
      <c r="JT35" s="2">
        <v>0</v>
      </c>
      <c r="JU35" s="2"/>
      <c r="JV35" s="2">
        <v>0</v>
      </c>
      <c r="JW35" s="4">
        <v>0</v>
      </c>
      <c r="JX35" s="2">
        <v>0</v>
      </c>
      <c r="JY35" s="4">
        <v>0</v>
      </c>
      <c r="JZ35" s="2">
        <v>0</v>
      </c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>
        <v>40</v>
      </c>
      <c r="KL35" s="2">
        <v>40</v>
      </c>
      <c r="KM35" s="2"/>
      <c r="KN35" s="2"/>
      <c r="KO35" s="2"/>
      <c r="KP35" s="2"/>
      <c r="KQ35" s="2" t="s">
        <v>83</v>
      </c>
      <c r="KR35" s="2" t="s">
        <v>73</v>
      </c>
      <c r="KS35" s="2"/>
      <c r="KT35" s="2">
        <v>1</v>
      </c>
      <c r="KU35" s="2" t="s">
        <v>84</v>
      </c>
      <c r="KV35" s="2" t="s">
        <v>85</v>
      </c>
      <c r="KW35" s="2" t="s">
        <v>86</v>
      </c>
      <c r="KX35" s="2" t="s">
        <v>17</v>
      </c>
      <c r="KY35" s="2" t="s">
        <v>17</v>
      </c>
      <c r="KZ35" s="2" t="s">
        <v>17</v>
      </c>
      <c r="LA35" s="2" t="s">
        <v>17</v>
      </c>
      <c r="LB35" s="2" t="s">
        <v>17</v>
      </c>
      <c r="LC35" s="2" t="s">
        <v>17</v>
      </c>
      <c r="LD35" s="2" t="s">
        <v>17</v>
      </c>
      <c r="LE35" s="2" t="s">
        <v>17</v>
      </c>
      <c r="LF35" s="2" t="s">
        <v>17</v>
      </c>
      <c r="LG35" s="2" t="s">
        <v>17</v>
      </c>
      <c r="LH35" s="2" t="s">
        <v>17</v>
      </c>
      <c r="LI35" s="2" t="s">
        <v>17</v>
      </c>
      <c r="LJ35" s="2" t="s">
        <v>87</v>
      </c>
      <c r="LK35" s="2" t="s">
        <v>17</v>
      </c>
      <c r="LL35" s="2" t="s">
        <v>17</v>
      </c>
      <c r="LM35" s="2">
        <v>0</v>
      </c>
      <c r="LN35" s="2" t="s">
        <v>17</v>
      </c>
      <c r="LO35" s="2" t="s">
        <v>9</v>
      </c>
      <c r="LP35" s="2" t="s">
        <v>9</v>
      </c>
      <c r="LQ35" s="2" t="s">
        <v>17</v>
      </c>
      <c r="LR35" s="2" t="s">
        <v>9</v>
      </c>
      <c r="LS35" s="2" t="s">
        <v>17</v>
      </c>
      <c r="LT35" s="2" t="s">
        <v>17</v>
      </c>
      <c r="LU35" s="2" t="s">
        <v>17</v>
      </c>
      <c r="LV35" s="2" t="s">
        <v>17</v>
      </c>
      <c r="LW35" s="2" t="s">
        <v>17</v>
      </c>
      <c r="LX35" s="2" t="s">
        <v>17</v>
      </c>
      <c r="LY35" s="5">
        <v>6400000</v>
      </c>
      <c r="LZ35" s="5">
        <v>0</v>
      </c>
      <c r="MA35" s="5">
        <v>7200000</v>
      </c>
      <c r="MB35" s="5">
        <v>0</v>
      </c>
      <c r="MC35" s="5">
        <v>0</v>
      </c>
      <c r="MD35" s="5">
        <v>0</v>
      </c>
      <c r="ME35" s="5">
        <v>8400000</v>
      </c>
      <c r="MF35" s="5">
        <v>0</v>
      </c>
      <c r="MG35" s="5">
        <v>0</v>
      </c>
      <c r="MH35" s="5">
        <v>0</v>
      </c>
      <c r="MI35" s="5">
        <v>0</v>
      </c>
      <c r="MJ35" s="5">
        <v>0</v>
      </c>
      <c r="MK35" s="5">
        <v>0</v>
      </c>
      <c r="ML35" s="2">
        <v>0</v>
      </c>
      <c r="MM35" s="5">
        <v>0</v>
      </c>
      <c r="MN35" s="5">
        <v>0</v>
      </c>
      <c r="MO35" s="2">
        <v>0</v>
      </c>
      <c r="MP35" s="2">
        <v>0</v>
      </c>
      <c r="MQ35" s="2">
        <v>0</v>
      </c>
      <c r="MR35" s="5">
        <v>2950000</v>
      </c>
      <c r="MS35" s="5">
        <v>0</v>
      </c>
      <c r="MT35" s="5">
        <v>4600000</v>
      </c>
      <c r="MU35" s="5">
        <v>0</v>
      </c>
      <c r="MV35" s="5">
        <v>0</v>
      </c>
      <c r="MW35" s="5">
        <v>0</v>
      </c>
      <c r="MX35" s="5">
        <v>0</v>
      </c>
      <c r="MY35" s="5">
        <v>2500000</v>
      </c>
      <c r="MZ35" s="5">
        <v>0</v>
      </c>
      <c r="NA35" s="5">
        <v>5000000</v>
      </c>
      <c r="NB35" s="5">
        <v>0</v>
      </c>
      <c r="NC35" s="5">
        <v>0</v>
      </c>
      <c r="ND35" s="5">
        <v>0</v>
      </c>
      <c r="NE35" s="5">
        <v>0</v>
      </c>
      <c r="NF35" s="5">
        <v>0</v>
      </c>
      <c r="NG35" s="5">
        <v>2142000</v>
      </c>
      <c r="NH35" s="5">
        <v>2142000</v>
      </c>
      <c r="NI35" s="5">
        <v>2142000</v>
      </c>
      <c r="NJ35" s="5">
        <v>0</v>
      </c>
      <c r="NK35" s="5"/>
      <c r="NL35" s="2" t="s">
        <v>17</v>
      </c>
      <c r="NM35" s="2" t="s">
        <v>17</v>
      </c>
      <c r="NN35" s="2"/>
      <c r="NO35" s="2" t="s">
        <v>17</v>
      </c>
      <c r="NP35" s="2"/>
      <c r="NQ35" s="2"/>
      <c r="NR35" s="2" t="s">
        <v>17</v>
      </c>
      <c r="NS35" s="2"/>
      <c r="NT35" s="2" t="s">
        <v>17</v>
      </c>
      <c r="NU35" s="2"/>
      <c r="NV35" s="2"/>
      <c r="NW35" s="2"/>
      <c r="NX35" s="2" t="s">
        <v>9</v>
      </c>
      <c r="NY35" s="2" t="s">
        <v>88</v>
      </c>
      <c r="NZ35" s="2">
        <v>1108</v>
      </c>
      <c r="OA35" s="2" t="s">
        <v>89</v>
      </c>
      <c r="OB35" s="2" t="s">
        <v>90</v>
      </c>
      <c r="OC35" s="2" t="s">
        <v>90</v>
      </c>
      <c r="OD35" s="2" t="s">
        <v>17</v>
      </c>
      <c r="OE35" s="2"/>
      <c r="OF35" s="2" t="s">
        <v>17</v>
      </c>
      <c r="OG35" s="2" t="s">
        <v>9</v>
      </c>
      <c r="OH35" s="2" t="s">
        <v>92</v>
      </c>
      <c r="OI35" s="2"/>
      <c r="OJ35" s="2"/>
      <c r="OK35" s="2" t="s">
        <v>17</v>
      </c>
      <c r="OL35" s="2" t="s">
        <v>17</v>
      </c>
      <c r="OM35" s="2" t="s">
        <v>85</v>
      </c>
      <c r="ON35" s="6">
        <v>0</v>
      </c>
      <c r="OO35" s="6">
        <v>0</v>
      </c>
      <c r="OP35" s="2" t="s">
        <v>93</v>
      </c>
      <c r="OQ35" s="2" t="s">
        <v>93</v>
      </c>
      <c r="OR35" s="6">
        <v>0</v>
      </c>
      <c r="OS35" s="4">
        <v>0</v>
      </c>
      <c r="OT35" s="2" t="s">
        <v>17</v>
      </c>
      <c r="OU35" s="2" t="s">
        <v>17</v>
      </c>
      <c r="OV35" s="2"/>
      <c r="OW35" s="2"/>
      <c r="OX35" s="5">
        <v>16386300</v>
      </c>
      <c r="OY35" s="6">
        <v>204828.75</v>
      </c>
      <c r="OZ35" s="2"/>
      <c r="PA35" s="2"/>
      <c r="PB35" s="8">
        <v>12419314</v>
      </c>
      <c r="PC35" s="2"/>
      <c r="PD35" s="8">
        <v>12419314</v>
      </c>
      <c r="PE35" s="2"/>
      <c r="PF35" s="2"/>
      <c r="PG35" s="2"/>
      <c r="PH35" s="2"/>
      <c r="PI35" s="2"/>
      <c r="PJ35" s="2"/>
      <c r="PK35" s="8">
        <v>12419314</v>
      </c>
      <c r="PL35" s="2"/>
      <c r="PM35" s="8">
        <v>12419314</v>
      </c>
      <c r="PN35" s="8">
        <v>1738703</v>
      </c>
      <c r="PO35" s="2"/>
      <c r="PP35" s="8">
        <v>1738703</v>
      </c>
      <c r="PQ35" s="6">
        <v>1738703</v>
      </c>
      <c r="PR35" s="8">
        <v>14158017</v>
      </c>
      <c r="PS35" s="2"/>
      <c r="PT35" s="8">
        <v>14158017</v>
      </c>
      <c r="PU35" s="8">
        <v>707900</v>
      </c>
      <c r="PV35" s="2"/>
      <c r="PW35" s="8">
        <v>707900</v>
      </c>
      <c r="PX35" s="6">
        <v>707900.85</v>
      </c>
      <c r="PY35" s="8">
        <v>793000</v>
      </c>
      <c r="PZ35" s="2"/>
      <c r="QA35" s="8">
        <v>793000</v>
      </c>
      <c r="QB35" s="8">
        <v>160287</v>
      </c>
      <c r="QC35" s="2"/>
      <c r="QD35" s="8">
        <v>160287</v>
      </c>
      <c r="QE35" s="8">
        <v>896000</v>
      </c>
      <c r="QF35" s="2"/>
      <c r="QG35" s="8">
        <v>896000</v>
      </c>
      <c r="QH35" s="8">
        <v>16377</v>
      </c>
      <c r="QI35" s="8">
        <v>407780</v>
      </c>
      <c r="QJ35" s="8">
        <v>424157</v>
      </c>
      <c r="QK35" s="2"/>
      <c r="QL35" s="2"/>
      <c r="QM35" s="2"/>
      <c r="QN35" s="2"/>
      <c r="QO35" s="2"/>
      <c r="QP35" s="2"/>
      <c r="QQ35" s="8">
        <v>1865664</v>
      </c>
      <c r="QR35" s="8">
        <v>407780</v>
      </c>
      <c r="QS35" s="8">
        <v>2273444</v>
      </c>
      <c r="QT35" s="8">
        <v>113672</v>
      </c>
      <c r="QU35" s="2"/>
      <c r="QV35" s="8">
        <v>113672</v>
      </c>
      <c r="QW35" s="6">
        <v>113672.2</v>
      </c>
      <c r="QX35" s="8">
        <v>1230200</v>
      </c>
      <c r="QY35" s="8">
        <v>246050</v>
      </c>
      <c r="QZ35" s="8">
        <v>1476250</v>
      </c>
      <c r="RA35" s="8">
        <v>170175</v>
      </c>
      <c r="RB35" s="8">
        <v>170175</v>
      </c>
      <c r="RC35" s="2"/>
      <c r="RD35" s="2"/>
      <c r="RE35" s="2"/>
      <c r="RF35" s="8">
        <v>1230200</v>
      </c>
      <c r="RG35" s="8">
        <v>416225</v>
      </c>
      <c r="RH35" s="8">
        <v>1646425</v>
      </c>
      <c r="RI35" s="2"/>
      <c r="RJ35" s="2"/>
      <c r="RK35" s="2"/>
      <c r="RL35" s="2"/>
      <c r="RM35" s="8">
        <v>18075453</v>
      </c>
      <c r="RN35" s="8">
        <v>824005</v>
      </c>
      <c r="RO35" s="8">
        <v>18899458</v>
      </c>
      <c r="RP35" s="2"/>
      <c r="RQ35" s="2"/>
      <c r="RR35" s="2">
        <v>0</v>
      </c>
      <c r="RS35" s="6">
        <v>0</v>
      </c>
      <c r="RT35" s="8">
        <v>3023913</v>
      </c>
      <c r="RU35" s="2"/>
      <c r="RV35" s="8">
        <v>3023913</v>
      </c>
      <c r="RW35" s="6">
        <v>3023913</v>
      </c>
      <c r="RX35" s="6">
        <v>0</v>
      </c>
      <c r="RY35" s="8">
        <v>3023913</v>
      </c>
      <c r="RZ35" s="2"/>
      <c r="SA35" s="8">
        <v>3023913</v>
      </c>
      <c r="SB35" s="6">
        <v>3023913</v>
      </c>
      <c r="SC35" s="2"/>
      <c r="SD35" s="2"/>
      <c r="SE35" s="6">
        <v>280000</v>
      </c>
      <c r="SF35" s="8">
        <v>1250000</v>
      </c>
      <c r="SG35" s="8">
        <v>1250000</v>
      </c>
      <c r="SH35" s="8">
        <v>21099366</v>
      </c>
      <c r="SI35" s="8">
        <v>2074005</v>
      </c>
      <c r="SJ35" s="8">
        <v>23173371</v>
      </c>
      <c r="SK35" s="2"/>
      <c r="SL35" s="2"/>
      <c r="SM35" s="2"/>
      <c r="SN35" s="2"/>
      <c r="SO35" s="2"/>
      <c r="SP35" s="8">
        <v>18500000</v>
      </c>
      <c r="SQ35" s="2" t="s">
        <v>95</v>
      </c>
      <c r="SR35" s="2"/>
      <c r="SS35" s="2"/>
      <c r="ST35" s="2"/>
      <c r="SU35" s="2"/>
      <c r="SV35" s="2"/>
      <c r="SW35" s="2"/>
      <c r="SX35" s="2" t="s">
        <v>96</v>
      </c>
      <c r="SY35" s="2" t="s">
        <v>96</v>
      </c>
      <c r="SZ35" s="2" t="s">
        <v>96</v>
      </c>
      <c r="TA35" s="2" t="s">
        <v>96</v>
      </c>
      <c r="TB35" s="8">
        <v>2827158</v>
      </c>
      <c r="TC35" s="2"/>
      <c r="TD35" s="2"/>
      <c r="TE35" s="2"/>
      <c r="TF35" s="2"/>
      <c r="TG35" s="2"/>
      <c r="TH35" s="2"/>
      <c r="TI35" s="8">
        <v>1846213</v>
      </c>
      <c r="TJ35" s="8">
        <v>23173371</v>
      </c>
      <c r="TK35" s="2">
        <v>0</v>
      </c>
      <c r="TL35" s="2" t="s">
        <v>9</v>
      </c>
      <c r="TM35" s="8">
        <v>3850000</v>
      </c>
      <c r="TN35" s="2" t="s">
        <v>95</v>
      </c>
      <c r="TO35" s="2"/>
      <c r="TP35" s="2"/>
      <c r="TQ35" s="2"/>
      <c r="TR35" s="2"/>
      <c r="TS35" s="2"/>
      <c r="TT35" s="2"/>
      <c r="TU35" s="2" t="s">
        <v>96</v>
      </c>
      <c r="TV35" s="8">
        <v>18847715</v>
      </c>
      <c r="TW35" s="2"/>
      <c r="TX35" s="2"/>
      <c r="TY35" s="2"/>
      <c r="TZ35" s="2"/>
      <c r="UA35" s="2"/>
      <c r="UB35" s="2"/>
      <c r="UC35" s="8">
        <v>475656</v>
      </c>
      <c r="UD35" s="8">
        <v>23173371</v>
      </c>
      <c r="UE35" s="6">
        <v>3850000</v>
      </c>
      <c r="UF35" s="2">
        <v>0</v>
      </c>
      <c r="UG35" s="2" t="s">
        <v>9</v>
      </c>
      <c r="UH35" s="2">
        <v>80</v>
      </c>
      <c r="UI35" s="5">
        <v>240000</v>
      </c>
      <c r="UJ35" s="6">
        <v>320000</v>
      </c>
      <c r="UK35" s="6">
        <v>320000</v>
      </c>
      <c r="UL35" s="6">
        <v>339200</v>
      </c>
      <c r="UM35" s="6">
        <v>27136000</v>
      </c>
      <c r="UN35" s="6">
        <v>4341760</v>
      </c>
      <c r="UO35" s="6">
        <v>4341760</v>
      </c>
      <c r="UP35" s="6">
        <v>31477760</v>
      </c>
      <c r="UQ35" s="6">
        <v>21923371</v>
      </c>
      <c r="UR35" s="2"/>
      <c r="US35" s="2"/>
      <c r="UT35" s="6">
        <v>0</v>
      </c>
      <c r="UU35" s="2"/>
      <c r="UV35" s="6">
        <v>0</v>
      </c>
      <c r="UW35" s="6">
        <v>0</v>
      </c>
      <c r="UX35" s="6">
        <v>0</v>
      </c>
      <c r="UY35" s="6">
        <v>0</v>
      </c>
      <c r="UZ35" s="2"/>
      <c r="VA35" s="2"/>
      <c r="VB35" s="2"/>
      <c r="VC35" s="2"/>
      <c r="VD35" s="2"/>
      <c r="VE35" s="2" t="s">
        <v>17</v>
      </c>
      <c r="VF35" s="2"/>
      <c r="VG35" s="2" t="s">
        <v>17</v>
      </c>
      <c r="VH35" s="2"/>
      <c r="VI35" s="388" t="s">
        <v>1981</v>
      </c>
      <c r="VJ35" s="2" t="s">
        <v>98</v>
      </c>
      <c r="VK35" s="2" t="s">
        <v>1982</v>
      </c>
      <c r="VL35" s="23">
        <f t="shared" si="21"/>
        <v>200</v>
      </c>
      <c r="VM35" s="17">
        <f t="shared" si="22"/>
        <v>2.5</v>
      </c>
      <c r="VN35" s="17" t="str">
        <f t="shared" si="12"/>
        <v>NC-MR-F</v>
      </c>
      <c r="VO35" s="17" t="str">
        <f t="shared" si="13"/>
        <v>NC-MR-F-Non</v>
      </c>
      <c r="VP35" s="12">
        <v>9</v>
      </c>
      <c r="VQ35" s="57">
        <v>1</v>
      </c>
      <c r="VR35" s="57">
        <f t="shared" si="23"/>
        <v>1</v>
      </c>
      <c r="VS35" s="14">
        <f t="shared" si="24"/>
        <v>1</v>
      </c>
      <c r="VT35" s="12">
        <f t="shared" si="25"/>
        <v>0.97</v>
      </c>
      <c r="VU35" s="16">
        <f t="shared" si="26"/>
        <v>18699660</v>
      </c>
      <c r="VV35" s="16">
        <f t="shared" si="27"/>
        <v>233745.75</v>
      </c>
      <c r="VW35" s="12" t="str">
        <f t="shared" si="14"/>
        <v>A</v>
      </c>
      <c r="VX35" s="12" t="str">
        <f t="shared" si="15"/>
        <v>NC-MR-Non</v>
      </c>
      <c r="VY35" s="351">
        <f t="shared" si="16"/>
        <v>3</v>
      </c>
      <c r="WA35" s="12">
        <f t="shared" si="17"/>
        <v>0</v>
      </c>
      <c r="WB35" s="12">
        <f t="shared" si="18"/>
        <v>0</v>
      </c>
      <c r="WC35" s="12">
        <f t="shared" si="18"/>
        <v>0</v>
      </c>
      <c r="WD35" s="12">
        <f t="shared" si="18"/>
        <v>0</v>
      </c>
      <c r="WE35" s="12">
        <f t="shared" si="19"/>
        <v>0</v>
      </c>
      <c r="WF35" s="12">
        <f t="shared" si="28"/>
        <v>0</v>
      </c>
      <c r="WG35" s="12">
        <f t="shared" si="29"/>
        <v>1</v>
      </c>
      <c r="WH35" s="12">
        <f t="shared" si="30"/>
        <v>0</v>
      </c>
      <c r="WI35" s="31">
        <f t="shared" si="31"/>
        <v>1</v>
      </c>
      <c r="WJ35" s="2"/>
      <c r="WK35" s="445" t="str">
        <f t="shared" si="20"/>
        <v>NC-MR-Non-BBN-BRN-NPH-F</v>
      </c>
      <c r="WL35" s="445"/>
      <c r="WM35" s="445"/>
    </row>
    <row r="36" spans="1:611" x14ac:dyDescent="0.25">
      <c r="A36" s="2">
        <v>9545</v>
      </c>
      <c r="B36" s="2" t="s">
        <v>1665</v>
      </c>
      <c r="C36" s="2" t="s">
        <v>8</v>
      </c>
      <c r="D36" s="3">
        <v>45153</v>
      </c>
      <c r="E36" s="2" t="s">
        <v>9</v>
      </c>
      <c r="F36" s="2">
        <v>3</v>
      </c>
      <c r="G36" s="2" t="s">
        <v>9</v>
      </c>
      <c r="H36" s="2">
        <v>3</v>
      </c>
      <c r="I36" s="2" t="s">
        <v>9</v>
      </c>
      <c r="J36" s="2">
        <v>3</v>
      </c>
      <c r="K36" s="2" t="s">
        <v>9</v>
      </c>
      <c r="L36" s="2">
        <v>3</v>
      </c>
      <c r="M36" s="2" t="s">
        <v>10</v>
      </c>
      <c r="N36" s="2">
        <v>0</v>
      </c>
      <c r="O36" s="2" t="s">
        <v>10</v>
      </c>
      <c r="P36" s="2">
        <v>0</v>
      </c>
      <c r="Q36" s="2" t="s">
        <v>11</v>
      </c>
      <c r="R36" s="2">
        <v>0</v>
      </c>
      <c r="S36" s="2" t="s">
        <v>9</v>
      </c>
      <c r="T36" s="2">
        <v>2</v>
      </c>
      <c r="U36" s="2" t="s">
        <v>9</v>
      </c>
      <c r="V36" s="2">
        <v>2</v>
      </c>
      <c r="W36" s="2" t="s">
        <v>9</v>
      </c>
      <c r="X36" s="2">
        <v>2</v>
      </c>
      <c r="Y36" s="2" t="s">
        <v>12</v>
      </c>
      <c r="Z36" s="2" t="s">
        <v>1666</v>
      </c>
      <c r="AA36" s="2" t="s">
        <v>1667</v>
      </c>
      <c r="AB36" s="2" t="s">
        <v>15</v>
      </c>
      <c r="AC36" s="2" t="s">
        <v>15</v>
      </c>
      <c r="AD36" s="2" t="s">
        <v>15</v>
      </c>
      <c r="AE36" s="2" t="s">
        <v>15</v>
      </c>
      <c r="AF36" s="2">
        <v>2</v>
      </c>
      <c r="AG36" s="2" t="s">
        <v>1668</v>
      </c>
      <c r="AH36" s="2" t="s">
        <v>17</v>
      </c>
      <c r="AI36" s="4">
        <v>0.1</v>
      </c>
      <c r="AJ36" s="2" t="s">
        <v>17</v>
      </c>
      <c r="AK36" s="2" t="s">
        <v>9</v>
      </c>
      <c r="AL36" s="2" t="s">
        <v>9</v>
      </c>
      <c r="AM36" s="2" t="s">
        <v>17</v>
      </c>
      <c r="AN36" s="2" t="s">
        <v>17</v>
      </c>
      <c r="AO36" s="2" t="s">
        <v>9</v>
      </c>
      <c r="AP36" s="2" t="s">
        <v>17</v>
      </c>
      <c r="AQ36" s="2" t="s">
        <v>17</v>
      </c>
      <c r="AR36" s="2" t="s">
        <v>17</v>
      </c>
      <c r="AS36" s="2" t="s">
        <v>17</v>
      </c>
      <c r="AT36" s="2">
        <v>0</v>
      </c>
      <c r="AU36" s="5">
        <v>20000</v>
      </c>
      <c r="AV36" s="5">
        <v>340000</v>
      </c>
      <c r="AW36" s="2">
        <v>0</v>
      </c>
      <c r="AX36" s="2">
        <v>7</v>
      </c>
      <c r="AY36" s="2">
        <v>0</v>
      </c>
      <c r="AZ36" s="2">
        <v>18</v>
      </c>
      <c r="BA36" s="2">
        <v>0</v>
      </c>
      <c r="BB36" s="2">
        <v>1</v>
      </c>
      <c r="BC36" s="2">
        <v>0</v>
      </c>
      <c r="BD36" s="2">
        <v>0</v>
      </c>
      <c r="BE36" s="2">
        <v>0</v>
      </c>
      <c r="BF36" s="2">
        <v>1</v>
      </c>
      <c r="BG36" s="2">
        <v>0</v>
      </c>
      <c r="BH36" s="2">
        <v>0</v>
      </c>
      <c r="BI36" s="2">
        <v>13</v>
      </c>
      <c r="BJ36" s="2">
        <v>1</v>
      </c>
      <c r="BK36" s="2">
        <v>0</v>
      </c>
      <c r="BL36" s="2">
        <v>2</v>
      </c>
      <c r="BM36" s="2">
        <v>2</v>
      </c>
      <c r="BN36" s="2">
        <v>11</v>
      </c>
      <c r="BO36" s="2">
        <v>11</v>
      </c>
      <c r="BP36" s="2">
        <v>0</v>
      </c>
      <c r="BQ36" s="2">
        <v>10</v>
      </c>
      <c r="BR36" s="2">
        <v>12.22</v>
      </c>
      <c r="BS36" s="2">
        <v>0</v>
      </c>
      <c r="BT36" s="4">
        <v>0.06</v>
      </c>
      <c r="BU36" s="2" t="s">
        <v>9</v>
      </c>
      <c r="BV36" s="6">
        <v>206178.21</v>
      </c>
      <c r="BW36" s="2" t="s">
        <v>126</v>
      </c>
      <c r="BX36" s="2" t="s">
        <v>17</v>
      </c>
      <c r="BY36" s="2" t="s">
        <v>17</v>
      </c>
      <c r="BZ36" s="2" t="s">
        <v>17</v>
      </c>
      <c r="CA36" s="2" t="s">
        <v>17</v>
      </c>
      <c r="CB36" s="2" t="s">
        <v>17</v>
      </c>
      <c r="CC36" s="2" t="s">
        <v>17</v>
      </c>
      <c r="CD36" s="2" t="s">
        <v>17</v>
      </c>
      <c r="CE36" s="2" t="s">
        <v>1669</v>
      </c>
      <c r="CF36" s="2" t="s">
        <v>9</v>
      </c>
      <c r="CG36" s="2" t="s">
        <v>1623</v>
      </c>
      <c r="CH36" s="2" t="s">
        <v>1624</v>
      </c>
      <c r="CI36" s="2" t="s">
        <v>1625</v>
      </c>
      <c r="CJ36" s="2" t="s">
        <v>9</v>
      </c>
      <c r="CK36" s="2" t="s">
        <v>1626</v>
      </c>
      <c r="CL36" s="2" t="s">
        <v>1623</v>
      </c>
      <c r="CM36" s="2" t="s">
        <v>1627</v>
      </c>
      <c r="CN36" s="2" t="s">
        <v>330</v>
      </c>
      <c r="CO36" s="2" t="s">
        <v>24</v>
      </c>
      <c r="CP36" s="2"/>
      <c r="CQ36" s="2">
        <v>160</v>
      </c>
      <c r="CR36" s="2" t="s">
        <v>375</v>
      </c>
      <c r="CS36" s="2">
        <v>2019</v>
      </c>
      <c r="CT36" s="2" t="s">
        <v>26</v>
      </c>
      <c r="CU36" s="2" t="s">
        <v>27</v>
      </c>
      <c r="CV36" s="2" t="s">
        <v>1628</v>
      </c>
      <c r="CW36" s="2" t="s">
        <v>1281</v>
      </c>
      <c r="CX36" s="2" t="s">
        <v>24</v>
      </c>
      <c r="CY36" s="2"/>
      <c r="CZ36" s="2">
        <v>228</v>
      </c>
      <c r="DA36" s="2" t="s">
        <v>375</v>
      </c>
      <c r="DB36" s="2">
        <v>2019</v>
      </c>
      <c r="DC36" s="2" t="s">
        <v>30</v>
      </c>
      <c r="DD36" s="2" t="s">
        <v>27</v>
      </c>
      <c r="DE36" s="2" t="s">
        <v>1629</v>
      </c>
      <c r="DF36" s="2" t="s">
        <v>1089</v>
      </c>
      <c r="DG36" s="2" t="s">
        <v>24</v>
      </c>
      <c r="DH36" s="2"/>
      <c r="DI36" s="2">
        <v>120</v>
      </c>
      <c r="DJ36" s="2" t="s">
        <v>375</v>
      </c>
      <c r="DK36" s="2">
        <v>2018</v>
      </c>
      <c r="DL36" s="2" t="s">
        <v>30</v>
      </c>
      <c r="DM36" s="2" t="s">
        <v>27</v>
      </c>
      <c r="DN36" s="2" t="s">
        <v>33</v>
      </c>
      <c r="DO36" s="2" t="s">
        <v>1630</v>
      </c>
      <c r="DP36" s="2"/>
      <c r="DQ36" s="2" t="s">
        <v>1631</v>
      </c>
      <c r="DR36" s="2" t="s">
        <v>1632</v>
      </c>
      <c r="DS36" s="2">
        <v>1</v>
      </c>
      <c r="DT36" s="2" t="s">
        <v>1633</v>
      </c>
      <c r="DU36" s="2" t="s">
        <v>299</v>
      </c>
      <c r="DV36" s="2" t="s">
        <v>39</v>
      </c>
      <c r="DW36" s="2">
        <v>33127</v>
      </c>
      <c r="DX36" s="2" t="s">
        <v>1634</v>
      </c>
      <c r="DY36" s="2">
        <v>102</v>
      </c>
      <c r="DZ36" s="2" t="s">
        <v>1635</v>
      </c>
      <c r="EA36" s="2" t="s">
        <v>1626</v>
      </c>
      <c r="EB36" s="2" t="s">
        <v>1628</v>
      </c>
      <c r="EC36" s="2" t="s">
        <v>1281</v>
      </c>
      <c r="ED36" s="2" t="s">
        <v>44</v>
      </c>
      <c r="EE36" s="2">
        <v>228</v>
      </c>
      <c r="EF36" s="2" t="s">
        <v>390</v>
      </c>
      <c r="EG36" s="2">
        <v>4</v>
      </c>
      <c r="EH36" s="2" t="s">
        <v>46</v>
      </c>
      <c r="EI36" s="2" t="s">
        <v>47</v>
      </c>
      <c r="EJ36" s="2" t="s">
        <v>1627</v>
      </c>
      <c r="EK36" s="2" t="s">
        <v>330</v>
      </c>
      <c r="EL36" s="2" t="s">
        <v>44</v>
      </c>
      <c r="EM36" s="2">
        <v>160</v>
      </c>
      <c r="EN36" s="2" t="s">
        <v>390</v>
      </c>
      <c r="EO36" s="2">
        <v>5</v>
      </c>
      <c r="EP36" s="2" t="s">
        <v>46</v>
      </c>
      <c r="EQ36" s="2" t="s">
        <v>47</v>
      </c>
      <c r="ER36" s="2" t="s">
        <v>1630</v>
      </c>
      <c r="ES36" s="2"/>
      <c r="ET36" s="2" t="s">
        <v>1631</v>
      </c>
      <c r="EU36" s="2" t="s">
        <v>1623</v>
      </c>
      <c r="EV36" s="2" t="s">
        <v>1633</v>
      </c>
      <c r="EW36" s="2" t="s">
        <v>299</v>
      </c>
      <c r="EX36" s="2" t="s">
        <v>39</v>
      </c>
      <c r="EY36" s="2">
        <v>33127</v>
      </c>
      <c r="EZ36" s="2" t="s">
        <v>1634</v>
      </c>
      <c r="FA36" s="2">
        <v>102</v>
      </c>
      <c r="FB36" s="2" t="s">
        <v>1635</v>
      </c>
      <c r="FC36" s="2" t="s">
        <v>1636</v>
      </c>
      <c r="FD36" s="2"/>
      <c r="FE36" s="2" t="s">
        <v>267</v>
      </c>
      <c r="FF36" s="2" t="s">
        <v>1623</v>
      </c>
      <c r="FG36" s="2" t="s">
        <v>1633</v>
      </c>
      <c r="FH36" s="2" t="s">
        <v>299</v>
      </c>
      <c r="FI36" s="2" t="s">
        <v>39</v>
      </c>
      <c r="FJ36" s="2">
        <v>33127</v>
      </c>
      <c r="FK36" s="2" t="s">
        <v>1634</v>
      </c>
      <c r="FL36" s="2"/>
      <c r="FM36" s="2" t="s">
        <v>1637</v>
      </c>
      <c r="FN36" s="2" t="s">
        <v>1670</v>
      </c>
      <c r="FO36" s="2" t="s">
        <v>63</v>
      </c>
      <c r="FP36" s="2" t="s">
        <v>64</v>
      </c>
      <c r="FQ36" s="2" t="s">
        <v>9</v>
      </c>
      <c r="FR36" s="2" t="s">
        <v>17</v>
      </c>
      <c r="FS36" s="2" t="s">
        <v>17</v>
      </c>
      <c r="FT36" s="2" t="s">
        <v>9</v>
      </c>
      <c r="FU36" s="2">
        <v>0</v>
      </c>
      <c r="FV36" s="2">
        <v>0</v>
      </c>
      <c r="FW36" s="4">
        <v>0</v>
      </c>
      <c r="FX36" s="4">
        <v>0</v>
      </c>
      <c r="FY36" s="2" t="s">
        <v>65</v>
      </c>
      <c r="FZ36" s="2" t="s">
        <v>66</v>
      </c>
      <c r="GA36" s="2" t="s">
        <v>67</v>
      </c>
      <c r="GB36" s="2"/>
      <c r="GC36" s="2"/>
      <c r="GD36" s="2"/>
      <c r="GE36" s="2" t="s">
        <v>68</v>
      </c>
      <c r="GF36" s="2"/>
      <c r="GG36" s="2"/>
      <c r="GH36" s="2">
        <v>80</v>
      </c>
      <c r="GI36" s="2"/>
      <c r="GJ36" s="2"/>
      <c r="GK36" s="2"/>
      <c r="GL36" s="2"/>
      <c r="GM36" s="2"/>
      <c r="GN36" s="2"/>
      <c r="GO36" s="2"/>
      <c r="GP36" s="2"/>
      <c r="GQ36" s="2">
        <v>80</v>
      </c>
      <c r="GR36" s="2" t="s">
        <v>1639</v>
      </c>
      <c r="GS36" s="2" t="s">
        <v>70</v>
      </c>
      <c r="GT36" s="2" t="s">
        <v>1671</v>
      </c>
      <c r="GU36" s="2" t="s">
        <v>1641</v>
      </c>
      <c r="GV36" s="2" t="s">
        <v>17</v>
      </c>
      <c r="GW36" s="2">
        <v>30.410668000000001</v>
      </c>
      <c r="GX36" s="2">
        <v>-86.617726000000005</v>
      </c>
      <c r="GY36" s="2"/>
      <c r="GZ36" s="2" t="s">
        <v>17</v>
      </c>
      <c r="HA36" s="2" t="s">
        <v>9</v>
      </c>
      <c r="HB36" s="2">
        <v>3</v>
      </c>
      <c r="HC36" s="2" t="s">
        <v>17</v>
      </c>
      <c r="HD36" s="2" t="s">
        <v>17</v>
      </c>
      <c r="HE36" s="2">
        <v>0</v>
      </c>
      <c r="HF36" s="2">
        <v>30.410225000000001</v>
      </c>
      <c r="HG36" s="2">
        <v>-86.619116000000005</v>
      </c>
      <c r="HH36" s="2">
        <v>0.09</v>
      </c>
      <c r="HI36" s="2">
        <v>4</v>
      </c>
      <c r="HJ36" s="2">
        <v>30.410167999999999</v>
      </c>
      <c r="HK36" s="2">
        <v>-86.618945999999994</v>
      </c>
      <c r="HL36" s="2">
        <v>0.08</v>
      </c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 t="s">
        <v>73</v>
      </c>
      <c r="HY36" s="2" t="s">
        <v>17</v>
      </c>
      <c r="HZ36" s="2"/>
      <c r="IA36" s="2" t="s">
        <v>167</v>
      </c>
      <c r="IB36" s="2" t="s">
        <v>1642</v>
      </c>
      <c r="IC36" s="2">
        <v>0.81</v>
      </c>
      <c r="ID36" s="2">
        <v>2.5</v>
      </c>
      <c r="IE36" s="2"/>
      <c r="IF36" s="2"/>
      <c r="IG36" s="2"/>
      <c r="IH36" s="2" t="s">
        <v>167</v>
      </c>
      <c r="II36" s="2">
        <v>0.81</v>
      </c>
      <c r="IJ36" s="2">
        <v>2.5</v>
      </c>
      <c r="IK36" s="2" t="s">
        <v>1643</v>
      </c>
      <c r="IL36" s="2" t="s">
        <v>1644</v>
      </c>
      <c r="IM36" s="2">
        <v>1.37</v>
      </c>
      <c r="IN36" s="2">
        <v>2</v>
      </c>
      <c r="IO36" s="2" t="s">
        <v>17</v>
      </c>
      <c r="IP36" s="2">
        <v>4</v>
      </c>
      <c r="IQ36" s="2">
        <v>7</v>
      </c>
      <c r="IR36" s="2">
        <v>3</v>
      </c>
      <c r="IS36" s="2">
        <v>14</v>
      </c>
      <c r="IT36" s="2" t="s">
        <v>9</v>
      </c>
      <c r="IU36" s="2" t="s">
        <v>17</v>
      </c>
      <c r="IV36" s="2" t="s">
        <v>17</v>
      </c>
      <c r="IW36" s="2" t="s">
        <v>9</v>
      </c>
      <c r="IX36" s="2" t="s">
        <v>9</v>
      </c>
      <c r="IY36" s="2">
        <v>11</v>
      </c>
      <c r="IZ36" s="2">
        <v>80</v>
      </c>
      <c r="JA36" s="2" t="s">
        <v>172</v>
      </c>
      <c r="JB36" s="2" t="s">
        <v>173</v>
      </c>
      <c r="JC36" s="2"/>
      <c r="JD36" s="7">
        <v>0.1</v>
      </c>
      <c r="JE36" s="2"/>
      <c r="JF36" s="2"/>
      <c r="JG36" s="7">
        <v>0.9</v>
      </c>
      <c r="JH36" s="7">
        <v>0</v>
      </c>
      <c r="JI36" s="2">
        <v>80</v>
      </c>
      <c r="JJ36" s="7">
        <v>1</v>
      </c>
      <c r="JK36" s="2">
        <v>80</v>
      </c>
      <c r="JL36" s="7">
        <v>1</v>
      </c>
      <c r="JM36" s="2"/>
      <c r="JN36" s="2"/>
      <c r="JO36" s="2"/>
      <c r="JP36" s="2"/>
      <c r="JQ36" s="2"/>
      <c r="JR36" s="2"/>
      <c r="JS36" s="2">
        <v>0</v>
      </c>
      <c r="JT36" s="2">
        <v>0</v>
      </c>
      <c r="JU36" s="2"/>
      <c r="JV36" s="2">
        <v>0</v>
      </c>
      <c r="JW36" s="4">
        <v>0</v>
      </c>
      <c r="JX36" s="2">
        <v>0</v>
      </c>
      <c r="JY36" s="4">
        <v>0</v>
      </c>
      <c r="JZ36" s="2">
        <v>0</v>
      </c>
      <c r="KA36" s="2"/>
      <c r="KB36" s="2"/>
      <c r="KC36" s="2"/>
      <c r="KD36" s="2"/>
      <c r="KE36" s="2"/>
      <c r="KF36" s="2"/>
      <c r="KG36" s="2"/>
      <c r="KH36" s="2">
        <v>60</v>
      </c>
      <c r="KI36" s="2"/>
      <c r="KJ36" s="2"/>
      <c r="KK36" s="2">
        <v>20</v>
      </c>
      <c r="KL36" s="2"/>
      <c r="KM36" s="2"/>
      <c r="KN36" s="2"/>
      <c r="KO36" s="2"/>
      <c r="KP36" s="2"/>
      <c r="KQ36" s="2" t="s">
        <v>83</v>
      </c>
      <c r="KR36" s="2"/>
      <c r="KS36" s="2" t="s">
        <v>73</v>
      </c>
      <c r="KT36" s="2">
        <v>5</v>
      </c>
      <c r="KU36" s="2" t="s">
        <v>84</v>
      </c>
      <c r="KV36" s="2" t="s">
        <v>85</v>
      </c>
      <c r="KW36" s="2" t="s">
        <v>86</v>
      </c>
      <c r="KX36" s="2" t="s">
        <v>17</v>
      </c>
      <c r="KY36" s="2" t="s">
        <v>17</v>
      </c>
      <c r="KZ36" s="2" t="s">
        <v>17</v>
      </c>
      <c r="LA36" s="2" t="s">
        <v>17</v>
      </c>
      <c r="LB36" s="2" t="s">
        <v>17</v>
      </c>
      <c r="LC36" s="2" t="s">
        <v>17</v>
      </c>
      <c r="LD36" s="2" t="s">
        <v>17</v>
      </c>
      <c r="LE36" s="2" t="s">
        <v>17</v>
      </c>
      <c r="LF36" s="2" t="s">
        <v>17</v>
      </c>
      <c r="LG36" s="2" t="s">
        <v>17</v>
      </c>
      <c r="LH36" s="2" t="s">
        <v>17</v>
      </c>
      <c r="LI36" s="2" t="s">
        <v>17</v>
      </c>
      <c r="LJ36" s="2" t="s">
        <v>87</v>
      </c>
      <c r="LK36" s="2" t="s">
        <v>17</v>
      </c>
      <c r="LL36" s="2" t="s">
        <v>17</v>
      </c>
      <c r="LM36" s="2">
        <v>0</v>
      </c>
      <c r="LN36" s="2" t="s">
        <v>17</v>
      </c>
      <c r="LO36" s="2" t="s">
        <v>17</v>
      </c>
      <c r="LP36" s="2" t="s">
        <v>17</v>
      </c>
      <c r="LQ36" s="2" t="s">
        <v>17</v>
      </c>
      <c r="LR36" s="2" t="s">
        <v>17</v>
      </c>
      <c r="LS36" s="2" t="s">
        <v>17</v>
      </c>
      <c r="LT36" s="2" t="s">
        <v>9</v>
      </c>
      <c r="LU36" s="2" t="s">
        <v>9</v>
      </c>
      <c r="LV36" s="2" t="s">
        <v>9</v>
      </c>
      <c r="LW36" s="2" t="s">
        <v>17</v>
      </c>
      <c r="LX36" s="2" t="s">
        <v>17</v>
      </c>
      <c r="LY36" s="5">
        <v>6400000</v>
      </c>
      <c r="LZ36" s="5">
        <v>0</v>
      </c>
      <c r="MA36" s="5">
        <v>7200000</v>
      </c>
      <c r="MB36" s="5">
        <v>0</v>
      </c>
      <c r="MC36" s="5">
        <v>0</v>
      </c>
      <c r="MD36" s="5">
        <v>0</v>
      </c>
      <c r="ME36" s="5">
        <v>8400000</v>
      </c>
      <c r="MF36" s="5">
        <v>0</v>
      </c>
      <c r="MG36" s="5">
        <v>0</v>
      </c>
      <c r="MH36" s="5">
        <v>0</v>
      </c>
      <c r="MI36" s="5">
        <v>0</v>
      </c>
      <c r="MJ36" s="5">
        <v>0</v>
      </c>
      <c r="MK36" s="5">
        <v>0</v>
      </c>
      <c r="ML36" s="2">
        <v>0</v>
      </c>
      <c r="MM36" s="5">
        <v>0</v>
      </c>
      <c r="MN36" s="5">
        <v>0</v>
      </c>
      <c r="MO36" s="2">
        <v>0</v>
      </c>
      <c r="MP36" s="2">
        <v>0</v>
      </c>
      <c r="MQ36" s="2">
        <v>0</v>
      </c>
      <c r="MR36" s="5">
        <v>2950000</v>
      </c>
      <c r="MS36" s="5">
        <v>0</v>
      </c>
      <c r="MT36" s="5">
        <v>4600000</v>
      </c>
      <c r="MU36" s="5">
        <v>0</v>
      </c>
      <c r="MV36" s="5">
        <v>0</v>
      </c>
      <c r="MW36" s="5">
        <v>0</v>
      </c>
      <c r="MX36" s="5">
        <v>0</v>
      </c>
      <c r="MY36" s="5">
        <v>2500000</v>
      </c>
      <c r="MZ36" s="5">
        <v>0</v>
      </c>
      <c r="NA36" s="5">
        <v>5000000</v>
      </c>
      <c r="NB36" s="5">
        <v>0</v>
      </c>
      <c r="NC36" s="5">
        <v>0</v>
      </c>
      <c r="ND36" s="5">
        <v>0</v>
      </c>
      <c r="NE36" s="5">
        <v>0</v>
      </c>
      <c r="NF36" s="5">
        <v>0</v>
      </c>
      <c r="NG36" s="5">
        <v>2142000</v>
      </c>
      <c r="NH36" s="5">
        <v>2142000</v>
      </c>
      <c r="NI36" s="5">
        <v>2142000</v>
      </c>
      <c r="NJ36" s="5">
        <v>0</v>
      </c>
      <c r="NK36" s="5"/>
      <c r="NL36" s="2" t="s">
        <v>17</v>
      </c>
      <c r="NM36" s="2" t="s">
        <v>9</v>
      </c>
      <c r="NN36" s="2" t="s">
        <v>1645</v>
      </c>
      <c r="NO36" s="2" t="s">
        <v>17</v>
      </c>
      <c r="NP36" s="2"/>
      <c r="NQ36" s="2"/>
      <c r="NR36" s="2" t="s">
        <v>17</v>
      </c>
      <c r="NS36" s="2"/>
      <c r="NT36" s="2" t="s">
        <v>9</v>
      </c>
      <c r="NU36" s="2" t="s">
        <v>450</v>
      </c>
      <c r="NV36" s="2">
        <v>226</v>
      </c>
      <c r="NW36" s="2" t="s">
        <v>1646</v>
      </c>
      <c r="NX36" s="2"/>
      <c r="NY36" s="2"/>
      <c r="NZ36" s="2"/>
      <c r="OA36" s="2" t="s">
        <v>118</v>
      </c>
      <c r="OB36" s="2" t="s">
        <v>118</v>
      </c>
      <c r="OC36" s="2" t="s">
        <v>118</v>
      </c>
      <c r="OD36" s="2" t="s">
        <v>17</v>
      </c>
      <c r="OE36" s="2" t="s">
        <v>119</v>
      </c>
      <c r="OF36" s="2"/>
      <c r="OG36" s="2" t="s">
        <v>17</v>
      </c>
      <c r="OH36" s="2"/>
      <c r="OI36" s="2"/>
      <c r="OJ36" s="2"/>
      <c r="OK36" s="2" t="s">
        <v>17</v>
      </c>
      <c r="OL36" s="2" t="s">
        <v>17</v>
      </c>
      <c r="OM36" s="2" t="s">
        <v>85</v>
      </c>
      <c r="ON36" s="6">
        <v>0</v>
      </c>
      <c r="OO36" s="6">
        <v>0</v>
      </c>
      <c r="OP36" s="2" t="s">
        <v>93</v>
      </c>
      <c r="OQ36" s="2" t="s">
        <v>93</v>
      </c>
      <c r="OR36" s="6">
        <v>0</v>
      </c>
      <c r="OS36" s="4">
        <v>0</v>
      </c>
      <c r="OT36" s="2" t="s">
        <v>9</v>
      </c>
      <c r="OU36" s="2" t="s">
        <v>9</v>
      </c>
      <c r="OV36" s="2"/>
      <c r="OW36" s="2" t="s">
        <v>1647</v>
      </c>
      <c r="OX36" s="5">
        <v>16494257</v>
      </c>
      <c r="OY36" s="6">
        <v>206178.21</v>
      </c>
      <c r="OZ36" s="2"/>
      <c r="PA36" s="2"/>
      <c r="PB36" s="8">
        <v>16649920</v>
      </c>
      <c r="PC36" s="2"/>
      <c r="PD36" s="8">
        <v>16649920</v>
      </c>
      <c r="PE36" s="2"/>
      <c r="PF36" s="2"/>
      <c r="PG36" s="2"/>
      <c r="PH36" s="2"/>
      <c r="PI36" s="2"/>
      <c r="PJ36" s="2"/>
      <c r="PK36" s="8">
        <v>16649920</v>
      </c>
      <c r="PL36" s="2"/>
      <c r="PM36" s="8">
        <v>16649920</v>
      </c>
      <c r="PN36" s="8">
        <v>2330988</v>
      </c>
      <c r="PO36" s="2"/>
      <c r="PP36" s="8">
        <v>2330988</v>
      </c>
      <c r="PQ36" s="6">
        <v>2330988</v>
      </c>
      <c r="PR36" s="8">
        <v>18980908</v>
      </c>
      <c r="PS36" s="2"/>
      <c r="PT36" s="8">
        <v>18980908</v>
      </c>
      <c r="PU36" s="8">
        <v>949045</v>
      </c>
      <c r="PV36" s="2"/>
      <c r="PW36" s="8">
        <v>949045</v>
      </c>
      <c r="PX36" s="6">
        <v>949045.4</v>
      </c>
      <c r="PY36" s="8">
        <v>1203000</v>
      </c>
      <c r="PZ36" s="2"/>
      <c r="QA36" s="8">
        <v>1203000</v>
      </c>
      <c r="QB36" s="8">
        <v>189809</v>
      </c>
      <c r="QC36" s="2"/>
      <c r="QD36" s="8">
        <v>189809</v>
      </c>
      <c r="QE36" s="8">
        <v>764000</v>
      </c>
      <c r="QF36" s="2"/>
      <c r="QG36" s="8">
        <v>764000</v>
      </c>
      <c r="QH36" s="8">
        <v>365600</v>
      </c>
      <c r="QI36" s="2"/>
      <c r="QJ36" s="8">
        <v>365600</v>
      </c>
      <c r="QK36" s="2"/>
      <c r="QL36" s="2"/>
      <c r="QM36" s="2"/>
      <c r="QN36" s="8">
        <v>233000</v>
      </c>
      <c r="QO36" s="2"/>
      <c r="QP36" s="8">
        <v>233000</v>
      </c>
      <c r="QQ36" s="8">
        <v>2755409</v>
      </c>
      <c r="QR36" s="2"/>
      <c r="QS36" s="8">
        <v>2755409</v>
      </c>
      <c r="QT36" s="8">
        <v>137770</v>
      </c>
      <c r="QU36" s="2"/>
      <c r="QV36" s="8">
        <v>137770</v>
      </c>
      <c r="QW36" s="6">
        <v>137770.45000000001</v>
      </c>
      <c r="QX36" s="8">
        <v>1940412</v>
      </c>
      <c r="QY36" s="8">
        <v>315881</v>
      </c>
      <c r="QZ36" s="8">
        <v>2256293</v>
      </c>
      <c r="RA36" s="8">
        <v>99936</v>
      </c>
      <c r="RB36" s="8">
        <v>99936</v>
      </c>
      <c r="RC36" s="2"/>
      <c r="RD36" s="2"/>
      <c r="RE36" s="2"/>
      <c r="RF36" s="8">
        <v>1940412</v>
      </c>
      <c r="RG36" s="8">
        <v>415817</v>
      </c>
      <c r="RH36" s="8">
        <v>2356229</v>
      </c>
      <c r="RI36" s="2"/>
      <c r="RJ36" s="2"/>
      <c r="RK36" s="2"/>
      <c r="RL36" s="2"/>
      <c r="RM36" s="8">
        <v>24763544</v>
      </c>
      <c r="RN36" s="8">
        <v>415817</v>
      </c>
      <c r="RO36" s="8">
        <v>25179361</v>
      </c>
      <c r="RP36" s="2"/>
      <c r="RQ36" s="2"/>
      <c r="RR36" s="2">
        <v>0</v>
      </c>
      <c r="RS36" s="6">
        <v>0</v>
      </c>
      <c r="RT36" s="8">
        <v>4028697</v>
      </c>
      <c r="RU36" s="2"/>
      <c r="RV36" s="8">
        <v>4028697</v>
      </c>
      <c r="RW36" s="6">
        <v>4028697</v>
      </c>
      <c r="RX36" s="6">
        <v>0</v>
      </c>
      <c r="RY36" s="8">
        <v>4028697</v>
      </c>
      <c r="RZ36" s="2"/>
      <c r="SA36" s="8">
        <v>4028697</v>
      </c>
      <c r="SB36" s="6">
        <v>4028697</v>
      </c>
      <c r="SC36" s="2"/>
      <c r="SD36" s="2"/>
      <c r="SE36" s="6">
        <v>280000</v>
      </c>
      <c r="SF36" s="2"/>
      <c r="SG36" s="2"/>
      <c r="SH36" s="8">
        <v>28792241</v>
      </c>
      <c r="SI36" s="8">
        <v>415817</v>
      </c>
      <c r="SJ36" s="8">
        <v>29208058</v>
      </c>
      <c r="SK36" s="2"/>
      <c r="SL36" s="2"/>
      <c r="SM36" s="2" t="s">
        <v>1673</v>
      </c>
      <c r="SN36" s="2"/>
      <c r="SO36" s="2"/>
      <c r="SP36" s="8">
        <v>20000000</v>
      </c>
      <c r="SQ36" s="2" t="s">
        <v>95</v>
      </c>
      <c r="SR36" s="8">
        <v>340000</v>
      </c>
      <c r="SS36" s="2" t="s">
        <v>180</v>
      </c>
      <c r="ST36" s="2"/>
      <c r="SU36" s="2"/>
      <c r="SV36" s="2"/>
      <c r="SW36" s="2"/>
      <c r="SX36" s="2" t="s">
        <v>96</v>
      </c>
      <c r="SY36" s="2" t="s">
        <v>96</v>
      </c>
      <c r="SZ36" s="2" t="s">
        <v>96</v>
      </c>
      <c r="TA36" s="2" t="s">
        <v>96</v>
      </c>
      <c r="TB36" s="8">
        <v>8481472</v>
      </c>
      <c r="TC36" s="2"/>
      <c r="TD36" s="2"/>
      <c r="TE36" s="2"/>
      <c r="TF36" s="2"/>
      <c r="TG36" s="2"/>
      <c r="TH36" s="2"/>
      <c r="TI36" s="8">
        <v>386586</v>
      </c>
      <c r="TJ36" s="8">
        <v>29208058</v>
      </c>
      <c r="TK36" s="2">
        <v>0</v>
      </c>
      <c r="TL36" s="2" t="s">
        <v>9</v>
      </c>
      <c r="TM36" s="8">
        <v>8600000</v>
      </c>
      <c r="TN36" s="2" t="s">
        <v>95</v>
      </c>
      <c r="TO36" s="8">
        <v>340000</v>
      </c>
      <c r="TP36" s="2" t="s">
        <v>180</v>
      </c>
      <c r="TQ36" s="2"/>
      <c r="TR36" s="2"/>
      <c r="TS36" s="2"/>
      <c r="TT36" s="2"/>
      <c r="TU36" s="2" t="s">
        <v>96</v>
      </c>
      <c r="TV36" s="8">
        <v>18847715</v>
      </c>
      <c r="TW36" s="2"/>
      <c r="TX36" s="2"/>
      <c r="TY36" s="2"/>
      <c r="TZ36" s="2"/>
      <c r="UA36" s="2"/>
      <c r="UB36" s="2"/>
      <c r="UC36" s="8">
        <v>1420343</v>
      </c>
      <c r="UD36" s="8">
        <v>29208058</v>
      </c>
      <c r="UE36" s="6">
        <v>8940000</v>
      </c>
      <c r="UF36" s="2">
        <v>0</v>
      </c>
      <c r="UG36" s="2" t="s">
        <v>9</v>
      </c>
      <c r="UH36" s="2">
        <v>80</v>
      </c>
      <c r="UI36" s="5">
        <v>220000</v>
      </c>
      <c r="UJ36" s="6">
        <v>293333.33</v>
      </c>
      <c r="UK36" s="6">
        <v>300833.33</v>
      </c>
      <c r="UL36" s="6">
        <v>318883.33</v>
      </c>
      <c r="UM36" s="6">
        <v>25510666.670000002</v>
      </c>
      <c r="UN36" s="6">
        <v>4081706</v>
      </c>
      <c r="UO36" s="6">
        <v>4081706</v>
      </c>
      <c r="UP36" s="6">
        <v>29592372.670000002</v>
      </c>
      <c r="UQ36" s="6">
        <v>29208058</v>
      </c>
      <c r="UR36" s="6">
        <v>340000</v>
      </c>
      <c r="US36" s="2"/>
      <c r="UT36" s="6">
        <v>340000</v>
      </c>
      <c r="UU36" s="2"/>
      <c r="UV36" s="6">
        <v>0</v>
      </c>
      <c r="UW36" s="6">
        <v>340000</v>
      </c>
      <c r="UX36" s="6">
        <v>0</v>
      </c>
      <c r="UY36" s="6">
        <v>340000</v>
      </c>
      <c r="UZ36" s="2" t="s">
        <v>1674</v>
      </c>
      <c r="VA36" s="2" t="s">
        <v>182</v>
      </c>
      <c r="VB36" s="2"/>
      <c r="VC36" s="2"/>
      <c r="VD36" s="2" t="s">
        <v>9</v>
      </c>
      <c r="VE36" s="2" t="s">
        <v>17</v>
      </c>
      <c r="VF36" s="2"/>
      <c r="VG36" s="2" t="s">
        <v>17</v>
      </c>
      <c r="VH36" s="2"/>
      <c r="VI36" s="388" t="s">
        <v>4737</v>
      </c>
      <c r="VJ36" s="2" t="s">
        <v>98</v>
      </c>
      <c r="VK36" s="2" t="s">
        <v>1675</v>
      </c>
      <c r="VL36" s="23">
        <f t="shared" si="21"/>
        <v>100</v>
      </c>
      <c r="VM36" s="17">
        <f t="shared" si="22"/>
        <v>1.25</v>
      </c>
      <c r="VN36" s="17" t="str">
        <f t="shared" si="12"/>
        <v>NC-GA-E</v>
      </c>
      <c r="VO36" s="17" t="str">
        <f t="shared" si="13"/>
        <v>NC-GA-E-Non</v>
      </c>
      <c r="VP36" s="12">
        <v>9</v>
      </c>
      <c r="VQ36" s="57">
        <v>1</v>
      </c>
      <c r="VR36" s="57">
        <f t="shared" si="23"/>
        <v>1</v>
      </c>
      <c r="VS36" s="14">
        <f t="shared" si="24"/>
        <v>0.97</v>
      </c>
      <c r="VT36" s="12">
        <f t="shared" si="25"/>
        <v>1</v>
      </c>
      <c r="VU36" s="16">
        <f t="shared" si="26"/>
        <v>18699660</v>
      </c>
      <c r="VV36" s="16">
        <f t="shared" si="27"/>
        <v>233745.75</v>
      </c>
      <c r="VW36" s="12" t="str">
        <f t="shared" si="14"/>
        <v>A</v>
      </c>
      <c r="VX36" s="12" t="str">
        <f t="shared" si="15"/>
        <v>NC-GA-Non</v>
      </c>
      <c r="VY36" s="351">
        <f t="shared" si="16"/>
        <v>3</v>
      </c>
      <c r="WA36" s="12">
        <f t="shared" si="17"/>
        <v>1</v>
      </c>
      <c r="WB36" s="12">
        <f t="shared" si="18"/>
        <v>0</v>
      </c>
      <c r="WC36" s="12">
        <f t="shared" si="18"/>
        <v>0</v>
      </c>
      <c r="WD36" s="12">
        <f t="shared" si="18"/>
        <v>1</v>
      </c>
      <c r="WE36" s="12">
        <f t="shared" si="19"/>
        <v>0</v>
      </c>
      <c r="WF36" s="12">
        <f t="shared" si="28"/>
        <v>1</v>
      </c>
      <c r="WG36" s="12">
        <f t="shared" si="29"/>
        <v>0</v>
      </c>
      <c r="WH36" s="12">
        <f t="shared" si="30"/>
        <v>0</v>
      </c>
      <c r="WI36" s="31">
        <f t="shared" si="31"/>
        <v>3</v>
      </c>
      <c r="WJ36" s="2"/>
      <c r="WK36" s="444" t="str">
        <f t="shared" si="20"/>
        <v>NC-GA-Non-BBN-BRN-PHA-E</v>
      </c>
      <c r="WL36" s="444"/>
      <c r="WM36" s="444"/>
    </row>
    <row r="37" spans="1:611" x14ac:dyDescent="0.25">
      <c r="A37" s="2">
        <v>9557</v>
      </c>
      <c r="B37" s="2" t="s">
        <v>1792</v>
      </c>
      <c r="C37" s="2" t="s">
        <v>8</v>
      </c>
      <c r="D37" s="3">
        <v>45153</v>
      </c>
      <c r="E37" s="2" t="s">
        <v>9</v>
      </c>
      <c r="F37" s="2">
        <v>3</v>
      </c>
      <c r="G37" s="2" t="s">
        <v>9</v>
      </c>
      <c r="H37" s="2">
        <v>3</v>
      </c>
      <c r="I37" s="2" t="s">
        <v>9</v>
      </c>
      <c r="J37" s="2">
        <v>1</v>
      </c>
      <c r="K37" s="2" t="s">
        <v>9</v>
      </c>
      <c r="L37" s="2">
        <v>3</v>
      </c>
      <c r="M37" s="2" t="s">
        <v>10</v>
      </c>
      <c r="N37" s="2">
        <v>0</v>
      </c>
      <c r="O37" s="2" t="s">
        <v>10</v>
      </c>
      <c r="P37" s="2">
        <v>0</v>
      </c>
      <c r="Q37" s="2" t="s">
        <v>11</v>
      </c>
      <c r="R37" s="2">
        <v>0</v>
      </c>
      <c r="S37" s="2" t="s">
        <v>9</v>
      </c>
      <c r="T37" s="2">
        <v>2</v>
      </c>
      <c r="U37" s="2" t="s">
        <v>9</v>
      </c>
      <c r="V37" s="2">
        <v>2</v>
      </c>
      <c r="W37" s="2" t="s">
        <v>9</v>
      </c>
      <c r="X37" s="2">
        <v>2</v>
      </c>
      <c r="Y37" s="2" t="s">
        <v>12</v>
      </c>
      <c r="Z37" s="2" t="s">
        <v>1667</v>
      </c>
      <c r="AA37" s="2" t="s">
        <v>15</v>
      </c>
      <c r="AB37" s="2" t="s">
        <v>15</v>
      </c>
      <c r="AC37" s="2" t="s">
        <v>15</v>
      </c>
      <c r="AD37" s="2" t="s">
        <v>15</v>
      </c>
      <c r="AE37" s="2" t="s">
        <v>15</v>
      </c>
      <c r="AF37" s="2">
        <v>1</v>
      </c>
      <c r="AG37" s="2" t="s">
        <v>539</v>
      </c>
      <c r="AH37" s="2" t="s">
        <v>17</v>
      </c>
      <c r="AI37" s="4">
        <v>0.1</v>
      </c>
      <c r="AJ37" s="2" t="s">
        <v>17</v>
      </c>
      <c r="AK37" s="2" t="s">
        <v>9</v>
      </c>
      <c r="AL37" s="2" t="s">
        <v>17</v>
      </c>
      <c r="AM37" s="2" t="s">
        <v>17</v>
      </c>
      <c r="AN37" s="2" t="s">
        <v>17</v>
      </c>
      <c r="AO37" s="2" t="s">
        <v>9</v>
      </c>
      <c r="AP37" s="2" t="s">
        <v>17</v>
      </c>
      <c r="AQ37" s="2" t="s">
        <v>17</v>
      </c>
      <c r="AR37" s="2" t="s">
        <v>17</v>
      </c>
      <c r="AS37" s="2" t="s">
        <v>17</v>
      </c>
      <c r="AT37" s="2">
        <v>0</v>
      </c>
      <c r="AU37" s="5">
        <v>20000</v>
      </c>
      <c r="AV37" s="5">
        <v>340000</v>
      </c>
      <c r="AW37" s="2">
        <v>0</v>
      </c>
      <c r="AX37" s="2">
        <v>9</v>
      </c>
      <c r="AY37" s="2">
        <v>0</v>
      </c>
      <c r="AZ37" s="2">
        <v>18</v>
      </c>
      <c r="BA37" s="2">
        <v>0</v>
      </c>
      <c r="BB37" s="2">
        <v>1</v>
      </c>
      <c r="BC37" s="2">
        <v>0</v>
      </c>
      <c r="BD37" s="2">
        <v>0</v>
      </c>
      <c r="BE37" s="2">
        <v>0</v>
      </c>
      <c r="BF37" s="2">
        <v>1</v>
      </c>
      <c r="BG37" s="2">
        <v>0</v>
      </c>
      <c r="BH37" s="2">
        <v>0</v>
      </c>
      <c r="BI37" s="2">
        <v>13</v>
      </c>
      <c r="BJ37" s="2">
        <v>1</v>
      </c>
      <c r="BK37" s="2">
        <v>0</v>
      </c>
      <c r="BL37" s="2">
        <v>2</v>
      </c>
      <c r="BM37" s="2">
        <v>0</v>
      </c>
      <c r="BN37" s="2">
        <v>9</v>
      </c>
      <c r="BO37" s="2">
        <v>11</v>
      </c>
      <c r="BP37" s="2">
        <v>0</v>
      </c>
      <c r="BQ37" s="2">
        <v>10</v>
      </c>
      <c r="BR37" s="2">
        <v>10.38</v>
      </c>
      <c r="BS37" s="2">
        <v>0</v>
      </c>
      <c r="BT37" s="4">
        <v>0.06</v>
      </c>
      <c r="BU37" s="2" t="s">
        <v>9</v>
      </c>
      <c r="BV37" s="6">
        <v>211029.46</v>
      </c>
      <c r="BW37" s="2" t="s">
        <v>126</v>
      </c>
      <c r="BX37" s="2" t="s">
        <v>17</v>
      </c>
      <c r="BY37" s="2" t="s">
        <v>17</v>
      </c>
      <c r="BZ37" s="2" t="s">
        <v>17</v>
      </c>
      <c r="CA37" s="2" t="s">
        <v>17</v>
      </c>
      <c r="CB37" s="2" t="s">
        <v>17</v>
      </c>
      <c r="CC37" s="2" t="s">
        <v>17</v>
      </c>
      <c r="CD37" s="2" t="s">
        <v>17</v>
      </c>
      <c r="CE37" s="2" t="s">
        <v>1793</v>
      </c>
      <c r="CF37" s="2" t="s">
        <v>9</v>
      </c>
      <c r="CG37" s="2" t="s">
        <v>1794</v>
      </c>
      <c r="CH37" s="2" t="s">
        <v>1795</v>
      </c>
      <c r="CI37" s="2"/>
      <c r="CJ37" s="2" t="s">
        <v>9</v>
      </c>
      <c r="CK37" s="2" t="s">
        <v>1523</v>
      </c>
      <c r="CL37" s="2" t="s">
        <v>1795</v>
      </c>
      <c r="CM37" s="2" t="s">
        <v>1524</v>
      </c>
      <c r="CN37" s="2" t="s">
        <v>1277</v>
      </c>
      <c r="CO37" s="2" t="s">
        <v>24</v>
      </c>
      <c r="CP37" s="2"/>
      <c r="CQ37" s="2">
        <v>144</v>
      </c>
      <c r="CR37" s="2" t="s">
        <v>1135</v>
      </c>
      <c r="CS37" s="2">
        <v>2020</v>
      </c>
      <c r="CT37" s="2" t="s">
        <v>26</v>
      </c>
      <c r="CU37" s="2" t="s">
        <v>27</v>
      </c>
      <c r="CV37" s="2" t="s">
        <v>1278</v>
      </c>
      <c r="CW37" s="2" t="s">
        <v>1279</v>
      </c>
      <c r="CX37" s="2" t="s">
        <v>853</v>
      </c>
      <c r="CY37" s="2"/>
      <c r="CZ37" s="2">
        <v>404</v>
      </c>
      <c r="DA37" s="2" t="s">
        <v>1135</v>
      </c>
      <c r="DB37" s="2">
        <v>2018</v>
      </c>
      <c r="DC37" s="2" t="s">
        <v>26</v>
      </c>
      <c r="DD37" s="2" t="s">
        <v>27</v>
      </c>
      <c r="DE37" s="2" t="s">
        <v>1796</v>
      </c>
      <c r="DF37" s="2" t="s">
        <v>1281</v>
      </c>
      <c r="DG37" s="2" t="s">
        <v>853</v>
      </c>
      <c r="DH37" s="2"/>
      <c r="DI37" s="2">
        <v>228</v>
      </c>
      <c r="DJ37" s="2" t="s">
        <v>1135</v>
      </c>
      <c r="DK37" s="2">
        <v>2020</v>
      </c>
      <c r="DL37" s="2" t="s">
        <v>26</v>
      </c>
      <c r="DM37" s="2" t="s">
        <v>27</v>
      </c>
      <c r="DN37" s="2" t="s">
        <v>33</v>
      </c>
      <c r="DO37" s="2" t="s">
        <v>1797</v>
      </c>
      <c r="DP37" s="2"/>
      <c r="DQ37" s="2" t="s">
        <v>1454</v>
      </c>
      <c r="DR37" s="2" t="s">
        <v>1455</v>
      </c>
      <c r="DS37" s="2">
        <v>1</v>
      </c>
      <c r="DT37" s="2" t="s">
        <v>1798</v>
      </c>
      <c r="DU37" s="2" t="s">
        <v>1529</v>
      </c>
      <c r="DV37" s="2" t="s">
        <v>39</v>
      </c>
      <c r="DW37" s="2">
        <v>34205</v>
      </c>
      <c r="DX37" s="2" t="s">
        <v>1530</v>
      </c>
      <c r="DY37" s="2"/>
      <c r="DZ37" s="2" t="s">
        <v>1459</v>
      </c>
      <c r="EA37" s="2" t="s">
        <v>1455</v>
      </c>
      <c r="EB37" s="2" t="s">
        <v>1532</v>
      </c>
      <c r="EC37" s="2" t="s">
        <v>333</v>
      </c>
      <c r="ED37" s="2" t="s">
        <v>44</v>
      </c>
      <c r="EE37" s="2">
        <v>96</v>
      </c>
      <c r="EF37" s="2" t="s">
        <v>1147</v>
      </c>
      <c r="EG37" s="2">
        <v>9</v>
      </c>
      <c r="EH37" s="2" t="s">
        <v>46</v>
      </c>
      <c r="EI37" s="2" t="s">
        <v>47</v>
      </c>
      <c r="EJ37" s="2" t="s">
        <v>1799</v>
      </c>
      <c r="EK37" s="2" t="s">
        <v>389</v>
      </c>
      <c r="EL37" s="2" t="s">
        <v>44</v>
      </c>
      <c r="EM37" s="2">
        <v>90</v>
      </c>
      <c r="EN37" s="2" t="s">
        <v>1147</v>
      </c>
      <c r="EO37" s="2">
        <v>6</v>
      </c>
      <c r="EP37" s="2" t="s">
        <v>46</v>
      </c>
      <c r="EQ37" s="2" t="s">
        <v>47</v>
      </c>
      <c r="ER37" s="2" t="s">
        <v>1293</v>
      </c>
      <c r="ES37" s="2" t="s">
        <v>583</v>
      </c>
      <c r="ET37" s="2" t="s">
        <v>1294</v>
      </c>
      <c r="EU37" s="2" t="s">
        <v>1800</v>
      </c>
      <c r="EV37" s="2" t="s">
        <v>1801</v>
      </c>
      <c r="EW37" s="2" t="s">
        <v>1297</v>
      </c>
      <c r="EX37" s="2" t="s">
        <v>39</v>
      </c>
      <c r="EY37" s="2">
        <v>33444</v>
      </c>
      <c r="EZ37" s="2" t="s">
        <v>1298</v>
      </c>
      <c r="FA37" s="2"/>
      <c r="FB37" s="2" t="s">
        <v>1299</v>
      </c>
      <c r="FC37" s="2" t="s">
        <v>1797</v>
      </c>
      <c r="FD37" s="2"/>
      <c r="FE37" s="2" t="s">
        <v>1802</v>
      </c>
      <c r="FF37" s="2" t="s">
        <v>1301</v>
      </c>
      <c r="FG37" s="2" t="s">
        <v>1801</v>
      </c>
      <c r="FH37" s="2" t="s">
        <v>1297</v>
      </c>
      <c r="FI37" s="2" t="s">
        <v>39</v>
      </c>
      <c r="FJ37" s="2">
        <v>33444</v>
      </c>
      <c r="FK37" s="2" t="s">
        <v>1540</v>
      </c>
      <c r="FL37" s="2"/>
      <c r="FM37" s="2" t="s">
        <v>1541</v>
      </c>
      <c r="FN37" s="2" t="s">
        <v>1803</v>
      </c>
      <c r="FO37" s="2" t="s">
        <v>63</v>
      </c>
      <c r="FP37" s="2" t="s">
        <v>64</v>
      </c>
      <c r="FQ37" s="2" t="s">
        <v>9</v>
      </c>
      <c r="FR37" s="2" t="s">
        <v>17</v>
      </c>
      <c r="FS37" s="2" t="s">
        <v>17</v>
      </c>
      <c r="FT37" s="2" t="s">
        <v>9</v>
      </c>
      <c r="FU37" s="2">
        <v>0</v>
      </c>
      <c r="FV37" s="2">
        <v>0</v>
      </c>
      <c r="FW37" s="4">
        <v>0</v>
      </c>
      <c r="FX37" s="4">
        <v>0</v>
      </c>
      <c r="FY37" s="2" t="s">
        <v>65</v>
      </c>
      <c r="FZ37" s="2" t="s">
        <v>66</v>
      </c>
      <c r="GA37" s="2" t="s">
        <v>67</v>
      </c>
      <c r="GB37" s="2"/>
      <c r="GC37" s="2"/>
      <c r="GD37" s="2"/>
      <c r="GE37" s="2" t="s">
        <v>68</v>
      </c>
      <c r="GF37" s="2">
        <v>68</v>
      </c>
      <c r="GG37" s="2">
        <v>68</v>
      </c>
      <c r="GH37" s="2"/>
      <c r="GI37" s="2"/>
      <c r="GJ37" s="2"/>
      <c r="GK37" s="2"/>
      <c r="GL37" s="2"/>
      <c r="GM37" s="2"/>
      <c r="GN37" s="2"/>
      <c r="GO37" s="2"/>
      <c r="GP37" s="2"/>
      <c r="GQ37" s="2">
        <v>68</v>
      </c>
      <c r="GR37" s="2" t="s">
        <v>775</v>
      </c>
      <c r="GS37" s="2" t="s">
        <v>70</v>
      </c>
      <c r="GT37" s="2" t="s">
        <v>1804</v>
      </c>
      <c r="GU37" s="2" t="s">
        <v>1805</v>
      </c>
      <c r="GV37" s="2" t="s">
        <v>9</v>
      </c>
      <c r="GW37" s="2">
        <v>28.546555999999999</v>
      </c>
      <c r="GX37" s="2">
        <v>-82.392735000000002</v>
      </c>
      <c r="GY37" s="2" t="s">
        <v>1806</v>
      </c>
      <c r="GZ37" s="2" t="s">
        <v>17</v>
      </c>
      <c r="HA37" s="2" t="s">
        <v>17</v>
      </c>
      <c r="HB37" s="2">
        <v>0</v>
      </c>
      <c r="HC37" s="2" t="s">
        <v>17</v>
      </c>
      <c r="HD37" s="2" t="s">
        <v>17</v>
      </c>
      <c r="HE37" s="2">
        <v>0</v>
      </c>
      <c r="HF37" s="2">
        <v>28.545365</v>
      </c>
      <c r="HG37" s="2">
        <v>-82.392639000000003</v>
      </c>
      <c r="HH37" s="2">
        <v>0.08</v>
      </c>
      <c r="HI37" s="2">
        <v>2</v>
      </c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 t="s">
        <v>73</v>
      </c>
      <c r="HY37" s="2" t="s">
        <v>17</v>
      </c>
      <c r="HZ37" s="2"/>
      <c r="IA37" s="2" t="s">
        <v>359</v>
      </c>
      <c r="IB37" s="2" t="s">
        <v>1807</v>
      </c>
      <c r="IC37" s="2">
        <v>0.73</v>
      </c>
      <c r="ID37" s="2">
        <v>3</v>
      </c>
      <c r="IE37" s="2" t="s">
        <v>1808</v>
      </c>
      <c r="IF37" s="2">
        <v>0.54</v>
      </c>
      <c r="IG37" s="2">
        <v>3</v>
      </c>
      <c r="IH37" s="2" t="s">
        <v>359</v>
      </c>
      <c r="II37" s="2">
        <v>0.73</v>
      </c>
      <c r="IJ37" s="2">
        <v>3</v>
      </c>
      <c r="IK37" s="2"/>
      <c r="IL37" s="2"/>
      <c r="IM37" s="2"/>
      <c r="IN37" s="2"/>
      <c r="IO37" s="2" t="s">
        <v>9</v>
      </c>
      <c r="IP37" s="2">
        <v>2</v>
      </c>
      <c r="IQ37" s="2">
        <v>9</v>
      </c>
      <c r="IR37" s="2">
        <v>0</v>
      </c>
      <c r="IS37" s="2">
        <v>11</v>
      </c>
      <c r="IT37" s="2" t="s">
        <v>9</v>
      </c>
      <c r="IU37" s="2" t="s">
        <v>17</v>
      </c>
      <c r="IV37" s="2" t="s">
        <v>17</v>
      </c>
      <c r="IW37" s="2" t="s">
        <v>9</v>
      </c>
      <c r="IX37" s="2" t="s">
        <v>9</v>
      </c>
      <c r="IY37" s="2">
        <v>11</v>
      </c>
      <c r="IZ37" s="2">
        <v>68</v>
      </c>
      <c r="JA37" s="2" t="s">
        <v>172</v>
      </c>
      <c r="JB37" s="2" t="s">
        <v>173</v>
      </c>
      <c r="JC37" s="2"/>
      <c r="JD37" s="2"/>
      <c r="JE37" s="7">
        <v>0.1</v>
      </c>
      <c r="JF37" s="2"/>
      <c r="JG37" s="7">
        <v>0.9</v>
      </c>
      <c r="JH37" s="7">
        <v>0</v>
      </c>
      <c r="JI37" s="2">
        <v>68</v>
      </c>
      <c r="JJ37" s="7">
        <v>1</v>
      </c>
      <c r="JK37" s="2">
        <v>68</v>
      </c>
      <c r="JL37" s="7">
        <v>1</v>
      </c>
      <c r="JM37" s="2"/>
      <c r="JN37" s="2"/>
      <c r="JO37" s="2"/>
      <c r="JP37" s="2"/>
      <c r="JQ37" s="2"/>
      <c r="JR37" s="2"/>
      <c r="JS37" s="2">
        <v>0</v>
      </c>
      <c r="JT37" s="2">
        <v>0</v>
      </c>
      <c r="JU37" s="2"/>
      <c r="JV37" s="2">
        <v>0</v>
      </c>
      <c r="JW37" s="4">
        <v>0</v>
      </c>
      <c r="JX37" s="2">
        <v>0</v>
      </c>
      <c r="JY37" s="4">
        <v>0</v>
      </c>
      <c r="JZ37" s="2">
        <v>0</v>
      </c>
      <c r="KA37" s="2"/>
      <c r="KB37" s="2"/>
      <c r="KC37" s="2"/>
      <c r="KD37" s="2"/>
      <c r="KE37" s="2"/>
      <c r="KF37" s="2"/>
      <c r="KG37" s="2"/>
      <c r="KH37" s="2">
        <v>68</v>
      </c>
      <c r="KI37" s="2"/>
      <c r="KJ37" s="2"/>
      <c r="KK37" s="2"/>
      <c r="KL37" s="2"/>
      <c r="KM37" s="2"/>
      <c r="KN37" s="2"/>
      <c r="KO37" s="2"/>
      <c r="KP37" s="2"/>
      <c r="KQ37" s="2" t="s">
        <v>83</v>
      </c>
      <c r="KR37" s="2"/>
      <c r="KS37" s="2" t="s">
        <v>73</v>
      </c>
      <c r="KT37" s="2">
        <v>2</v>
      </c>
      <c r="KU37" s="2" t="s">
        <v>84</v>
      </c>
      <c r="KV37" s="2" t="s">
        <v>85</v>
      </c>
      <c r="KW37" s="2" t="s">
        <v>86</v>
      </c>
      <c r="KX37" s="2" t="s">
        <v>17</v>
      </c>
      <c r="KY37" s="2" t="s">
        <v>17</v>
      </c>
      <c r="KZ37" s="2" t="s">
        <v>17</v>
      </c>
      <c r="LA37" s="2" t="s">
        <v>17</v>
      </c>
      <c r="LB37" s="2" t="s">
        <v>17</v>
      </c>
      <c r="LC37" s="2" t="s">
        <v>17</v>
      </c>
      <c r="LD37" s="2" t="s">
        <v>17</v>
      </c>
      <c r="LE37" s="2" t="s">
        <v>17</v>
      </c>
      <c r="LF37" s="2" t="s">
        <v>17</v>
      </c>
      <c r="LG37" s="2" t="s">
        <v>17</v>
      </c>
      <c r="LH37" s="2" t="s">
        <v>17</v>
      </c>
      <c r="LI37" s="2" t="s">
        <v>17</v>
      </c>
      <c r="LJ37" s="2" t="s">
        <v>87</v>
      </c>
      <c r="LK37" s="2" t="s">
        <v>17</v>
      </c>
      <c r="LL37" s="2" t="s">
        <v>17</v>
      </c>
      <c r="LM37" s="2">
        <v>0</v>
      </c>
      <c r="LN37" s="2" t="s">
        <v>17</v>
      </c>
      <c r="LO37" s="2" t="s">
        <v>17</v>
      </c>
      <c r="LP37" s="2" t="s">
        <v>17</v>
      </c>
      <c r="LQ37" s="2" t="s">
        <v>17</v>
      </c>
      <c r="LR37" s="2" t="s">
        <v>17</v>
      </c>
      <c r="LS37" s="2" t="s">
        <v>17</v>
      </c>
      <c r="LT37" s="2" t="s">
        <v>9</v>
      </c>
      <c r="LU37" s="2" t="s">
        <v>9</v>
      </c>
      <c r="LV37" s="2" t="s">
        <v>9</v>
      </c>
      <c r="LW37" s="2" t="s">
        <v>17</v>
      </c>
      <c r="LX37" s="2" t="s">
        <v>17</v>
      </c>
      <c r="LY37" s="5">
        <v>5440000</v>
      </c>
      <c r="LZ37" s="5">
        <v>0</v>
      </c>
      <c r="MA37" s="5">
        <v>6800000</v>
      </c>
      <c r="MB37" s="5">
        <v>0</v>
      </c>
      <c r="MC37" s="5">
        <v>0</v>
      </c>
      <c r="MD37" s="5">
        <v>0</v>
      </c>
      <c r="ME37" s="5">
        <v>7140000</v>
      </c>
      <c r="MF37" s="5">
        <v>0</v>
      </c>
      <c r="MG37" s="5">
        <v>0</v>
      </c>
      <c r="MH37" s="5">
        <v>0</v>
      </c>
      <c r="MI37" s="5">
        <v>0</v>
      </c>
      <c r="MJ37" s="5">
        <v>0</v>
      </c>
      <c r="MK37" s="5">
        <v>0</v>
      </c>
      <c r="ML37" s="2">
        <v>0</v>
      </c>
      <c r="MM37" s="5">
        <v>0</v>
      </c>
      <c r="MN37" s="5">
        <v>0</v>
      </c>
      <c r="MO37" s="2">
        <v>0</v>
      </c>
      <c r="MP37" s="2">
        <v>0</v>
      </c>
      <c r="MQ37" s="2">
        <v>0</v>
      </c>
      <c r="MR37" s="5">
        <v>2950000</v>
      </c>
      <c r="MS37" s="5">
        <v>0</v>
      </c>
      <c r="MT37" s="5">
        <v>4600000</v>
      </c>
      <c r="MU37" s="5">
        <v>0</v>
      </c>
      <c r="MV37" s="5">
        <v>0</v>
      </c>
      <c r="MW37" s="5">
        <v>0</v>
      </c>
      <c r="MX37" s="5">
        <v>0</v>
      </c>
      <c r="MY37" s="5">
        <v>2500000</v>
      </c>
      <c r="MZ37" s="5">
        <v>0</v>
      </c>
      <c r="NA37" s="5">
        <v>5000000</v>
      </c>
      <c r="NB37" s="5">
        <v>0</v>
      </c>
      <c r="NC37" s="5">
        <v>0</v>
      </c>
      <c r="ND37" s="5">
        <v>0</v>
      </c>
      <c r="NE37" s="5">
        <v>0</v>
      </c>
      <c r="NF37" s="5">
        <v>0</v>
      </c>
      <c r="NG37" s="5">
        <v>2142000</v>
      </c>
      <c r="NH37" s="5">
        <v>2142000</v>
      </c>
      <c r="NI37" s="5">
        <v>2142000</v>
      </c>
      <c r="NJ37" s="5">
        <v>0</v>
      </c>
      <c r="NK37" s="5"/>
      <c r="NL37" s="2" t="s">
        <v>9</v>
      </c>
      <c r="NM37" s="2" t="s">
        <v>17</v>
      </c>
      <c r="NN37" s="2"/>
      <c r="NO37" s="2" t="s">
        <v>17</v>
      </c>
      <c r="NP37" s="2"/>
      <c r="NQ37" s="2"/>
      <c r="NR37" s="2" t="s">
        <v>17</v>
      </c>
      <c r="NS37" s="2"/>
      <c r="NT37" s="2" t="s">
        <v>9</v>
      </c>
      <c r="NU37" s="2" t="s">
        <v>450</v>
      </c>
      <c r="NV37" s="2">
        <v>405.01</v>
      </c>
      <c r="NW37" s="2" t="s">
        <v>1809</v>
      </c>
      <c r="NX37" s="2" t="s">
        <v>17</v>
      </c>
      <c r="NY37" s="2"/>
      <c r="NZ37" s="2"/>
      <c r="OA37" s="2" t="s">
        <v>118</v>
      </c>
      <c r="OB37" s="2" t="s">
        <v>118</v>
      </c>
      <c r="OC37" s="2" t="s">
        <v>118</v>
      </c>
      <c r="OD37" s="2" t="s">
        <v>17</v>
      </c>
      <c r="OE37" s="2" t="s">
        <v>119</v>
      </c>
      <c r="OF37" s="2" t="s">
        <v>17</v>
      </c>
      <c r="OG37" s="2" t="s">
        <v>17</v>
      </c>
      <c r="OH37" s="2"/>
      <c r="OI37" s="2"/>
      <c r="OJ37" s="2"/>
      <c r="OK37" s="2" t="s">
        <v>17</v>
      </c>
      <c r="OL37" s="2" t="s">
        <v>17</v>
      </c>
      <c r="OM37" s="2" t="s">
        <v>85</v>
      </c>
      <c r="ON37" s="6">
        <v>0</v>
      </c>
      <c r="OO37" s="6">
        <v>0</v>
      </c>
      <c r="OP37" s="2" t="s">
        <v>93</v>
      </c>
      <c r="OQ37" s="2" t="s">
        <v>93</v>
      </c>
      <c r="OR37" s="6">
        <v>0</v>
      </c>
      <c r="OS37" s="4">
        <v>0</v>
      </c>
      <c r="OT37" s="2" t="s">
        <v>9</v>
      </c>
      <c r="OU37" s="2" t="s">
        <v>9</v>
      </c>
      <c r="OV37" s="2"/>
      <c r="OW37" s="2" t="s">
        <v>1810</v>
      </c>
      <c r="OX37" s="5">
        <v>14350003</v>
      </c>
      <c r="OY37" s="6">
        <v>211029.46</v>
      </c>
      <c r="OZ37" s="8">
        <v>400000</v>
      </c>
      <c r="PA37" s="8">
        <v>400000</v>
      </c>
      <c r="PB37" s="8">
        <v>12766429</v>
      </c>
      <c r="PC37" s="2"/>
      <c r="PD37" s="8">
        <v>12766429</v>
      </c>
      <c r="PE37" s="2"/>
      <c r="PF37" s="2"/>
      <c r="PG37" s="2"/>
      <c r="PH37" s="2"/>
      <c r="PI37" s="2"/>
      <c r="PJ37" s="2"/>
      <c r="PK37" s="8">
        <v>12766429</v>
      </c>
      <c r="PL37" s="8">
        <v>400000</v>
      </c>
      <c r="PM37" s="8">
        <v>13166429</v>
      </c>
      <c r="PN37" s="8">
        <v>1843300</v>
      </c>
      <c r="PO37" s="2"/>
      <c r="PP37" s="8">
        <v>1843300</v>
      </c>
      <c r="PQ37" s="6">
        <v>1843300</v>
      </c>
      <c r="PR37" s="8">
        <v>14609729</v>
      </c>
      <c r="PS37" s="8">
        <v>400000</v>
      </c>
      <c r="PT37" s="8">
        <v>15009729</v>
      </c>
      <c r="PU37" s="8">
        <v>750486</v>
      </c>
      <c r="PV37" s="2"/>
      <c r="PW37" s="8">
        <v>750486</v>
      </c>
      <c r="PX37" s="6">
        <v>750486.45</v>
      </c>
      <c r="PY37" s="8">
        <v>890250</v>
      </c>
      <c r="PZ37" s="8">
        <v>210000</v>
      </c>
      <c r="QA37" s="8">
        <v>1100250</v>
      </c>
      <c r="QB37" s="8">
        <v>300580</v>
      </c>
      <c r="QC37" s="2"/>
      <c r="QD37" s="8">
        <v>300580</v>
      </c>
      <c r="QE37" s="8">
        <v>446249</v>
      </c>
      <c r="QF37" s="2"/>
      <c r="QG37" s="8">
        <v>446249</v>
      </c>
      <c r="QH37" s="2"/>
      <c r="QI37" s="8">
        <v>357765</v>
      </c>
      <c r="QJ37" s="8">
        <v>357765</v>
      </c>
      <c r="QK37" s="2"/>
      <c r="QL37" s="2"/>
      <c r="QM37" s="2"/>
      <c r="QN37" s="8">
        <v>377500</v>
      </c>
      <c r="QO37" s="8">
        <v>24500</v>
      </c>
      <c r="QP37" s="8">
        <v>402000</v>
      </c>
      <c r="QQ37" s="8">
        <v>2014579</v>
      </c>
      <c r="QR37" s="8">
        <v>592265</v>
      </c>
      <c r="QS37" s="8">
        <v>2606844</v>
      </c>
      <c r="QT37" s="8">
        <v>88704</v>
      </c>
      <c r="QU37" s="2"/>
      <c r="QV37" s="8">
        <v>88704</v>
      </c>
      <c r="QW37" s="6">
        <v>130342.2</v>
      </c>
      <c r="QX37" s="8">
        <v>170000</v>
      </c>
      <c r="QY37" s="2"/>
      <c r="QZ37" s="8">
        <v>170000</v>
      </c>
      <c r="RA37" s="8">
        <v>18200</v>
      </c>
      <c r="RB37" s="8">
        <v>18200</v>
      </c>
      <c r="RC37" s="8">
        <v>748805</v>
      </c>
      <c r="RD37" s="8">
        <v>296300</v>
      </c>
      <c r="RE37" s="8">
        <v>1045105</v>
      </c>
      <c r="RF37" s="8">
        <v>918805</v>
      </c>
      <c r="RG37" s="8">
        <v>314500</v>
      </c>
      <c r="RH37" s="8">
        <v>1233305</v>
      </c>
      <c r="RI37" s="2"/>
      <c r="RJ37" s="2"/>
      <c r="RK37" s="2"/>
      <c r="RL37" s="2"/>
      <c r="RM37" s="8">
        <v>18382303</v>
      </c>
      <c r="RN37" s="8">
        <v>1306765</v>
      </c>
      <c r="RO37" s="8">
        <v>19689068</v>
      </c>
      <c r="RP37" s="2"/>
      <c r="RQ37" s="2"/>
      <c r="RR37" s="2">
        <v>0</v>
      </c>
      <c r="RS37" s="6">
        <v>0</v>
      </c>
      <c r="RT37" s="8">
        <v>3150250</v>
      </c>
      <c r="RU37" s="2"/>
      <c r="RV37" s="8">
        <v>3150250</v>
      </c>
      <c r="RW37" s="6">
        <v>3150250</v>
      </c>
      <c r="RX37" s="6">
        <v>0</v>
      </c>
      <c r="RY37" s="8">
        <v>3150250</v>
      </c>
      <c r="RZ37" s="2"/>
      <c r="SA37" s="8">
        <v>3150250</v>
      </c>
      <c r="SB37" s="6">
        <v>3150250</v>
      </c>
      <c r="SC37" s="8">
        <v>149506</v>
      </c>
      <c r="SD37" s="8">
        <v>149506</v>
      </c>
      <c r="SE37" s="6">
        <v>238000</v>
      </c>
      <c r="SF37" s="8">
        <v>500000</v>
      </c>
      <c r="SG37" s="8">
        <v>500000</v>
      </c>
      <c r="SH37" s="8">
        <v>21532553</v>
      </c>
      <c r="SI37" s="8">
        <v>1956271</v>
      </c>
      <c r="SJ37" s="8">
        <v>23488824</v>
      </c>
      <c r="SK37" s="2"/>
      <c r="SL37" s="2"/>
      <c r="SM37" s="2" t="s">
        <v>1811</v>
      </c>
      <c r="SN37" s="2" t="s">
        <v>1812</v>
      </c>
      <c r="SO37" s="2"/>
      <c r="SP37" s="8">
        <v>17000000</v>
      </c>
      <c r="SQ37" s="2" t="s">
        <v>95</v>
      </c>
      <c r="SR37" s="8">
        <v>340000</v>
      </c>
      <c r="SS37" s="2" t="s">
        <v>180</v>
      </c>
      <c r="ST37" s="8">
        <v>500000</v>
      </c>
      <c r="SU37" s="2" t="s">
        <v>1316</v>
      </c>
      <c r="SV37" s="2"/>
      <c r="SW37" s="2"/>
      <c r="SX37" s="2" t="s">
        <v>96</v>
      </c>
      <c r="SY37" s="2" t="s">
        <v>96</v>
      </c>
      <c r="SZ37" s="2" t="s">
        <v>96</v>
      </c>
      <c r="TA37" s="2" t="s">
        <v>96</v>
      </c>
      <c r="TB37" s="8">
        <v>3855214</v>
      </c>
      <c r="TC37" s="2"/>
      <c r="TD37" s="2"/>
      <c r="TE37" s="2"/>
      <c r="TF37" s="2"/>
      <c r="TG37" s="2"/>
      <c r="TH37" s="2"/>
      <c r="TI37" s="8">
        <v>1793610</v>
      </c>
      <c r="TJ37" s="8">
        <v>23488824</v>
      </c>
      <c r="TK37" s="2">
        <v>0</v>
      </c>
      <c r="TL37" s="2" t="s">
        <v>9</v>
      </c>
      <c r="TM37" s="8">
        <v>2000000</v>
      </c>
      <c r="TN37" s="2" t="s">
        <v>95</v>
      </c>
      <c r="TO37" s="8">
        <v>340000</v>
      </c>
      <c r="TP37" s="2" t="s">
        <v>180</v>
      </c>
      <c r="TQ37" s="8">
        <v>500000</v>
      </c>
      <c r="TR37" s="2" t="s">
        <v>1316</v>
      </c>
      <c r="TS37" s="2"/>
      <c r="TT37" s="2"/>
      <c r="TU37" s="2" t="s">
        <v>96</v>
      </c>
      <c r="TV37" s="8">
        <v>19276072</v>
      </c>
      <c r="TW37" s="2"/>
      <c r="TX37" s="2"/>
      <c r="TY37" s="2"/>
      <c r="TZ37" s="2"/>
      <c r="UA37" s="2"/>
      <c r="UB37" s="2"/>
      <c r="UC37" s="8">
        <v>1372752</v>
      </c>
      <c r="UD37" s="8">
        <v>23488824</v>
      </c>
      <c r="UE37" s="6">
        <v>2840000</v>
      </c>
      <c r="UF37" s="2">
        <v>0</v>
      </c>
      <c r="UG37" s="2" t="s">
        <v>9</v>
      </c>
      <c r="UH37" s="2">
        <v>68</v>
      </c>
      <c r="UI37" s="5">
        <v>240000</v>
      </c>
      <c r="UJ37" s="6">
        <v>320000</v>
      </c>
      <c r="UK37" s="6">
        <v>327500</v>
      </c>
      <c r="UL37" s="6">
        <v>347150</v>
      </c>
      <c r="UM37" s="6">
        <v>23606200</v>
      </c>
      <c r="UN37" s="6">
        <v>3776992</v>
      </c>
      <c r="UO37" s="6">
        <v>3776992</v>
      </c>
      <c r="UP37" s="6">
        <v>27383192</v>
      </c>
      <c r="UQ37" s="6">
        <v>22439318</v>
      </c>
      <c r="UR37" s="2"/>
      <c r="US37" s="2"/>
      <c r="UT37" s="6">
        <v>0</v>
      </c>
      <c r="UU37" s="6">
        <v>340000</v>
      </c>
      <c r="UV37" s="6">
        <v>340000</v>
      </c>
      <c r="UW37" s="6">
        <v>340000</v>
      </c>
      <c r="UX37" s="6">
        <v>0</v>
      </c>
      <c r="UY37" s="6">
        <v>340000</v>
      </c>
      <c r="UZ37" s="2" t="s">
        <v>1813</v>
      </c>
      <c r="VA37" s="2" t="s">
        <v>453</v>
      </c>
      <c r="VB37" s="2"/>
      <c r="VC37" s="2"/>
      <c r="VD37" s="2" t="s">
        <v>9</v>
      </c>
      <c r="VE37" s="2" t="s">
        <v>17</v>
      </c>
      <c r="VF37" s="2"/>
      <c r="VG37" s="2" t="s">
        <v>9</v>
      </c>
      <c r="VH37" s="2" t="s">
        <v>1814</v>
      </c>
      <c r="VI37" s="388" t="s">
        <v>1275</v>
      </c>
      <c r="VJ37" s="2" t="s">
        <v>98</v>
      </c>
      <c r="VK37" s="2" t="s">
        <v>1319</v>
      </c>
      <c r="VL37" s="23">
        <f t="shared" si="21"/>
        <v>68</v>
      </c>
      <c r="VM37" s="17">
        <f t="shared" si="22"/>
        <v>1</v>
      </c>
      <c r="VN37" s="17" t="str">
        <f t="shared" si="12"/>
        <v>NC-GA-E</v>
      </c>
      <c r="VO37" s="17" t="str">
        <f t="shared" si="13"/>
        <v>NC-GA-E-ESS</v>
      </c>
      <c r="VP37" s="12">
        <v>9</v>
      </c>
      <c r="VQ37" s="57">
        <v>1</v>
      </c>
      <c r="VR37" s="57">
        <f t="shared" si="23"/>
        <v>1</v>
      </c>
      <c r="VS37" s="14">
        <f t="shared" si="24"/>
        <v>0.97</v>
      </c>
      <c r="VT37" s="12">
        <f t="shared" si="25"/>
        <v>0.93</v>
      </c>
      <c r="VU37" s="16">
        <f t="shared" si="26"/>
        <v>17390683.800000001</v>
      </c>
      <c r="VV37" s="16">
        <f t="shared" si="27"/>
        <v>255745.35</v>
      </c>
      <c r="VW37" s="12" t="str">
        <f t="shared" si="14"/>
        <v>B</v>
      </c>
      <c r="VX37" s="12" t="str">
        <f t="shared" si="15"/>
        <v>NC-GA-ESS</v>
      </c>
      <c r="VY37" s="351">
        <f t="shared" si="16"/>
        <v>5</v>
      </c>
      <c r="WA37" s="12">
        <f t="shared" si="17"/>
        <v>1</v>
      </c>
      <c r="WB37" s="12">
        <f t="shared" si="18"/>
        <v>0</v>
      </c>
      <c r="WC37" s="12">
        <f t="shared" si="18"/>
        <v>0</v>
      </c>
      <c r="WD37" s="12">
        <f t="shared" si="18"/>
        <v>1</v>
      </c>
      <c r="WE37" s="12">
        <f t="shared" si="19"/>
        <v>1</v>
      </c>
      <c r="WF37" s="12">
        <f t="shared" si="28"/>
        <v>1</v>
      </c>
      <c r="WG37" s="12">
        <f t="shared" si="29"/>
        <v>0</v>
      </c>
      <c r="WH37" s="12">
        <f t="shared" si="30"/>
        <v>0</v>
      </c>
      <c r="WI37" s="31">
        <f t="shared" si="31"/>
        <v>4</v>
      </c>
      <c r="WJ37" s="2"/>
      <c r="WK37" s="444" t="str">
        <f t="shared" si="20"/>
        <v>NC-GA-ESS-BBN-BRN-PHA-E</v>
      </c>
      <c r="WL37" s="444"/>
      <c r="WM37" s="444"/>
    </row>
    <row r="38" spans="1:611" x14ac:dyDescent="0.25">
      <c r="A38" s="2">
        <v>9402</v>
      </c>
      <c r="B38" s="2" t="s">
        <v>455</v>
      </c>
      <c r="C38" s="2" t="s">
        <v>8</v>
      </c>
      <c r="D38" s="3">
        <v>45153</v>
      </c>
      <c r="E38" s="2" t="s">
        <v>9</v>
      </c>
      <c r="F38" s="2">
        <v>3</v>
      </c>
      <c r="G38" s="2" t="s">
        <v>9</v>
      </c>
      <c r="H38" s="2">
        <v>3</v>
      </c>
      <c r="I38" s="2" t="s">
        <v>9</v>
      </c>
      <c r="J38" s="2">
        <v>3</v>
      </c>
      <c r="K38" s="2" t="s">
        <v>9</v>
      </c>
      <c r="L38" s="2">
        <v>3</v>
      </c>
      <c r="M38" s="2" t="s">
        <v>10</v>
      </c>
      <c r="N38" s="2">
        <v>0</v>
      </c>
      <c r="O38" s="2" t="s">
        <v>10</v>
      </c>
      <c r="P38" s="2">
        <v>0</v>
      </c>
      <c r="Q38" s="2" t="s">
        <v>11</v>
      </c>
      <c r="R38" s="2">
        <v>0</v>
      </c>
      <c r="S38" s="2" t="s">
        <v>9</v>
      </c>
      <c r="T38" s="2">
        <v>2</v>
      </c>
      <c r="U38" s="2" t="s">
        <v>9</v>
      </c>
      <c r="V38" s="2">
        <v>2</v>
      </c>
      <c r="W38" s="2" t="s">
        <v>9</v>
      </c>
      <c r="X38" s="2">
        <v>2</v>
      </c>
      <c r="Y38" s="2" t="s">
        <v>12</v>
      </c>
      <c r="Z38" s="2" t="s">
        <v>15</v>
      </c>
      <c r="AA38" s="2" t="s">
        <v>15</v>
      </c>
      <c r="AB38" s="2" t="s">
        <v>15</v>
      </c>
      <c r="AC38" s="2" t="s">
        <v>15</v>
      </c>
      <c r="AD38" s="2" t="s">
        <v>15</v>
      </c>
      <c r="AE38" s="2" t="s">
        <v>15</v>
      </c>
      <c r="AF38" s="2">
        <v>0</v>
      </c>
      <c r="AG38" s="2" t="s">
        <v>234</v>
      </c>
      <c r="AH38" s="2" t="s">
        <v>17</v>
      </c>
      <c r="AI38" s="4">
        <v>0.1</v>
      </c>
      <c r="AJ38" s="2" t="s">
        <v>17</v>
      </c>
      <c r="AK38" s="2" t="s">
        <v>9</v>
      </c>
      <c r="AL38" s="2" t="s">
        <v>17</v>
      </c>
      <c r="AM38" s="2" t="s">
        <v>17</v>
      </c>
      <c r="AN38" s="2" t="s">
        <v>17</v>
      </c>
      <c r="AO38" s="2" t="s">
        <v>17</v>
      </c>
      <c r="AP38" s="2" t="s">
        <v>9</v>
      </c>
      <c r="AQ38" s="2" t="s">
        <v>17</v>
      </c>
      <c r="AR38" s="2" t="s">
        <v>9</v>
      </c>
      <c r="AS38" s="2" t="s">
        <v>17</v>
      </c>
      <c r="AT38" s="2">
        <v>0</v>
      </c>
      <c r="AU38" s="5">
        <v>20000</v>
      </c>
      <c r="AV38" s="5">
        <v>340000</v>
      </c>
      <c r="AW38" s="2">
        <v>0</v>
      </c>
      <c r="AX38" s="2">
        <v>9</v>
      </c>
      <c r="AY38" s="2">
        <v>0</v>
      </c>
      <c r="AZ38" s="2">
        <v>18</v>
      </c>
      <c r="BA38" s="2">
        <v>0</v>
      </c>
      <c r="BB38" s="2">
        <v>1</v>
      </c>
      <c r="BC38" s="2">
        <v>0</v>
      </c>
      <c r="BD38" s="2">
        <v>0</v>
      </c>
      <c r="BE38" s="2">
        <v>0</v>
      </c>
      <c r="BF38" s="2">
        <v>1</v>
      </c>
      <c r="BG38" s="2">
        <v>0</v>
      </c>
      <c r="BH38" s="2">
        <v>0</v>
      </c>
      <c r="BI38" s="2">
        <v>13</v>
      </c>
      <c r="BJ38" s="2">
        <v>1</v>
      </c>
      <c r="BK38" s="2">
        <v>0</v>
      </c>
      <c r="BL38" s="2">
        <v>2</v>
      </c>
      <c r="BM38" s="2">
        <v>0</v>
      </c>
      <c r="BN38" s="2">
        <v>13</v>
      </c>
      <c r="BO38" s="2">
        <v>11</v>
      </c>
      <c r="BP38" s="2">
        <v>0</v>
      </c>
      <c r="BQ38" s="2">
        <v>10</v>
      </c>
      <c r="BR38" s="2">
        <v>12.83</v>
      </c>
      <c r="BS38" s="2">
        <v>0</v>
      </c>
      <c r="BT38" s="4">
        <v>0.06</v>
      </c>
      <c r="BU38" s="2" t="s">
        <v>9</v>
      </c>
      <c r="BV38" s="6">
        <v>211140</v>
      </c>
      <c r="BW38" s="2" t="s">
        <v>126</v>
      </c>
      <c r="BX38" s="2" t="s">
        <v>17</v>
      </c>
      <c r="BY38" s="2" t="s">
        <v>17</v>
      </c>
      <c r="BZ38" s="2" t="s">
        <v>17</v>
      </c>
      <c r="CA38" s="2" t="s">
        <v>17</v>
      </c>
      <c r="CB38" s="2" t="s">
        <v>17</v>
      </c>
      <c r="CC38" s="2" t="s">
        <v>17</v>
      </c>
      <c r="CD38" s="2" t="s">
        <v>17</v>
      </c>
      <c r="CE38" s="2" t="s">
        <v>456</v>
      </c>
      <c r="CF38" s="2" t="s">
        <v>17</v>
      </c>
      <c r="CG38" s="2" t="s">
        <v>457</v>
      </c>
      <c r="CH38" s="2"/>
      <c r="CI38" s="2"/>
      <c r="CJ38" s="2" t="s">
        <v>9</v>
      </c>
      <c r="CK38" s="2" t="s">
        <v>458</v>
      </c>
      <c r="CL38" s="2" t="s">
        <v>457</v>
      </c>
      <c r="CM38" s="2" t="s">
        <v>459</v>
      </c>
      <c r="CN38" s="2" t="s">
        <v>460</v>
      </c>
      <c r="CO38" s="2" t="s">
        <v>24</v>
      </c>
      <c r="CP38" s="2"/>
      <c r="CQ38" s="2">
        <v>133</v>
      </c>
      <c r="CR38" s="2" t="s">
        <v>461</v>
      </c>
      <c r="CS38" s="2">
        <v>2021</v>
      </c>
      <c r="CT38" s="2" t="s">
        <v>26</v>
      </c>
      <c r="CU38" s="2" t="s">
        <v>27</v>
      </c>
      <c r="CV38" s="2" t="s">
        <v>462</v>
      </c>
      <c r="CW38" s="2" t="s">
        <v>460</v>
      </c>
      <c r="CX38" s="2" t="s">
        <v>24</v>
      </c>
      <c r="CY38" s="2"/>
      <c r="CZ38" s="2">
        <v>130</v>
      </c>
      <c r="DA38" s="2" t="s">
        <v>461</v>
      </c>
      <c r="DB38" s="2">
        <v>2018</v>
      </c>
      <c r="DC38" s="2" t="s">
        <v>30</v>
      </c>
      <c r="DD38" s="2" t="s">
        <v>27</v>
      </c>
      <c r="DE38" s="2" t="s">
        <v>463</v>
      </c>
      <c r="DF38" s="2" t="s">
        <v>464</v>
      </c>
      <c r="DG38" s="2" t="s">
        <v>24</v>
      </c>
      <c r="DH38" s="2"/>
      <c r="DI38" s="2">
        <v>117</v>
      </c>
      <c r="DJ38" s="2" t="s">
        <v>461</v>
      </c>
      <c r="DK38" s="2">
        <v>2021</v>
      </c>
      <c r="DL38" s="2" t="s">
        <v>30</v>
      </c>
      <c r="DM38" s="2" t="s">
        <v>27</v>
      </c>
      <c r="DN38" s="2" t="s">
        <v>33</v>
      </c>
      <c r="DO38" s="2" t="s">
        <v>465</v>
      </c>
      <c r="DP38" s="2"/>
      <c r="DQ38" s="2" t="s">
        <v>466</v>
      </c>
      <c r="DR38" s="2" t="s">
        <v>467</v>
      </c>
      <c r="DS38" s="2">
        <v>1</v>
      </c>
      <c r="DT38" s="2" t="s">
        <v>468</v>
      </c>
      <c r="DU38" s="2" t="s">
        <v>469</v>
      </c>
      <c r="DV38" s="2" t="s">
        <v>39</v>
      </c>
      <c r="DW38" s="2">
        <v>32257</v>
      </c>
      <c r="DX38" s="2" t="s">
        <v>470</v>
      </c>
      <c r="DY38" s="2"/>
      <c r="DZ38" s="2" t="s">
        <v>471</v>
      </c>
      <c r="EA38" s="2" t="s">
        <v>467</v>
      </c>
      <c r="EB38" s="2" t="s">
        <v>472</v>
      </c>
      <c r="EC38" s="2" t="s">
        <v>464</v>
      </c>
      <c r="ED38" s="2" t="s">
        <v>44</v>
      </c>
      <c r="EE38" s="2">
        <v>123</v>
      </c>
      <c r="EF38" s="2" t="s">
        <v>473</v>
      </c>
      <c r="EG38" s="2">
        <v>7</v>
      </c>
      <c r="EH38" s="2" t="s">
        <v>46</v>
      </c>
      <c r="EI38" s="2" t="s">
        <v>47</v>
      </c>
      <c r="EJ38" s="2" t="s">
        <v>474</v>
      </c>
      <c r="EK38" s="2" t="s">
        <v>464</v>
      </c>
      <c r="EL38" s="2" t="s">
        <v>44</v>
      </c>
      <c r="EM38" s="2">
        <v>130</v>
      </c>
      <c r="EN38" s="2" t="s">
        <v>473</v>
      </c>
      <c r="EO38" s="2">
        <v>5</v>
      </c>
      <c r="EP38" s="2" t="s">
        <v>46</v>
      </c>
      <c r="EQ38" s="2" t="s">
        <v>47</v>
      </c>
      <c r="ER38" s="2" t="s">
        <v>475</v>
      </c>
      <c r="ES38" s="2" t="s">
        <v>476</v>
      </c>
      <c r="ET38" s="2" t="s">
        <v>477</v>
      </c>
      <c r="EU38" s="2" t="s">
        <v>456</v>
      </c>
      <c r="EV38" s="2" t="s">
        <v>478</v>
      </c>
      <c r="EW38" s="2" t="s">
        <v>479</v>
      </c>
      <c r="EX38" s="2" t="s">
        <v>39</v>
      </c>
      <c r="EY38" s="2">
        <v>32207</v>
      </c>
      <c r="EZ38" s="2" t="s">
        <v>480</v>
      </c>
      <c r="FA38" s="2"/>
      <c r="FB38" s="2" t="s">
        <v>481</v>
      </c>
      <c r="FC38" s="2" t="s">
        <v>482</v>
      </c>
      <c r="FD38" s="2" t="s">
        <v>483</v>
      </c>
      <c r="FE38" s="2" t="s">
        <v>484</v>
      </c>
      <c r="FF38" s="2" t="s">
        <v>457</v>
      </c>
      <c r="FG38" s="2" t="s">
        <v>478</v>
      </c>
      <c r="FH38" s="2" t="s">
        <v>479</v>
      </c>
      <c r="FI38" s="2" t="s">
        <v>39</v>
      </c>
      <c r="FJ38" s="2">
        <v>32207</v>
      </c>
      <c r="FK38" s="2" t="s">
        <v>480</v>
      </c>
      <c r="FL38" s="2"/>
      <c r="FM38" s="2" t="s">
        <v>485</v>
      </c>
      <c r="FN38" s="2" t="s">
        <v>486</v>
      </c>
      <c r="FO38" s="2" t="s">
        <v>63</v>
      </c>
      <c r="FP38" s="2" t="s">
        <v>64</v>
      </c>
      <c r="FQ38" s="2" t="s">
        <v>9</v>
      </c>
      <c r="FR38" s="2" t="s">
        <v>17</v>
      </c>
      <c r="FS38" s="2" t="s">
        <v>17</v>
      </c>
      <c r="FT38" s="2" t="s">
        <v>9</v>
      </c>
      <c r="FU38" s="2">
        <v>0</v>
      </c>
      <c r="FV38" s="2">
        <v>0</v>
      </c>
      <c r="FW38" s="4">
        <v>0</v>
      </c>
      <c r="FX38" s="4">
        <v>0</v>
      </c>
      <c r="FY38" s="2" t="s">
        <v>65</v>
      </c>
      <c r="FZ38" s="2" t="s">
        <v>66</v>
      </c>
      <c r="GA38" s="2" t="s">
        <v>67</v>
      </c>
      <c r="GB38" s="2"/>
      <c r="GC38" s="2"/>
      <c r="GD38" s="2"/>
      <c r="GE38" s="2" t="s">
        <v>68</v>
      </c>
      <c r="GF38" s="2"/>
      <c r="GG38" s="2"/>
      <c r="GH38" s="2">
        <v>84</v>
      </c>
      <c r="GI38" s="2"/>
      <c r="GJ38" s="2"/>
      <c r="GK38" s="2"/>
      <c r="GL38" s="2"/>
      <c r="GM38" s="2"/>
      <c r="GN38" s="2"/>
      <c r="GO38" s="2"/>
      <c r="GP38" s="2"/>
      <c r="GQ38" s="2">
        <v>84</v>
      </c>
      <c r="GR38" s="2" t="s">
        <v>487</v>
      </c>
      <c r="GS38" s="2" t="s">
        <v>70</v>
      </c>
      <c r="GT38" s="2" t="s">
        <v>488</v>
      </c>
      <c r="GU38" s="2" t="s">
        <v>489</v>
      </c>
      <c r="GV38" s="2" t="s">
        <v>17</v>
      </c>
      <c r="GW38" s="2">
        <v>30.047402999999999</v>
      </c>
      <c r="GX38" s="2">
        <v>-81.778942999999998</v>
      </c>
      <c r="GY38" s="2"/>
      <c r="GZ38" s="2" t="s">
        <v>17</v>
      </c>
      <c r="HA38" s="2" t="s">
        <v>17</v>
      </c>
      <c r="HB38" s="2">
        <v>0</v>
      </c>
      <c r="HC38" s="2" t="s">
        <v>17</v>
      </c>
      <c r="HD38" s="2" t="s">
        <v>17</v>
      </c>
      <c r="HE38" s="2">
        <v>0</v>
      </c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 t="s">
        <v>73</v>
      </c>
      <c r="HY38" s="2" t="s">
        <v>17</v>
      </c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 t="s">
        <v>9</v>
      </c>
      <c r="IP38" s="2">
        <v>0</v>
      </c>
      <c r="IQ38" s="2">
        <v>0</v>
      </c>
      <c r="IR38" s="2">
        <v>0</v>
      </c>
      <c r="IS38" s="2">
        <v>0</v>
      </c>
      <c r="IT38" s="2" t="s">
        <v>9</v>
      </c>
      <c r="IU38" s="2" t="s">
        <v>17</v>
      </c>
      <c r="IV38" s="2" t="s">
        <v>17</v>
      </c>
      <c r="IW38" s="2" t="s">
        <v>17</v>
      </c>
      <c r="IX38" s="2" t="s">
        <v>17</v>
      </c>
      <c r="IY38" s="2">
        <v>0</v>
      </c>
      <c r="IZ38" s="2">
        <v>84</v>
      </c>
      <c r="JA38" s="2" t="s">
        <v>172</v>
      </c>
      <c r="JB38" s="2" t="s">
        <v>173</v>
      </c>
      <c r="JC38" s="2"/>
      <c r="JD38" s="2"/>
      <c r="JE38" s="7">
        <v>0.1</v>
      </c>
      <c r="JF38" s="2"/>
      <c r="JG38" s="7">
        <v>0.9</v>
      </c>
      <c r="JH38" s="7">
        <v>0</v>
      </c>
      <c r="JI38" s="2">
        <v>84</v>
      </c>
      <c r="JJ38" s="7">
        <v>1</v>
      </c>
      <c r="JK38" s="2">
        <v>84</v>
      </c>
      <c r="JL38" s="7">
        <v>1</v>
      </c>
      <c r="JM38" s="2"/>
      <c r="JN38" s="2"/>
      <c r="JO38" s="2"/>
      <c r="JP38" s="2"/>
      <c r="JQ38" s="2"/>
      <c r="JR38" s="2"/>
      <c r="JS38" s="2">
        <v>0</v>
      </c>
      <c r="JT38" s="2">
        <v>0</v>
      </c>
      <c r="JU38" s="2"/>
      <c r="JV38" s="2">
        <v>0</v>
      </c>
      <c r="JW38" s="4">
        <v>0</v>
      </c>
      <c r="JX38" s="2">
        <v>0</v>
      </c>
      <c r="JY38" s="4">
        <v>0</v>
      </c>
      <c r="JZ38" s="2">
        <v>0</v>
      </c>
      <c r="KA38" s="2"/>
      <c r="KB38" s="2"/>
      <c r="KC38" s="2"/>
      <c r="KD38" s="2"/>
      <c r="KE38" s="2"/>
      <c r="KF38" s="2"/>
      <c r="KG38" s="2">
        <v>2</v>
      </c>
      <c r="KH38" s="2">
        <v>58</v>
      </c>
      <c r="KI38" s="2"/>
      <c r="KJ38" s="2"/>
      <c r="KK38" s="2">
        <v>24</v>
      </c>
      <c r="KL38" s="2"/>
      <c r="KM38" s="2"/>
      <c r="KN38" s="2"/>
      <c r="KO38" s="2"/>
      <c r="KP38" s="2"/>
      <c r="KQ38" s="2" t="s">
        <v>83</v>
      </c>
      <c r="KR38" s="2"/>
      <c r="KS38" s="2" t="s">
        <v>73</v>
      </c>
      <c r="KT38" s="2">
        <v>1</v>
      </c>
      <c r="KU38" s="2" t="s">
        <v>84</v>
      </c>
      <c r="KV38" s="2" t="s">
        <v>85</v>
      </c>
      <c r="KW38" s="2" t="s">
        <v>86</v>
      </c>
      <c r="KX38" s="2" t="s">
        <v>17</v>
      </c>
      <c r="KY38" s="2" t="s">
        <v>17</v>
      </c>
      <c r="KZ38" s="2" t="s">
        <v>17</v>
      </c>
      <c r="LA38" s="2" t="s">
        <v>17</v>
      </c>
      <c r="LB38" s="2" t="s">
        <v>17</v>
      </c>
      <c r="LC38" s="2" t="s">
        <v>17</v>
      </c>
      <c r="LD38" s="2" t="s">
        <v>17</v>
      </c>
      <c r="LE38" s="2" t="s">
        <v>17</v>
      </c>
      <c r="LF38" s="2" t="s">
        <v>17</v>
      </c>
      <c r="LG38" s="2" t="s">
        <v>17</v>
      </c>
      <c r="LH38" s="2" t="s">
        <v>17</v>
      </c>
      <c r="LI38" s="2" t="s">
        <v>17</v>
      </c>
      <c r="LJ38" s="2" t="s">
        <v>87</v>
      </c>
      <c r="LK38" s="2" t="s">
        <v>17</v>
      </c>
      <c r="LL38" s="2" t="s">
        <v>17</v>
      </c>
      <c r="LM38" s="2">
        <v>0</v>
      </c>
      <c r="LN38" s="2" t="s">
        <v>17</v>
      </c>
      <c r="LO38" s="2" t="s">
        <v>17</v>
      </c>
      <c r="LP38" s="2" t="s">
        <v>17</v>
      </c>
      <c r="LQ38" s="2" t="s">
        <v>17</v>
      </c>
      <c r="LR38" s="2" t="s">
        <v>17</v>
      </c>
      <c r="LS38" s="2" t="s">
        <v>17</v>
      </c>
      <c r="LT38" s="2" t="s">
        <v>17</v>
      </c>
      <c r="LU38" s="2" t="s">
        <v>9</v>
      </c>
      <c r="LV38" s="2" t="s">
        <v>9</v>
      </c>
      <c r="LW38" s="2" t="s">
        <v>17</v>
      </c>
      <c r="LX38" s="2" t="s">
        <v>9</v>
      </c>
      <c r="LY38" s="5">
        <v>6500000</v>
      </c>
      <c r="LZ38" s="5">
        <v>0</v>
      </c>
      <c r="MA38" s="5">
        <v>7200000</v>
      </c>
      <c r="MB38" s="5">
        <v>0</v>
      </c>
      <c r="MC38" s="5">
        <v>0</v>
      </c>
      <c r="MD38" s="5">
        <v>0</v>
      </c>
      <c r="ME38" s="5">
        <v>8820000</v>
      </c>
      <c r="MF38" s="5">
        <v>0</v>
      </c>
      <c r="MG38" s="5">
        <v>0</v>
      </c>
      <c r="MH38" s="5">
        <v>0</v>
      </c>
      <c r="MI38" s="5">
        <v>0</v>
      </c>
      <c r="MJ38" s="5">
        <v>0</v>
      </c>
      <c r="MK38" s="5">
        <v>0</v>
      </c>
      <c r="ML38" s="2">
        <v>0</v>
      </c>
      <c r="MM38" s="5">
        <v>0</v>
      </c>
      <c r="MN38" s="5">
        <v>0</v>
      </c>
      <c r="MO38" s="2">
        <v>0</v>
      </c>
      <c r="MP38" s="2">
        <v>0</v>
      </c>
      <c r="MQ38" s="2">
        <v>0</v>
      </c>
      <c r="MR38" s="5">
        <v>2950000</v>
      </c>
      <c r="MS38" s="5">
        <v>0</v>
      </c>
      <c r="MT38" s="5">
        <v>4600000</v>
      </c>
      <c r="MU38" s="5">
        <v>0</v>
      </c>
      <c r="MV38" s="5">
        <v>0</v>
      </c>
      <c r="MW38" s="5">
        <v>0</v>
      </c>
      <c r="MX38" s="5">
        <v>0</v>
      </c>
      <c r="MY38" s="5">
        <v>2500000</v>
      </c>
      <c r="MZ38" s="5">
        <v>0</v>
      </c>
      <c r="NA38" s="5">
        <v>5000000</v>
      </c>
      <c r="NB38" s="5">
        <v>0</v>
      </c>
      <c r="NC38" s="5">
        <v>0</v>
      </c>
      <c r="ND38" s="5">
        <v>0</v>
      </c>
      <c r="NE38" s="5">
        <v>0</v>
      </c>
      <c r="NF38" s="5">
        <v>0</v>
      </c>
      <c r="NG38" s="5">
        <v>2142000</v>
      </c>
      <c r="NH38" s="5">
        <v>2142000</v>
      </c>
      <c r="NI38" s="5">
        <v>2142000</v>
      </c>
      <c r="NJ38" s="5">
        <v>0</v>
      </c>
      <c r="NK38" s="5"/>
      <c r="NL38" s="2" t="s">
        <v>17</v>
      </c>
      <c r="NM38" s="2" t="s">
        <v>17</v>
      </c>
      <c r="NN38" s="2"/>
      <c r="NO38" s="2" t="s">
        <v>17</v>
      </c>
      <c r="NP38" s="2"/>
      <c r="NQ38" s="2"/>
      <c r="NR38" s="2" t="s">
        <v>17</v>
      </c>
      <c r="NS38" s="2"/>
      <c r="NT38" s="2" t="s">
        <v>17</v>
      </c>
      <c r="NU38" s="2"/>
      <c r="NV38" s="2"/>
      <c r="NW38" s="2"/>
      <c r="NX38" s="2" t="s">
        <v>9</v>
      </c>
      <c r="NY38" s="2" t="s">
        <v>88</v>
      </c>
      <c r="NZ38" s="2">
        <v>312.02</v>
      </c>
      <c r="OA38" s="2" t="s">
        <v>490</v>
      </c>
      <c r="OB38" s="2" t="s">
        <v>491</v>
      </c>
      <c r="OC38" s="2" t="s">
        <v>491</v>
      </c>
      <c r="OD38" s="2" t="s">
        <v>9</v>
      </c>
      <c r="OE38" s="2" t="s">
        <v>320</v>
      </c>
      <c r="OF38" s="2" t="s">
        <v>17</v>
      </c>
      <c r="OG38" s="2" t="s">
        <v>17</v>
      </c>
      <c r="OH38" s="2"/>
      <c r="OI38" s="2"/>
      <c r="OJ38" s="2"/>
      <c r="OK38" s="2" t="s">
        <v>17</v>
      </c>
      <c r="OL38" s="2" t="s">
        <v>17</v>
      </c>
      <c r="OM38" s="2" t="s">
        <v>85</v>
      </c>
      <c r="ON38" s="6">
        <v>0</v>
      </c>
      <c r="OO38" s="6">
        <v>0</v>
      </c>
      <c r="OP38" s="2" t="s">
        <v>93</v>
      </c>
      <c r="OQ38" s="2" t="s">
        <v>93</v>
      </c>
      <c r="OR38" s="6">
        <v>0</v>
      </c>
      <c r="OS38" s="4">
        <v>0</v>
      </c>
      <c r="OT38" s="2" t="s">
        <v>17</v>
      </c>
      <c r="OU38" s="2" t="s">
        <v>17</v>
      </c>
      <c r="OV38" s="2"/>
      <c r="OW38" s="2"/>
      <c r="OX38" s="5">
        <v>17735760</v>
      </c>
      <c r="OY38" s="6">
        <v>211140</v>
      </c>
      <c r="OZ38" s="2"/>
      <c r="PA38" s="2"/>
      <c r="PB38" s="8">
        <v>12026316</v>
      </c>
      <c r="PC38" s="8">
        <v>500000</v>
      </c>
      <c r="PD38" s="8">
        <v>12526316</v>
      </c>
      <c r="PE38" s="2"/>
      <c r="PF38" s="2"/>
      <c r="PG38" s="2"/>
      <c r="PH38" s="2"/>
      <c r="PI38" s="2"/>
      <c r="PJ38" s="2"/>
      <c r="PK38" s="8">
        <v>12026316</v>
      </c>
      <c r="PL38" s="8">
        <v>500000</v>
      </c>
      <c r="PM38" s="8">
        <v>12526316</v>
      </c>
      <c r="PN38" s="8">
        <v>1753684</v>
      </c>
      <c r="PO38" s="2"/>
      <c r="PP38" s="8">
        <v>1753684</v>
      </c>
      <c r="PQ38" s="6">
        <v>1753684</v>
      </c>
      <c r="PR38" s="8">
        <v>13780000</v>
      </c>
      <c r="PS38" s="8">
        <v>500000</v>
      </c>
      <c r="PT38" s="8">
        <v>14280000</v>
      </c>
      <c r="PU38" s="8">
        <v>714000</v>
      </c>
      <c r="PV38" s="2"/>
      <c r="PW38" s="8">
        <v>714000</v>
      </c>
      <c r="PX38" s="6">
        <v>714000</v>
      </c>
      <c r="PY38" s="8">
        <v>735500</v>
      </c>
      <c r="PZ38" s="8">
        <v>402500</v>
      </c>
      <c r="QA38" s="8">
        <v>1138000</v>
      </c>
      <c r="QB38" s="8">
        <v>64260</v>
      </c>
      <c r="QC38" s="8">
        <v>72000</v>
      </c>
      <c r="QD38" s="8">
        <v>136260</v>
      </c>
      <c r="QE38" s="8">
        <v>1035246</v>
      </c>
      <c r="QF38" s="8">
        <v>45000</v>
      </c>
      <c r="QG38" s="8">
        <v>1080246</v>
      </c>
      <c r="QH38" s="2">
        <v>0</v>
      </c>
      <c r="QI38" s="8">
        <v>421100</v>
      </c>
      <c r="QJ38" s="8">
        <v>421100</v>
      </c>
      <c r="QK38" s="2"/>
      <c r="QL38" s="2"/>
      <c r="QM38" s="2"/>
      <c r="QN38" s="8">
        <v>500000</v>
      </c>
      <c r="QO38" s="2"/>
      <c r="QP38" s="8">
        <v>500000</v>
      </c>
      <c r="QQ38" s="8">
        <v>2335006</v>
      </c>
      <c r="QR38" s="8">
        <v>940600</v>
      </c>
      <c r="QS38" s="8">
        <v>3275606</v>
      </c>
      <c r="QT38" s="2"/>
      <c r="QU38" s="2"/>
      <c r="QV38" s="2"/>
      <c r="QW38" s="6">
        <v>163780.29999999999</v>
      </c>
      <c r="QX38" s="8">
        <v>395000</v>
      </c>
      <c r="QY38" s="8">
        <v>665000</v>
      </c>
      <c r="QZ38" s="8">
        <v>1060000</v>
      </c>
      <c r="RA38" s="8">
        <v>37500</v>
      </c>
      <c r="RB38" s="8">
        <v>37500</v>
      </c>
      <c r="RC38" s="2"/>
      <c r="RD38" s="2"/>
      <c r="RE38" s="2"/>
      <c r="RF38" s="8">
        <v>395000</v>
      </c>
      <c r="RG38" s="8">
        <v>702500</v>
      </c>
      <c r="RH38" s="8">
        <v>1097500</v>
      </c>
      <c r="RI38" s="2"/>
      <c r="RJ38" s="2"/>
      <c r="RK38" s="2"/>
      <c r="RL38" s="2"/>
      <c r="RM38" s="8">
        <v>17224006</v>
      </c>
      <c r="RN38" s="8">
        <v>2143100</v>
      </c>
      <c r="RO38" s="8">
        <v>19367106</v>
      </c>
      <c r="RP38" s="2"/>
      <c r="RQ38" s="2"/>
      <c r="RR38" s="2">
        <v>0</v>
      </c>
      <c r="RS38" s="6">
        <v>0</v>
      </c>
      <c r="RT38" s="8">
        <v>3098736</v>
      </c>
      <c r="RU38" s="2"/>
      <c r="RV38" s="8">
        <v>3098736</v>
      </c>
      <c r="RW38" s="6">
        <v>3098736</v>
      </c>
      <c r="RX38" s="6">
        <v>0</v>
      </c>
      <c r="RY38" s="8">
        <v>3098736</v>
      </c>
      <c r="RZ38" s="2"/>
      <c r="SA38" s="8">
        <v>3098736</v>
      </c>
      <c r="SB38" s="6">
        <v>3098736</v>
      </c>
      <c r="SC38" s="8">
        <v>206065</v>
      </c>
      <c r="SD38" s="8">
        <v>206065</v>
      </c>
      <c r="SE38" s="6">
        <v>294000</v>
      </c>
      <c r="SF38" s="8">
        <v>2250000</v>
      </c>
      <c r="SG38" s="8">
        <v>2250000</v>
      </c>
      <c r="SH38" s="8">
        <v>20322742</v>
      </c>
      <c r="SI38" s="8">
        <v>4599165</v>
      </c>
      <c r="SJ38" s="8">
        <v>24921907</v>
      </c>
      <c r="SK38" s="2"/>
      <c r="SL38" s="2"/>
      <c r="SM38" s="2" t="s">
        <v>492</v>
      </c>
      <c r="SN38" s="2"/>
      <c r="SO38" s="2"/>
      <c r="SP38" s="8">
        <v>16000000</v>
      </c>
      <c r="SQ38" s="2" t="s">
        <v>95</v>
      </c>
      <c r="SR38" s="2">
        <v>0</v>
      </c>
      <c r="SS38" s="2" t="s">
        <v>180</v>
      </c>
      <c r="ST38" s="2"/>
      <c r="SU38" s="2"/>
      <c r="SV38" s="2"/>
      <c r="SW38" s="2"/>
      <c r="SX38" s="2" t="s">
        <v>96</v>
      </c>
      <c r="SY38" s="2" t="s">
        <v>96</v>
      </c>
      <c r="SZ38" s="2" t="s">
        <v>96</v>
      </c>
      <c r="TA38" s="2" t="s">
        <v>96</v>
      </c>
      <c r="TB38" s="8">
        <v>7967444</v>
      </c>
      <c r="TC38" s="2"/>
      <c r="TD38" s="2"/>
      <c r="TE38" s="2"/>
      <c r="TF38" s="2"/>
      <c r="TG38" s="2"/>
      <c r="TH38" s="2"/>
      <c r="TI38" s="8">
        <v>954463</v>
      </c>
      <c r="TJ38" s="8">
        <v>24921907</v>
      </c>
      <c r="TK38" s="2">
        <v>0</v>
      </c>
      <c r="TL38" s="2" t="s">
        <v>9</v>
      </c>
      <c r="TM38" s="8">
        <v>3750000</v>
      </c>
      <c r="TN38" s="2" t="s">
        <v>95</v>
      </c>
      <c r="TO38" s="8">
        <v>340000</v>
      </c>
      <c r="TP38" s="2" t="s">
        <v>180</v>
      </c>
      <c r="TQ38" s="2"/>
      <c r="TR38" s="2"/>
      <c r="TS38" s="2"/>
      <c r="TT38" s="2"/>
      <c r="TU38" s="2" t="s">
        <v>96</v>
      </c>
      <c r="TV38" s="8">
        <v>19918608</v>
      </c>
      <c r="TW38" s="2"/>
      <c r="TX38" s="2"/>
      <c r="TY38" s="2"/>
      <c r="TZ38" s="2"/>
      <c r="UA38" s="2"/>
      <c r="UB38" s="2"/>
      <c r="UC38" s="8">
        <v>913299</v>
      </c>
      <c r="UD38" s="8">
        <v>24921907</v>
      </c>
      <c r="UE38" s="6">
        <v>4090000</v>
      </c>
      <c r="UF38" s="2">
        <v>0</v>
      </c>
      <c r="UG38" s="2" t="s">
        <v>9</v>
      </c>
      <c r="UH38" s="2">
        <v>84</v>
      </c>
      <c r="UI38" s="5">
        <v>220000</v>
      </c>
      <c r="UJ38" s="6">
        <v>293333.33</v>
      </c>
      <c r="UK38" s="6">
        <v>293333.33</v>
      </c>
      <c r="UL38" s="6">
        <v>310933.33</v>
      </c>
      <c r="UM38" s="6">
        <v>26118400</v>
      </c>
      <c r="UN38" s="6">
        <v>4178944</v>
      </c>
      <c r="UO38" s="6">
        <v>4178944</v>
      </c>
      <c r="UP38" s="6">
        <v>30297344</v>
      </c>
      <c r="UQ38" s="6">
        <v>22465842</v>
      </c>
      <c r="UR38" s="6">
        <v>340000</v>
      </c>
      <c r="US38" s="2"/>
      <c r="UT38" s="6">
        <v>340000</v>
      </c>
      <c r="UU38" s="2"/>
      <c r="UV38" s="6">
        <v>0</v>
      </c>
      <c r="UW38" s="6">
        <v>340000</v>
      </c>
      <c r="UX38" s="6">
        <v>0</v>
      </c>
      <c r="UY38" s="6">
        <v>340000</v>
      </c>
      <c r="UZ38" s="2" t="s">
        <v>493</v>
      </c>
      <c r="VA38" s="2" t="s">
        <v>182</v>
      </c>
      <c r="VB38" s="2"/>
      <c r="VC38" s="2"/>
      <c r="VD38" s="2" t="s">
        <v>9</v>
      </c>
      <c r="VE38" s="2" t="s">
        <v>17</v>
      </c>
      <c r="VF38" s="2"/>
      <c r="VG38" s="2" t="s">
        <v>17</v>
      </c>
      <c r="VH38" s="2"/>
      <c r="VI38" s="388" t="s">
        <v>494</v>
      </c>
      <c r="VJ38" s="2" t="s">
        <v>98</v>
      </c>
      <c r="VK38" s="2" t="s">
        <v>495</v>
      </c>
      <c r="VL38" s="23">
        <f t="shared" si="21"/>
        <v>108</v>
      </c>
      <c r="VM38" s="17">
        <f t="shared" si="22"/>
        <v>1.2857142857142858</v>
      </c>
      <c r="VN38" s="17" t="str">
        <f t="shared" si="12"/>
        <v>NC-GA-E</v>
      </c>
      <c r="VO38" s="17" t="str">
        <f t="shared" si="13"/>
        <v>NC-GA-E-Non</v>
      </c>
      <c r="VP38" s="12">
        <v>9</v>
      </c>
      <c r="VQ38" s="57">
        <v>1</v>
      </c>
      <c r="VR38" s="57">
        <f t="shared" si="23"/>
        <v>1</v>
      </c>
      <c r="VS38" s="14">
        <f t="shared" si="24"/>
        <v>1</v>
      </c>
      <c r="VT38" s="12">
        <f t="shared" si="25"/>
        <v>1</v>
      </c>
      <c r="VU38" s="16">
        <f t="shared" si="26"/>
        <v>19278000</v>
      </c>
      <c r="VV38" s="16">
        <f t="shared" si="27"/>
        <v>229500</v>
      </c>
      <c r="VW38" s="12" t="str">
        <f t="shared" si="14"/>
        <v>A</v>
      </c>
      <c r="VX38" s="12" t="str">
        <f t="shared" si="15"/>
        <v>NC-GA-Non</v>
      </c>
      <c r="VY38" s="351">
        <f t="shared" si="16"/>
        <v>3</v>
      </c>
      <c r="WA38" s="12">
        <f t="shared" si="17"/>
        <v>1</v>
      </c>
      <c r="WB38" s="12">
        <f t="shared" si="18"/>
        <v>0</v>
      </c>
      <c r="WC38" s="12">
        <f t="shared" si="18"/>
        <v>0</v>
      </c>
      <c r="WD38" s="12">
        <f t="shared" si="18"/>
        <v>0</v>
      </c>
      <c r="WE38" s="12">
        <f t="shared" si="19"/>
        <v>0</v>
      </c>
      <c r="WF38" s="12">
        <f t="shared" si="28"/>
        <v>1</v>
      </c>
      <c r="WG38" s="12">
        <f t="shared" si="29"/>
        <v>0</v>
      </c>
      <c r="WH38" s="12">
        <f t="shared" si="30"/>
        <v>0</v>
      </c>
      <c r="WI38" s="22">
        <f t="shared" si="31"/>
        <v>2</v>
      </c>
      <c r="WJ38" s="2"/>
      <c r="WK38" s="444" t="str">
        <f t="shared" si="20"/>
        <v>NC-GA-Non-BBN-BRN-NPH-E</v>
      </c>
      <c r="WL38" s="444"/>
      <c r="WM38" s="444"/>
    </row>
    <row r="39" spans="1:611" x14ac:dyDescent="0.25">
      <c r="A39" s="2">
        <v>9489</v>
      </c>
      <c r="B39" s="2" t="s">
        <v>943</v>
      </c>
      <c r="C39" s="2" t="s">
        <v>8</v>
      </c>
      <c r="D39" s="3">
        <v>45153</v>
      </c>
      <c r="E39" s="2" t="s">
        <v>9</v>
      </c>
      <c r="F39" s="2">
        <v>3</v>
      </c>
      <c r="G39" s="2" t="s">
        <v>9</v>
      </c>
      <c r="H39" s="2">
        <v>3</v>
      </c>
      <c r="I39" s="2" t="s">
        <v>9</v>
      </c>
      <c r="J39" s="2">
        <v>3</v>
      </c>
      <c r="K39" s="2" t="s">
        <v>9</v>
      </c>
      <c r="L39" s="2">
        <v>3</v>
      </c>
      <c r="M39" s="2" t="s">
        <v>10</v>
      </c>
      <c r="N39" s="2">
        <v>0</v>
      </c>
      <c r="O39" s="2" t="s">
        <v>10</v>
      </c>
      <c r="P39" s="2">
        <v>0</v>
      </c>
      <c r="Q39" s="2" t="s">
        <v>11</v>
      </c>
      <c r="R39" s="2">
        <v>0</v>
      </c>
      <c r="S39" s="2" t="s">
        <v>9</v>
      </c>
      <c r="T39" s="2">
        <v>2</v>
      </c>
      <c r="U39" s="2" t="s">
        <v>9</v>
      </c>
      <c r="V39" s="2">
        <v>2</v>
      </c>
      <c r="W39" s="2" t="s">
        <v>9</v>
      </c>
      <c r="X39" s="2">
        <v>2</v>
      </c>
      <c r="Y39" s="2" t="s">
        <v>12</v>
      </c>
      <c r="Z39" s="2" t="s">
        <v>944</v>
      </c>
      <c r="AA39" s="2" t="s">
        <v>771</v>
      </c>
      <c r="AB39" s="2" t="s">
        <v>15</v>
      </c>
      <c r="AC39" s="2" t="s">
        <v>15</v>
      </c>
      <c r="AD39" s="2" t="s">
        <v>15</v>
      </c>
      <c r="AE39" s="2" t="s">
        <v>15</v>
      </c>
      <c r="AF39" s="2">
        <v>2</v>
      </c>
      <c r="AG39" s="2" t="s">
        <v>772</v>
      </c>
      <c r="AH39" s="2" t="s">
        <v>17</v>
      </c>
      <c r="AI39" s="4">
        <v>0.1</v>
      </c>
      <c r="AJ39" s="2" t="s">
        <v>17</v>
      </c>
      <c r="AK39" s="2" t="s">
        <v>9</v>
      </c>
      <c r="AL39" s="2" t="s">
        <v>17</v>
      </c>
      <c r="AM39" s="2" t="s">
        <v>17</v>
      </c>
      <c r="AN39" s="2" t="s">
        <v>17</v>
      </c>
      <c r="AO39" s="2" t="s">
        <v>17</v>
      </c>
      <c r="AP39" s="2" t="s">
        <v>9</v>
      </c>
      <c r="AQ39" s="2" t="s">
        <v>17</v>
      </c>
      <c r="AR39" s="2" t="s">
        <v>17</v>
      </c>
      <c r="AS39" s="2" t="s">
        <v>17</v>
      </c>
      <c r="AT39" s="2">
        <v>0</v>
      </c>
      <c r="AU39" s="5">
        <v>37500</v>
      </c>
      <c r="AV39" s="5">
        <v>460000</v>
      </c>
      <c r="AW39" s="2">
        <v>0</v>
      </c>
      <c r="AX39" s="2">
        <v>9</v>
      </c>
      <c r="AY39" s="2">
        <v>0</v>
      </c>
      <c r="AZ39" s="2">
        <v>18</v>
      </c>
      <c r="BA39" s="2">
        <v>0</v>
      </c>
      <c r="BB39" s="2">
        <v>1</v>
      </c>
      <c r="BC39" s="2">
        <v>1</v>
      </c>
      <c r="BD39" s="2">
        <v>0</v>
      </c>
      <c r="BE39" s="2">
        <v>0</v>
      </c>
      <c r="BF39" s="2">
        <v>1</v>
      </c>
      <c r="BG39" s="2">
        <v>0</v>
      </c>
      <c r="BH39" s="2">
        <v>0</v>
      </c>
      <c r="BI39" s="2">
        <v>13</v>
      </c>
      <c r="BJ39" s="2">
        <v>1</v>
      </c>
      <c r="BK39" s="2">
        <v>0</v>
      </c>
      <c r="BL39" s="2">
        <v>3</v>
      </c>
      <c r="BM39" s="2">
        <v>0</v>
      </c>
      <c r="BN39" s="2">
        <v>12</v>
      </c>
      <c r="BO39" s="2">
        <v>11</v>
      </c>
      <c r="BP39" s="2">
        <v>0</v>
      </c>
      <c r="BQ39" s="2">
        <v>10</v>
      </c>
      <c r="BR39" s="2">
        <v>12.83</v>
      </c>
      <c r="BS39" s="2">
        <v>0</v>
      </c>
      <c r="BT39" s="4">
        <v>0.06</v>
      </c>
      <c r="BU39" s="2" t="s">
        <v>9</v>
      </c>
      <c r="BV39" s="6">
        <v>211140</v>
      </c>
      <c r="BW39" s="2" t="s">
        <v>18</v>
      </c>
      <c r="BX39" s="2" t="s">
        <v>17</v>
      </c>
      <c r="BY39" s="2" t="s">
        <v>17</v>
      </c>
      <c r="BZ39" s="2" t="s">
        <v>17</v>
      </c>
      <c r="CA39" s="2" t="s">
        <v>17</v>
      </c>
      <c r="CB39" s="2" t="s">
        <v>17</v>
      </c>
      <c r="CC39" s="2" t="s">
        <v>17</v>
      </c>
      <c r="CD39" s="2" t="s">
        <v>17</v>
      </c>
      <c r="CE39" s="2" t="s">
        <v>945</v>
      </c>
      <c r="CF39" s="2" t="s">
        <v>17</v>
      </c>
      <c r="CG39" s="2" t="s">
        <v>457</v>
      </c>
      <c r="CH39" s="2"/>
      <c r="CI39" s="2"/>
      <c r="CJ39" s="2" t="s">
        <v>9</v>
      </c>
      <c r="CK39" s="2" t="s">
        <v>458</v>
      </c>
      <c r="CL39" s="2" t="s">
        <v>457</v>
      </c>
      <c r="CM39" s="2" t="s">
        <v>946</v>
      </c>
      <c r="CN39" s="2" t="s">
        <v>947</v>
      </c>
      <c r="CO39" s="2" t="s">
        <v>24</v>
      </c>
      <c r="CP39" s="2"/>
      <c r="CQ39" s="2">
        <v>133</v>
      </c>
      <c r="CR39" s="2" t="s">
        <v>461</v>
      </c>
      <c r="CS39" s="2">
        <v>2021</v>
      </c>
      <c r="CT39" s="2" t="s">
        <v>26</v>
      </c>
      <c r="CU39" s="2" t="s">
        <v>27</v>
      </c>
      <c r="CV39" s="2" t="s">
        <v>462</v>
      </c>
      <c r="CW39" s="2" t="s">
        <v>947</v>
      </c>
      <c r="CX39" s="2" t="s">
        <v>24</v>
      </c>
      <c r="CY39" s="2"/>
      <c r="CZ39" s="2">
        <v>130</v>
      </c>
      <c r="DA39" s="2" t="s">
        <v>461</v>
      </c>
      <c r="DB39" s="2">
        <v>2018</v>
      </c>
      <c r="DC39" s="2" t="s">
        <v>30</v>
      </c>
      <c r="DD39" s="2" t="s">
        <v>27</v>
      </c>
      <c r="DE39" s="2" t="s">
        <v>463</v>
      </c>
      <c r="DF39" s="2" t="s">
        <v>464</v>
      </c>
      <c r="DG39" s="2" t="s">
        <v>24</v>
      </c>
      <c r="DH39" s="2"/>
      <c r="DI39" s="2">
        <v>117</v>
      </c>
      <c r="DJ39" s="2" t="s">
        <v>461</v>
      </c>
      <c r="DK39" s="2">
        <v>2021</v>
      </c>
      <c r="DL39" s="2" t="s">
        <v>30</v>
      </c>
      <c r="DM39" s="2" t="s">
        <v>27</v>
      </c>
      <c r="DN39" s="2" t="s">
        <v>33</v>
      </c>
      <c r="DO39" s="2" t="s">
        <v>812</v>
      </c>
      <c r="DP39" s="2"/>
      <c r="DQ39" s="2" t="s">
        <v>948</v>
      </c>
      <c r="DR39" s="2" t="s">
        <v>467</v>
      </c>
      <c r="DS39" s="2">
        <v>1</v>
      </c>
      <c r="DT39" s="2" t="s">
        <v>468</v>
      </c>
      <c r="DU39" s="2" t="s">
        <v>479</v>
      </c>
      <c r="DV39" s="2" t="s">
        <v>39</v>
      </c>
      <c r="DW39" s="2">
        <v>32257</v>
      </c>
      <c r="DX39" s="2" t="s">
        <v>949</v>
      </c>
      <c r="DY39" s="2"/>
      <c r="DZ39" s="2" t="s">
        <v>471</v>
      </c>
      <c r="EA39" s="2" t="s">
        <v>467</v>
      </c>
      <c r="EB39" s="2" t="s">
        <v>472</v>
      </c>
      <c r="EC39" s="2" t="s">
        <v>464</v>
      </c>
      <c r="ED39" s="2" t="s">
        <v>44</v>
      </c>
      <c r="EE39" s="2">
        <v>123</v>
      </c>
      <c r="EF39" s="2" t="s">
        <v>473</v>
      </c>
      <c r="EG39" s="2">
        <v>7</v>
      </c>
      <c r="EH39" s="2" t="s">
        <v>46</v>
      </c>
      <c r="EI39" s="2" t="s">
        <v>47</v>
      </c>
      <c r="EJ39" s="2" t="s">
        <v>462</v>
      </c>
      <c r="EK39" s="2" t="s">
        <v>464</v>
      </c>
      <c r="EL39" s="2" t="s">
        <v>44</v>
      </c>
      <c r="EM39" s="2">
        <v>130</v>
      </c>
      <c r="EN39" s="2" t="s">
        <v>473</v>
      </c>
      <c r="EO39" s="2">
        <v>5</v>
      </c>
      <c r="EP39" s="2" t="s">
        <v>46</v>
      </c>
      <c r="EQ39" s="2" t="s">
        <v>47</v>
      </c>
      <c r="ER39" s="2" t="s">
        <v>475</v>
      </c>
      <c r="ES39" s="2" t="s">
        <v>476</v>
      </c>
      <c r="ET39" s="2" t="s">
        <v>477</v>
      </c>
      <c r="EU39" s="2" t="s">
        <v>950</v>
      </c>
      <c r="EV39" s="2" t="s">
        <v>478</v>
      </c>
      <c r="EW39" s="2" t="s">
        <v>479</v>
      </c>
      <c r="EX39" s="2" t="s">
        <v>39</v>
      </c>
      <c r="EY39" s="2">
        <v>32207</v>
      </c>
      <c r="EZ39" s="2" t="s">
        <v>480</v>
      </c>
      <c r="FA39" s="2"/>
      <c r="FB39" s="2" t="s">
        <v>481</v>
      </c>
      <c r="FC39" s="2" t="s">
        <v>482</v>
      </c>
      <c r="FD39" s="2" t="s">
        <v>951</v>
      </c>
      <c r="FE39" s="2" t="s">
        <v>484</v>
      </c>
      <c r="FF39" s="2" t="s">
        <v>457</v>
      </c>
      <c r="FG39" s="2" t="s">
        <v>478</v>
      </c>
      <c r="FH39" s="2" t="s">
        <v>479</v>
      </c>
      <c r="FI39" s="2" t="s">
        <v>39</v>
      </c>
      <c r="FJ39" s="2">
        <v>32207</v>
      </c>
      <c r="FK39" s="2" t="s">
        <v>480</v>
      </c>
      <c r="FL39" s="2"/>
      <c r="FM39" s="2" t="s">
        <v>485</v>
      </c>
      <c r="FN39" s="2" t="s">
        <v>952</v>
      </c>
      <c r="FO39" s="2" t="s">
        <v>63</v>
      </c>
      <c r="FP39" s="2" t="s">
        <v>64</v>
      </c>
      <c r="FQ39" s="2" t="s">
        <v>9</v>
      </c>
      <c r="FR39" s="2" t="s">
        <v>17</v>
      </c>
      <c r="FS39" s="2" t="s">
        <v>17</v>
      </c>
      <c r="FT39" s="2" t="s">
        <v>9</v>
      </c>
      <c r="FU39" s="2">
        <v>0</v>
      </c>
      <c r="FV39" s="2">
        <v>0</v>
      </c>
      <c r="FW39" s="4">
        <v>0</v>
      </c>
      <c r="FX39" s="4">
        <v>0</v>
      </c>
      <c r="FY39" s="2" t="s">
        <v>65</v>
      </c>
      <c r="FZ39" s="2" t="s">
        <v>66</v>
      </c>
      <c r="GA39" s="2" t="s">
        <v>67</v>
      </c>
      <c r="GB39" s="2"/>
      <c r="GC39" s="2"/>
      <c r="GD39" s="2"/>
      <c r="GE39" s="2" t="s">
        <v>68</v>
      </c>
      <c r="GF39" s="2"/>
      <c r="GG39" s="2"/>
      <c r="GH39" s="2">
        <v>84</v>
      </c>
      <c r="GI39" s="2"/>
      <c r="GJ39" s="2"/>
      <c r="GK39" s="2"/>
      <c r="GL39" s="2"/>
      <c r="GM39" s="2"/>
      <c r="GN39" s="2"/>
      <c r="GO39" s="2"/>
      <c r="GP39" s="2"/>
      <c r="GQ39" s="2">
        <v>84</v>
      </c>
      <c r="GR39" s="2" t="s">
        <v>878</v>
      </c>
      <c r="GS39" s="2" t="s">
        <v>70</v>
      </c>
      <c r="GT39" s="2" t="s">
        <v>953</v>
      </c>
      <c r="GU39" s="2" t="s">
        <v>954</v>
      </c>
      <c r="GV39" s="2" t="s">
        <v>17</v>
      </c>
      <c r="GW39" s="2">
        <v>30.535962000000001</v>
      </c>
      <c r="GX39" s="2">
        <v>-87.263307999999995</v>
      </c>
      <c r="GY39" s="2"/>
      <c r="GZ39" s="2" t="s">
        <v>17</v>
      </c>
      <c r="HA39" s="2" t="s">
        <v>17</v>
      </c>
      <c r="HB39" s="2">
        <v>0</v>
      </c>
      <c r="HC39" s="2" t="s">
        <v>17</v>
      </c>
      <c r="HD39" s="2" t="s">
        <v>17</v>
      </c>
      <c r="HE39" s="2">
        <v>0</v>
      </c>
      <c r="HF39" s="2">
        <v>30.532789999999999</v>
      </c>
      <c r="HG39" s="2">
        <v>-87.265039999999999</v>
      </c>
      <c r="HH39" s="2">
        <v>0.24</v>
      </c>
      <c r="HI39" s="2">
        <v>4</v>
      </c>
      <c r="HJ39" s="2">
        <v>30.531949999999998</v>
      </c>
      <c r="HK39" s="2">
        <v>-87.262540000000001</v>
      </c>
      <c r="HL39" s="2">
        <v>0.28000000000000003</v>
      </c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 t="s">
        <v>73</v>
      </c>
      <c r="HY39" s="2" t="s">
        <v>17</v>
      </c>
      <c r="HZ39" s="2"/>
      <c r="IA39" s="2" t="s">
        <v>955</v>
      </c>
      <c r="IB39" s="2" t="s">
        <v>956</v>
      </c>
      <c r="IC39" s="2">
        <v>0.23</v>
      </c>
      <c r="ID39" s="2">
        <v>4</v>
      </c>
      <c r="IE39" s="2"/>
      <c r="IF39" s="2"/>
      <c r="IG39" s="2"/>
      <c r="IH39" s="2" t="s">
        <v>957</v>
      </c>
      <c r="II39" s="2">
        <v>0.23</v>
      </c>
      <c r="IJ39" s="2">
        <v>4</v>
      </c>
      <c r="IK39" s="2" t="s">
        <v>958</v>
      </c>
      <c r="IL39" s="2" t="s">
        <v>959</v>
      </c>
      <c r="IM39" s="2">
        <v>0.97</v>
      </c>
      <c r="IN39" s="2">
        <v>3</v>
      </c>
      <c r="IO39" s="2" t="s">
        <v>17</v>
      </c>
      <c r="IP39" s="2">
        <v>4</v>
      </c>
      <c r="IQ39" s="2">
        <v>11</v>
      </c>
      <c r="IR39" s="2">
        <v>0</v>
      </c>
      <c r="IS39" s="2">
        <v>15</v>
      </c>
      <c r="IT39" s="2" t="s">
        <v>17</v>
      </c>
      <c r="IU39" s="2" t="s">
        <v>17</v>
      </c>
      <c r="IV39" s="2" t="s">
        <v>17</v>
      </c>
      <c r="IW39" s="2" t="s">
        <v>9</v>
      </c>
      <c r="IX39" s="2" t="s">
        <v>9</v>
      </c>
      <c r="IY39" s="2">
        <v>15</v>
      </c>
      <c r="IZ39" s="2">
        <v>84</v>
      </c>
      <c r="JA39" s="2" t="s">
        <v>81</v>
      </c>
      <c r="JB39" s="2" t="s">
        <v>173</v>
      </c>
      <c r="JC39" s="2"/>
      <c r="JD39" s="2"/>
      <c r="JE39" s="7">
        <v>0.1</v>
      </c>
      <c r="JF39" s="2"/>
      <c r="JG39" s="7">
        <v>0.9</v>
      </c>
      <c r="JH39" s="7">
        <v>0</v>
      </c>
      <c r="JI39" s="2">
        <v>84</v>
      </c>
      <c r="JJ39" s="7">
        <v>1</v>
      </c>
      <c r="JK39" s="2">
        <v>84</v>
      </c>
      <c r="JL39" s="7">
        <v>1</v>
      </c>
      <c r="JM39" s="2"/>
      <c r="JN39" s="2"/>
      <c r="JO39" s="2"/>
      <c r="JP39" s="2"/>
      <c r="JQ39" s="2"/>
      <c r="JR39" s="2"/>
      <c r="JS39" s="2">
        <v>0</v>
      </c>
      <c r="JT39" s="2">
        <v>0</v>
      </c>
      <c r="JU39" s="2"/>
      <c r="JV39" s="2">
        <v>0</v>
      </c>
      <c r="JW39" s="4">
        <v>0</v>
      </c>
      <c r="JX39" s="2">
        <v>0</v>
      </c>
      <c r="JY39" s="4">
        <v>0</v>
      </c>
      <c r="JZ39" s="2">
        <v>0</v>
      </c>
      <c r="KA39" s="2"/>
      <c r="KB39" s="2"/>
      <c r="KC39" s="2"/>
      <c r="KD39" s="2"/>
      <c r="KE39" s="2"/>
      <c r="KF39" s="2"/>
      <c r="KG39" s="2"/>
      <c r="KH39" s="2">
        <v>30</v>
      </c>
      <c r="KI39" s="2"/>
      <c r="KJ39" s="2"/>
      <c r="KK39" s="2">
        <v>39</v>
      </c>
      <c r="KL39" s="2">
        <v>15</v>
      </c>
      <c r="KM39" s="2"/>
      <c r="KN39" s="2"/>
      <c r="KO39" s="2"/>
      <c r="KP39" s="2"/>
      <c r="KQ39" s="2" t="s">
        <v>83</v>
      </c>
      <c r="KR39" s="2" t="s">
        <v>73</v>
      </c>
      <c r="KS39" s="2"/>
      <c r="KT39" s="2">
        <v>3</v>
      </c>
      <c r="KU39" s="2" t="s">
        <v>84</v>
      </c>
      <c r="KV39" s="2" t="s">
        <v>85</v>
      </c>
      <c r="KW39" s="2" t="s">
        <v>86</v>
      </c>
      <c r="KX39" s="2" t="s">
        <v>17</v>
      </c>
      <c r="KY39" s="2" t="s">
        <v>17</v>
      </c>
      <c r="KZ39" s="2" t="s">
        <v>17</v>
      </c>
      <c r="LA39" s="2" t="s">
        <v>17</v>
      </c>
      <c r="LB39" s="2" t="s">
        <v>17</v>
      </c>
      <c r="LC39" s="2" t="s">
        <v>17</v>
      </c>
      <c r="LD39" s="2" t="s">
        <v>17</v>
      </c>
      <c r="LE39" s="2" t="s">
        <v>17</v>
      </c>
      <c r="LF39" s="2" t="s">
        <v>17</v>
      </c>
      <c r="LG39" s="2" t="s">
        <v>17</v>
      </c>
      <c r="LH39" s="2" t="s">
        <v>17</v>
      </c>
      <c r="LI39" s="2" t="s">
        <v>17</v>
      </c>
      <c r="LJ39" s="2" t="s">
        <v>87</v>
      </c>
      <c r="LK39" s="2" t="s">
        <v>17</v>
      </c>
      <c r="LL39" s="2" t="s">
        <v>17</v>
      </c>
      <c r="LM39" s="2">
        <v>0</v>
      </c>
      <c r="LN39" s="2" t="s">
        <v>17</v>
      </c>
      <c r="LO39" s="2" t="s">
        <v>9</v>
      </c>
      <c r="LP39" s="2" t="s">
        <v>17</v>
      </c>
      <c r="LQ39" s="2" t="s">
        <v>17</v>
      </c>
      <c r="LR39" s="2" t="s">
        <v>9</v>
      </c>
      <c r="LS39" s="2" t="s">
        <v>9</v>
      </c>
      <c r="LT39" s="2" t="s">
        <v>17</v>
      </c>
      <c r="LU39" s="2" t="s">
        <v>17</v>
      </c>
      <c r="LV39" s="2" t="s">
        <v>17</v>
      </c>
      <c r="LW39" s="2" t="s">
        <v>17</v>
      </c>
      <c r="LX39" s="2" t="s">
        <v>17</v>
      </c>
      <c r="LY39" s="5">
        <v>6500000</v>
      </c>
      <c r="LZ39" s="5">
        <v>0</v>
      </c>
      <c r="MA39" s="5">
        <v>7200000</v>
      </c>
      <c r="MB39" s="5">
        <v>0</v>
      </c>
      <c r="MC39" s="5">
        <v>0</v>
      </c>
      <c r="MD39" s="5">
        <v>0</v>
      </c>
      <c r="ME39" s="5">
        <v>8820000</v>
      </c>
      <c r="MF39" s="5">
        <v>0</v>
      </c>
      <c r="MG39" s="5">
        <v>0</v>
      </c>
      <c r="MH39" s="5">
        <v>0</v>
      </c>
      <c r="MI39" s="5">
        <v>0</v>
      </c>
      <c r="MJ39" s="5">
        <v>0</v>
      </c>
      <c r="MK39" s="5">
        <v>0</v>
      </c>
      <c r="ML39" s="2">
        <v>0</v>
      </c>
      <c r="MM39" s="5">
        <v>0</v>
      </c>
      <c r="MN39" s="5">
        <v>0</v>
      </c>
      <c r="MO39" s="2">
        <v>0</v>
      </c>
      <c r="MP39" s="2">
        <v>0</v>
      </c>
      <c r="MQ39" s="2">
        <v>0</v>
      </c>
      <c r="MR39" s="5">
        <v>2950000</v>
      </c>
      <c r="MS39" s="5">
        <v>0</v>
      </c>
      <c r="MT39" s="5">
        <v>4600000</v>
      </c>
      <c r="MU39" s="5">
        <v>0</v>
      </c>
      <c r="MV39" s="5">
        <v>0</v>
      </c>
      <c r="MW39" s="5">
        <v>0</v>
      </c>
      <c r="MX39" s="5">
        <v>0</v>
      </c>
      <c r="MY39" s="5">
        <v>2500000</v>
      </c>
      <c r="MZ39" s="5">
        <v>0</v>
      </c>
      <c r="NA39" s="5">
        <v>5000000</v>
      </c>
      <c r="NB39" s="5">
        <v>0</v>
      </c>
      <c r="NC39" s="5">
        <v>0</v>
      </c>
      <c r="ND39" s="5">
        <v>0</v>
      </c>
      <c r="NE39" s="5">
        <v>0</v>
      </c>
      <c r="NF39" s="5">
        <v>0</v>
      </c>
      <c r="NG39" s="5">
        <v>2142000</v>
      </c>
      <c r="NH39" s="5">
        <v>2142000</v>
      </c>
      <c r="NI39" s="5">
        <v>2142000</v>
      </c>
      <c r="NJ39" s="5">
        <v>0</v>
      </c>
      <c r="NK39" s="5"/>
      <c r="NL39" s="2" t="s">
        <v>17</v>
      </c>
      <c r="NM39" s="2" t="s">
        <v>17</v>
      </c>
      <c r="NN39" s="2"/>
      <c r="NO39" s="2" t="s">
        <v>17</v>
      </c>
      <c r="NP39" s="2"/>
      <c r="NQ39" s="2"/>
      <c r="NR39" s="2" t="s">
        <v>17</v>
      </c>
      <c r="NS39" s="2"/>
      <c r="NT39" s="2" t="s">
        <v>17</v>
      </c>
      <c r="NU39" s="2"/>
      <c r="NV39" s="2"/>
      <c r="NW39" s="2"/>
      <c r="NX39" s="2" t="s">
        <v>9</v>
      </c>
      <c r="NY39" s="2" t="s">
        <v>88</v>
      </c>
      <c r="NZ39" s="2">
        <v>36.090000000000003</v>
      </c>
      <c r="OA39" s="2" t="s">
        <v>960</v>
      </c>
      <c r="OB39" s="2" t="s">
        <v>961</v>
      </c>
      <c r="OC39" s="2" t="s">
        <v>961</v>
      </c>
      <c r="OD39" s="2" t="s">
        <v>17</v>
      </c>
      <c r="OE39" s="2" t="s">
        <v>91</v>
      </c>
      <c r="OF39" s="2" t="s">
        <v>17</v>
      </c>
      <c r="OG39" s="2" t="s">
        <v>9</v>
      </c>
      <c r="OH39" s="2" t="s">
        <v>92</v>
      </c>
      <c r="OI39" s="2"/>
      <c r="OJ39" s="2"/>
      <c r="OK39" s="2" t="s">
        <v>17</v>
      </c>
      <c r="OL39" s="2" t="s">
        <v>17</v>
      </c>
      <c r="OM39" s="2" t="s">
        <v>85</v>
      </c>
      <c r="ON39" s="6">
        <v>0</v>
      </c>
      <c r="OO39" s="6">
        <v>0</v>
      </c>
      <c r="OP39" s="2" t="s">
        <v>93</v>
      </c>
      <c r="OQ39" s="2" t="s">
        <v>93</v>
      </c>
      <c r="OR39" s="6">
        <v>0</v>
      </c>
      <c r="OS39" s="4">
        <v>0</v>
      </c>
      <c r="OT39" s="2" t="s">
        <v>17</v>
      </c>
      <c r="OU39" s="2" t="s">
        <v>17</v>
      </c>
      <c r="OV39" s="2"/>
      <c r="OW39" s="2"/>
      <c r="OX39" s="5">
        <v>17735760</v>
      </c>
      <c r="OY39" s="6">
        <v>211140</v>
      </c>
      <c r="OZ39" s="2"/>
      <c r="PA39" s="2"/>
      <c r="PB39" s="8">
        <v>12394737</v>
      </c>
      <c r="PC39" s="8">
        <v>500000</v>
      </c>
      <c r="PD39" s="8">
        <v>12894737</v>
      </c>
      <c r="PE39" s="2"/>
      <c r="PF39" s="2"/>
      <c r="PG39" s="2"/>
      <c r="PH39" s="2"/>
      <c r="PI39" s="2"/>
      <c r="PJ39" s="2"/>
      <c r="PK39" s="8">
        <v>12394737</v>
      </c>
      <c r="PL39" s="8">
        <v>500000</v>
      </c>
      <c r="PM39" s="8">
        <v>12894737</v>
      </c>
      <c r="PN39" s="8">
        <v>1805263</v>
      </c>
      <c r="PO39" s="2"/>
      <c r="PP39" s="8">
        <v>1805263</v>
      </c>
      <c r="PQ39" s="6">
        <v>1805263</v>
      </c>
      <c r="PR39" s="8">
        <v>14200000</v>
      </c>
      <c r="PS39" s="8">
        <v>500000</v>
      </c>
      <c r="PT39" s="8">
        <v>14700000</v>
      </c>
      <c r="PU39" s="8">
        <v>735000</v>
      </c>
      <c r="PV39" s="2"/>
      <c r="PW39" s="8">
        <v>735000</v>
      </c>
      <c r="PX39" s="6">
        <v>735000</v>
      </c>
      <c r="PY39" s="8">
        <v>647500</v>
      </c>
      <c r="PZ39" s="8">
        <v>370000</v>
      </c>
      <c r="QA39" s="8">
        <v>1017500</v>
      </c>
      <c r="QB39" s="8">
        <v>58800</v>
      </c>
      <c r="QC39" s="8">
        <v>100000</v>
      </c>
      <c r="QD39" s="8">
        <v>158800</v>
      </c>
      <c r="QE39" s="8">
        <v>357820</v>
      </c>
      <c r="QF39" s="8">
        <v>45000</v>
      </c>
      <c r="QG39" s="8">
        <v>402820</v>
      </c>
      <c r="QH39" s="2">
        <v>0</v>
      </c>
      <c r="QI39" s="8">
        <v>424780</v>
      </c>
      <c r="QJ39" s="8">
        <v>424780</v>
      </c>
      <c r="QK39" s="2"/>
      <c r="QL39" s="2"/>
      <c r="QM39" s="2"/>
      <c r="QN39" s="8">
        <v>450000</v>
      </c>
      <c r="QO39" s="2"/>
      <c r="QP39" s="8">
        <v>450000</v>
      </c>
      <c r="QQ39" s="8">
        <v>1514120</v>
      </c>
      <c r="QR39" s="8">
        <v>939780</v>
      </c>
      <c r="QS39" s="8">
        <v>2453900</v>
      </c>
      <c r="QT39" s="2"/>
      <c r="QU39" s="2"/>
      <c r="QV39" s="2"/>
      <c r="QW39" s="6">
        <v>122695</v>
      </c>
      <c r="QX39" s="8">
        <v>403000</v>
      </c>
      <c r="QY39" s="8">
        <v>682000</v>
      </c>
      <c r="QZ39" s="8">
        <v>1085000</v>
      </c>
      <c r="RA39" s="8">
        <v>32000</v>
      </c>
      <c r="RB39" s="8">
        <v>32000</v>
      </c>
      <c r="RC39" s="2"/>
      <c r="RD39" s="2"/>
      <c r="RE39" s="2"/>
      <c r="RF39" s="8">
        <v>403000</v>
      </c>
      <c r="RG39" s="8">
        <v>714000</v>
      </c>
      <c r="RH39" s="8">
        <v>1117000</v>
      </c>
      <c r="RI39" s="2"/>
      <c r="RJ39" s="2"/>
      <c r="RK39" s="2"/>
      <c r="RL39" s="2"/>
      <c r="RM39" s="8">
        <v>16852120</v>
      </c>
      <c r="RN39" s="8">
        <v>2153780</v>
      </c>
      <c r="RO39" s="8">
        <v>19005900</v>
      </c>
      <c r="RP39" s="2"/>
      <c r="RQ39" s="2"/>
      <c r="RR39" s="2">
        <v>0</v>
      </c>
      <c r="RS39" s="6">
        <v>0</v>
      </c>
      <c r="RT39" s="8">
        <v>3040943</v>
      </c>
      <c r="RU39" s="2"/>
      <c r="RV39" s="8">
        <v>3040943</v>
      </c>
      <c r="RW39" s="6">
        <v>3040944</v>
      </c>
      <c r="RX39" s="6">
        <v>0</v>
      </c>
      <c r="RY39" s="8">
        <v>3040943</v>
      </c>
      <c r="RZ39" s="2"/>
      <c r="SA39" s="8">
        <v>3040943</v>
      </c>
      <c r="SB39" s="6">
        <v>3040944</v>
      </c>
      <c r="SC39" s="8">
        <v>213223</v>
      </c>
      <c r="SD39" s="8">
        <v>213223</v>
      </c>
      <c r="SE39" s="6">
        <v>294000</v>
      </c>
      <c r="SF39" s="8">
        <v>2000000</v>
      </c>
      <c r="SG39" s="8">
        <v>2000000</v>
      </c>
      <c r="SH39" s="8">
        <v>19893063</v>
      </c>
      <c r="SI39" s="8">
        <v>4367003</v>
      </c>
      <c r="SJ39" s="8">
        <v>24260066</v>
      </c>
      <c r="SK39" s="2"/>
      <c r="SL39" s="2"/>
      <c r="SM39" s="2" t="s">
        <v>962</v>
      </c>
      <c r="SN39" s="2"/>
      <c r="SO39" s="2"/>
      <c r="SP39" s="8">
        <v>15500000</v>
      </c>
      <c r="SQ39" s="2" t="s">
        <v>95</v>
      </c>
      <c r="SR39" s="2"/>
      <c r="SS39" s="2"/>
      <c r="ST39" s="2"/>
      <c r="SU39" s="2"/>
      <c r="SV39" s="2"/>
      <c r="SW39" s="2"/>
      <c r="SX39" s="2" t="s">
        <v>96</v>
      </c>
      <c r="SY39" s="2" t="s">
        <v>96</v>
      </c>
      <c r="SZ39" s="2" t="s">
        <v>96</v>
      </c>
      <c r="TA39" s="2" t="s">
        <v>96</v>
      </c>
      <c r="TB39" s="8">
        <v>7967444</v>
      </c>
      <c r="TC39" s="2"/>
      <c r="TD39" s="2"/>
      <c r="TE39" s="2"/>
      <c r="TF39" s="2"/>
      <c r="TG39" s="2"/>
      <c r="TH39" s="2"/>
      <c r="TI39" s="8">
        <v>792622</v>
      </c>
      <c r="TJ39" s="8">
        <v>24260066</v>
      </c>
      <c r="TK39" s="2">
        <v>0</v>
      </c>
      <c r="TL39" s="2" t="s">
        <v>9</v>
      </c>
      <c r="TM39" s="8">
        <v>3200000</v>
      </c>
      <c r="TN39" s="2" t="s">
        <v>95</v>
      </c>
      <c r="TO39" s="2"/>
      <c r="TP39" s="2"/>
      <c r="TQ39" s="2"/>
      <c r="TR39" s="2"/>
      <c r="TS39" s="2"/>
      <c r="TT39" s="2"/>
      <c r="TU39" s="2" t="s">
        <v>96</v>
      </c>
      <c r="TV39" s="8">
        <v>19918608</v>
      </c>
      <c r="TW39" s="2"/>
      <c r="TX39" s="2"/>
      <c r="TY39" s="2"/>
      <c r="TZ39" s="2"/>
      <c r="UA39" s="2"/>
      <c r="UB39" s="2"/>
      <c r="UC39" s="8">
        <v>1141458</v>
      </c>
      <c r="UD39" s="8">
        <v>24260066</v>
      </c>
      <c r="UE39" s="6">
        <v>3200000</v>
      </c>
      <c r="UF39" s="2">
        <v>0</v>
      </c>
      <c r="UG39" s="2" t="s">
        <v>9</v>
      </c>
      <c r="UH39" s="2">
        <v>84</v>
      </c>
      <c r="UI39" s="5">
        <v>220000</v>
      </c>
      <c r="UJ39" s="6">
        <v>293333.33</v>
      </c>
      <c r="UK39" s="6">
        <v>293333.33</v>
      </c>
      <c r="UL39" s="6">
        <v>310933.33</v>
      </c>
      <c r="UM39" s="6">
        <v>26118400</v>
      </c>
      <c r="UN39" s="6">
        <v>4178944</v>
      </c>
      <c r="UO39" s="6">
        <v>4178944</v>
      </c>
      <c r="UP39" s="6">
        <v>30297344</v>
      </c>
      <c r="UQ39" s="6">
        <v>22046843</v>
      </c>
      <c r="UR39" s="2"/>
      <c r="US39" s="2"/>
      <c r="UT39" s="6">
        <v>0</v>
      </c>
      <c r="UU39" s="2"/>
      <c r="UV39" s="6">
        <v>0</v>
      </c>
      <c r="UW39" s="6">
        <v>0</v>
      </c>
      <c r="UX39" s="6">
        <v>0</v>
      </c>
      <c r="UY39" s="6">
        <v>0</v>
      </c>
      <c r="UZ39" s="2"/>
      <c r="VA39" s="2"/>
      <c r="VB39" s="2"/>
      <c r="VC39" s="2"/>
      <c r="VD39" s="2" t="s">
        <v>17</v>
      </c>
      <c r="VE39" s="2" t="s">
        <v>17</v>
      </c>
      <c r="VF39" s="2"/>
      <c r="VG39" s="2" t="s">
        <v>17</v>
      </c>
      <c r="VH39" s="2"/>
      <c r="VI39" s="388" t="s">
        <v>494</v>
      </c>
      <c r="VJ39" s="2" t="s">
        <v>98</v>
      </c>
      <c r="VK39" s="2" t="s">
        <v>495</v>
      </c>
      <c r="VL39" s="23">
        <f t="shared" si="21"/>
        <v>153</v>
      </c>
      <c r="VM39" s="17">
        <f t="shared" si="22"/>
        <v>1.8214285714285714</v>
      </c>
      <c r="VN39" s="17" t="str">
        <f t="shared" si="12"/>
        <v>NC-GA-F</v>
      </c>
      <c r="VO39" s="17" t="str">
        <f t="shared" si="13"/>
        <v>NC-GA-F-Non</v>
      </c>
      <c r="VP39" s="12">
        <v>9</v>
      </c>
      <c r="VQ39" s="57">
        <v>1</v>
      </c>
      <c r="VR39" s="57">
        <f t="shared" si="23"/>
        <v>1</v>
      </c>
      <c r="VS39" s="14">
        <f t="shared" si="24"/>
        <v>1</v>
      </c>
      <c r="VT39" s="12">
        <f t="shared" si="25"/>
        <v>1</v>
      </c>
      <c r="VU39" s="16">
        <f t="shared" si="26"/>
        <v>19278000</v>
      </c>
      <c r="VV39" s="16">
        <f t="shared" si="27"/>
        <v>229500</v>
      </c>
      <c r="VW39" s="12" t="str">
        <f t="shared" si="14"/>
        <v>A</v>
      </c>
      <c r="VX39" s="12" t="str">
        <f t="shared" si="15"/>
        <v>NC-GA-Non</v>
      </c>
      <c r="VY39" s="351">
        <f t="shared" si="16"/>
        <v>3</v>
      </c>
      <c r="WA39" s="12">
        <f t="shared" si="17"/>
        <v>0</v>
      </c>
      <c r="WB39" s="12">
        <f t="shared" si="18"/>
        <v>0</v>
      </c>
      <c r="WC39" s="12">
        <f t="shared" si="18"/>
        <v>0</v>
      </c>
      <c r="WD39" s="12">
        <f t="shared" si="18"/>
        <v>0</v>
      </c>
      <c r="WE39" s="12">
        <f t="shared" si="19"/>
        <v>0</v>
      </c>
      <c r="WF39" s="12">
        <f t="shared" si="28"/>
        <v>1</v>
      </c>
      <c r="WG39" s="12">
        <f t="shared" si="29"/>
        <v>0</v>
      </c>
      <c r="WH39" s="12">
        <f t="shared" si="30"/>
        <v>0</v>
      </c>
      <c r="WI39" s="22">
        <f t="shared" si="31"/>
        <v>1</v>
      </c>
      <c r="WJ39" s="2"/>
      <c r="WK39" s="443" t="str">
        <f t="shared" si="20"/>
        <v>NC-GA-Non-BBN-BRN-NPH-F</v>
      </c>
      <c r="WL39" s="443"/>
      <c r="WM39" s="443"/>
    </row>
    <row r="40" spans="1:611" x14ac:dyDescent="0.25">
      <c r="A40" s="2">
        <v>9555</v>
      </c>
      <c r="B40" s="2" t="s">
        <v>1770</v>
      </c>
      <c r="C40" s="2" t="s">
        <v>8</v>
      </c>
      <c r="D40" s="3">
        <v>45100</v>
      </c>
      <c r="E40" s="2" t="s">
        <v>9</v>
      </c>
      <c r="F40" s="2">
        <v>3</v>
      </c>
      <c r="G40" s="2" t="s">
        <v>9</v>
      </c>
      <c r="H40" s="2">
        <v>3</v>
      </c>
      <c r="I40" s="2" t="s">
        <v>9</v>
      </c>
      <c r="J40" s="2">
        <v>3</v>
      </c>
      <c r="K40" s="2" t="s">
        <v>9</v>
      </c>
      <c r="L40" s="2">
        <v>3</v>
      </c>
      <c r="M40" s="2" t="s">
        <v>10</v>
      </c>
      <c r="N40" s="2">
        <v>0</v>
      </c>
      <c r="O40" s="2" t="s">
        <v>10</v>
      </c>
      <c r="P40" s="2">
        <v>0</v>
      </c>
      <c r="Q40" s="2" t="s">
        <v>11</v>
      </c>
      <c r="R40" s="2">
        <v>0</v>
      </c>
      <c r="S40" s="2" t="s">
        <v>9</v>
      </c>
      <c r="T40" s="2">
        <v>2</v>
      </c>
      <c r="U40" s="2" t="s">
        <v>9</v>
      </c>
      <c r="V40" s="2">
        <v>2</v>
      </c>
      <c r="W40" s="2" t="s">
        <v>9</v>
      </c>
      <c r="X40" s="2">
        <v>2</v>
      </c>
      <c r="Y40" s="2" t="s">
        <v>12</v>
      </c>
      <c r="Z40" s="2" t="s">
        <v>15</v>
      </c>
      <c r="AA40" s="2" t="s">
        <v>15</v>
      </c>
      <c r="AB40" s="2" t="s">
        <v>15</v>
      </c>
      <c r="AC40" s="2" t="s">
        <v>15</v>
      </c>
      <c r="AD40" s="2" t="s">
        <v>15</v>
      </c>
      <c r="AE40" s="2" t="s">
        <v>15</v>
      </c>
      <c r="AF40" s="2">
        <v>0</v>
      </c>
      <c r="AG40" s="2" t="s">
        <v>234</v>
      </c>
      <c r="AH40" s="2" t="s">
        <v>17</v>
      </c>
      <c r="AI40" s="4">
        <v>0.1</v>
      </c>
      <c r="AJ40" s="2" t="s">
        <v>17</v>
      </c>
      <c r="AK40" s="2" t="s">
        <v>9</v>
      </c>
      <c r="AL40" s="2" t="s">
        <v>17</v>
      </c>
      <c r="AM40" s="2" t="s">
        <v>17</v>
      </c>
      <c r="AN40" s="2" t="s">
        <v>17</v>
      </c>
      <c r="AO40" s="2" t="s">
        <v>17</v>
      </c>
      <c r="AP40" s="2" t="s">
        <v>9</v>
      </c>
      <c r="AQ40" s="2" t="s">
        <v>17</v>
      </c>
      <c r="AR40" s="2" t="s">
        <v>17</v>
      </c>
      <c r="AS40" s="2" t="s">
        <v>17</v>
      </c>
      <c r="AT40" s="2">
        <v>0</v>
      </c>
      <c r="AU40" s="5">
        <v>50000</v>
      </c>
      <c r="AV40" s="5">
        <v>460000</v>
      </c>
      <c r="AW40" s="2">
        <v>0</v>
      </c>
      <c r="AX40" s="2">
        <v>7</v>
      </c>
      <c r="AY40" s="2">
        <v>0</v>
      </c>
      <c r="AZ40" s="2">
        <v>18</v>
      </c>
      <c r="BA40" s="2">
        <v>0</v>
      </c>
      <c r="BB40" s="2">
        <v>1</v>
      </c>
      <c r="BC40" s="2">
        <v>1</v>
      </c>
      <c r="BD40" s="2">
        <v>0</v>
      </c>
      <c r="BE40" s="2">
        <v>0</v>
      </c>
      <c r="BF40" s="2">
        <v>1</v>
      </c>
      <c r="BG40" s="2">
        <v>0</v>
      </c>
      <c r="BH40" s="2">
        <v>0</v>
      </c>
      <c r="BI40" s="2">
        <v>13</v>
      </c>
      <c r="BJ40" s="2">
        <v>1</v>
      </c>
      <c r="BK40" s="2">
        <v>0</v>
      </c>
      <c r="BL40" s="2">
        <v>3</v>
      </c>
      <c r="BM40" s="2">
        <v>0</v>
      </c>
      <c r="BN40" s="2">
        <v>12</v>
      </c>
      <c r="BO40" s="2">
        <v>11</v>
      </c>
      <c r="BP40" s="2">
        <v>0</v>
      </c>
      <c r="BQ40" s="2">
        <v>10</v>
      </c>
      <c r="BR40" s="2">
        <v>12.83</v>
      </c>
      <c r="BS40" s="2">
        <v>0</v>
      </c>
      <c r="BT40" s="4">
        <v>0.06</v>
      </c>
      <c r="BU40" s="2" t="s">
        <v>9</v>
      </c>
      <c r="BV40" s="6">
        <v>211140</v>
      </c>
      <c r="BW40" s="2" t="s">
        <v>18</v>
      </c>
      <c r="BX40" s="2" t="s">
        <v>17</v>
      </c>
      <c r="BY40" s="2" t="s">
        <v>17</v>
      </c>
      <c r="BZ40" s="2" t="s">
        <v>17</v>
      </c>
      <c r="CA40" s="2" t="s">
        <v>17</v>
      </c>
      <c r="CB40" s="2" t="s">
        <v>17</v>
      </c>
      <c r="CC40" s="2" t="s">
        <v>17</v>
      </c>
      <c r="CD40" s="2" t="s">
        <v>17</v>
      </c>
      <c r="CE40" s="2" t="s">
        <v>1771</v>
      </c>
      <c r="CF40" s="2" t="s">
        <v>17</v>
      </c>
      <c r="CG40" s="2" t="s">
        <v>1734</v>
      </c>
      <c r="CH40" s="2"/>
      <c r="CI40" s="2"/>
      <c r="CJ40" s="2" t="s">
        <v>9</v>
      </c>
      <c r="CK40" s="2" t="s">
        <v>1735</v>
      </c>
      <c r="CL40" s="2" t="s">
        <v>1734</v>
      </c>
      <c r="CM40" s="2" t="s">
        <v>1736</v>
      </c>
      <c r="CN40" s="2" t="s">
        <v>1737</v>
      </c>
      <c r="CO40" s="2" t="s">
        <v>24</v>
      </c>
      <c r="CP40" s="2"/>
      <c r="CQ40" s="2">
        <v>48</v>
      </c>
      <c r="CR40" s="2" t="s">
        <v>461</v>
      </c>
      <c r="CS40" s="2">
        <v>2021</v>
      </c>
      <c r="CT40" s="2" t="s">
        <v>26</v>
      </c>
      <c r="CU40" s="2" t="s">
        <v>27</v>
      </c>
      <c r="CV40" s="2" t="s">
        <v>1738</v>
      </c>
      <c r="CW40" s="2" t="s">
        <v>1739</v>
      </c>
      <c r="CX40" s="2" t="s">
        <v>24</v>
      </c>
      <c r="CY40" s="2"/>
      <c r="CZ40" s="2">
        <v>72</v>
      </c>
      <c r="DA40" s="2" t="s">
        <v>461</v>
      </c>
      <c r="DB40" s="2">
        <v>2020</v>
      </c>
      <c r="DC40" s="2" t="s">
        <v>30</v>
      </c>
      <c r="DD40" s="2" t="s">
        <v>27</v>
      </c>
      <c r="DE40" s="2" t="s">
        <v>1740</v>
      </c>
      <c r="DF40" s="2" t="s">
        <v>1741</v>
      </c>
      <c r="DG40" s="2" t="s">
        <v>24</v>
      </c>
      <c r="DH40" s="2"/>
      <c r="DI40" s="2">
        <v>68</v>
      </c>
      <c r="DJ40" s="2" t="s">
        <v>461</v>
      </c>
      <c r="DK40" s="2">
        <v>2021</v>
      </c>
      <c r="DL40" s="2" t="s">
        <v>30</v>
      </c>
      <c r="DM40" s="2" t="s">
        <v>27</v>
      </c>
      <c r="DN40" s="2" t="s">
        <v>33</v>
      </c>
      <c r="DO40" s="2" t="s">
        <v>1742</v>
      </c>
      <c r="DP40" s="2" t="s">
        <v>748</v>
      </c>
      <c r="DQ40" s="2" t="s">
        <v>1743</v>
      </c>
      <c r="DR40" s="2" t="s">
        <v>1744</v>
      </c>
      <c r="DS40" s="2">
        <v>1</v>
      </c>
      <c r="DT40" s="2" t="s">
        <v>1745</v>
      </c>
      <c r="DU40" s="2" t="s">
        <v>1746</v>
      </c>
      <c r="DV40" s="2" t="s">
        <v>1747</v>
      </c>
      <c r="DW40" s="2">
        <v>35242</v>
      </c>
      <c r="DX40" s="2" t="s">
        <v>1748</v>
      </c>
      <c r="DY40" s="2">
        <v>205</v>
      </c>
      <c r="DZ40" s="2" t="s">
        <v>1749</v>
      </c>
      <c r="EA40" s="2" t="s">
        <v>1744</v>
      </c>
      <c r="EB40" s="2" t="s">
        <v>1750</v>
      </c>
      <c r="EC40" s="2" t="s">
        <v>1751</v>
      </c>
      <c r="ED40" s="2" t="s">
        <v>44</v>
      </c>
      <c r="EE40" s="2">
        <v>240</v>
      </c>
      <c r="EF40" s="2" t="s">
        <v>473</v>
      </c>
      <c r="EG40" s="2">
        <v>7</v>
      </c>
      <c r="EH40" s="2" t="s">
        <v>46</v>
      </c>
      <c r="EI40" s="2" t="s">
        <v>47</v>
      </c>
      <c r="EJ40" s="2" t="s">
        <v>1752</v>
      </c>
      <c r="EK40" s="2" t="s">
        <v>1753</v>
      </c>
      <c r="EL40" s="2" t="s">
        <v>44</v>
      </c>
      <c r="EM40" s="2">
        <v>56</v>
      </c>
      <c r="EN40" s="2" t="s">
        <v>473</v>
      </c>
      <c r="EO40" s="2">
        <v>11</v>
      </c>
      <c r="EP40" s="2" t="s">
        <v>46</v>
      </c>
      <c r="EQ40" s="2" t="s">
        <v>47</v>
      </c>
      <c r="ER40" s="2" t="s">
        <v>1754</v>
      </c>
      <c r="ES40" s="2" t="s">
        <v>514</v>
      </c>
      <c r="ET40" s="2" t="s">
        <v>1755</v>
      </c>
      <c r="EU40" s="2" t="s">
        <v>1771</v>
      </c>
      <c r="EV40" s="2" t="s">
        <v>1756</v>
      </c>
      <c r="EW40" s="2" t="s">
        <v>510</v>
      </c>
      <c r="EX40" s="2" t="s">
        <v>39</v>
      </c>
      <c r="EY40" s="2">
        <v>32804</v>
      </c>
      <c r="EZ40" s="2" t="s">
        <v>1757</v>
      </c>
      <c r="FA40" s="2"/>
      <c r="FB40" s="2" t="s">
        <v>1758</v>
      </c>
      <c r="FC40" s="2" t="s">
        <v>812</v>
      </c>
      <c r="FD40" s="2" t="s">
        <v>1759</v>
      </c>
      <c r="FE40" s="2" t="s">
        <v>1760</v>
      </c>
      <c r="FF40" s="2" t="s">
        <v>1771</v>
      </c>
      <c r="FG40" s="2" t="s">
        <v>1756</v>
      </c>
      <c r="FH40" s="2" t="s">
        <v>510</v>
      </c>
      <c r="FI40" s="2" t="s">
        <v>39</v>
      </c>
      <c r="FJ40" s="2">
        <v>32804</v>
      </c>
      <c r="FK40" s="2" t="s">
        <v>1761</v>
      </c>
      <c r="FL40" s="2"/>
      <c r="FM40" s="2" t="s">
        <v>1762</v>
      </c>
      <c r="FN40" s="2" t="s">
        <v>1772</v>
      </c>
      <c r="FO40" s="2" t="s">
        <v>63</v>
      </c>
      <c r="FP40" s="2" t="s">
        <v>64</v>
      </c>
      <c r="FQ40" s="2" t="s">
        <v>9</v>
      </c>
      <c r="FR40" s="2" t="s">
        <v>17</v>
      </c>
      <c r="FS40" s="2" t="s">
        <v>17</v>
      </c>
      <c r="FT40" s="2" t="s">
        <v>9</v>
      </c>
      <c r="FU40" s="2">
        <v>0</v>
      </c>
      <c r="FV40" s="2">
        <v>0</v>
      </c>
      <c r="FW40" s="4">
        <v>0</v>
      </c>
      <c r="FX40" s="4">
        <v>0</v>
      </c>
      <c r="FY40" s="2" t="s">
        <v>65</v>
      </c>
      <c r="FZ40" s="2" t="s">
        <v>66</v>
      </c>
      <c r="GA40" s="2" t="s">
        <v>67</v>
      </c>
      <c r="GB40" s="2"/>
      <c r="GC40" s="2"/>
      <c r="GD40" s="2"/>
      <c r="GE40" s="2" t="s">
        <v>68</v>
      </c>
      <c r="GF40" s="2"/>
      <c r="GG40" s="2"/>
      <c r="GH40" s="2">
        <v>84</v>
      </c>
      <c r="GI40" s="2"/>
      <c r="GJ40" s="2"/>
      <c r="GK40" s="2"/>
      <c r="GL40" s="2"/>
      <c r="GM40" s="2"/>
      <c r="GN40" s="2"/>
      <c r="GO40" s="2"/>
      <c r="GP40" s="2"/>
      <c r="GQ40" s="2">
        <v>84</v>
      </c>
      <c r="GR40" s="2" t="s">
        <v>1773</v>
      </c>
      <c r="GS40" s="2" t="s">
        <v>70</v>
      </c>
      <c r="GT40" s="2" t="s">
        <v>1774</v>
      </c>
      <c r="GU40" s="2" t="s">
        <v>1775</v>
      </c>
      <c r="GV40" s="2" t="s">
        <v>17</v>
      </c>
      <c r="GW40" s="2">
        <v>28.426822000000001</v>
      </c>
      <c r="GX40" s="2">
        <v>-82.551841999999994</v>
      </c>
      <c r="GY40" s="2"/>
      <c r="GZ40" s="2" t="s">
        <v>17</v>
      </c>
      <c r="HA40" s="2" t="s">
        <v>17</v>
      </c>
      <c r="HB40" s="2">
        <v>0</v>
      </c>
      <c r="HC40" s="2" t="s">
        <v>17</v>
      </c>
      <c r="HD40" s="2"/>
      <c r="HE40" s="2">
        <v>0</v>
      </c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 t="s">
        <v>73</v>
      </c>
      <c r="HY40" s="2" t="s">
        <v>17</v>
      </c>
      <c r="HZ40" s="2"/>
      <c r="IA40" s="2" t="s">
        <v>549</v>
      </c>
      <c r="IB40" s="2" t="s">
        <v>1776</v>
      </c>
      <c r="IC40" s="2">
        <v>0.66</v>
      </c>
      <c r="ID40" s="2">
        <v>3</v>
      </c>
      <c r="IE40" s="2"/>
      <c r="IF40" s="2"/>
      <c r="IG40" s="2"/>
      <c r="IH40" s="2" t="s">
        <v>224</v>
      </c>
      <c r="II40" s="2">
        <v>0.54</v>
      </c>
      <c r="IJ40" s="2">
        <v>3</v>
      </c>
      <c r="IK40" s="2" t="s">
        <v>1777</v>
      </c>
      <c r="IL40" s="2" t="s">
        <v>1778</v>
      </c>
      <c r="IM40" s="2">
        <v>0.48</v>
      </c>
      <c r="IN40" s="2">
        <v>4</v>
      </c>
      <c r="IO40" s="2" t="s">
        <v>17</v>
      </c>
      <c r="IP40" s="2">
        <v>0</v>
      </c>
      <c r="IQ40" s="2">
        <v>10</v>
      </c>
      <c r="IR40" s="2">
        <v>0</v>
      </c>
      <c r="IS40" s="2">
        <v>10</v>
      </c>
      <c r="IT40" s="2" t="s">
        <v>17</v>
      </c>
      <c r="IU40" s="2" t="s">
        <v>17</v>
      </c>
      <c r="IV40" s="2" t="s">
        <v>17</v>
      </c>
      <c r="IW40" s="2" t="s">
        <v>9</v>
      </c>
      <c r="IX40" s="2" t="s">
        <v>9</v>
      </c>
      <c r="IY40" s="2">
        <v>10</v>
      </c>
      <c r="IZ40" s="2">
        <v>84</v>
      </c>
      <c r="JA40" s="2" t="s">
        <v>81</v>
      </c>
      <c r="JB40" s="2" t="s">
        <v>173</v>
      </c>
      <c r="JC40" s="2"/>
      <c r="JD40" s="2"/>
      <c r="JE40" s="7">
        <v>0.1</v>
      </c>
      <c r="JF40" s="2"/>
      <c r="JG40" s="7">
        <v>0.9</v>
      </c>
      <c r="JH40" s="7">
        <v>0</v>
      </c>
      <c r="JI40" s="2">
        <v>84</v>
      </c>
      <c r="JJ40" s="7">
        <v>1</v>
      </c>
      <c r="JK40" s="2">
        <v>84</v>
      </c>
      <c r="JL40" s="7">
        <v>1</v>
      </c>
      <c r="JM40" s="2"/>
      <c r="JN40" s="2"/>
      <c r="JO40" s="2"/>
      <c r="JP40" s="2"/>
      <c r="JQ40" s="2"/>
      <c r="JR40" s="2"/>
      <c r="JS40" s="2">
        <v>0</v>
      </c>
      <c r="JT40" s="2">
        <v>0</v>
      </c>
      <c r="JU40" s="2"/>
      <c r="JV40" s="2">
        <v>0</v>
      </c>
      <c r="JW40" s="4">
        <v>0</v>
      </c>
      <c r="JX40" s="2">
        <v>0</v>
      </c>
      <c r="JY40" s="4">
        <v>0</v>
      </c>
      <c r="JZ40" s="2">
        <v>0</v>
      </c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>
        <v>42</v>
      </c>
      <c r="KL40" s="2">
        <v>42</v>
      </c>
      <c r="KM40" s="2"/>
      <c r="KN40" s="2"/>
      <c r="KO40" s="2"/>
      <c r="KP40" s="2"/>
      <c r="KQ40" s="2" t="s">
        <v>83</v>
      </c>
      <c r="KR40" s="2" t="s">
        <v>73</v>
      </c>
      <c r="KS40" s="2"/>
      <c r="KT40" s="2">
        <v>3</v>
      </c>
      <c r="KU40" s="2" t="s">
        <v>84</v>
      </c>
      <c r="KV40" s="2" t="s">
        <v>85</v>
      </c>
      <c r="KW40" s="2" t="s">
        <v>530</v>
      </c>
      <c r="KX40" s="2" t="s">
        <v>17</v>
      </c>
      <c r="KY40" s="2" t="s">
        <v>17</v>
      </c>
      <c r="KZ40" s="2" t="s">
        <v>17</v>
      </c>
      <c r="LA40" s="2" t="s">
        <v>17</v>
      </c>
      <c r="LB40" s="2" t="s">
        <v>17</v>
      </c>
      <c r="LC40" s="2" t="s">
        <v>17</v>
      </c>
      <c r="LD40" s="2" t="s">
        <v>17</v>
      </c>
      <c r="LE40" s="2" t="s">
        <v>17</v>
      </c>
      <c r="LF40" s="2" t="s">
        <v>17</v>
      </c>
      <c r="LG40" s="2" t="s">
        <v>17</v>
      </c>
      <c r="LH40" s="2" t="s">
        <v>17</v>
      </c>
      <c r="LI40" s="2" t="s">
        <v>17</v>
      </c>
      <c r="LJ40" s="2" t="s">
        <v>87</v>
      </c>
      <c r="LK40" s="2" t="s">
        <v>17</v>
      </c>
      <c r="LL40" s="2" t="s">
        <v>17</v>
      </c>
      <c r="LM40" s="2">
        <v>0</v>
      </c>
      <c r="LN40" s="2" t="s">
        <v>17</v>
      </c>
      <c r="LO40" s="2" t="s">
        <v>9</v>
      </c>
      <c r="LP40" s="2" t="s">
        <v>9</v>
      </c>
      <c r="LQ40" s="2" t="s">
        <v>17</v>
      </c>
      <c r="LR40" s="2" t="s">
        <v>9</v>
      </c>
      <c r="LS40" s="2" t="s">
        <v>17</v>
      </c>
      <c r="LT40" s="2" t="s">
        <v>17</v>
      </c>
      <c r="LU40" s="2" t="s">
        <v>17</v>
      </c>
      <c r="LV40" s="2" t="s">
        <v>17</v>
      </c>
      <c r="LW40" s="2" t="s">
        <v>17</v>
      </c>
      <c r="LX40" s="2" t="s">
        <v>17</v>
      </c>
      <c r="LY40" s="5">
        <v>6500000</v>
      </c>
      <c r="LZ40" s="5">
        <v>0</v>
      </c>
      <c r="MA40" s="5">
        <v>7200000</v>
      </c>
      <c r="MB40" s="5">
        <v>0</v>
      </c>
      <c r="MC40" s="5">
        <v>0</v>
      </c>
      <c r="MD40" s="5">
        <v>0</v>
      </c>
      <c r="ME40" s="5">
        <v>8820000</v>
      </c>
      <c r="MF40" s="5">
        <v>0</v>
      </c>
      <c r="MG40" s="5">
        <v>0</v>
      </c>
      <c r="MH40" s="5">
        <v>0</v>
      </c>
      <c r="MI40" s="5">
        <v>0</v>
      </c>
      <c r="MJ40" s="5">
        <v>0</v>
      </c>
      <c r="MK40" s="5">
        <v>0</v>
      </c>
      <c r="ML40" s="2">
        <v>0</v>
      </c>
      <c r="MM40" s="5">
        <v>0</v>
      </c>
      <c r="MN40" s="5">
        <v>0</v>
      </c>
      <c r="MO40" s="2">
        <v>0</v>
      </c>
      <c r="MP40" s="2">
        <v>0</v>
      </c>
      <c r="MQ40" s="2">
        <v>0</v>
      </c>
      <c r="MR40" s="5">
        <v>2950000</v>
      </c>
      <c r="MS40" s="5">
        <v>0</v>
      </c>
      <c r="MT40" s="5">
        <v>4600000</v>
      </c>
      <c r="MU40" s="5">
        <v>0</v>
      </c>
      <c r="MV40" s="5">
        <v>0</v>
      </c>
      <c r="MW40" s="5">
        <v>0</v>
      </c>
      <c r="MX40" s="5">
        <v>0</v>
      </c>
      <c r="MY40" s="5">
        <v>2500000</v>
      </c>
      <c r="MZ40" s="5">
        <v>0</v>
      </c>
      <c r="NA40" s="5">
        <v>5000000</v>
      </c>
      <c r="NB40" s="5">
        <v>0</v>
      </c>
      <c r="NC40" s="5">
        <v>0</v>
      </c>
      <c r="ND40" s="5">
        <v>0</v>
      </c>
      <c r="NE40" s="5">
        <v>0</v>
      </c>
      <c r="NF40" s="5">
        <v>0</v>
      </c>
      <c r="NG40" s="5">
        <v>2142000</v>
      </c>
      <c r="NH40" s="5">
        <v>2142000</v>
      </c>
      <c r="NI40" s="5">
        <v>2142000</v>
      </c>
      <c r="NJ40" s="5">
        <v>0</v>
      </c>
      <c r="NK40" s="5"/>
      <c r="NL40" s="2" t="s">
        <v>17</v>
      </c>
      <c r="NM40" s="2" t="s">
        <v>17</v>
      </c>
      <c r="NN40" s="2"/>
      <c r="NO40" s="2" t="s">
        <v>17</v>
      </c>
      <c r="NP40" s="2"/>
      <c r="NQ40" s="2"/>
      <c r="NR40" s="2" t="s">
        <v>17</v>
      </c>
      <c r="NS40" s="2"/>
      <c r="NT40" s="2" t="s">
        <v>17</v>
      </c>
      <c r="NU40" s="2"/>
      <c r="NV40" s="2"/>
      <c r="NW40" s="2"/>
      <c r="NX40" s="2" t="s">
        <v>9</v>
      </c>
      <c r="NY40" s="2" t="s">
        <v>88</v>
      </c>
      <c r="NZ40" s="2">
        <v>318.05</v>
      </c>
      <c r="OA40" s="2" t="s">
        <v>1779</v>
      </c>
      <c r="OB40" s="2" t="s">
        <v>1780</v>
      </c>
      <c r="OC40" s="2" t="s">
        <v>1780</v>
      </c>
      <c r="OD40" s="2" t="s">
        <v>17</v>
      </c>
      <c r="OE40" s="2" t="s">
        <v>91</v>
      </c>
      <c r="OF40" s="2" t="s">
        <v>17</v>
      </c>
      <c r="OG40" s="2" t="s">
        <v>9</v>
      </c>
      <c r="OH40" s="2" t="s">
        <v>92</v>
      </c>
      <c r="OI40" s="2"/>
      <c r="OJ40" s="2"/>
      <c r="OK40" s="2" t="s">
        <v>17</v>
      </c>
      <c r="OL40" s="2" t="s">
        <v>17</v>
      </c>
      <c r="OM40" s="2" t="s">
        <v>85</v>
      </c>
      <c r="ON40" s="6">
        <v>0</v>
      </c>
      <c r="OO40" s="6">
        <v>0</v>
      </c>
      <c r="OP40" s="2" t="s">
        <v>93</v>
      </c>
      <c r="OQ40" s="2" t="s">
        <v>93</v>
      </c>
      <c r="OR40" s="6">
        <v>0</v>
      </c>
      <c r="OS40" s="4">
        <v>0</v>
      </c>
      <c r="OT40" s="2" t="s">
        <v>17</v>
      </c>
      <c r="OU40" s="2" t="s">
        <v>17</v>
      </c>
      <c r="OV40" s="2"/>
      <c r="OW40" s="2"/>
      <c r="OX40" s="5">
        <v>17735760</v>
      </c>
      <c r="OY40" s="6">
        <v>211140</v>
      </c>
      <c r="OZ40" s="2"/>
      <c r="PA40" s="2"/>
      <c r="PB40" s="8">
        <v>11424000</v>
      </c>
      <c r="PC40" s="2"/>
      <c r="PD40" s="8">
        <v>11424000</v>
      </c>
      <c r="PE40" s="8">
        <v>1814400</v>
      </c>
      <c r="PF40" s="8">
        <v>201600</v>
      </c>
      <c r="PG40" s="8">
        <v>2016000</v>
      </c>
      <c r="PH40" s="2"/>
      <c r="PI40" s="2"/>
      <c r="PJ40" s="2"/>
      <c r="PK40" s="8">
        <v>13238400</v>
      </c>
      <c r="PL40" s="8">
        <v>201600</v>
      </c>
      <c r="PM40" s="8">
        <v>13440000</v>
      </c>
      <c r="PN40" s="8">
        <v>1881600</v>
      </c>
      <c r="PO40" s="2"/>
      <c r="PP40" s="8">
        <v>1881600</v>
      </c>
      <c r="PQ40" s="6">
        <v>1881600</v>
      </c>
      <c r="PR40" s="8">
        <v>15120000</v>
      </c>
      <c r="PS40" s="8">
        <v>201600</v>
      </c>
      <c r="PT40" s="8">
        <v>15321600</v>
      </c>
      <c r="PU40" s="8">
        <v>766080</v>
      </c>
      <c r="PV40" s="2"/>
      <c r="PW40" s="8">
        <v>766080</v>
      </c>
      <c r="PX40" s="6">
        <v>766080</v>
      </c>
      <c r="PY40" s="8">
        <v>692400</v>
      </c>
      <c r="PZ40" s="8">
        <v>223000</v>
      </c>
      <c r="QA40" s="8">
        <v>915400</v>
      </c>
      <c r="QB40" s="8">
        <v>450000</v>
      </c>
      <c r="QC40" s="2"/>
      <c r="QD40" s="8">
        <v>450000</v>
      </c>
      <c r="QE40" s="8">
        <v>614250</v>
      </c>
      <c r="QF40" s="8">
        <v>26250</v>
      </c>
      <c r="QG40" s="8">
        <v>640500</v>
      </c>
      <c r="QH40" s="2"/>
      <c r="QI40" s="8">
        <v>433618</v>
      </c>
      <c r="QJ40" s="8">
        <v>433618</v>
      </c>
      <c r="QK40" s="2"/>
      <c r="QL40" s="2"/>
      <c r="QM40" s="2"/>
      <c r="QN40" s="8">
        <v>150000</v>
      </c>
      <c r="QO40" s="8">
        <v>5000</v>
      </c>
      <c r="QP40" s="8">
        <v>155000</v>
      </c>
      <c r="QQ40" s="8">
        <v>1906650</v>
      </c>
      <c r="QR40" s="8">
        <v>687868</v>
      </c>
      <c r="QS40" s="8">
        <v>2594518</v>
      </c>
      <c r="QT40" s="8">
        <v>129725</v>
      </c>
      <c r="QU40" s="2"/>
      <c r="QV40" s="8">
        <v>129725</v>
      </c>
      <c r="QW40" s="6">
        <v>129725.9</v>
      </c>
      <c r="QX40" s="8">
        <v>959922</v>
      </c>
      <c r="QY40" s="8">
        <v>374967</v>
      </c>
      <c r="QZ40" s="8">
        <v>1334889</v>
      </c>
      <c r="RA40" s="8">
        <v>53438</v>
      </c>
      <c r="RB40" s="8">
        <v>53438</v>
      </c>
      <c r="RC40" s="2"/>
      <c r="RD40" s="2"/>
      <c r="RE40" s="2"/>
      <c r="RF40" s="8">
        <v>959922</v>
      </c>
      <c r="RG40" s="8">
        <v>428405</v>
      </c>
      <c r="RH40" s="8">
        <v>1388327</v>
      </c>
      <c r="RI40" s="2"/>
      <c r="RJ40" s="2"/>
      <c r="RK40" s="2"/>
      <c r="RL40" s="2"/>
      <c r="RM40" s="8">
        <v>18882377</v>
      </c>
      <c r="RN40" s="8">
        <v>1317873</v>
      </c>
      <c r="RO40" s="8">
        <v>20200250</v>
      </c>
      <c r="RP40" s="2"/>
      <c r="RQ40" s="2"/>
      <c r="RR40" s="2">
        <v>0</v>
      </c>
      <c r="RS40" s="6">
        <v>0</v>
      </c>
      <c r="RT40" s="8">
        <v>3232040</v>
      </c>
      <c r="RU40" s="2"/>
      <c r="RV40" s="8">
        <v>3232040</v>
      </c>
      <c r="RW40" s="6">
        <v>3232040</v>
      </c>
      <c r="RX40" s="6">
        <v>0</v>
      </c>
      <c r="RY40" s="8">
        <v>3232040</v>
      </c>
      <c r="RZ40" s="2"/>
      <c r="SA40" s="8">
        <v>3232040</v>
      </c>
      <c r="SB40" s="6">
        <v>3232040</v>
      </c>
      <c r="SC40" s="8">
        <v>294000</v>
      </c>
      <c r="SD40" s="8">
        <v>294000</v>
      </c>
      <c r="SE40" s="6">
        <v>294000</v>
      </c>
      <c r="SF40" s="8">
        <v>699500</v>
      </c>
      <c r="SG40" s="8">
        <v>699500</v>
      </c>
      <c r="SH40" s="8">
        <v>22114417</v>
      </c>
      <c r="SI40" s="8">
        <v>2311373</v>
      </c>
      <c r="SJ40" s="8">
        <v>24425790</v>
      </c>
      <c r="SK40" s="2" t="s">
        <v>410</v>
      </c>
      <c r="SL40" s="2"/>
      <c r="SM40" s="2" t="s">
        <v>1768</v>
      </c>
      <c r="SN40" s="2"/>
      <c r="SO40" s="2"/>
      <c r="SP40" s="8">
        <v>18721000</v>
      </c>
      <c r="SQ40" s="2" t="s">
        <v>95</v>
      </c>
      <c r="SR40" s="2"/>
      <c r="SS40" s="2"/>
      <c r="ST40" s="2"/>
      <c r="SU40" s="2"/>
      <c r="SV40" s="2"/>
      <c r="SW40" s="2"/>
      <c r="SX40" s="2" t="s">
        <v>96</v>
      </c>
      <c r="SY40" s="2" t="s">
        <v>96</v>
      </c>
      <c r="SZ40" s="2" t="s">
        <v>96</v>
      </c>
      <c r="TA40" s="2" t="s">
        <v>96</v>
      </c>
      <c r="TB40" s="8">
        <v>2859284</v>
      </c>
      <c r="TC40" s="2"/>
      <c r="TD40" s="2"/>
      <c r="TE40" s="2"/>
      <c r="TF40" s="2"/>
      <c r="TG40" s="2"/>
      <c r="TH40" s="2"/>
      <c r="TI40" s="8">
        <v>2845506</v>
      </c>
      <c r="TJ40" s="8">
        <v>24425790</v>
      </c>
      <c r="TK40" s="2">
        <v>0</v>
      </c>
      <c r="TL40" s="2" t="s">
        <v>9</v>
      </c>
      <c r="TM40" s="8">
        <v>5343825</v>
      </c>
      <c r="TN40" s="2" t="s">
        <v>95</v>
      </c>
      <c r="TO40" s="2"/>
      <c r="TP40" s="2"/>
      <c r="TQ40" s="2"/>
      <c r="TR40" s="2"/>
      <c r="TS40" s="2"/>
      <c r="TT40" s="2"/>
      <c r="TU40" s="2" t="s">
        <v>96</v>
      </c>
      <c r="TV40" s="8">
        <v>19061893</v>
      </c>
      <c r="TW40" s="2"/>
      <c r="TX40" s="2"/>
      <c r="TY40" s="2"/>
      <c r="TZ40" s="2"/>
      <c r="UA40" s="2"/>
      <c r="UB40" s="2"/>
      <c r="UC40" s="8">
        <v>20072</v>
      </c>
      <c r="UD40" s="8">
        <v>24425790</v>
      </c>
      <c r="UE40" s="6">
        <v>5343825</v>
      </c>
      <c r="UF40" s="2">
        <v>0</v>
      </c>
      <c r="UG40" s="2" t="s">
        <v>9</v>
      </c>
      <c r="UH40" s="2">
        <v>84</v>
      </c>
      <c r="UI40" s="5">
        <v>220000</v>
      </c>
      <c r="UJ40" s="6">
        <v>293333.33</v>
      </c>
      <c r="UK40" s="6">
        <v>293333.33</v>
      </c>
      <c r="UL40" s="6">
        <v>310933.33</v>
      </c>
      <c r="UM40" s="6">
        <v>26118400</v>
      </c>
      <c r="UN40" s="6">
        <v>4178944</v>
      </c>
      <c r="UO40" s="6">
        <v>4178944</v>
      </c>
      <c r="UP40" s="6">
        <v>30297344</v>
      </c>
      <c r="UQ40" s="6">
        <v>23432290</v>
      </c>
      <c r="UR40" s="2"/>
      <c r="US40" s="2"/>
      <c r="UT40" s="6">
        <v>0</v>
      </c>
      <c r="UU40" s="2"/>
      <c r="UV40" s="6">
        <v>0</v>
      </c>
      <c r="UW40" s="6">
        <v>0</v>
      </c>
      <c r="UX40" s="6">
        <v>0</v>
      </c>
      <c r="UY40" s="6">
        <v>0</v>
      </c>
      <c r="UZ40" s="2"/>
      <c r="VA40" s="2"/>
      <c r="VB40" s="2"/>
      <c r="VC40" s="2"/>
      <c r="VD40" s="2" t="s">
        <v>17</v>
      </c>
      <c r="VE40" s="2" t="s">
        <v>17</v>
      </c>
      <c r="VF40" s="2"/>
      <c r="VG40" s="2" t="s">
        <v>17</v>
      </c>
      <c r="VH40" s="2"/>
      <c r="VI40" s="388" t="s">
        <v>1769</v>
      </c>
      <c r="VJ40" s="2" t="s">
        <v>98</v>
      </c>
      <c r="VK40" s="2" t="s">
        <v>1224</v>
      </c>
      <c r="VL40" s="23">
        <f t="shared" si="21"/>
        <v>210</v>
      </c>
      <c r="VM40" s="17">
        <f t="shared" si="22"/>
        <v>2.5</v>
      </c>
      <c r="VN40" s="17" t="str">
        <f t="shared" si="12"/>
        <v>NC-GA-F</v>
      </c>
      <c r="VO40" s="17" t="str">
        <f t="shared" si="13"/>
        <v>NC-GA-F-Non</v>
      </c>
      <c r="VP40" s="12">
        <v>9</v>
      </c>
      <c r="VQ40" s="57">
        <v>1</v>
      </c>
      <c r="VR40" s="57">
        <f t="shared" si="23"/>
        <v>1</v>
      </c>
      <c r="VS40" s="14">
        <f t="shared" si="24"/>
        <v>1</v>
      </c>
      <c r="VT40" s="12">
        <f t="shared" si="25"/>
        <v>1</v>
      </c>
      <c r="VU40" s="16">
        <f t="shared" si="26"/>
        <v>19278000</v>
      </c>
      <c r="VV40" s="16">
        <f t="shared" si="27"/>
        <v>229500</v>
      </c>
      <c r="VW40" s="12" t="str">
        <f t="shared" si="14"/>
        <v>A</v>
      </c>
      <c r="VX40" s="12" t="str">
        <f t="shared" si="15"/>
        <v>NC-GA-Non</v>
      </c>
      <c r="VY40" s="351">
        <f t="shared" si="16"/>
        <v>3</v>
      </c>
      <c r="WA40" s="12">
        <f t="shared" si="17"/>
        <v>0</v>
      </c>
      <c r="WB40" s="12">
        <f t="shared" si="18"/>
        <v>0</v>
      </c>
      <c r="WC40" s="12">
        <f t="shared" si="18"/>
        <v>0</v>
      </c>
      <c r="WD40" s="12">
        <f t="shared" si="18"/>
        <v>0</v>
      </c>
      <c r="WE40" s="12">
        <f t="shared" si="19"/>
        <v>0</v>
      </c>
      <c r="WF40" s="12">
        <f t="shared" si="28"/>
        <v>1</v>
      </c>
      <c r="WG40" s="12">
        <f t="shared" si="29"/>
        <v>0</v>
      </c>
      <c r="WH40" s="12">
        <f t="shared" si="30"/>
        <v>0</v>
      </c>
      <c r="WI40" s="22">
        <f t="shared" si="31"/>
        <v>1</v>
      </c>
      <c r="WJ40" s="2"/>
      <c r="WK40" s="443" t="str">
        <f t="shared" si="20"/>
        <v>NC-GA-Non-BBN-BRN-NPH-F</v>
      </c>
      <c r="WL40" s="443"/>
      <c r="WM40" s="443"/>
    </row>
    <row r="41" spans="1:611" x14ac:dyDescent="0.25">
      <c r="A41" s="2">
        <v>9529</v>
      </c>
      <c r="B41" s="2" t="s">
        <v>1516</v>
      </c>
      <c r="C41" s="2" t="s">
        <v>8</v>
      </c>
      <c r="D41" s="3">
        <v>45153</v>
      </c>
      <c r="E41" s="2" t="s">
        <v>9</v>
      </c>
      <c r="F41" s="2">
        <v>3</v>
      </c>
      <c r="G41" s="2" t="s">
        <v>9</v>
      </c>
      <c r="H41" s="2">
        <v>3</v>
      </c>
      <c r="I41" s="2" t="s">
        <v>9</v>
      </c>
      <c r="J41" s="2">
        <v>1</v>
      </c>
      <c r="K41" s="2" t="s">
        <v>9</v>
      </c>
      <c r="L41" s="2">
        <v>3</v>
      </c>
      <c r="M41" s="2" t="s">
        <v>10</v>
      </c>
      <c r="N41" s="2">
        <v>0</v>
      </c>
      <c r="O41" s="2" t="s">
        <v>10</v>
      </c>
      <c r="P41" s="2">
        <v>0</v>
      </c>
      <c r="Q41" s="2" t="s">
        <v>11</v>
      </c>
      <c r="R41" s="2">
        <v>0</v>
      </c>
      <c r="S41" s="2" t="s">
        <v>9</v>
      </c>
      <c r="T41" s="2">
        <v>2</v>
      </c>
      <c r="U41" s="2" t="s">
        <v>9</v>
      </c>
      <c r="V41" s="2">
        <v>2</v>
      </c>
      <c r="W41" s="2" t="s">
        <v>9</v>
      </c>
      <c r="X41" s="2">
        <v>2</v>
      </c>
      <c r="Y41" s="2" t="s">
        <v>12</v>
      </c>
      <c r="Z41" s="2" t="s">
        <v>1517</v>
      </c>
      <c r="AA41" s="2" t="s">
        <v>1518</v>
      </c>
      <c r="AB41" s="2" t="s">
        <v>15</v>
      </c>
      <c r="AC41" s="2" t="s">
        <v>15</v>
      </c>
      <c r="AD41" s="2" t="s">
        <v>15</v>
      </c>
      <c r="AE41" s="2" t="s">
        <v>15</v>
      </c>
      <c r="AF41" s="2">
        <v>2</v>
      </c>
      <c r="AG41" s="2" t="s">
        <v>1519</v>
      </c>
      <c r="AH41" s="2" t="s">
        <v>17</v>
      </c>
      <c r="AI41" s="4">
        <v>0.15384999999999999</v>
      </c>
      <c r="AJ41" s="2" t="s">
        <v>17</v>
      </c>
      <c r="AK41" s="2" t="s">
        <v>9</v>
      </c>
      <c r="AL41" s="2" t="s">
        <v>17</v>
      </c>
      <c r="AM41" s="2" t="s">
        <v>17</v>
      </c>
      <c r="AN41" s="2" t="s">
        <v>17</v>
      </c>
      <c r="AO41" s="2" t="s">
        <v>9</v>
      </c>
      <c r="AP41" s="2" t="s">
        <v>17</v>
      </c>
      <c r="AQ41" s="2" t="s">
        <v>17</v>
      </c>
      <c r="AR41" s="2" t="s">
        <v>17</v>
      </c>
      <c r="AS41" s="2" t="s">
        <v>17</v>
      </c>
      <c r="AT41" s="2">
        <v>0</v>
      </c>
      <c r="AU41" s="5">
        <v>50000</v>
      </c>
      <c r="AV41" s="5">
        <v>460000</v>
      </c>
      <c r="AW41" s="2">
        <v>0</v>
      </c>
      <c r="AX41" s="2">
        <v>8</v>
      </c>
      <c r="AY41" s="2">
        <v>0</v>
      </c>
      <c r="AZ41" s="2">
        <v>18</v>
      </c>
      <c r="BA41" s="2">
        <v>0</v>
      </c>
      <c r="BB41" s="2">
        <v>1</v>
      </c>
      <c r="BC41" s="2">
        <v>0</v>
      </c>
      <c r="BD41" s="2">
        <v>0</v>
      </c>
      <c r="BE41" s="2">
        <v>0</v>
      </c>
      <c r="BF41" s="2">
        <v>1</v>
      </c>
      <c r="BG41" s="2">
        <v>0</v>
      </c>
      <c r="BH41" s="2">
        <v>0</v>
      </c>
      <c r="BI41" s="2">
        <v>13</v>
      </c>
      <c r="BJ41" s="2">
        <v>1</v>
      </c>
      <c r="BK41" s="2">
        <v>0</v>
      </c>
      <c r="BL41" s="2">
        <v>3</v>
      </c>
      <c r="BM41" s="2">
        <v>1</v>
      </c>
      <c r="BN41" s="2">
        <v>9</v>
      </c>
      <c r="BO41" s="2">
        <v>11</v>
      </c>
      <c r="BP41" s="2">
        <v>0</v>
      </c>
      <c r="BQ41" s="2">
        <v>10</v>
      </c>
      <c r="BR41" s="2">
        <v>11.91</v>
      </c>
      <c r="BS41" s="2">
        <v>0</v>
      </c>
      <c r="BT41" s="4">
        <v>0.06</v>
      </c>
      <c r="BU41" s="2" t="s">
        <v>9</v>
      </c>
      <c r="BV41" s="6">
        <v>211464.83</v>
      </c>
      <c r="BW41" s="2" t="s">
        <v>18</v>
      </c>
      <c r="BX41" s="2" t="s">
        <v>17</v>
      </c>
      <c r="BY41" s="2" t="s">
        <v>17</v>
      </c>
      <c r="BZ41" s="2" t="s">
        <v>17</v>
      </c>
      <c r="CA41" s="2" t="s">
        <v>17</v>
      </c>
      <c r="CB41" s="2" t="s">
        <v>17</v>
      </c>
      <c r="CC41" s="2" t="s">
        <v>17</v>
      </c>
      <c r="CD41" s="2" t="s">
        <v>17</v>
      </c>
      <c r="CE41" s="2" t="s">
        <v>1520</v>
      </c>
      <c r="CF41" s="2" t="s">
        <v>17</v>
      </c>
      <c r="CG41" s="2" t="s">
        <v>1521</v>
      </c>
      <c r="CH41" s="2" t="s">
        <v>1522</v>
      </c>
      <c r="CI41" s="2"/>
      <c r="CJ41" s="2" t="s">
        <v>9</v>
      </c>
      <c r="CK41" s="2" t="s">
        <v>1523</v>
      </c>
      <c r="CL41" s="2" t="s">
        <v>1522</v>
      </c>
      <c r="CM41" s="2" t="s">
        <v>1524</v>
      </c>
      <c r="CN41" s="2" t="s">
        <v>1525</v>
      </c>
      <c r="CO41" s="2" t="s">
        <v>24</v>
      </c>
      <c r="CP41" s="2"/>
      <c r="CQ41" s="2">
        <v>144</v>
      </c>
      <c r="CR41" s="2" t="s">
        <v>1526</v>
      </c>
      <c r="CS41" s="2">
        <v>2020</v>
      </c>
      <c r="CT41" s="2" t="s">
        <v>26</v>
      </c>
      <c r="CU41" s="2" t="s">
        <v>27</v>
      </c>
      <c r="CV41" s="2" t="s">
        <v>1278</v>
      </c>
      <c r="CW41" s="2" t="s">
        <v>1279</v>
      </c>
      <c r="CX41" s="2" t="s">
        <v>853</v>
      </c>
      <c r="CY41" s="2"/>
      <c r="CZ41" s="2">
        <v>404</v>
      </c>
      <c r="DA41" s="2" t="s">
        <v>1526</v>
      </c>
      <c r="DB41" s="2">
        <v>2018</v>
      </c>
      <c r="DC41" s="2" t="s">
        <v>26</v>
      </c>
      <c r="DD41" s="2" t="s">
        <v>27</v>
      </c>
      <c r="DE41" s="2" t="s">
        <v>1280</v>
      </c>
      <c r="DF41" s="2" t="s">
        <v>1281</v>
      </c>
      <c r="DG41" s="2" t="s">
        <v>853</v>
      </c>
      <c r="DH41" s="2"/>
      <c r="DI41" s="2">
        <v>228</v>
      </c>
      <c r="DJ41" s="2" t="s">
        <v>1526</v>
      </c>
      <c r="DK41" s="2">
        <v>2020</v>
      </c>
      <c r="DL41" s="2" t="s">
        <v>26</v>
      </c>
      <c r="DM41" s="2" t="s">
        <v>27</v>
      </c>
      <c r="DN41" s="2" t="s">
        <v>33</v>
      </c>
      <c r="DO41" s="2" t="s">
        <v>1527</v>
      </c>
      <c r="DP41" s="2"/>
      <c r="DQ41" s="2" t="s">
        <v>1454</v>
      </c>
      <c r="DR41" s="2" t="s">
        <v>1455</v>
      </c>
      <c r="DS41" s="2">
        <v>1</v>
      </c>
      <c r="DT41" s="2" t="s">
        <v>1528</v>
      </c>
      <c r="DU41" s="2" t="s">
        <v>1529</v>
      </c>
      <c r="DV41" s="2" t="s">
        <v>39</v>
      </c>
      <c r="DW41" s="2">
        <v>34205</v>
      </c>
      <c r="DX41" s="2" t="s">
        <v>1530</v>
      </c>
      <c r="DY41" s="2">
        <v>126</v>
      </c>
      <c r="DZ41" s="2" t="s">
        <v>1459</v>
      </c>
      <c r="EA41" s="2" t="s">
        <v>1531</v>
      </c>
      <c r="EB41" s="2" t="s">
        <v>1532</v>
      </c>
      <c r="EC41" s="2" t="s">
        <v>333</v>
      </c>
      <c r="ED41" s="2" t="s">
        <v>44</v>
      </c>
      <c r="EE41" s="2">
        <v>96</v>
      </c>
      <c r="EF41" s="2" t="s">
        <v>1533</v>
      </c>
      <c r="EG41" s="2">
        <v>9</v>
      </c>
      <c r="EH41" s="2" t="s">
        <v>46</v>
      </c>
      <c r="EI41" s="2" t="s">
        <v>47</v>
      </c>
      <c r="EJ41" s="2" t="s">
        <v>1534</v>
      </c>
      <c r="EK41" s="2" t="s">
        <v>1535</v>
      </c>
      <c r="EL41" s="2" t="s">
        <v>44</v>
      </c>
      <c r="EM41" s="2">
        <v>90</v>
      </c>
      <c r="EN41" s="2" t="s">
        <v>1533</v>
      </c>
      <c r="EO41" s="2">
        <v>6</v>
      </c>
      <c r="EP41" s="2" t="s">
        <v>46</v>
      </c>
      <c r="EQ41" s="2" t="s">
        <v>47</v>
      </c>
      <c r="ER41" s="2" t="s">
        <v>1293</v>
      </c>
      <c r="ES41" s="2" t="s">
        <v>583</v>
      </c>
      <c r="ET41" s="2" t="s">
        <v>1294</v>
      </c>
      <c r="EU41" s="2" t="s">
        <v>1536</v>
      </c>
      <c r="EV41" s="2" t="s">
        <v>1537</v>
      </c>
      <c r="EW41" s="2" t="s">
        <v>1297</v>
      </c>
      <c r="EX41" s="2" t="s">
        <v>39</v>
      </c>
      <c r="EY41" s="2">
        <v>33444</v>
      </c>
      <c r="EZ41" s="2" t="s">
        <v>1298</v>
      </c>
      <c r="FA41" s="2"/>
      <c r="FB41" s="2" t="s">
        <v>1299</v>
      </c>
      <c r="FC41" s="2" t="s">
        <v>1527</v>
      </c>
      <c r="FD41" s="2"/>
      <c r="FE41" s="2" t="s">
        <v>1538</v>
      </c>
      <c r="FF41" s="2" t="s">
        <v>1539</v>
      </c>
      <c r="FG41" s="2" t="s">
        <v>1296</v>
      </c>
      <c r="FH41" s="2" t="s">
        <v>1302</v>
      </c>
      <c r="FI41" s="2" t="s">
        <v>39</v>
      </c>
      <c r="FJ41" s="2">
        <v>33444</v>
      </c>
      <c r="FK41" s="2" t="s">
        <v>1540</v>
      </c>
      <c r="FL41" s="2"/>
      <c r="FM41" s="2" t="s">
        <v>1541</v>
      </c>
      <c r="FN41" s="2" t="s">
        <v>1542</v>
      </c>
      <c r="FO41" s="2" t="s">
        <v>63</v>
      </c>
      <c r="FP41" s="2" t="s">
        <v>64</v>
      </c>
      <c r="FQ41" s="2" t="s">
        <v>9</v>
      </c>
      <c r="FR41" s="2" t="s">
        <v>17</v>
      </c>
      <c r="FS41" s="2" t="s">
        <v>17</v>
      </c>
      <c r="FT41" s="2" t="s">
        <v>9</v>
      </c>
      <c r="FU41" s="2">
        <v>0</v>
      </c>
      <c r="FV41" s="2">
        <v>0</v>
      </c>
      <c r="FW41" s="4">
        <v>0</v>
      </c>
      <c r="FX41" s="4">
        <v>0</v>
      </c>
      <c r="FY41" s="2" t="s">
        <v>65</v>
      </c>
      <c r="FZ41" s="2" t="s">
        <v>66</v>
      </c>
      <c r="GA41" s="2" t="s">
        <v>67</v>
      </c>
      <c r="GB41" s="2"/>
      <c r="GC41" s="2"/>
      <c r="GD41" s="2"/>
      <c r="GE41" s="2" t="s">
        <v>68</v>
      </c>
      <c r="GF41" s="2"/>
      <c r="GG41" s="2"/>
      <c r="GH41" s="2">
        <v>78</v>
      </c>
      <c r="GI41" s="2"/>
      <c r="GJ41" s="2"/>
      <c r="GK41" s="2"/>
      <c r="GL41" s="2"/>
      <c r="GM41" s="2"/>
      <c r="GN41" s="2"/>
      <c r="GO41" s="2"/>
      <c r="GP41" s="2"/>
      <c r="GQ41" s="2">
        <v>78</v>
      </c>
      <c r="GR41" s="2" t="s">
        <v>1065</v>
      </c>
      <c r="GS41" s="2" t="s">
        <v>70</v>
      </c>
      <c r="GT41" s="2" t="s">
        <v>1543</v>
      </c>
      <c r="GU41" s="2" t="s">
        <v>1544</v>
      </c>
      <c r="GV41" s="2" t="s">
        <v>17</v>
      </c>
      <c r="GW41" s="2">
        <v>27.906196000000001</v>
      </c>
      <c r="GX41" s="2">
        <v>-81.593179000000006</v>
      </c>
      <c r="GY41" s="2"/>
      <c r="GZ41" s="2" t="s">
        <v>17</v>
      </c>
      <c r="HA41" s="2" t="s">
        <v>9</v>
      </c>
      <c r="HB41" s="2">
        <v>3</v>
      </c>
      <c r="HC41" s="2" t="s">
        <v>17</v>
      </c>
      <c r="HD41" s="2"/>
      <c r="HE41" s="2">
        <v>0</v>
      </c>
      <c r="HF41" s="2">
        <v>27.901233000000001</v>
      </c>
      <c r="HG41" s="2">
        <v>-81.592314000000002</v>
      </c>
      <c r="HH41" s="2">
        <v>0.35</v>
      </c>
      <c r="HI41" s="2">
        <v>3</v>
      </c>
      <c r="HJ41" s="2">
        <v>27.901353</v>
      </c>
      <c r="HK41" s="2">
        <v>-81.592831000000004</v>
      </c>
      <c r="HL41" s="2">
        <v>0.33</v>
      </c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 t="s">
        <v>73</v>
      </c>
      <c r="HY41" s="2" t="s">
        <v>17</v>
      </c>
      <c r="HZ41" s="2"/>
      <c r="IA41" s="2" t="s">
        <v>1545</v>
      </c>
      <c r="IB41" s="2" t="s">
        <v>1546</v>
      </c>
      <c r="IC41" s="2">
        <v>0.95</v>
      </c>
      <c r="ID41" s="2">
        <v>2.5</v>
      </c>
      <c r="IE41" s="2" t="s">
        <v>1547</v>
      </c>
      <c r="IF41" s="2">
        <v>0.42</v>
      </c>
      <c r="IG41" s="2">
        <v>3.5</v>
      </c>
      <c r="IH41" s="2"/>
      <c r="II41" s="2"/>
      <c r="IJ41" s="2"/>
      <c r="IK41" s="2" t="s">
        <v>1548</v>
      </c>
      <c r="IL41" s="2" t="s">
        <v>1549</v>
      </c>
      <c r="IM41" s="2">
        <v>0.65</v>
      </c>
      <c r="IN41" s="2">
        <v>3.5</v>
      </c>
      <c r="IO41" s="2" t="s">
        <v>9</v>
      </c>
      <c r="IP41" s="2">
        <v>3</v>
      </c>
      <c r="IQ41" s="2">
        <v>9.5</v>
      </c>
      <c r="IR41" s="2">
        <v>3</v>
      </c>
      <c r="IS41" s="2">
        <v>15.5</v>
      </c>
      <c r="IT41" s="2" t="s">
        <v>9</v>
      </c>
      <c r="IU41" s="2" t="s">
        <v>17</v>
      </c>
      <c r="IV41" s="2" t="s">
        <v>9</v>
      </c>
      <c r="IW41" s="2" t="s">
        <v>9</v>
      </c>
      <c r="IX41" s="2" t="s">
        <v>9</v>
      </c>
      <c r="IY41" s="2">
        <v>12.5</v>
      </c>
      <c r="IZ41" s="2">
        <v>78</v>
      </c>
      <c r="JA41" s="2" t="s">
        <v>81</v>
      </c>
      <c r="JB41" s="2" t="s">
        <v>82</v>
      </c>
      <c r="JC41" s="2"/>
      <c r="JD41" s="2"/>
      <c r="JE41" s="2"/>
      <c r="JF41" s="2"/>
      <c r="JG41" s="2"/>
      <c r="JH41" s="7">
        <v>0</v>
      </c>
      <c r="JI41" s="2">
        <v>0</v>
      </c>
      <c r="JJ41" s="7">
        <v>0</v>
      </c>
      <c r="JK41" s="2">
        <v>0</v>
      </c>
      <c r="JL41" s="7">
        <v>0</v>
      </c>
      <c r="JM41" s="2">
        <v>12</v>
      </c>
      <c r="JN41" s="2"/>
      <c r="JO41" s="2"/>
      <c r="JP41" s="2">
        <v>42</v>
      </c>
      <c r="JQ41" s="2">
        <v>12</v>
      </c>
      <c r="JR41" s="2">
        <v>12</v>
      </c>
      <c r="JS41" s="2">
        <v>0</v>
      </c>
      <c r="JT41" s="2">
        <v>0</v>
      </c>
      <c r="JU41" s="2"/>
      <c r="JV41" s="2">
        <v>78</v>
      </c>
      <c r="JW41" s="4">
        <v>1</v>
      </c>
      <c r="JX41" s="2">
        <v>78</v>
      </c>
      <c r="JY41" s="4">
        <v>0.6</v>
      </c>
      <c r="JZ41" s="2">
        <v>0</v>
      </c>
      <c r="KA41" s="2"/>
      <c r="KB41" s="2"/>
      <c r="KC41" s="2"/>
      <c r="KD41" s="2"/>
      <c r="KE41" s="2"/>
      <c r="KF41" s="2"/>
      <c r="KG41" s="2"/>
      <c r="KH41" s="2">
        <v>18</v>
      </c>
      <c r="KI41" s="2"/>
      <c r="KJ41" s="2"/>
      <c r="KK41" s="2">
        <v>42</v>
      </c>
      <c r="KL41" s="2">
        <v>18</v>
      </c>
      <c r="KM41" s="2"/>
      <c r="KN41" s="2"/>
      <c r="KO41" s="2"/>
      <c r="KP41" s="2"/>
      <c r="KQ41" s="2" t="s">
        <v>83</v>
      </c>
      <c r="KR41" s="2" t="s">
        <v>73</v>
      </c>
      <c r="KS41" s="2"/>
      <c r="KT41" s="2">
        <v>4</v>
      </c>
      <c r="KU41" s="2" t="s">
        <v>84</v>
      </c>
      <c r="KV41" s="2" t="s">
        <v>85</v>
      </c>
      <c r="KW41" s="2" t="s">
        <v>86</v>
      </c>
      <c r="KX41" s="2" t="s">
        <v>17</v>
      </c>
      <c r="KY41" s="2" t="s">
        <v>17</v>
      </c>
      <c r="KZ41" s="2" t="s">
        <v>17</v>
      </c>
      <c r="LA41" s="2" t="s">
        <v>17</v>
      </c>
      <c r="LB41" s="2" t="s">
        <v>17</v>
      </c>
      <c r="LC41" s="2" t="s">
        <v>17</v>
      </c>
      <c r="LD41" s="2" t="s">
        <v>17</v>
      </c>
      <c r="LE41" s="2" t="s">
        <v>17</v>
      </c>
      <c r="LF41" s="2" t="s">
        <v>17</v>
      </c>
      <c r="LG41" s="2" t="s">
        <v>17</v>
      </c>
      <c r="LH41" s="2" t="s">
        <v>17</v>
      </c>
      <c r="LI41" s="2" t="s">
        <v>17</v>
      </c>
      <c r="LJ41" s="2" t="s">
        <v>87</v>
      </c>
      <c r="LK41" s="2" t="s">
        <v>17</v>
      </c>
      <c r="LL41" s="2" t="s">
        <v>17</v>
      </c>
      <c r="LM41" s="2">
        <v>0</v>
      </c>
      <c r="LN41" s="2" t="s">
        <v>17</v>
      </c>
      <c r="LO41" s="2" t="s">
        <v>9</v>
      </c>
      <c r="LP41" s="2" t="s">
        <v>9</v>
      </c>
      <c r="LQ41" s="2" t="s">
        <v>17</v>
      </c>
      <c r="LR41" s="2" t="s">
        <v>9</v>
      </c>
      <c r="LS41" s="2" t="s">
        <v>17</v>
      </c>
      <c r="LT41" s="2" t="s">
        <v>17</v>
      </c>
      <c r="LU41" s="2" t="s">
        <v>17</v>
      </c>
      <c r="LV41" s="2" t="s">
        <v>17</v>
      </c>
      <c r="LW41" s="2" t="s">
        <v>17</v>
      </c>
      <c r="LX41" s="2" t="s">
        <v>17</v>
      </c>
      <c r="LY41" s="5">
        <v>6240000</v>
      </c>
      <c r="LZ41" s="5">
        <v>0</v>
      </c>
      <c r="MA41" s="5">
        <v>7200000</v>
      </c>
      <c r="MB41" s="5">
        <v>0</v>
      </c>
      <c r="MC41" s="5">
        <v>0</v>
      </c>
      <c r="MD41" s="5">
        <v>0</v>
      </c>
      <c r="ME41" s="5">
        <v>8190000</v>
      </c>
      <c r="MF41" s="5">
        <v>0</v>
      </c>
      <c r="MG41" s="5">
        <v>0</v>
      </c>
      <c r="MH41" s="5">
        <v>0</v>
      </c>
      <c r="MI41" s="5">
        <v>0</v>
      </c>
      <c r="MJ41" s="5">
        <v>0</v>
      </c>
      <c r="MK41" s="5">
        <v>0</v>
      </c>
      <c r="ML41" s="2">
        <v>0</v>
      </c>
      <c r="MM41" s="5">
        <v>0</v>
      </c>
      <c r="MN41" s="5">
        <v>0</v>
      </c>
      <c r="MO41" s="2">
        <v>0</v>
      </c>
      <c r="MP41" s="2">
        <v>0</v>
      </c>
      <c r="MQ41" s="2">
        <v>0</v>
      </c>
      <c r="MR41" s="5">
        <v>2950000</v>
      </c>
      <c r="MS41" s="5">
        <v>0</v>
      </c>
      <c r="MT41" s="5">
        <v>4600000</v>
      </c>
      <c r="MU41" s="5">
        <v>0</v>
      </c>
      <c r="MV41" s="5">
        <v>0</v>
      </c>
      <c r="MW41" s="5">
        <v>0</v>
      </c>
      <c r="MX41" s="5">
        <v>0</v>
      </c>
      <c r="MY41" s="5">
        <v>2500000</v>
      </c>
      <c r="MZ41" s="5">
        <v>0</v>
      </c>
      <c r="NA41" s="5">
        <v>5000000</v>
      </c>
      <c r="NB41" s="5">
        <v>0</v>
      </c>
      <c r="NC41" s="5">
        <v>0</v>
      </c>
      <c r="ND41" s="5">
        <v>0</v>
      </c>
      <c r="NE41" s="5">
        <v>0</v>
      </c>
      <c r="NF41" s="5">
        <v>0</v>
      </c>
      <c r="NG41" s="5">
        <v>2142000</v>
      </c>
      <c r="NH41" s="5">
        <v>2142000</v>
      </c>
      <c r="NI41" s="5">
        <v>2142000</v>
      </c>
      <c r="NJ41" s="5">
        <v>0</v>
      </c>
      <c r="NK41" s="5"/>
      <c r="NL41" s="2" t="s">
        <v>9</v>
      </c>
      <c r="NM41" s="2" t="s">
        <v>17</v>
      </c>
      <c r="NN41" s="2"/>
      <c r="NO41" s="2" t="s">
        <v>17</v>
      </c>
      <c r="NP41" s="2"/>
      <c r="NQ41" s="2"/>
      <c r="NR41" s="2" t="s">
        <v>17</v>
      </c>
      <c r="NS41" s="2"/>
      <c r="NT41" s="2" t="s">
        <v>9</v>
      </c>
      <c r="NU41" s="2" t="s">
        <v>450</v>
      </c>
      <c r="NV41" s="2">
        <v>143.01</v>
      </c>
      <c r="NW41" s="2" t="s">
        <v>1550</v>
      </c>
      <c r="NX41" s="2" t="s">
        <v>17</v>
      </c>
      <c r="NY41" s="2"/>
      <c r="NZ41" s="2"/>
      <c r="OA41" s="2" t="s">
        <v>118</v>
      </c>
      <c r="OB41" s="2" t="s">
        <v>118</v>
      </c>
      <c r="OC41" s="2" t="s">
        <v>118</v>
      </c>
      <c r="OD41" s="2" t="s">
        <v>17</v>
      </c>
      <c r="OE41" s="2" t="s">
        <v>119</v>
      </c>
      <c r="OF41" s="2"/>
      <c r="OG41" s="2" t="s">
        <v>17</v>
      </c>
      <c r="OH41" s="2"/>
      <c r="OI41" s="2"/>
      <c r="OJ41" s="2"/>
      <c r="OK41" s="2" t="s">
        <v>17</v>
      </c>
      <c r="OL41" s="2" t="s">
        <v>17</v>
      </c>
      <c r="OM41" s="2" t="s">
        <v>85</v>
      </c>
      <c r="ON41" s="6">
        <v>0</v>
      </c>
      <c r="OO41" s="6">
        <v>0</v>
      </c>
      <c r="OP41" s="2" t="s">
        <v>93</v>
      </c>
      <c r="OQ41" s="2" t="s">
        <v>93</v>
      </c>
      <c r="OR41" s="6">
        <v>0</v>
      </c>
      <c r="OS41" s="4">
        <v>0</v>
      </c>
      <c r="OT41" s="2" t="s">
        <v>9</v>
      </c>
      <c r="OU41" s="2" t="s">
        <v>9</v>
      </c>
      <c r="OV41" s="2"/>
      <c r="OW41" s="2" t="s">
        <v>1551</v>
      </c>
      <c r="OX41" s="5">
        <v>16494257</v>
      </c>
      <c r="OY41" s="6">
        <v>211464.83</v>
      </c>
      <c r="OZ41" s="8">
        <v>1000000</v>
      </c>
      <c r="PA41" s="8">
        <v>1000000</v>
      </c>
      <c r="PB41" s="8">
        <v>13593931</v>
      </c>
      <c r="PC41" s="2"/>
      <c r="PD41" s="8">
        <v>13593931</v>
      </c>
      <c r="PE41" s="2"/>
      <c r="PF41" s="2"/>
      <c r="PG41" s="2"/>
      <c r="PH41" s="2"/>
      <c r="PI41" s="2"/>
      <c r="PJ41" s="2"/>
      <c r="PK41" s="8">
        <v>13593931</v>
      </c>
      <c r="PL41" s="8">
        <v>1000000</v>
      </c>
      <c r="PM41" s="8">
        <v>14593931</v>
      </c>
      <c r="PN41" s="8">
        <v>2043150</v>
      </c>
      <c r="PO41" s="2"/>
      <c r="PP41" s="8">
        <v>2043150</v>
      </c>
      <c r="PQ41" s="6">
        <v>2043150</v>
      </c>
      <c r="PR41" s="8">
        <v>15637081</v>
      </c>
      <c r="PS41" s="8">
        <v>1000000</v>
      </c>
      <c r="PT41" s="8">
        <v>16637081</v>
      </c>
      <c r="PU41" s="8">
        <v>831854</v>
      </c>
      <c r="PV41" s="2"/>
      <c r="PW41" s="8">
        <v>831854</v>
      </c>
      <c r="PX41" s="6">
        <v>831854.05</v>
      </c>
      <c r="PY41" s="8">
        <v>853500</v>
      </c>
      <c r="PZ41" s="8">
        <v>210000</v>
      </c>
      <c r="QA41" s="8">
        <v>1063500</v>
      </c>
      <c r="QB41" s="8">
        <v>207963</v>
      </c>
      <c r="QC41" s="2"/>
      <c r="QD41" s="8">
        <v>207963</v>
      </c>
      <c r="QE41" s="8">
        <v>840768</v>
      </c>
      <c r="QF41" s="8">
        <v>77473</v>
      </c>
      <c r="QG41" s="8">
        <v>918241</v>
      </c>
      <c r="QH41" s="2"/>
      <c r="QI41" s="8">
        <v>431317</v>
      </c>
      <c r="QJ41" s="8">
        <v>431317</v>
      </c>
      <c r="QK41" s="2"/>
      <c r="QL41" s="8">
        <v>195000</v>
      </c>
      <c r="QM41" s="8">
        <v>195000</v>
      </c>
      <c r="QN41" s="8">
        <v>355000</v>
      </c>
      <c r="QO41" s="8">
        <v>46500</v>
      </c>
      <c r="QP41" s="8">
        <v>401500</v>
      </c>
      <c r="QQ41" s="8">
        <v>2257231</v>
      </c>
      <c r="QR41" s="8">
        <v>960290</v>
      </c>
      <c r="QS41" s="8">
        <v>3217521</v>
      </c>
      <c r="QT41" s="8">
        <v>140626</v>
      </c>
      <c r="QU41" s="2"/>
      <c r="QV41" s="8">
        <v>140626</v>
      </c>
      <c r="QW41" s="6">
        <v>160876.04999999999</v>
      </c>
      <c r="QX41" s="8">
        <v>172500</v>
      </c>
      <c r="QY41" s="2"/>
      <c r="QZ41" s="8">
        <v>172500</v>
      </c>
      <c r="RA41" s="8">
        <v>54486</v>
      </c>
      <c r="RB41" s="8">
        <v>54486</v>
      </c>
      <c r="RC41" s="8">
        <v>771899</v>
      </c>
      <c r="RD41" s="8">
        <v>324420</v>
      </c>
      <c r="RE41" s="8">
        <v>1096319</v>
      </c>
      <c r="RF41" s="8">
        <v>944399</v>
      </c>
      <c r="RG41" s="8">
        <v>378906</v>
      </c>
      <c r="RH41" s="8">
        <v>1323305</v>
      </c>
      <c r="RI41" s="2"/>
      <c r="RJ41" s="2"/>
      <c r="RK41" s="2"/>
      <c r="RL41" s="2"/>
      <c r="RM41" s="8">
        <v>19811191</v>
      </c>
      <c r="RN41" s="8">
        <v>2339196</v>
      </c>
      <c r="RO41" s="8">
        <v>22150387</v>
      </c>
      <c r="RP41" s="2"/>
      <c r="RQ41" s="2"/>
      <c r="RR41" s="2">
        <v>0</v>
      </c>
      <c r="RS41" s="6">
        <v>0</v>
      </c>
      <c r="RT41" s="8">
        <v>3523448</v>
      </c>
      <c r="RU41" s="2"/>
      <c r="RV41" s="8">
        <v>3523448</v>
      </c>
      <c r="RW41" s="6">
        <v>3544061</v>
      </c>
      <c r="RX41" s="6">
        <v>0</v>
      </c>
      <c r="RY41" s="8">
        <v>3523448</v>
      </c>
      <c r="RZ41" s="2"/>
      <c r="SA41" s="8">
        <v>3523448</v>
      </c>
      <c r="SB41" s="6">
        <v>3544061</v>
      </c>
      <c r="SC41" s="8">
        <v>226644</v>
      </c>
      <c r="SD41" s="8">
        <v>226644</v>
      </c>
      <c r="SE41" s="6">
        <v>273000</v>
      </c>
      <c r="SF41" s="8">
        <v>585000</v>
      </c>
      <c r="SG41" s="8">
        <v>585000</v>
      </c>
      <c r="SH41" s="8">
        <v>23334639</v>
      </c>
      <c r="SI41" s="8">
        <v>3150840</v>
      </c>
      <c r="SJ41" s="8">
        <v>26485479</v>
      </c>
      <c r="SK41" s="2"/>
      <c r="SL41" s="2"/>
      <c r="SM41" s="2" t="s">
        <v>1552</v>
      </c>
      <c r="SN41" s="2" t="s">
        <v>1553</v>
      </c>
      <c r="SO41" s="2"/>
      <c r="SP41" s="8">
        <v>17250000</v>
      </c>
      <c r="SQ41" s="2" t="s">
        <v>95</v>
      </c>
      <c r="SR41" s="8">
        <v>1000000</v>
      </c>
      <c r="SS41" s="2" t="s">
        <v>180</v>
      </c>
      <c r="ST41" s="8">
        <v>1500000</v>
      </c>
      <c r="SU41" s="2" t="s">
        <v>180</v>
      </c>
      <c r="SV41" s="8">
        <v>585000</v>
      </c>
      <c r="SW41" s="2" t="s">
        <v>1316</v>
      </c>
      <c r="SX41" s="2" t="s">
        <v>96</v>
      </c>
      <c r="SY41" s="2" t="s">
        <v>96</v>
      </c>
      <c r="SZ41" s="2" t="s">
        <v>96</v>
      </c>
      <c r="TA41" s="2" t="s">
        <v>96</v>
      </c>
      <c r="TB41" s="8">
        <v>3855214</v>
      </c>
      <c r="TC41" s="2"/>
      <c r="TD41" s="2"/>
      <c r="TE41" s="2"/>
      <c r="TF41" s="2"/>
      <c r="TG41" s="2"/>
      <c r="TH41" s="2"/>
      <c r="TI41" s="8">
        <v>2295265</v>
      </c>
      <c r="TJ41" s="8">
        <v>26485479</v>
      </c>
      <c r="TK41" s="2">
        <v>0</v>
      </c>
      <c r="TL41" s="2" t="s">
        <v>9</v>
      </c>
      <c r="TM41" s="8">
        <v>3000000</v>
      </c>
      <c r="TN41" s="2" t="s">
        <v>95</v>
      </c>
      <c r="TO41" s="8">
        <v>1000000</v>
      </c>
      <c r="TP41" s="2" t="s">
        <v>180</v>
      </c>
      <c r="TQ41" s="8">
        <v>1500000</v>
      </c>
      <c r="TR41" s="2" t="s">
        <v>180</v>
      </c>
      <c r="TS41" s="8">
        <v>585000</v>
      </c>
      <c r="TT41" s="2" t="s">
        <v>1316</v>
      </c>
      <c r="TU41" s="2" t="s">
        <v>96</v>
      </c>
      <c r="TV41" s="8">
        <v>19276072</v>
      </c>
      <c r="TW41" s="2"/>
      <c r="TX41" s="2"/>
      <c r="TY41" s="2"/>
      <c r="TZ41" s="2"/>
      <c r="UA41" s="2"/>
      <c r="UB41" s="2"/>
      <c r="UC41" s="8">
        <v>1124407</v>
      </c>
      <c r="UD41" s="8">
        <v>26485479</v>
      </c>
      <c r="UE41" s="6">
        <v>6085000</v>
      </c>
      <c r="UF41" s="2">
        <v>0</v>
      </c>
      <c r="UG41" s="2" t="s">
        <v>9</v>
      </c>
      <c r="UH41" s="2">
        <v>78</v>
      </c>
      <c r="UI41" s="5">
        <v>220000</v>
      </c>
      <c r="UJ41" s="6">
        <v>293333.33</v>
      </c>
      <c r="UK41" s="6">
        <v>300833.33</v>
      </c>
      <c r="UL41" s="6">
        <v>318883.33</v>
      </c>
      <c r="UM41" s="6">
        <v>24872900</v>
      </c>
      <c r="UN41" s="6">
        <v>3979664</v>
      </c>
      <c r="UO41" s="6">
        <v>3979664</v>
      </c>
      <c r="UP41" s="6">
        <v>28852564</v>
      </c>
      <c r="UQ41" s="6">
        <v>24478835</v>
      </c>
      <c r="UR41" s="6">
        <v>2500000</v>
      </c>
      <c r="US41" s="2"/>
      <c r="UT41" s="6">
        <v>2500000</v>
      </c>
      <c r="UU41" s="2"/>
      <c r="UV41" s="6">
        <v>0</v>
      </c>
      <c r="UW41" s="6">
        <v>2500000</v>
      </c>
      <c r="UX41" s="6">
        <v>0</v>
      </c>
      <c r="UY41" s="6">
        <v>2500000</v>
      </c>
      <c r="UZ41" s="2" t="s">
        <v>1554</v>
      </c>
      <c r="VA41" s="2" t="s">
        <v>182</v>
      </c>
      <c r="VB41" s="2" t="s">
        <v>1555</v>
      </c>
      <c r="VC41" s="2" t="s">
        <v>182</v>
      </c>
      <c r="VD41" s="2" t="s">
        <v>9</v>
      </c>
      <c r="VE41" s="2" t="s">
        <v>9</v>
      </c>
      <c r="VF41" s="2" t="s">
        <v>1556</v>
      </c>
      <c r="VG41" s="2" t="s">
        <v>9</v>
      </c>
      <c r="VH41" s="2" t="s">
        <v>1557</v>
      </c>
      <c r="VI41" s="388" t="s">
        <v>1275</v>
      </c>
      <c r="VJ41" s="2" t="s">
        <v>98</v>
      </c>
      <c r="VK41" s="2" t="s">
        <v>1319</v>
      </c>
      <c r="VL41" s="23">
        <f t="shared" si="21"/>
        <v>156</v>
      </c>
      <c r="VM41" s="17">
        <f t="shared" si="22"/>
        <v>2</v>
      </c>
      <c r="VN41" s="17" t="str">
        <f t="shared" si="12"/>
        <v>NC-GA-F</v>
      </c>
      <c r="VO41" s="17" t="str">
        <f t="shared" si="13"/>
        <v>NC-GA-F-Non</v>
      </c>
      <c r="VP41" s="12">
        <v>9</v>
      </c>
      <c r="VQ41" s="57">
        <v>1</v>
      </c>
      <c r="VR41" s="57">
        <f t="shared" si="23"/>
        <v>1</v>
      </c>
      <c r="VS41" s="14">
        <f t="shared" si="24"/>
        <v>0.97</v>
      </c>
      <c r="VT41" s="12">
        <f t="shared" si="25"/>
        <v>1</v>
      </c>
      <c r="VU41" s="16">
        <f t="shared" si="26"/>
        <v>18699660</v>
      </c>
      <c r="VV41" s="16">
        <f t="shared" si="27"/>
        <v>239739.23076923078</v>
      </c>
      <c r="VW41" s="12" t="str">
        <f t="shared" si="14"/>
        <v>A</v>
      </c>
      <c r="VX41" s="12" t="str">
        <f t="shared" si="15"/>
        <v>NC-GA-Non</v>
      </c>
      <c r="VY41" s="351">
        <f t="shared" si="16"/>
        <v>4</v>
      </c>
      <c r="WA41" s="12">
        <f t="shared" si="17"/>
        <v>0</v>
      </c>
      <c r="WB41" s="12">
        <f t="shared" si="18"/>
        <v>0</v>
      </c>
      <c r="WC41" s="12">
        <f t="shared" si="18"/>
        <v>0</v>
      </c>
      <c r="WD41" s="12">
        <f t="shared" si="18"/>
        <v>1</v>
      </c>
      <c r="WE41" s="12">
        <f t="shared" si="19"/>
        <v>0</v>
      </c>
      <c r="WF41" s="12">
        <f t="shared" si="28"/>
        <v>1</v>
      </c>
      <c r="WG41" s="12">
        <f t="shared" si="29"/>
        <v>0</v>
      </c>
      <c r="WH41" s="12">
        <f t="shared" si="30"/>
        <v>0</v>
      </c>
      <c r="WI41" s="22">
        <f t="shared" si="31"/>
        <v>2</v>
      </c>
      <c r="WJ41" s="2"/>
      <c r="WK41" s="443" t="str">
        <f t="shared" si="20"/>
        <v>NC-GA-Non-BBN-BRN-PHA-F</v>
      </c>
      <c r="WL41" s="443"/>
      <c r="WM41" s="443"/>
    </row>
    <row r="42" spans="1:611" x14ac:dyDescent="0.25">
      <c r="A42" s="2">
        <v>9527</v>
      </c>
      <c r="B42" s="2" t="s">
        <v>1491</v>
      </c>
      <c r="C42" s="2" t="s">
        <v>8</v>
      </c>
      <c r="D42" s="3">
        <v>45153</v>
      </c>
      <c r="E42" s="2" t="s">
        <v>9</v>
      </c>
      <c r="F42" s="2">
        <v>3</v>
      </c>
      <c r="G42" s="2" t="s">
        <v>9</v>
      </c>
      <c r="H42" s="2">
        <v>3</v>
      </c>
      <c r="I42" s="2" t="s">
        <v>9</v>
      </c>
      <c r="J42" s="2">
        <v>1</v>
      </c>
      <c r="K42" s="2" t="s">
        <v>9</v>
      </c>
      <c r="L42" s="2">
        <v>3</v>
      </c>
      <c r="M42" s="2" t="s">
        <v>10</v>
      </c>
      <c r="N42" s="2">
        <v>0</v>
      </c>
      <c r="O42" s="2" t="s">
        <v>10</v>
      </c>
      <c r="P42" s="2">
        <v>0</v>
      </c>
      <c r="Q42" s="2" t="s">
        <v>11</v>
      </c>
      <c r="R42" s="2">
        <v>0</v>
      </c>
      <c r="S42" s="2" t="s">
        <v>9</v>
      </c>
      <c r="T42" s="2">
        <v>2</v>
      </c>
      <c r="U42" s="2" t="s">
        <v>9</v>
      </c>
      <c r="V42" s="2">
        <v>2</v>
      </c>
      <c r="W42" s="2" t="s">
        <v>9</v>
      </c>
      <c r="X42" s="2">
        <v>2</v>
      </c>
      <c r="Y42" s="2" t="s">
        <v>12</v>
      </c>
      <c r="Z42" s="2" t="s">
        <v>15</v>
      </c>
      <c r="AA42" s="2" t="s">
        <v>15</v>
      </c>
      <c r="AB42" s="2" t="s">
        <v>15</v>
      </c>
      <c r="AC42" s="2" t="s">
        <v>15</v>
      </c>
      <c r="AD42" s="2" t="s">
        <v>15</v>
      </c>
      <c r="AE42" s="2" t="s">
        <v>15</v>
      </c>
      <c r="AF42" s="2">
        <v>0</v>
      </c>
      <c r="AG42" s="2" t="s">
        <v>234</v>
      </c>
      <c r="AH42" s="2" t="s">
        <v>17</v>
      </c>
      <c r="AI42" s="4">
        <v>0.1</v>
      </c>
      <c r="AJ42" s="2" t="s">
        <v>17</v>
      </c>
      <c r="AK42" s="2" t="s">
        <v>9</v>
      </c>
      <c r="AL42" s="2" t="s">
        <v>17</v>
      </c>
      <c r="AM42" s="2" t="s">
        <v>9</v>
      </c>
      <c r="AN42" s="2" t="s">
        <v>17</v>
      </c>
      <c r="AO42" s="2" t="s">
        <v>17</v>
      </c>
      <c r="AP42" s="2" t="s">
        <v>17</v>
      </c>
      <c r="AQ42" s="2" t="s">
        <v>17</v>
      </c>
      <c r="AR42" s="2" t="s">
        <v>17</v>
      </c>
      <c r="AS42" s="2" t="s">
        <v>17</v>
      </c>
      <c r="AT42" s="2">
        <v>0</v>
      </c>
      <c r="AU42" s="5">
        <v>37500</v>
      </c>
      <c r="AV42" s="5">
        <v>460000</v>
      </c>
      <c r="AW42" s="2">
        <v>0</v>
      </c>
      <c r="AX42" s="2">
        <v>7</v>
      </c>
      <c r="AY42" s="2">
        <v>0</v>
      </c>
      <c r="AZ42" s="2">
        <v>18</v>
      </c>
      <c r="BA42" s="2">
        <v>0</v>
      </c>
      <c r="BB42" s="2">
        <v>1</v>
      </c>
      <c r="BC42" s="2">
        <v>0</v>
      </c>
      <c r="BD42" s="2">
        <v>0</v>
      </c>
      <c r="BE42" s="2">
        <v>0</v>
      </c>
      <c r="BF42" s="2">
        <v>1</v>
      </c>
      <c r="BG42" s="2">
        <v>0</v>
      </c>
      <c r="BH42" s="2">
        <v>0</v>
      </c>
      <c r="BI42" s="2">
        <v>13</v>
      </c>
      <c r="BJ42" s="2">
        <v>1</v>
      </c>
      <c r="BK42" s="2">
        <v>0</v>
      </c>
      <c r="BL42" s="2">
        <v>3</v>
      </c>
      <c r="BM42" s="2">
        <v>2</v>
      </c>
      <c r="BN42" s="2">
        <v>12</v>
      </c>
      <c r="BO42" s="2">
        <v>11</v>
      </c>
      <c r="BP42" s="2">
        <v>0</v>
      </c>
      <c r="BQ42" s="2">
        <v>10</v>
      </c>
      <c r="BR42" s="2">
        <v>11.1</v>
      </c>
      <c r="BS42" s="2">
        <v>0</v>
      </c>
      <c r="BT42" s="4">
        <v>0.06</v>
      </c>
      <c r="BU42" s="2" t="s">
        <v>9</v>
      </c>
      <c r="BV42" s="6">
        <v>212248.93</v>
      </c>
      <c r="BW42" s="2" t="s">
        <v>18</v>
      </c>
      <c r="BX42" s="2" t="s">
        <v>17</v>
      </c>
      <c r="BY42" s="2" t="s">
        <v>17</v>
      </c>
      <c r="BZ42" s="2" t="s">
        <v>17</v>
      </c>
      <c r="CA42" s="2" t="s">
        <v>17</v>
      </c>
      <c r="CB42" s="2" t="s">
        <v>17</v>
      </c>
      <c r="CC42" s="2" t="s">
        <v>17</v>
      </c>
      <c r="CD42" s="2" t="s">
        <v>17</v>
      </c>
      <c r="CE42" s="2" t="s">
        <v>1492</v>
      </c>
      <c r="CF42" s="2" t="s">
        <v>17</v>
      </c>
      <c r="CG42" s="2" t="s">
        <v>1446</v>
      </c>
      <c r="CH42" s="2" t="s">
        <v>1493</v>
      </c>
      <c r="CI42" s="2"/>
      <c r="CJ42" s="2" t="s">
        <v>9</v>
      </c>
      <c r="CK42" s="2" t="s">
        <v>1447</v>
      </c>
      <c r="CL42" s="2" t="s">
        <v>1446</v>
      </c>
      <c r="CM42" s="2" t="s">
        <v>1448</v>
      </c>
      <c r="CN42" s="2" t="s">
        <v>1449</v>
      </c>
      <c r="CO42" s="2" t="s">
        <v>24</v>
      </c>
      <c r="CP42" s="2"/>
      <c r="CQ42" s="2">
        <v>40</v>
      </c>
      <c r="CR42" s="2" t="s">
        <v>240</v>
      </c>
      <c r="CS42" s="2">
        <v>2015</v>
      </c>
      <c r="CT42" s="2" t="s">
        <v>26</v>
      </c>
      <c r="CU42" s="2" t="s">
        <v>27</v>
      </c>
      <c r="CV42" s="2" t="s">
        <v>1451</v>
      </c>
      <c r="CW42" s="2" t="s">
        <v>1449</v>
      </c>
      <c r="CX42" s="2" t="s">
        <v>24</v>
      </c>
      <c r="CY42" s="2"/>
      <c r="CZ42" s="2">
        <v>80</v>
      </c>
      <c r="DA42" s="2" t="s">
        <v>240</v>
      </c>
      <c r="DB42" s="2">
        <v>2009</v>
      </c>
      <c r="DC42" s="2" t="s">
        <v>243</v>
      </c>
      <c r="DD42" s="2" t="s">
        <v>27</v>
      </c>
      <c r="DE42" s="2" t="s">
        <v>1452</v>
      </c>
      <c r="DF42" s="2" t="s">
        <v>1453</v>
      </c>
      <c r="DG42" s="2" t="s">
        <v>24</v>
      </c>
      <c r="DH42" s="2"/>
      <c r="DI42" s="2">
        <v>60</v>
      </c>
      <c r="DJ42" s="2" t="s">
        <v>240</v>
      </c>
      <c r="DK42" s="2">
        <v>2010</v>
      </c>
      <c r="DL42" s="2" t="s">
        <v>243</v>
      </c>
      <c r="DM42" s="2" t="s">
        <v>27</v>
      </c>
      <c r="DN42" s="2" t="s">
        <v>33</v>
      </c>
      <c r="DO42" s="2" t="s">
        <v>399</v>
      </c>
      <c r="DP42" s="2"/>
      <c r="DQ42" s="2" t="s">
        <v>1454</v>
      </c>
      <c r="DR42" s="2" t="s">
        <v>1455</v>
      </c>
      <c r="DS42" s="2">
        <v>1</v>
      </c>
      <c r="DT42" s="2" t="s">
        <v>1456</v>
      </c>
      <c r="DU42" s="2" t="s">
        <v>1457</v>
      </c>
      <c r="DV42" s="2" t="s">
        <v>39</v>
      </c>
      <c r="DW42" s="2">
        <v>34205</v>
      </c>
      <c r="DX42" s="2" t="s">
        <v>1458</v>
      </c>
      <c r="DY42" s="2">
        <v>126</v>
      </c>
      <c r="DZ42" s="2" t="s">
        <v>1459</v>
      </c>
      <c r="EA42" s="2" t="s">
        <v>1455</v>
      </c>
      <c r="EB42" s="2" t="s">
        <v>1460</v>
      </c>
      <c r="EC42" s="2" t="s">
        <v>1461</v>
      </c>
      <c r="ED42" s="2" t="s">
        <v>44</v>
      </c>
      <c r="EE42" s="2">
        <v>80</v>
      </c>
      <c r="EF42" s="2" t="s">
        <v>254</v>
      </c>
      <c r="EG42" s="2">
        <v>22</v>
      </c>
      <c r="EH42" s="2" t="s">
        <v>46</v>
      </c>
      <c r="EI42" s="2" t="s">
        <v>47</v>
      </c>
      <c r="EJ42" s="2" t="s">
        <v>1463</v>
      </c>
      <c r="EK42" s="2" t="s">
        <v>1464</v>
      </c>
      <c r="EL42" s="2" t="s">
        <v>44</v>
      </c>
      <c r="EM42" s="2">
        <v>53</v>
      </c>
      <c r="EN42" s="2" t="s">
        <v>254</v>
      </c>
      <c r="EO42" s="2">
        <v>7</v>
      </c>
      <c r="EP42" s="2" t="s">
        <v>46</v>
      </c>
      <c r="EQ42" s="2" t="s">
        <v>47</v>
      </c>
      <c r="ER42" s="2" t="s">
        <v>1465</v>
      </c>
      <c r="ES42" s="2" t="s">
        <v>1466</v>
      </c>
      <c r="ET42" s="2" t="s">
        <v>1467</v>
      </c>
      <c r="EU42" s="2" t="s">
        <v>1494</v>
      </c>
      <c r="EV42" s="2" t="s">
        <v>1468</v>
      </c>
      <c r="EW42" s="2" t="s">
        <v>1469</v>
      </c>
      <c r="EX42" s="2" t="s">
        <v>39</v>
      </c>
      <c r="EY42" s="2">
        <v>33907</v>
      </c>
      <c r="EZ42" s="2" t="s">
        <v>1470</v>
      </c>
      <c r="FA42" s="2"/>
      <c r="FB42" s="2" t="s">
        <v>1471</v>
      </c>
      <c r="FC42" s="2" t="s">
        <v>294</v>
      </c>
      <c r="FD42" s="2" t="s">
        <v>1472</v>
      </c>
      <c r="FE42" s="2" t="s">
        <v>1467</v>
      </c>
      <c r="FF42" s="2" t="s">
        <v>1446</v>
      </c>
      <c r="FG42" s="2" t="s">
        <v>1468</v>
      </c>
      <c r="FH42" s="2" t="s">
        <v>1469</v>
      </c>
      <c r="FI42" s="2" t="s">
        <v>39</v>
      </c>
      <c r="FJ42" s="2">
        <v>33907</v>
      </c>
      <c r="FK42" s="2" t="s">
        <v>1473</v>
      </c>
      <c r="FL42" s="2"/>
      <c r="FM42" s="2" t="s">
        <v>1474</v>
      </c>
      <c r="FN42" s="2" t="s">
        <v>1495</v>
      </c>
      <c r="FO42" s="2" t="s">
        <v>63</v>
      </c>
      <c r="FP42" s="2" t="s">
        <v>64</v>
      </c>
      <c r="FQ42" s="2" t="s">
        <v>9</v>
      </c>
      <c r="FR42" s="2" t="s">
        <v>17</v>
      </c>
      <c r="FS42" s="2" t="s">
        <v>17</v>
      </c>
      <c r="FT42" s="2" t="s">
        <v>9</v>
      </c>
      <c r="FU42" s="2">
        <v>0</v>
      </c>
      <c r="FV42" s="2">
        <v>0</v>
      </c>
      <c r="FW42" s="4">
        <v>0</v>
      </c>
      <c r="FX42" s="4">
        <v>0</v>
      </c>
      <c r="FY42" s="2" t="s">
        <v>65</v>
      </c>
      <c r="FZ42" s="2" t="s">
        <v>66</v>
      </c>
      <c r="GA42" s="2" t="s">
        <v>67</v>
      </c>
      <c r="GB42" s="2"/>
      <c r="GC42" s="2"/>
      <c r="GD42" s="2"/>
      <c r="GE42" s="2" t="s">
        <v>68</v>
      </c>
      <c r="GF42" s="2">
        <v>56</v>
      </c>
      <c r="GG42" s="2">
        <v>56</v>
      </c>
      <c r="GH42" s="2"/>
      <c r="GI42" s="2"/>
      <c r="GJ42" s="2"/>
      <c r="GK42" s="2"/>
      <c r="GL42" s="2"/>
      <c r="GM42" s="2"/>
      <c r="GN42" s="2"/>
      <c r="GO42" s="2"/>
      <c r="GP42" s="2"/>
      <c r="GQ42" s="2">
        <v>56</v>
      </c>
      <c r="GR42" s="2" t="s">
        <v>1112</v>
      </c>
      <c r="GS42" s="2" t="s">
        <v>70</v>
      </c>
      <c r="GT42" s="2" t="s">
        <v>1496</v>
      </c>
      <c r="GU42" s="2" t="s">
        <v>1497</v>
      </c>
      <c r="GV42" s="2" t="s">
        <v>9</v>
      </c>
      <c r="GW42" s="2">
        <v>26.246988000000002</v>
      </c>
      <c r="GX42" s="2">
        <v>-81.686059999999998</v>
      </c>
      <c r="GY42" s="2" t="s">
        <v>1498</v>
      </c>
      <c r="GZ42" s="2" t="s">
        <v>17</v>
      </c>
      <c r="HA42" s="2" t="s">
        <v>17</v>
      </c>
      <c r="HB42" s="2">
        <v>0</v>
      </c>
      <c r="HC42" s="2" t="s">
        <v>17</v>
      </c>
      <c r="HD42" s="2"/>
      <c r="HE42" s="2">
        <v>0</v>
      </c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 t="s">
        <v>73</v>
      </c>
      <c r="HY42" s="2" t="s">
        <v>17</v>
      </c>
      <c r="HZ42" s="2"/>
      <c r="IA42" s="2" t="s">
        <v>167</v>
      </c>
      <c r="IB42" s="2" t="s">
        <v>1499</v>
      </c>
      <c r="IC42" s="2">
        <v>0.27</v>
      </c>
      <c r="ID42" s="2">
        <v>4</v>
      </c>
      <c r="IE42" s="2" t="s">
        <v>1201</v>
      </c>
      <c r="IF42" s="2">
        <v>0.46</v>
      </c>
      <c r="IG42" s="2">
        <v>3.5</v>
      </c>
      <c r="IH42" s="2"/>
      <c r="II42" s="2"/>
      <c r="IJ42" s="2"/>
      <c r="IK42" s="2" t="s">
        <v>1500</v>
      </c>
      <c r="IL42" s="2" t="s">
        <v>1501</v>
      </c>
      <c r="IM42" s="2">
        <v>1.31</v>
      </c>
      <c r="IN42" s="2">
        <v>2</v>
      </c>
      <c r="IO42" s="2" t="s">
        <v>9</v>
      </c>
      <c r="IP42" s="2">
        <v>0</v>
      </c>
      <c r="IQ42" s="2">
        <v>9.5</v>
      </c>
      <c r="IR42" s="2">
        <v>0</v>
      </c>
      <c r="IS42" s="2">
        <v>9.5</v>
      </c>
      <c r="IT42" s="2" t="s">
        <v>9</v>
      </c>
      <c r="IU42" s="2" t="s">
        <v>17</v>
      </c>
      <c r="IV42" s="2" t="s">
        <v>17</v>
      </c>
      <c r="IW42" s="2" t="s">
        <v>9</v>
      </c>
      <c r="IX42" s="2" t="s">
        <v>9</v>
      </c>
      <c r="IY42" s="2">
        <v>9.5</v>
      </c>
      <c r="IZ42" s="2">
        <v>56</v>
      </c>
      <c r="JA42" s="2" t="s">
        <v>81</v>
      </c>
      <c r="JB42" s="2" t="s">
        <v>173</v>
      </c>
      <c r="JC42" s="7">
        <v>0.1</v>
      </c>
      <c r="JD42" s="2"/>
      <c r="JE42" s="2"/>
      <c r="JF42" s="2"/>
      <c r="JG42" s="7">
        <v>0.9</v>
      </c>
      <c r="JH42" s="7">
        <v>0</v>
      </c>
      <c r="JI42" s="2">
        <v>56</v>
      </c>
      <c r="JJ42" s="7">
        <v>1</v>
      </c>
      <c r="JK42" s="2">
        <v>56</v>
      </c>
      <c r="JL42" s="7">
        <v>1</v>
      </c>
      <c r="JM42" s="2"/>
      <c r="JN42" s="2"/>
      <c r="JO42" s="2"/>
      <c r="JP42" s="2"/>
      <c r="JQ42" s="2"/>
      <c r="JR42" s="2"/>
      <c r="JS42" s="2">
        <v>0</v>
      </c>
      <c r="JT42" s="2">
        <v>0</v>
      </c>
      <c r="JU42" s="2"/>
      <c r="JV42" s="2">
        <v>0</v>
      </c>
      <c r="JW42" s="4">
        <v>0</v>
      </c>
      <c r="JX42" s="2">
        <v>0</v>
      </c>
      <c r="JY42" s="4">
        <v>0</v>
      </c>
      <c r="JZ42" s="2">
        <v>0</v>
      </c>
      <c r="KA42" s="2"/>
      <c r="KB42" s="2"/>
      <c r="KC42" s="2"/>
      <c r="KD42" s="2"/>
      <c r="KE42" s="2"/>
      <c r="KF42" s="2"/>
      <c r="KG42" s="2"/>
      <c r="KH42" s="2">
        <v>20</v>
      </c>
      <c r="KI42" s="2"/>
      <c r="KJ42" s="2"/>
      <c r="KK42" s="2">
        <v>24</v>
      </c>
      <c r="KL42" s="2">
        <v>12</v>
      </c>
      <c r="KM42" s="2"/>
      <c r="KN42" s="2"/>
      <c r="KO42" s="2"/>
      <c r="KP42" s="2"/>
      <c r="KQ42" s="2" t="s">
        <v>83</v>
      </c>
      <c r="KR42" s="2" t="s">
        <v>73</v>
      </c>
      <c r="KS42" s="2"/>
      <c r="KT42" s="2">
        <v>1</v>
      </c>
      <c r="KU42" s="2" t="s">
        <v>84</v>
      </c>
      <c r="KV42" s="2" t="s">
        <v>85</v>
      </c>
      <c r="KW42" s="2" t="s">
        <v>86</v>
      </c>
      <c r="KX42" s="2" t="s">
        <v>17</v>
      </c>
      <c r="KY42" s="2" t="s">
        <v>17</v>
      </c>
      <c r="KZ42" s="2" t="s">
        <v>17</v>
      </c>
      <c r="LA42" s="2" t="s">
        <v>17</v>
      </c>
      <c r="LB42" s="2" t="s">
        <v>17</v>
      </c>
      <c r="LC42" s="2" t="s">
        <v>17</v>
      </c>
      <c r="LD42" s="2" t="s">
        <v>17</v>
      </c>
      <c r="LE42" s="2" t="s">
        <v>17</v>
      </c>
      <c r="LF42" s="2" t="s">
        <v>17</v>
      </c>
      <c r="LG42" s="2" t="s">
        <v>17</v>
      </c>
      <c r="LH42" s="2" t="s">
        <v>17</v>
      </c>
      <c r="LI42" s="2" t="s">
        <v>17</v>
      </c>
      <c r="LJ42" s="2" t="s">
        <v>87</v>
      </c>
      <c r="LK42" s="2" t="s">
        <v>17</v>
      </c>
      <c r="LL42" s="2" t="s">
        <v>17</v>
      </c>
      <c r="LM42" s="2">
        <v>0</v>
      </c>
      <c r="LN42" s="2" t="s">
        <v>17</v>
      </c>
      <c r="LO42" s="2" t="s">
        <v>17</v>
      </c>
      <c r="LP42" s="2" t="s">
        <v>9</v>
      </c>
      <c r="LQ42" s="2" t="s">
        <v>17</v>
      </c>
      <c r="LR42" s="2" t="s">
        <v>9</v>
      </c>
      <c r="LS42" s="2" t="s">
        <v>9</v>
      </c>
      <c r="LT42" s="2" t="s">
        <v>17</v>
      </c>
      <c r="LU42" s="2" t="s">
        <v>17</v>
      </c>
      <c r="LV42" s="2" t="s">
        <v>17</v>
      </c>
      <c r="LW42" s="2" t="s">
        <v>17</v>
      </c>
      <c r="LX42" s="2" t="s">
        <v>17</v>
      </c>
      <c r="LY42" s="5">
        <v>4480000</v>
      </c>
      <c r="LZ42" s="5">
        <v>0</v>
      </c>
      <c r="MA42" s="5">
        <v>5600000</v>
      </c>
      <c r="MB42" s="5">
        <v>0</v>
      </c>
      <c r="MC42" s="5">
        <v>0</v>
      </c>
      <c r="MD42" s="5">
        <v>0</v>
      </c>
      <c r="ME42" s="5">
        <v>5880000</v>
      </c>
      <c r="MF42" s="5">
        <v>0</v>
      </c>
      <c r="MG42" s="5">
        <v>0</v>
      </c>
      <c r="MH42" s="5">
        <v>0</v>
      </c>
      <c r="MI42" s="5">
        <v>0</v>
      </c>
      <c r="MJ42" s="5">
        <v>0</v>
      </c>
      <c r="MK42" s="5">
        <v>0</v>
      </c>
      <c r="ML42" s="2">
        <v>0</v>
      </c>
      <c r="MM42" s="5">
        <v>0</v>
      </c>
      <c r="MN42" s="5">
        <v>0</v>
      </c>
      <c r="MO42" s="2">
        <v>0</v>
      </c>
      <c r="MP42" s="2">
        <v>0</v>
      </c>
      <c r="MQ42" s="2">
        <v>0</v>
      </c>
      <c r="MR42" s="5">
        <v>2950000</v>
      </c>
      <c r="MS42" s="5">
        <v>0</v>
      </c>
      <c r="MT42" s="5">
        <v>4600000</v>
      </c>
      <c r="MU42" s="5">
        <v>0</v>
      </c>
      <c r="MV42" s="5">
        <v>0</v>
      </c>
      <c r="MW42" s="5">
        <v>0</v>
      </c>
      <c r="MX42" s="5">
        <v>0</v>
      </c>
      <c r="MY42" s="5">
        <v>2500000</v>
      </c>
      <c r="MZ42" s="5">
        <v>0</v>
      </c>
      <c r="NA42" s="5">
        <v>5000000</v>
      </c>
      <c r="NB42" s="5">
        <v>0</v>
      </c>
      <c r="NC42" s="5">
        <v>0</v>
      </c>
      <c r="ND42" s="5">
        <v>0</v>
      </c>
      <c r="NE42" s="5">
        <v>0</v>
      </c>
      <c r="NF42" s="5">
        <v>0</v>
      </c>
      <c r="NG42" s="5">
        <v>2142000</v>
      </c>
      <c r="NH42" s="5">
        <v>1650000</v>
      </c>
      <c r="NI42" s="5">
        <v>1650000</v>
      </c>
      <c r="NJ42" s="5">
        <v>0</v>
      </c>
      <c r="NK42" s="5"/>
      <c r="NL42" s="2" t="s">
        <v>17</v>
      </c>
      <c r="NM42" s="2" t="s">
        <v>17</v>
      </c>
      <c r="NN42" s="2"/>
      <c r="NO42" s="2" t="s">
        <v>9</v>
      </c>
      <c r="NP42" s="2">
        <v>34120</v>
      </c>
      <c r="NQ42" s="2" t="s">
        <v>1119</v>
      </c>
      <c r="NR42" s="2" t="s">
        <v>17</v>
      </c>
      <c r="NS42" s="2"/>
      <c r="NT42" s="2" t="s">
        <v>17</v>
      </c>
      <c r="NU42" s="2"/>
      <c r="NV42" s="2"/>
      <c r="NW42" s="2"/>
      <c r="NX42" s="2"/>
      <c r="NY42" s="2"/>
      <c r="NZ42" s="2"/>
      <c r="OA42" s="2" t="s">
        <v>118</v>
      </c>
      <c r="OB42" s="2" t="s">
        <v>118</v>
      </c>
      <c r="OC42" s="2" t="s">
        <v>118</v>
      </c>
      <c r="OD42" s="2" t="s">
        <v>17</v>
      </c>
      <c r="OE42" s="2" t="s">
        <v>119</v>
      </c>
      <c r="OF42" s="2"/>
      <c r="OG42" s="2" t="s">
        <v>9</v>
      </c>
      <c r="OH42" s="2" t="s">
        <v>557</v>
      </c>
      <c r="OI42" s="2"/>
      <c r="OJ42" s="2"/>
      <c r="OK42" s="2" t="s">
        <v>17</v>
      </c>
      <c r="OL42" s="2" t="s">
        <v>17</v>
      </c>
      <c r="OM42" s="2" t="s">
        <v>85</v>
      </c>
      <c r="ON42" s="6">
        <v>0</v>
      </c>
      <c r="OO42" s="6">
        <v>0</v>
      </c>
      <c r="OP42" s="2" t="s">
        <v>93</v>
      </c>
      <c r="OQ42" s="2" t="s">
        <v>93</v>
      </c>
      <c r="OR42" s="6">
        <v>0</v>
      </c>
      <c r="OS42" s="4">
        <v>0</v>
      </c>
      <c r="OT42" s="2" t="s">
        <v>17</v>
      </c>
      <c r="OU42" s="2" t="s">
        <v>17</v>
      </c>
      <c r="OV42" s="2"/>
      <c r="OW42" s="2"/>
      <c r="OX42" s="5">
        <v>11885940</v>
      </c>
      <c r="OY42" s="6">
        <v>212248.93</v>
      </c>
      <c r="OZ42" s="2"/>
      <c r="PA42" s="2"/>
      <c r="PB42" s="8">
        <v>10050000</v>
      </c>
      <c r="PC42" s="2"/>
      <c r="PD42" s="8">
        <v>10050000</v>
      </c>
      <c r="PE42" s="2"/>
      <c r="PF42" s="2"/>
      <c r="PG42" s="2"/>
      <c r="PH42" s="2"/>
      <c r="PI42" s="2"/>
      <c r="PJ42" s="2"/>
      <c r="PK42" s="8">
        <v>10050000</v>
      </c>
      <c r="PL42" s="2"/>
      <c r="PM42" s="8">
        <v>10050000</v>
      </c>
      <c r="PN42" s="8">
        <v>1405000</v>
      </c>
      <c r="PO42" s="2"/>
      <c r="PP42" s="8">
        <v>1405000</v>
      </c>
      <c r="PQ42" s="6">
        <v>1407000</v>
      </c>
      <c r="PR42" s="8">
        <v>11455000</v>
      </c>
      <c r="PS42" s="2"/>
      <c r="PT42" s="8">
        <v>11455000</v>
      </c>
      <c r="PU42" s="8">
        <v>570000</v>
      </c>
      <c r="PV42" s="2"/>
      <c r="PW42" s="8">
        <v>570000</v>
      </c>
      <c r="PX42" s="6">
        <v>572750</v>
      </c>
      <c r="PY42" s="8">
        <v>1050000</v>
      </c>
      <c r="PZ42" s="8">
        <v>350000</v>
      </c>
      <c r="QA42" s="8">
        <v>1400000</v>
      </c>
      <c r="QB42" s="8">
        <v>175000</v>
      </c>
      <c r="QC42" s="2"/>
      <c r="QD42" s="8">
        <v>175000</v>
      </c>
      <c r="QE42" s="8">
        <v>920000</v>
      </c>
      <c r="QF42" s="2"/>
      <c r="QG42" s="8">
        <v>920000</v>
      </c>
      <c r="QH42" s="2"/>
      <c r="QI42" s="8">
        <v>363810</v>
      </c>
      <c r="QJ42" s="8">
        <v>363810</v>
      </c>
      <c r="QK42" s="2"/>
      <c r="QL42" s="2"/>
      <c r="QM42" s="2"/>
      <c r="QN42" s="2"/>
      <c r="QO42" s="2"/>
      <c r="QP42" s="2"/>
      <c r="QQ42" s="8">
        <v>2145000</v>
      </c>
      <c r="QR42" s="8">
        <v>713810</v>
      </c>
      <c r="QS42" s="8">
        <v>2858810</v>
      </c>
      <c r="QT42" s="8">
        <v>140000</v>
      </c>
      <c r="QU42" s="2"/>
      <c r="QV42" s="8">
        <v>140000</v>
      </c>
      <c r="QW42" s="6">
        <v>142940.5</v>
      </c>
      <c r="QX42" s="8">
        <v>900000</v>
      </c>
      <c r="QY42" s="8">
        <v>50000</v>
      </c>
      <c r="QZ42" s="8">
        <v>950000</v>
      </c>
      <c r="RA42" s="8">
        <v>156250</v>
      </c>
      <c r="RB42" s="8">
        <v>156250</v>
      </c>
      <c r="RC42" s="2"/>
      <c r="RD42" s="2"/>
      <c r="RE42" s="2"/>
      <c r="RF42" s="8">
        <v>900000</v>
      </c>
      <c r="RG42" s="8">
        <v>206250</v>
      </c>
      <c r="RH42" s="8">
        <v>1106250</v>
      </c>
      <c r="RI42" s="2"/>
      <c r="RJ42" s="2"/>
      <c r="RK42" s="2"/>
      <c r="RL42" s="2"/>
      <c r="RM42" s="8">
        <v>15210000</v>
      </c>
      <c r="RN42" s="8">
        <v>920060</v>
      </c>
      <c r="RO42" s="8">
        <v>16130060</v>
      </c>
      <c r="RP42" s="2"/>
      <c r="RQ42" s="2"/>
      <c r="RR42" s="2">
        <v>0</v>
      </c>
      <c r="RS42" s="6">
        <v>0</v>
      </c>
      <c r="RT42" s="8">
        <v>2550000</v>
      </c>
      <c r="RU42" s="2"/>
      <c r="RV42" s="8">
        <v>2550000</v>
      </c>
      <c r="RW42" s="6">
        <v>2580809</v>
      </c>
      <c r="RX42" s="6">
        <v>0</v>
      </c>
      <c r="RY42" s="8">
        <v>2550000</v>
      </c>
      <c r="RZ42" s="2"/>
      <c r="SA42" s="8">
        <v>2550000</v>
      </c>
      <c r="SB42" s="6">
        <v>2580809</v>
      </c>
      <c r="SC42" s="2"/>
      <c r="SD42" s="2"/>
      <c r="SE42" s="6">
        <v>196000</v>
      </c>
      <c r="SF42" s="8">
        <v>1100000</v>
      </c>
      <c r="SG42" s="8">
        <v>1100000</v>
      </c>
      <c r="SH42" s="8">
        <v>17760000</v>
      </c>
      <c r="SI42" s="8">
        <v>2020060</v>
      </c>
      <c r="SJ42" s="8">
        <v>19780060</v>
      </c>
      <c r="SK42" s="2" t="s">
        <v>85</v>
      </c>
      <c r="SL42" s="2"/>
      <c r="SM42" s="2"/>
      <c r="SN42" s="2"/>
      <c r="SO42" s="2"/>
      <c r="SP42" s="8">
        <v>12500000</v>
      </c>
      <c r="SQ42" s="2" t="s">
        <v>95</v>
      </c>
      <c r="SR42" s="8">
        <v>460000</v>
      </c>
      <c r="SS42" s="2" t="s">
        <v>180</v>
      </c>
      <c r="ST42" s="2"/>
      <c r="SU42" s="2"/>
      <c r="SV42" s="2"/>
      <c r="SW42" s="2"/>
      <c r="SX42" s="2" t="s">
        <v>96</v>
      </c>
      <c r="SY42" s="2" t="s">
        <v>96</v>
      </c>
      <c r="SZ42" s="2" t="s">
        <v>96</v>
      </c>
      <c r="TA42" s="2" t="s">
        <v>96</v>
      </c>
      <c r="TB42" s="8">
        <v>5081493</v>
      </c>
      <c r="TC42" s="2"/>
      <c r="TD42" s="2"/>
      <c r="TE42" s="2"/>
      <c r="TF42" s="2"/>
      <c r="TG42" s="2"/>
      <c r="TH42" s="2"/>
      <c r="TI42" s="8">
        <v>1738567</v>
      </c>
      <c r="TJ42" s="8">
        <v>19780060</v>
      </c>
      <c r="TK42" s="2">
        <v>0</v>
      </c>
      <c r="TL42" s="2" t="s">
        <v>9</v>
      </c>
      <c r="TM42" s="8">
        <v>3450000</v>
      </c>
      <c r="TN42" s="2" t="s">
        <v>95</v>
      </c>
      <c r="TO42" s="8">
        <v>460000</v>
      </c>
      <c r="TP42" s="2" t="s">
        <v>180</v>
      </c>
      <c r="TQ42" s="2"/>
      <c r="TR42" s="2"/>
      <c r="TS42" s="2"/>
      <c r="TT42" s="2"/>
      <c r="TU42" s="2" t="s">
        <v>96</v>
      </c>
      <c r="TV42" s="8">
        <v>14518548</v>
      </c>
      <c r="TW42" s="2"/>
      <c r="TX42" s="2"/>
      <c r="TY42" s="2"/>
      <c r="TZ42" s="2"/>
      <c r="UA42" s="2"/>
      <c r="UB42" s="2"/>
      <c r="UC42" s="8">
        <v>1351512</v>
      </c>
      <c r="UD42" s="8">
        <v>19780060</v>
      </c>
      <c r="UE42" s="6">
        <v>3910000</v>
      </c>
      <c r="UF42" s="2">
        <v>0</v>
      </c>
      <c r="UG42" s="2" t="s">
        <v>9</v>
      </c>
      <c r="UH42" s="2">
        <v>56</v>
      </c>
      <c r="UI42" s="5">
        <v>240000</v>
      </c>
      <c r="UJ42" s="6">
        <v>320000</v>
      </c>
      <c r="UK42" s="6">
        <v>320000</v>
      </c>
      <c r="UL42" s="6">
        <v>339200</v>
      </c>
      <c r="UM42" s="6">
        <v>18995200</v>
      </c>
      <c r="UN42" s="6">
        <v>3039232</v>
      </c>
      <c r="UO42" s="6">
        <v>3039232</v>
      </c>
      <c r="UP42" s="6">
        <v>22034432</v>
      </c>
      <c r="UQ42" s="6">
        <v>18680060</v>
      </c>
      <c r="UR42" s="6">
        <v>460000</v>
      </c>
      <c r="US42" s="2"/>
      <c r="UT42" s="6">
        <v>460000</v>
      </c>
      <c r="UU42" s="2"/>
      <c r="UV42" s="6">
        <v>0</v>
      </c>
      <c r="UW42" s="6">
        <v>460000</v>
      </c>
      <c r="UX42" s="6">
        <v>0</v>
      </c>
      <c r="UY42" s="6">
        <v>460000</v>
      </c>
      <c r="UZ42" s="2" t="s">
        <v>1502</v>
      </c>
      <c r="VA42" s="2" t="s">
        <v>182</v>
      </c>
      <c r="VB42" s="2"/>
      <c r="VC42" s="2"/>
      <c r="VD42" s="2" t="s">
        <v>9</v>
      </c>
      <c r="VE42" s="2" t="s">
        <v>17</v>
      </c>
      <c r="VF42" s="2"/>
      <c r="VG42" s="2" t="s">
        <v>17</v>
      </c>
      <c r="VH42" s="2"/>
      <c r="VI42" s="388" t="s">
        <v>1447</v>
      </c>
      <c r="VJ42" s="2" t="s">
        <v>98</v>
      </c>
      <c r="VK42" s="2" t="s">
        <v>1503</v>
      </c>
      <c r="VL42" s="23">
        <f t="shared" si="21"/>
        <v>104</v>
      </c>
      <c r="VM42" s="17">
        <f t="shared" si="22"/>
        <v>1.8571428571428572</v>
      </c>
      <c r="VN42" s="17" t="str">
        <f t="shared" si="12"/>
        <v>NC-GA-F</v>
      </c>
      <c r="VO42" s="17" t="str">
        <f t="shared" si="13"/>
        <v>NC-GA-F-ESS</v>
      </c>
      <c r="VP42" s="12">
        <v>9</v>
      </c>
      <c r="VQ42" s="57">
        <v>1</v>
      </c>
      <c r="VR42" s="57">
        <f t="shared" si="23"/>
        <v>1</v>
      </c>
      <c r="VS42" s="14">
        <f t="shared" si="24"/>
        <v>1</v>
      </c>
      <c r="VT42" s="12">
        <f t="shared" si="25"/>
        <v>0.93</v>
      </c>
      <c r="VU42" s="16">
        <f t="shared" si="26"/>
        <v>13810500</v>
      </c>
      <c r="VV42" s="16">
        <f t="shared" si="27"/>
        <v>246616.07142857142</v>
      </c>
      <c r="VW42" s="12" t="str">
        <f t="shared" si="14"/>
        <v>A</v>
      </c>
      <c r="VX42" s="12" t="str">
        <f t="shared" si="15"/>
        <v>NC-GA-ESS</v>
      </c>
      <c r="VY42" s="351">
        <f t="shared" si="16"/>
        <v>4</v>
      </c>
      <c r="WA42" s="12">
        <f t="shared" si="17"/>
        <v>0</v>
      </c>
      <c r="WB42" s="12">
        <f t="shared" si="18"/>
        <v>0</v>
      </c>
      <c r="WC42" s="12">
        <f t="shared" si="18"/>
        <v>0</v>
      </c>
      <c r="WD42" s="12">
        <f t="shared" si="18"/>
        <v>0</v>
      </c>
      <c r="WE42" s="12">
        <f t="shared" si="19"/>
        <v>1</v>
      </c>
      <c r="WF42" s="12">
        <f t="shared" si="28"/>
        <v>1</v>
      </c>
      <c r="WG42" s="12">
        <f t="shared" si="29"/>
        <v>0</v>
      </c>
      <c r="WH42" s="12">
        <f t="shared" si="30"/>
        <v>0</v>
      </c>
      <c r="WI42" s="22">
        <f t="shared" si="31"/>
        <v>2</v>
      </c>
      <c r="WJ42" s="2"/>
      <c r="WK42" s="443" t="str">
        <f t="shared" si="20"/>
        <v>NC-GA-ESS-BBN-BRN-NPH-F</v>
      </c>
      <c r="WL42" s="443"/>
      <c r="WM42" s="443"/>
    </row>
    <row r="43" spans="1:611" x14ac:dyDescent="0.25">
      <c r="A43" s="2">
        <v>9404</v>
      </c>
      <c r="B43" s="2" t="s">
        <v>2007</v>
      </c>
      <c r="C43" s="2" t="s">
        <v>8</v>
      </c>
      <c r="D43" s="3">
        <v>45153</v>
      </c>
      <c r="E43" s="2" t="s">
        <v>9</v>
      </c>
      <c r="F43" s="2">
        <v>3</v>
      </c>
      <c r="G43" s="2" t="s">
        <v>9</v>
      </c>
      <c r="H43" s="2">
        <v>3</v>
      </c>
      <c r="I43" s="2" t="s">
        <v>9</v>
      </c>
      <c r="J43" s="2">
        <v>1</v>
      </c>
      <c r="K43" s="2" t="s">
        <v>9</v>
      </c>
      <c r="L43" s="2">
        <v>3</v>
      </c>
      <c r="M43" s="2" t="s">
        <v>10</v>
      </c>
      <c r="N43" s="2">
        <v>0</v>
      </c>
      <c r="O43" s="2" t="s">
        <v>10</v>
      </c>
      <c r="P43" s="2">
        <v>0</v>
      </c>
      <c r="Q43" s="2" t="s">
        <v>11</v>
      </c>
      <c r="R43" s="2">
        <v>0</v>
      </c>
      <c r="S43" s="2" t="s">
        <v>9</v>
      </c>
      <c r="T43" s="2">
        <v>2</v>
      </c>
      <c r="U43" s="2" t="s">
        <v>9</v>
      </c>
      <c r="V43" s="2">
        <v>2</v>
      </c>
      <c r="W43" s="2" t="s">
        <v>9</v>
      </c>
      <c r="X43" s="2">
        <v>2</v>
      </c>
      <c r="Y43" s="2" t="s">
        <v>12</v>
      </c>
      <c r="Z43" s="2" t="s">
        <v>2008</v>
      </c>
      <c r="AA43" s="2" t="s">
        <v>604</v>
      </c>
      <c r="AB43" s="2" t="s">
        <v>15</v>
      </c>
      <c r="AC43" s="2" t="s">
        <v>15</v>
      </c>
      <c r="AD43" s="2" t="s">
        <v>15</v>
      </c>
      <c r="AE43" s="2" t="s">
        <v>15</v>
      </c>
      <c r="AF43" s="2">
        <v>2</v>
      </c>
      <c r="AG43" s="2" t="s">
        <v>2009</v>
      </c>
      <c r="AH43" s="2" t="s">
        <v>17</v>
      </c>
      <c r="AI43" s="4">
        <v>0.1</v>
      </c>
      <c r="AJ43" s="2" t="s">
        <v>17</v>
      </c>
      <c r="AK43" s="2" t="s">
        <v>9</v>
      </c>
      <c r="AL43" s="2" t="s">
        <v>17</v>
      </c>
      <c r="AM43" s="2" t="s">
        <v>17</v>
      </c>
      <c r="AN43" s="2" t="s">
        <v>17</v>
      </c>
      <c r="AO43" s="2" t="s">
        <v>17</v>
      </c>
      <c r="AP43" s="2" t="s">
        <v>9</v>
      </c>
      <c r="AQ43" s="2" t="s">
        <v>17</v>
      </c>
      <c r="AR43" s="2" t="s">
        <v>17</v>
      </c>
      <c r="AS43" s="2" t="s">
        <v>17</v>
      </c>
      <c r="AT43" s="2">
        <v>0</v>
      </c>
      <c r="AU43" s="5">
        <v>50000</v>
      </c>
      <c r="AV43" s="5">
        <v>460000</v>
      </c>
      <c r="AW43" s="2">
        <v>0</v>
      </c>
      <c r="AX43" s="2">
        <v>3</v>
      </c>
      <c r="AY43" s="2">
        <v>0</v>
      </c>
      <c r="AZ43" s="2">
        <v>18</v>
      </c>
      <c r="BA43" s="2">
        <v>0</v>
      </c>
      <c r="BB43" s="2">
        <v>1</v>
      </c>
      <c r="BC43" s="2">
        <v>1</v>
      </c>
      <c r="BD43" s="2">
        <v>0</v>
      </c>
      <c r="BE43" s="2">
        <v>0</v>
      </c>
      <c r="BF43" s="2">
        <v>1</v>
      </c>
      <c r="BG43" s="2">
        <v>0</v>
      </c>
      <c r="BH43" s="2">
        <v>0</v>
      </c>
      <c r="BI43" s="2">
        <v>13</v>
      </c>
      <c r="BJ43" s="2">
        <v>1</v>
      </c>
      <c r="BK43" s="2">
        <v>0</v>
      </c>
      <c r="BL43" s="2">
        <v>3</v>
      </c>
      <c r="BM43" s="2">
        <v>0</v>
      </c>
      <c r="BN43" s="2">
        <v>12</v>
      </c>
      <c r="BO43" s="2">
        <v>11</v>
      </c>
      <c r="BP43" s="2">
        <v>0</v>
      </c>
      <c r="BQ43" s="2">
        <v>10</v>
      </c>
      <c r="BR43" s="2">
        <v>11</v>
      </c>
      <c r="BS43" s="2">
        <v>0</v>
      </c>
      <c r="BT43" s="4">
        <v>0.06</v>
      </c>
      <c r="BU43" s="2" t="s">
        <v>9</v>
      </c>
      <c r="BV43" s="6">
        <v>214307.1</v>
      </c>
      <c r="BW43" s="2" t="s">
        <v>18</v>
      </c>
      <c r="BX43" s="2" t="s">
        <v>17</v>
      </c>
      <c r="BY43" s="2" t="s">
        <v>17</v>
      </c>
      <c r="BZ43" s="2" t="s">
        <v>17</v>
      </c>
      <c r="CA43" s="2" t="s">
        <v>17</v>
      </c>
      <c r="CB43" s="2" t="s">
        <v>17</v>
      </c>
      <c r="CC43" s="2" t="s">
        <v>17</v>
      </c>
      <c r="CD43" s="2" t="s">
        <v>17</v>
      </c>
      <c r="CE43" s="2" t="s">
        <v>2010</v>
      </c>
      <c r="CF43" s="2" t="s">
        <v>17</v>
      </c>
      <c r="CG43" s="2" t="s">
        <v>236</v>
      </c>
      <c r="CH43" s="2"/>
      <c r="CI43" s="2"/>
      <c r="CJ43" s="2" t="s">
        <v>9</v>
      </c>
      <c r="CK43" s="2" t="s">
        <v>237</v>
      </c>
      <c r="CL43" s="2" t="s">
        <v>236</v>
      </c>
      <c r="CM43" s="2" t="s">
        <v>238</v>
      </c>
      <c r="CN43" s="2" t="s">
        <v>239</v>
      </c>
      <c r="CO43" s="2" t="s">
        <v>24</v>
      </c>
      <c r="CP43" s="2" t="s">
        <v>229</v>
      </c>
      <c r="CQ43" s="2">
        <v>100</v>
      </c>
      <c r="CR43" s="2" t="s">
        <v>1234</v>
      </c>
      <c r="CS43" s="2">
        <v>2019</v>
      </c>
      <c r="CT43" s="2" t="s">
        <v>26</v>
      </c>
      <c r="CU43" s="2" t="s">
        <v>27</v>
      </c>
      <c r="CV43" s="2" t="s">
        <v>241</v>
      </c>
      <c r="CW43" s="2" t="s">
        <v>242</v>
      </c>
      <c r="CX43" s="2" t="s">
        <v>24</v>
      </c>
      <c r="CY43" s="2" t="s">
        <v>229</v>
      </c>
      <c r="CZ43" s="2">
        <v>120</v>
      </c>
      <c r="DA43" s="2" t="s">
        <v>1234</v>
      </c>
      <c r="DB43" s="2">
        <v>2011</v>
      </c>
      <c r="DC43" s="2" t="s">
        <v>243</v>
      </c>
      <c r="DD43" s="2" t="s">
        <v>27</v>
      </c>
      <c r="DE43" s="2" t="s">
        <v>244</v>
      </c>
      <c r="DF43" s="2" t="s">
        <v>245</v>
      </c>
      <c r="DG43" s="2" t="s">
        <v>24</v>
      </c>
      <c r="DH43" s="2" t="s">
        <v>229</v>
      </c>
      <c r="DI43" s="2">
        <v>80</v>
      </c>
      <c r="DJ43" s="2" t="s">
        <v>1234</v>
      </c>
      <c r="DK43" s="2">
        <v>2019</v>
      </c>
      <c r="DL43" s="2" t="s">
        <v>30</v>
      </c>
      <c r="DM43" s="2" t="s">
        <v>27</v>
      </c>
      <c r="DN43" s="2" t="s">
        <v>33</v>
      </c>
      <c r="DO43" s="2" t="s">
        <v>246</v>
      </c>
      <c r="DP43" s="2"/>
      <c r="DQ43" s="2" t="s">
        <v>247</v>
      </c>
      <c r="DR43" s="2" t="s">
        <v>248</v>
      </c>
      <c r="DS43" s="2">
        <v>1</v>
      </c>
      <c r="DT43" s="2" t="s">
        <v>249</v>
      </c>
      <c r="DU43" s="2" t="s">
        <v>250</v>
      </c>
      <c r="DV43" s="2" t="s">
        <v>143</v>
      </c>
      <c r="DW43" s="2">
        <v>27408</v>
      </c>
      <c r="DX43" s="2" t="s">
        <v>251</v>
      </c>
      <c r="DY43" s="2" t="s">
        <v>229</v>
      </c>
      <c r="DZ43" s="2" t="s">
        <v>252</v>
      </c>
      <c r="EA43" s="2" t="s">
        <v>253</v>
      </c>
      <c r="EB43" s="2" t="s">
        <v>238</v>
      </c>
      <c r="EC43" s="2" t="s">
        <v>239</v>
      </c>
      <c r="ED43" s="2" t="s">
        <v>44</v>
      </c>
      <c r="EE43" s="2">
        <v>100</v>
      </c>
      <c r="EF43" s="2" t="s">
        <v>1244</v>
      </c>
      <c r="EG43" s="2">
        <v>4</v>
      </c>
      <c r="EH43" s="2" t="s">
        <v>46</v>
      </c>
      <c r="EI43" s="2" t="s">
        <v>47</v>
      </c>
      <c r="EJ43" s="2" t="s">
        <v>241</v>
      </c>
      <c r="EK43" s="2" t="s">
        <v>242</v>
      </c>
      <c r="EL43" s="2" t="s">
        <v>44</v>
      </c>
      <c r="EM43" s="2">
        <v>120</v>
      </c>
      <c r="EN43" s="2" t="s">
        <v>1244</v>
      </c>
      <c r="EO43" s="2">
        <v>12</v>
      </c>
      <c r="EP43" s="2" t="s">
        <v>46</v>
      </c>
      <c r="EQ43" s="2" t="s">
        <v>47</v>
      </c>
      <c r="ER43" s="2" t="s">
        <v>255</v>
      </c>
      <c r="ES43" s="2" t="s">
        <v>256</v>
      </c>
      <c r="ET43" s="2" t="s">
        <v>257</v>
      </c>
      <c r="EU43" s="2" t="s">
        <v>2010</v>
      </c>
      <c r="EV43" s="2" t="s">
        <v>258</v>
      </c>
      <c r="EW43" s="2" t="s">
        <v>259</v>
      </c>
      <c r="EX43" s="2" t="s">
        <v>260</v>
      </c>
      <c r="EY43" s="2">
        <v>75234</v>
      </c>
      <c r="EZ43" s="2" t="s">
        <v>261</v>
      </c>
      <c r="FA43" s="2">
        <v>2</v>
      </c>
      <c r="FB43" s="2" t="s">
        <v>262</v>
      </c>
      <c r="FC43" s="2" t="s">
        <v>263</v>
      </c>
      <c r="FD43" s="2" t="s">
        <v>201</v>
      </c>
      <c r="FE43" s="2" t="s">
        <v>264</v>
      </c>
      <c r="FF43" s="2" t="s">
        <v>236</v>
      </c>
      <c r="FG43" s="2" t="s">
        <v>258</v>
      </c>
      <c r="FH43" s="2" t="s">
        <v>259</v>
      </c>
      <c r="FI43" s="2" t="s">
        <v>260</v>
      </c>
      <c r="FJ43" s="2">
        <v>75234</v>
      </c>
      <c r="FK43" s="2" t="s">
        <v>261</v>
      </c>
      <c r="FL43" s="2">
        <v>1</v>
      </c>
      <c r="FM43" s="2" t="s">
        <v>265</v>
      </c>
      <c r="FN43" s="2" t="s">
        <v>2011</v>
      </c>
      <c r="FO43" s="2" t="s">
        <v>63</v>
      </c>
      <c r="FP43" s="2" t="s">
        <v>64</v>
      </c>
      <c r="FQ43" s="2" t="s">
        <v>9</v>
      </c>
      <c r="FR43" s="2" t="s">
        <v>17</v>
      </c>
      <c r="FS43" s="2" t="s">
        <v>17</v>
      </c>
      <c r="FT43" s="2" t="s">
        <v>9</v>
      </c>
      <c r="FU43" s="2">
        <v>0</v>
      </c>
      <c r="FV43" s="2">
        <v>0</v>
      </c>
      <c r="FW43" s="4">
        <v>0</v>
      </c>
      <c r="FX43" s="4">
        <v>0</v>
      </c>
      <c r="FY43" s="2" t="s">
        <v>65</v>
      </c>
      <c r="FZ43" s="2" t="s">
        <v>66</v>
      </c>
      <c r="GA43" s="2" t="s">
        <v>67</v>
      </c>
      <c r="GB43" s="2"/>
      <c r="GC43" s="2"/>
      <c r="GD43" s="2"/>
      <c r="GE43" s="2" t="s">
        <v>68</v>
      </c>
      <c r="GF43" s="2">
        <v>72</v>
      </c>
      <c r="GG43" s="2">
        <v>72</v>
      </c>
      <c r="GH43" s="2"/>
      <c r="GI43" s="2"/>
      <c r="GJ43" s="2"/>
      <c r="GK43" s="2"/>
      <c r="GL43" s="2"/>
      <c r="GM43" s="2"/>
      <c r="GN43" s="2"/>
      <c r="GO43" s="2"/>
      <c r="GP43" s="2"/>
      <c r="GQ43" s="2">
        <v>72</v>
      </c>
      <c r="GR43" s="2" t="s">
        <v>1773</v>
      </c>
      <c r="GS43" s="2" t="s">
        <v>70</v>
      </c>
      <c r="GT43" s="2" t="s">
        <v>2012</v>
      </c>
      <c r="GU43" s="2" t="s">
        <v>2013</v>
      </c>
      <c r="GV43" s="2" t="s">
        <v>17</v>
      </c>
      <c r="GW43" s="2">
        <v>28.216293</v>
      </c>
      <c r="GX43" s="2">
        <v>-82.721968000000004</v>
      </c>
      <c r="GY43" s="2"/>
      <c r="GZ43" s="2" t="s">
        <v>17</v>
      </c>
      <c r="HA43" s="2" t="s">
        <v>17</v>
      </c>
      <c r="HB43" s="2">
        <v>0</v>
      </c>
      <c r="HC43" s="2" t="s">
        <v>17</v>
      </c>
      <c r="HD43" s="2"/>
      <c r="HE43" s="2">
        <v>0</v>
      </c>
      <c r="HF43" s="2">
        <v>28.216850000000001</v>
      </c>
      <c r="HG43" s="2">
        <v>-82.722183000000001</v>
      </c>
      <c r="HH43" s="2">
        <v>0.06</v>
      </c>
      <c r="HI43" s="2">
        <v>4</v>
      </c>
      <c r="HJ43" s="2">
        <v>28.216574999999999</v>
      </c>
      <c r="HK43" s="2">
        <v>-82.723056999999997</v>
      </c>
      <c r="HL43" s="2">
        <v>7.0000000000000007E-2</v>
      </c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 t="s">
        <v>73</v>
      </c>
      <c r="HY43" s="2" t="s">
        <v>17</v>
      </c>
      <c r="HZ43" s="2"/>
      <c r="IA43" s="2" t="s">
        <v>359</v>
      </c>
      <c r="IB43" s="2" t="s">
        <v>2014</v>
      </c>
      <c r="IC43" s="2">
        <v>0.54</v>
      </c>
      <c r="ID43" s="2">
        <v>3</v>
      </c>
      <c r="IE43" s="2"/>
      <c r="IF43" s="2"/>
      <c r="IG43" s="2"/>
      <c r="IH43" s="2" t="s">
        <v>2015</v>
      </c>
      <c r="II43" s="2">
        <v>0.23</v>
      </c>
      <c r="IJ43" s="2">
        <v>4</v>
      </c>
      <c r="IK43" s="2" t="s">
        <v>2016</v>
      </c>
      <c r="IL43" s="2" t="s">
        <v>2017</v>
      </c>
      <c r="IM43" s="2">
        <v>0.56000000000000005</v>
      </c>
      <c r="IN43" s="2">
        <v>3.5</v>
      </c>
      <c r="IO43" s="2" t="s">
        <v>17</v>
      </c>
      <c r="IP43" s="2">
        <v>4</v>
      </c>
      <c r="IQ43" s="2">
        <v>10.5</v>
      </c>
      <c r="IR43" s="2">
        <v>0</v>
      </c>
      <c r="IS43" s="2">
        <v>14.5</v>
      </c>
      <c r="IT43" s="2" t="s">
        <v>17</v>
      </c>
      <c r="IU43" s="2" t="s">
        <v>17</v>
      </c>
      <c r="IV43" s="2" t="s">
        <v>17</v>
      </c>
      <c r="IW43" s="2" t="s">
        <v>9</v>
      </c>
      <c r="IX43" s="2" t="s">
        <v>9</v>
      </c>
      <c r="IY43" s="2">
        <v>14.5</v>
      </c>
      <c r="IZ43" s="2">
        <v>72</v>
      </c>
      <c r="JA43" s="2" t="s">
        <v>81</v>
      </c>
      <c r="JB43" s="2" t="s">
        <v>173</v>
      </c>
      <c r="JC43" s="2"/>
      <c r="JD43" s="2"/>
      <c r="JE43" s="7">
        <v>0.1</v>
      </c>
      <c r="JF43" s="2"/>
      <c r="JG43" s="7">
        <v>0.9</v>
      </c>
      <c r="JH43" s="7">
        <v>0</v>
      </c>
      <c r="JI43" s="2">
        <v>72</v>
      </c>
      <c r="JJ43" s="7">
        <v>1</v>
      </c>
      <c r="JK43" s="2">
        <v>72</v>
      </c>
      <c r="JL43" s="7">
        <v>1</v>
      </c>
      <c r="JM43" s="2"/>
      <c r="JN43" s="2"/>
      <c r="JO43" s="2"/>
      <c r="JP43" s="2"/>
      <c r="JQ43" s="2"/>
      <c r="JR43" s="2"/>
      <c r="JS43" s="2">
        <v>0</v>
      </c>
      <c r="JT43" s="2">
        <v>0</v>
      </c>
      <c r="JU43" s="2"/>
      <c r="JV43" s="2">
        <v>0</v>
      </c>
      <c r="JW43" s="4">
        <v>0</v>
      </c>
      <c r="JX43" s="2">
        <v>0</v>
      </c>
      <c r="JY43" s="4">
        <v>0</v>
      </c>
      <c r="JZ43" s="2">
        <v>0</v>
      </c>
      <c r="KA43" s="2"/>
      <c r="KB43" s="2"/>
      <c r="KC43" s="2"/>
      <c r="KD43" s="2"/>
      <c r="KE43" s="2"/>
      <c r="KF43" s="2"/>
      <c r="KG43" s="2"/>
      <c r="KH43" s="2">
        <v>30</v>
      </c>
      <c r="KI43" s="2"/>
      <c r="KJ43" s="2"/>
      <c r="KK43" s="2">
        <v>30</v>
      </c>
      <c r="KL43" s="2">
        <v>12</v>
      </c>
      <c r="KM43" s="2"/>
      <c r="KN43" s="2"/>
      <c r="KO43" s="2"/>
      <c r="KP43" s="2"/>
      <c r="KQ43" s="2" t="s">
        <v>83</v>
      </c>
      <c r="KR43" s="2" t="s">
        <v>73</v>
      </c>
      <c r="KS43" s="2"/>
      <c r="KT43" s="2">
        <v>3</v>
      </c>
      <c r="KU43" s="2" t="s">
        <v>84</v>
      </c>
      <c r="KV43" s="2" t="s">
        <v>85</v>
      </c>
      <c r="KW43" s="2" t="s">
        <v>86</v>
      </c>
      <c r="KX43" s="2" t="s">
        <v>17</v>
      </c>
      <c r="KY43" s="2" t="s">
        <v>17</v>
      </c>
      <c r="KZ43" s="2" t="s">
        <v>17</v>
      </c>
      <c r="LA43" s="2" t="s">
        <v>17</v>
      </c>
      <c r="LB43" s="2" t="s">
        <v>17</v>
      </c>
      <c r="LC43" s="2" t="s">
        <v>17</v>
      </c>
      <c r="LD43" s="2" t="s">
        <v>17</v>
      </c>
      <c r="LE43" s="2" t="s">
        <v>17</v>
      </c>
      <c r="LF43" s="2" t="s">
        <v>17</v>
      </c>
      <c r="LG43" s="2" t="s">
        <v>17</v>
      </c>
      <c r="LH43" s="2" t="s">
        <v>17</v>
      </c>
      <c r="LI43" s="2" t="s">
        <v>17</v>
      </c>
      <c r="LJ43" s="2" t="s">
        <v>87</v>
      </c>
      <c r="LK43" s="2" t="s">
        <v>17</v>
      </c>
      <c r="LL43" s="2" t="s">
        <v>17</v>
      </c>
      <c r="LM43" s="2">
        <v>0</v>
      </c>
      <c r="LN43" s="2" t="s">
        <v>9</v>
      </c>
      <c r="LO43" s="2" t="s">
        <v>17</v>
      </c>
      <c r="LP43" s="2" t="s">
        <v>9</v>
      </c>
      <c r="LQ43" s="2" t="s">
        <v>17</v>
      </c>
      <c r="LR43" s="2" t="s">
        <v>9</v>
      </c>
      <c r="LS43" s="2" t="s">
        <v>17</v>
      </c>
      <c r="LT43" s="2" t="s">
        <v>17</v>
      </c>
      <c r="LU43" s="2" t="s">
        <v>17</v>
      </c>
      <c r="LV43" s="2" t="s">
        <v>17</v>
      </c>
      <c r="LW43" s="2" t="s">
        <v>17</v>
      </c>
      <c r="LX43" s="2" t="s">
        <v>17</v>
      </c>
      <c r="LY43" s="5">
        <v>5760000</v>
      </c>
      <c r="LZ43" s="5">
        <v>0</v>
      </c>
      <c r="MA43" s="5">
        <v>7200000</v>
      </c>
      <c r="MB43" s="5">
        <v>0</v>
      </c>
      <c r="MC43" s="5">
        <v>0</v>
      </c>
      <c r="MD43" s="5">
        <v>0</v>
      </c>
      <c r="ME43" s="5">
        <v>7560000</v>
      </c>
      <c r="MF43" s="5">
        <v>0</v>
      </c>
      <c r="MG43" s="5">
        <v>0</v>
      </c>
      <c r="MH43" s="5">
        <v>0</v>
      </c>
      <c r="MI43" s="5">
        <v>0</v>
      </c>
      <c r="MJ43" s="5">
        <v>0</v>
      </c>
      <c r="MK43" s="5">
        <v>0</v>
      </c>
      <c r="ML43" s="2">
        <v>0</v>
      </c>
      <c r="MM43" s="5">
        <v>0</v>
      </c>
      <c r="MN43" s="5">
        <v>0</v>
      </c>
      <c r="MO43" s="2">
        <v>0</v>
      </c>
      <c r="MP43" s="2">
        <v>0</v>
      </c>
      <c r="MQ43" s="2">
        <v>0</v>
      </c>
      <c r="MR43" s="5">
        <v>2950000</v>
      </c>
      <c r="MS43" s="5">
        <v>0</v>
      </c>
      <c r="MT43" s="5">
        <v>4600000</v>
      </c>
      <c r="MU43" s="5">
        <v>0</v>
      </c>
      <c r="MV43" s="5">
        <v>0</v>
      </c>
      <c r="MW43" s="5">
        <v>0</v>
      </c>
      <c r="MX43" s="5">
        <v>0</v>
      </c>
      <c r="MY43" s="5">
        <v>2500000</v>
      </c>
      <c r="MZ43" s="5">
        <v>0</v>
      </c>
      <c r="NA43" s="5">
        <v>5000000</v>
      </c>
      <c r="NB43" s="5">
        <v>0</v>
      </c>
      <c r="NC43" s="5">
        <v>0</v>
      </c>
      <c r="ND43" s="5">
        <v>0</v>
      </c>
      <c r="NE43" s="5">
        <v>0</v>
      </c>
      <c r="NF43" s="5">
        <v>0</v>
      </c>
      <c r="NG43" s="5">
        <v>2142000</v>
      </c>
      <c r="NH43" s="5">
        <v>2142000</v>
      </c>
      <c r="NI43" s="5">
        <v>2142000</v>
      </c>
      <c r="NJ43" s="5">
        <v>0</v>
      </c>
      <c r="NK43" s="5"/>
      <c r="NL43" s="2" t="s">
        <v>17</v>
      </c>
      <c r="NM43" s="2" t="s">
        <v>17</v>
      </c>
      <c r="NN43" s="2"/>
      <c r="NO43" s="2" t="s">
        <v>17</v>
      </c>
      <c r="NP43" s="2"/>
      <c r="NQ43" s="2"/>
      <c r="NR43" s="2" t="s">
        <v>17</v>
      </c>
      <c r="NS43" s="2"/>
      <c r="NT43" s="2" t="s">
        <v>17</v>
      </c>
      <c r="NU43" s="2"/>
      <c r="NV43" s="2"/>
      <c r="NW43" s="2"/>
      <c r="NX43" s="2" t="s">
        <v>9</v>
      </c>
      <c r="NY43" s="2" t="s">
        <v>88</v>
      </c>
      <c r="NZ43" s="2">
        <v>315.02999999999997</v>
      </c>
      <c r="OA43" s="2" t="s">
        <v>1779</v>
      </c>
      <c r="OB43" s="2" t="s">
        <v>1780</v>
      </c>
      <c r="OC43" s="2" t="s">
        <v>1780</v>
      </c>
      <c r="OD43" s="2" t="s">
        <v>17</v>
      </c>
      <c r="OE43" s="2" t="s">
        <v>91</v>
      </c>
      <c r="OF43" s="2" t="s">
        <v>17</v>
      </c>
      <c r="OG43" s="2" t="s">
        <v>9</v>
      </c>
      <c r="OH43" s="2" t="s">
        <v>92</v>
      </c>
      <c r="OI43" s="2"/>
      <c r="OJ43" s="2"/>
      <c r="OK43" s="2" t="s">
        <v>17</v>
      </c>
      <c r="OL43" s="2" t="s">
        <v>17</v>
      </c>
      <c r="OM43" s="2" t="s">
        <v>85</v>
      </c>
      <c r="ON43" s="6">
        <v>0</v>
      </c>
      <c r="OO43" s="6">
        <v>0</v>
      </c>
      <c r="OP43" s="2" t="s">
        <v>93</v>
      </c>
      <c r="OQ43" s="2" t="s">
        <v>93</v>
      </c>
      <c r="OR43" s="6">
        <v>0</v>
      </c>
      <c r="OS43" s="4">
        <v>0</v>
      </c>
      <c r="OT43" s="2" t="s">
        <v>17</v>
      </c>
      <c r="OU43" s="2" t="s">
        <v>17</v>
      </c>
      <c r="OV43" s="2"/>
      <c r="OW43" s="2"/>
      <c r="OX43" s="5">
        <v>15430111</v>
      </c>
      <c r="OY43" s="6">
        <v>214307.1</v>
      </c>
      <c r="OZ43" s="2"/>
      <c r="PA43" s="2"/>
      <c r="PB43" s="8">
        <v>9382611</v>
      </c>
      <c r="PC43" s="2"/>
      <c r="PD43" s="8">
        <v>9382611</v>
      </c>
      <c r="PE43" s="8">
        <v>1350000</v>
      </c>
      <c r="PF43" s="8">
        <v>150000</v>
      </c>
      <c r="PG43" s="8">
        <v>1500000</v>
      </c>
      <c r="PH43" s="2"/>
      <c r="PI43" s="2"/>
      <c r="PJ43" s="2"/>
      <c r="PK43" s="8">
        <v>10732611</v>
      </c>
      <c r="PL43" s="8">
        <v>150000</v>
      </c>
      <c r="PM43" s="8">
        <v>10882611</v>
      </c>
      <c r="PN43" s="8">
        <v>1523564</v>
      </c>
      <c r="PO43" s="2"/>
      <c r="PP43" s="8">
        <v>1523564</v>
      </c>
      <c r="PQ43" s="6">
        <v>1523565</v>
      </c>
      <c r="PR43" s="8">
        <v>12256175</v>
      </c>
      <c r="PS43" s="8">
        <v>150000</v>
      </c>
      <c r="PT43" s="8">
        <v>12406175</v>
      </c>
      <c r="PU43" s="8">
        <v>620308</v>
      </c>
      <c r="PV43" s="2"/>
      <c r="PW43" s="8">
        <v>620308</v>
      </c>
      <c r="PX43" s="6">
        <v>620308.75</v>
      </c>
      <c r="PY43" s="8">
        <v>498000</v>
      </c>
      <c r="PZ43" s="2"/>
      <c r="QA43" s="8">
        <v>498000</v>
      </c>
      <c r="QB43" s="8">
        <v>69000</v>
      </c>
      <c r="QC43" s="8">
        <v>46000</v>
      </c>
      <c r="QD43" s="8">
        <v>115000</v>
      </c>
      <c r="QE43" s="8">
        <v>1121016</v>
      </c>
      <c r="QF43" s="2"/>
      <c r="QG43" s="8">
        <v>1121016</v>
      </c>
      <c r="QH43" s="2"/>
      <c r="QI43" s="8">
        <v>387602</v>
      </c>
      <c r="QJ43" s="8">
        <v>387602</v>
      </c>
      <c r="QK43" s="2"/>
      <c r="QL43" s="2"/>
      <c r="QM43" s="2"/>
      <c r="QN43" s="8">
        <v>643069</v>
      </c>
      <c r="QO43" s="8">
        <v>10000</v>
      </c>
      <c r="QP43" s="8">
        <v>653069</v>
      </c>
      <c r="QQ43" s="8">
        <v>2331085</v>
      </c>
      <c r="QR43" s="8">
        <v>443602</v>
      </c>
      <c r="QS43" s="8">
        <v>2774687</v>
      </c>
      <c r="QT43" s="8">
        <v>75000</v>
      </c>
      <c r="QU43" s="2"/>
      <c r="QV43" s="8">
        <v>75000</v>
      </c>
      <c r="QW43" s="6">
        <v>138734.35</v>
      </c>
      <c r="QX43" s="8">
        <v>1124643</v>
      </c>
      <c r="QY43" s="8">
        <v>600762</v>
      </c>
      <c r="QZ43" s="8">
        <v>1725405</v>
      </c>
      <c r="RA43" s="8">
        <v>43090</v>
      </c>
      <c r="RB43" s="8">
        <v>43090</v>
      </c>
      <c r="RC43" s="8">
        <v>30000</v>
      </c>
      <c r="RD43" s="8">
        <v>20000</v>
      </c>
      <c r="RE43" s="8">
        <v>50000</v>
      </c>
      <c r="RF43" s="8">
        <v>1154643</v>
      </c>
      <c r="RG43" s="8">
        <v>663852</v>
      </c>
      <c r="RH43" s="8">
        <v>1818495</v>
      </c>
      <c r="RI43" s="2"/>
      <c r="RJ43" s="2"/>
      <c r="RK43" s="2"/>
      <c r="RL43" s="2"/>
      <c r="RM43" s="8">
        <v>16437211</v>
      </c>
      <c r="RN43" s="8">
        <v>1257454</v>
      </c>
      <c r="RO43" s="8">
        <v>17694665</v>
      </c>
      <c r="RP43" s="2"/>
      <c r="RQ43" s="2"/>
      <c r="RR43" s="2">
        <v>0</v>
      </c>
      <c r="RS43" s="6">
        <v>0</v>
      </c>
      <c r="RT43" s="8">
        <v>2775666</v>
      </c>
      <c r="RU43" s="2"/>
      <c r="RV43" s="8">
        <v>2775666</v>
      </c>
      <c r="RW43" s="6">
        <v>2831146</v>
      </c>
      <c r="RX43" s="6">
        <v>0</v>
      </c>
      <c r="RY43" s="8">
        <v>2775666</v>
      </c>
      <c r="RZ43" s="2"/>
      <c r="SA43" s="8">
        <v>2775666</v>
      </c>
      <c r="SB43" s="6">
        <v>2831146</v>
      </c>
      <c r="SC43" s="2"/>
      <c r="SD43" s="2"/>
      <c r="SE43" s="6">
        <v>252000</v>
      </c>
      <c r="SF43" s="8">
        <v>1625000</v>
      </c>
      <c r="SG43" s="8">
        <v>1625000</v>
      </c>
      <c r="SH43" s="8">
        <v>19212877</v>
      </c>
      <c r="SI43" s="8">
        <v>2882454</v>
      </c>
      <c r="SJ43" s="8">
        <v>22095331</v>
      </c>
      <c r="SK43" s="2" t="s">
        <v>277</v>
      </c>
      <c r="SL43" s="2"/>
      <c r="SM43" s="2" t="s">
        <v>278</v>
      </c>
      <c r="SN43" s="2" t="s">
        <v>279</v>
      </c>
      <c r="SO43" s="2"/>
      <c r="SP43" s="8">
        <v>18000000</v>
      </c>
      <c r="SQ43" s="2" t="s">
        <v>95</v>
      </c>
      <c r="SR43" s="2"/>
      <c r="SS43" s="2"/>
      <c r="ST43" s="2"/>
      <c r="SU43" s="2"/>
      <c r="SV43" s="2"/>
      <c r="SW43" s="2"/>
      <c r="SX43" s="2" t="s">
        <v>96</v>
      </c>
      <c r="SY43" s="2" t="s">
        <v>96</v>
      </c>
      <c r="SZ43" s="2" t="s">
        <v>96</v>
      </c>
      <c r="TA43" s="2" t="s">
        <v>96</v>
      </c>
      <c r="TB43" s="8">
        <v>2762904</v>
      </c>
      <c r="TC43" s="2"/>
      <c r="TD43" s="2"/>
      <c r="TE43" s="2"/>
      <c r="TF43" s="2"/>
      <c r="TG43" s="2"/>
      <c r="TH43" s="2"/>
      <c r="TI43" s="8">
        <v>1332427</v>
      </c>
      <c r="TJ43" s="8">
        <v>22095331</v>
      </c>
      <c r="TK43" s="2">
        <v>0</v>
      </c>
      <c r="TL43" s="2" t="s">
        <v>9</v>
      </c>
      <c r="TM43" s="8">
        <v>3309000</v>
      </c>
      <c r="TN43" s="2" t="s">
        <v>95</v>
      </c>
      <c r="TO43" s="2"/>
      <c r="TP43" s="2"/>
      <c r="TQ43" s="2"/>
      <c r="TR43" s="2"/>
      <c r="TS43" s="2"/>
      <c r="TT43" s="2"/>
      <c r="TU43" s="2" t="s">
        <v>96</v>
      </c>
      <c r="TV43" s="8">
        <v>18419358</v>
      </c>
      <c r="TW43" s="2"/>
      <c r="TX43" s="2"/>
      <c r="TY43" s="2"/>
      <c r="TZ43" s="2"/>
      <c r="UA43" s="2"/>
      <c r="UB43" s="2"/>
      <c r="UC43" s="8">
        <v>366973</v>
      </c>
      <c r="UD43" s="8">
        <v>22095331</v>
      </c>
      <c r="UE43" s="6">
        <v>3309000</v>
      </c>
      <c r="UF43" s="2">
        <v>0</v>
      </c>
      <c r="UG43" s="2" t="s">
        <v>9</v>
      </c>
      <c r="UH43" s="2">
        <v>72</v>
      </c>
      <c r="UI43" s="5">
        <v>240000</v>
      </c>
      <c r="UJ43" s="6">
        <v>320000</v>
      </c>
      <c r="UK43" s="6">
        <v>320000</v>
      </c>
      <c r="UL43" s="6">
        <v>339200</v>
      </c>
      <c r="UM43" s="6">
        <v>24422400</v>
      </c>
      <c r="UN43" s="6">
        <v>3907584</v>
      </c>
      <c r="UO43" s="6">
        <v>3907584</v>
      </c>
      <c r="UP43" s="6">
        <v>28329984</v>
      </c>
      <c r="UQ43" s="6">
        <v>20470331</v>
      </c>
      <c r="UR43" s="2"/>
      <c r="US43" s="2"/>
      <c r="UT43" s="6">
        <v>0</v>
      </c>
      <c r="UU43" s="2"/>
      <c r="UV43" s="6">
        <v>0</v>
      </c>
      <c r="UW43" s="6">
        <v>0</v>
      </c>
      <c r="UX43" s="6">
        <v>0</v>
      </c>
      <c r="UY43" s="6">
        <v>0</v>
      </c>
      <c r="UZ43" s="2"/>
      <c r="VA43" s="2"/>
      <c r="VB43" s="2"/>
      <c r="VC43" s="2"/>
      <c r="VD43" s="2" t="s">
        <v>17</v>
      </c>
      <c r="VE43" s="2" t="s">
        <v>17</v>
      </c>
      <c r="VF43" s="2"/>
      <c r="VG43" s="2" t="s">
        <v>17</v>
      </c>
      <c r="VH43" s="2"/>
      <c r="VI43" s="388" t="s">
        <v>237</v>
      </c>
      <c r="VJ43" s="2" t="s">
        <v>98</v>
      </c>
      <c r="VK43" s="2" t="s">
        <v>280</v>
      </c>
      <c r="VL43" s="23">
        <f t="shared" si="21"/>
        <v>126</v>
      </c>
      <c r="VM43" s="17">
        <f t="shared" si="22"/>
        <v>1.75</v>
      </c>
      <c r="VN43" s="17" t="str">
        <f t="shared" si="12"/>
        <v>NC-GA-F</v>
      </c>
      <c r="VO43" s="17" t="str">
        <f t="shared" si="13"/>
        <v>NC-GA-F-ESS</v>
      </c>
      <c r="VP43" s="12">
        <v>9</v>
      </c>
      <c r="VQ43" s="57">
        <v>1</v>
      </c>
      <c r="VR43" s="57">
        <f t="shared" si="23"/>
        <v>1</v>
      </c>
      <c r="VS43" s="14">
        <f t="shared" si="24"/>
        <v>1</v>
      </c>
      <c r="VT43" s="12">
        <f t="shared" si="25"/>
        <v>0.93000000000000016</v>
      </c>
      <c r="VU43" s="16">
        <f t="shared" si="26"/>
        <v>17928540.000000004</v>
      </c>
      <c r="VV43" s="16">
        <f t="shared" si="27"/>
        <v>249007.50000000006</v>
      </c>
      <c r="VW43" s="12" t="str">
        <f t="shared" si="14"/>
        <v>A</v>
      </c>
      <c r="VX43" s="12" t="str">
        <f t="shared" si="15"/>
        <v>NC-GA-ESS</v>
      </c>
      <c r="VY43" s="351">
        <f t="shared" si="16"/>
        <v>5</v>
      </c>
      <c r="WA43" s="12">
        <f t="shared" si="17"/>
        <v>0</v>
      </c>
      <c r="WB43" s="12">
        <f t="shared" si="18"/>
        <v>0</v>
      </c>
      <c r="WC43" s="12">
        <f t="shared" si="18"/>
        <v>0</v>
      </c>
      <c r="WD43" s="12">
        <f t="shared" si="18"/>
        <v>0</v>
      </c>
      <c r="WE43" s="12">
        <f t="shared" si="19"/>
        <v>1</v>
      </c>
      <c r="WF43" s="12">
        <f t="shared" si="28"/>
        <v>1</v>
      </c>
      <c r="WG43" s="12">
        <f t="shared" si="29"/>
        <v>0</v>
      </c>
      <c r="WH43" s="12">
        <f t="shared" si="30"/>
        <v>0</v>
      </c>
      <c r="WI43" s="22">
        <f t="shared" si="31"/>
        <v>2</v>
      </c>
      <c r="WJ43" s="2"/>
      <c r="WK43" s="443" t="str">
        <f t="shared" si="20"/>
        <v>NC-GA-ESS-BBN-BRN-NPH-F</v>
      </c>
      <c r="WL43" s="443"/>
      <c r="WM43" s="443"/>
    </row>
    <row r="44" spans="1:611" x14ac:dyDescent="0.25">
      <c r="A44" s="2">
        <v>9429</v>
      </c>
      <c r="B44" s="2" t="s">
        <v>2018</v>
      </c>
      <c r="C44" s="2" t="s">
        <v>8</v>
      </c>
      <c r="D44" s="3">
        <v>45153</v>
      </c>
      <c r="E44" s="2" t="s">
        <v>9</v>
      </c>
      <c r="F44" s="2">
        <v>3</v>
      </c>
      <c r="G44" s="2" t="s">
        <v>9</v>
      </c>
      <c r="H44" s="2">
        <v>3</v>
      </c>
      <c r="I44" s="2" t="s">
        <v>9</v>
      </c>
      <c r="J44" s="2">
        <v>1</v>
      </c>
      <c r="K44" s="2" t="s">
        <v>9</v>
      </c>
      <c r="L44" s="2">
        <v>3</v>
      </c>
      <c r="M44" s="2" t="s">
        <v>10</v>
      </c>
      <c r="N44" s="2">
        <v>0</v>
      </c>
      <c r="O44" s="2" t="s">
        <v>10</v>
      </c>
      <c r="P44" s="2">
        <v>0</v>
      </c>
      <c r="Q44" s="2" t="s">
        <v>11</v>
      </c>
      <c r="R44" s="2">
        <v>0</v>
      </c>
      <c r="S44" s="2" t="s">
        <v>9</v>
      </c>
      <c r="T44" s="2">
        <v>2</v>
      </c>
      <c r="U44" s="2" t="s">
        <v>9</v>
      </c>
      <c r="V44" s="2">
        <v>2</v>
      </c>
      <c r="W44" s="2" t="s">
        <v>9</v>
      </c>
      <c r="X44" s="2">
        <v>2</v>
      </c>
      <c r="Y44" s="2" t="s">
        <v>12</v>
      </c>
      <c r="Z44" s="2" t="s">
        <v>15</v>
      </c>
      <c r="AA44" s="2" t="s">
        <v>15</v>
      </c>
      <c r="AB44" s="2" t="s">
        <v>15</v>
      </c>
      <c r="AC44" s="2" t="s">
        <v>15</v>
      </c>
      <c r="AD44" s="2" t="s">
        <v>15</v>
      </c>
      <c r="AE44" s="2" t="s">
        <v>15</v>
      </c>
      <c r="AF44" s="2">
        <v>0</v>
      </c>
      <c r="AG44" s="2" t="s">
        <v>234</v>
      </c>
      <c r="AH44" s="2" t="s">
        <v>17</v>
      </c>
      <c r="AI44" s="4">
        <v>0.1</v>
      </c>
      <c r="AJ44" s="2" t="s">
        <v>17</v>
      </c>
      <c r="AK44" s="2" t="s">
        <v>9</v>
      </c>
      <c r="AL44" s="2" t="s">
        <v>17</v>
      </c>
      <c r="AM44" s="2" t="s">
        <v>17</v>
      </c>
      <c r="AN44" s="2" t="s">
        <v>17</v>
      </c>
      <c r="AO44" s="2" t="s">
        <v>17</v>
      </c>
      <c r="AP44" s="2" t="s">
        <v>9</v>
      </c>
      <c r="AQ44" s="2" t="s">
        <v>17</v>
      </c>
      <c r="AR44" s="2" t="s">
        <v>17</v>
      </c>
      <c r="AS44" s="2" t="s">
        <v>17</v>
      </c>
      <c r="AT44" s="2">
        <v>0</v>
      </c>
      <c r="AU44" s="5">
        <v>20000</v>
      </c>
      <c r="AV44" s="5">
        <v>340000</v>
      </c>
      <c r="AW44" s="2">
        <v>0</v>
      </c>
      <c r="AX44" s="2">
        <v>3</v>
      </c>
      <c r="AY44" s="2">
        <v>0</v>
      </c>
      <c r="AZ44" s="2">
        <v>18</v>
      </c>
      <c r="BA44" s="2">
        <v>0</v>
      </c>
      <c r="BB44" s="2">
        <v>1</v>
      </c>
      <c r="BC44" s="2">
        <v>1</v>
      </c>
      <c r="BD44" s="2">
        <v>0</v>
      </c>
      <c r="BE44" s="2">
        <v>0</v>
      </c>
      <c r="BF44" s="2">
        <v>1</v>
      </c>
      <c r="BG44" s="2">
        <v>0</v>
      </c>
      <c r="BH44" s="2">
        <v>0</v>
      </c>
      <c r="BI44" s="2">
        <v>13</v>
      </c>
      <c r="BJ44" s="2">
        <v>1</v>
      </c>
      <c r="BK44" s="2">
        <v>0</v>
      </c>
      <c r="BL44" s="2">
        <v>3</v>
      </c>
      <c r="BM44" s="2">
        <v>0</v>
      </c>
      <c r="BN44" s="2">
        <v>12</v>
      </c>
      <c r="BO44" s="2">
        <v>11</v>
      </c>
      <c r="BP44" s="2">
        <v>0</v>
      </c>
      <c r="BQ44" s="2">
        <v>10</v>
      </c>
      <c r="BR44" s="2">
        <v>11</v>
      </c>
      <c r="BS44" s="2">
        <v>0</v>
      </c>
      <c r="BT44" s="4">
        <v>0.06</v>
      </c>
      <c r="BU44" s="2" t="s">
        <v>9</v>
      </c>
      <c r="BV44" s="6">
        <v>214307.1</v>
      </c>
      <c r="BW44" s="2" t="s">
        <v>18</v>
      </c>
      <c r="BX44" s="2" t="s">
        <v>17</v>
      </c>
      <c r="BY44" s="2" t="s">
        <v>17</v>
      </c>
      <c r="BZ44" s="2" t="s">
        <v>17</v>
      </c>
      <c r="CA44" s="2" t="s">
        <v>17</v>
      </c>
      <c r="CB44" s="2" t="s">
        <v>17</v>
      </c>
      <c r="CC44" s="2" t="s">
        <v>17</v>
      </c>
      <c r="CD44" s="2" t="s">
        <v>17</v>
      </c>
      <c r="CE44" s="2" t="s">
        <v>2019</v>
      </c>
      <c r="CF44" s="2" t="s">
        <v>17</v>
      </c>
      <c r="CG44" s="2" t="s">
        <v>236</v>
      </c>
      <c r="CH44" s="2"/>
      <c r="CI44" s="2"/>
      <c r="CJ44" s="2" t="s">
        <v>9</v>
      </c>
      <c r="CK44" s="2" t="s">
        <v>237</v>
      </c>
      <c r="CL44" s="2" t="s">
        <v>236</v>
      </c>
      <c r="CM44" s="2" t="s">
        <v>238</v>
      </c>
      <c r="CN44" s="2" t="s">
        <v>239</v>
      </c>
      <c r="CO44" s="2" t="s">
        <v>24</v>
      </c>
      <c r="CP44" s="2" t="s">
        <v>229</v>
      </c>
      <c r="CQ44" s="2">
        <v>100</v>
      </c>
      <c r="CR44" s="2" t="s">
        <v>1234</v>
      </c>
      <c r="CS44" s="2">
        <v>2019</v>
      </c>
      <c r="CT44" s="2" t="s">
        <v>26</v>
      </c>
      <c r="CU44" s="2" t="s">
        <v>27</v>
      </c>
      <c r="CV44" s="2" t="s">
        <v>241</v>
      </c>
      <c r="CW44" s="2" t="s">
        <v>242</v>
      </c>
      <c r="CX44" s="2" t="s">
        <v>24</v>
      </c>
      <c r="CY44" s="2" t="s">
        <v>229</v>
      </c>
      <c r="CZ44" s="2">
        <v>120</v>
      </c>
      <c r="DA44" s="2" t="s">
        <v>1234</v>
      </c>
      <c r="DB44" s="2">
        <v>2011</v>
      </c>
      <c r="DC44" s="2" t="s">
        <v>243</v>
      </c>
      <c r="DD44" s="2" t="s">
        <v>27</v>
      </c>
      <c r="DE44" s="2" t="s">
        <v>244</v>
      </c>
      <c r="DF44" s="2" t="s">
        <v>245</v>
      </c>
      <c r="DG44" s="2" t="s">
        <v>24</v>
      </c>
      <c r="DH44" s="2" t="s">
        <v>229</v>
      </c>
      <c r="DI44" s="2">
        <v>80</v>
      </c>
      <c r="DJ44" s="2" t="s">
        <v>1234</v>
      </c>
      <c r="DK44" s="2">
        <v>2019</v>
      </c>
      <c r="DL44" s="2" t="s">
        <v>30</v>
      </c>
      <c r="DM44" s="2" t="s">
        <v>27</v>
      </c>
      <c r="DN44" s="2" t="s">
        <v>33</v>
      </c>
      <c r="DO44" s="2" t="s">
        <v>246</v>
      </c>
      <c r="DP44" s="2"/>
      <c r="DQ44" s="2" t="s">
        <v>247</v>
      </c>
      <c r="DR44" s="2" t="s">
        <v>248</v>
      </c>
      <c r="DS44" s="2">
        <v>1</v>
      </c>
      <c r="DT44" s="2" t="s">
        <v>249</v>
      </c>
      <c r="DU44" s="2" t="s">
        <v>250</v>
      </c>
      <c r="DV44" s="2" t="s">
        <v>143</v>
      </c>
      <c r="DW44" s="2">
        <v>27408</v>
      </c>
      <c r="DX44" s="2" t="s">
        <v>251</v>
      </c>
      <c r="DY44" s="2" t="s">
        <v>229</v>
      </c>
      <c r="DZ44" s="2" t="s">
        <v>252</v>
      </c>
      <c r="EA44" s="2" t="s">
        <v>253</v>
      </c>
      <c r="EB44" s="2" t="s">
        <v>238</v>
      </c>
      <c r="EC44" s="2" t="s">
        <v>239</v>
      </c>
      <c r="ED44" s="2" t="s">
        <v>44</v>
      </c>
      <c r="EE44" s="2">
        <v>100</v>
      </c>
      <c r="EF44" s="2" t="s">
        <v>1244</v>
      </c>
      <c r="EG44" s="2">
        <v>4</v>
      </c>
      <c r="EH44" s="2" t="s">
        <v>46</v>
      </c>
      <c r="EI44" s="2" t="s">
        <v>47</v>
      </c>
      <c r="EJ44" s="2" t="s">
        <v>241</v>
      </c>
      <c r="EK44" s="2" t="s">
        <v>242</v>
      </c>
      <c r="EL44" s="2" t="s">
        <v>44</v>
      </c>
      <c r="EM44" s="2">
        <v>120</v>
      </c>
      <c r="EN44" s="2" t="s">
        <v>1244</v>
      </c>
      <c r="EO44" s="2">
        <v>12</v>
      </c>
      <c r="EP44" s="2" t="s">
        <v>46</v>
      </c>
      <c r="EQ44" s="2" t="s">
        <v>47</v>
      </c>
      <c r="ER44" s="2" t="s">
        <v>255</v>
      </c>
      <c r="ES44" s="2" t="s">
        <v>256</v>
      </c>
      <c r="ET44" s="2" t="s">
        <v>257</v>
      </c>
      <c r="EU44" s="2" t="s">
        <v>2019</v>
      </c>
      <c r="EV44" s="2" t="s">
        <v>258</v>
      </c>
      <c r="EW44" s="2" t="s">
        <v>259</v>
      </c>
      <c r="EX44" s="2" t="s">
        <v>260</v>
      </c>
      <c r="EY44" s="2">
        <v>75234</v>
      </c>
      <c r="EZ44" s="2" t="s">
        <v>261</v>
      </c>
      <c r="FA44" s="2">
        <v>2</v>
      </c>
      <c r="FB44" s="2" t="s">
        <v>262</v>
      </c>
      <c r="FC44" s="2" t="s">
        <v>263</v>
      </c>
      <c r="FD44" s="2" t="s">
        <v>201</v>
      </c>
      <c r="FE44" s="2" t="s">
        <v>264</v>
      </c>
      <c r="FF44" s="2" t="s">
        <v>236</v>
      </c>
      <c r="FG44" s="2" t="s">
        <v>258</v>
      </c>
      <c r="FH44" s="2" t="s">
        <v>259</v>
      </c>
      <c r="FI44" s="2" t="s">
        <v>260</v>
      </c>
      <c r="FJ44" s="2">
        <v>75234</v>
      </c>
      <c r="FK44" s="2" t="s">
        <v>261</v>
      </c>
      <c r="FL44" s="2">
        <v>1</v>
      </c>
      <c r="FM44" s="2" t="s">
        <v>265</v>
      </c>
      <c r="FN44" s="2" t="s">
        <v>2020</v>
      </c>
      <c r="FO44" s="2" t="s">
        <v>63</v>
      </c>
      <c r="FP44" s="2" t="s">
        <v>64</v>
      </c>
      <c r="FQ44" s="2" t="s">
        <v>9</v>
      </c>
      <c r="FR44" s="2" t="s">
        <v>17</v>
      </c>
      <c r="FS44" s="2" t="s">
        <v>17</v>
      </c>
      <c r="FT44" s="2" t="s">
        <v>9</v>
      </c>
      <c r="FU44" s="2">
        <v>0</v>
      </c>
      <c r="FV44" s="2">
        <v>0</v>
      </c>
      <c r="FW44" s="4">
        <v>0</v>
      </c>
      <c r="FX44" s="4">
        <v>0</v>
      </c>
      <c r="FY44" s="2" t="s">
        <v>65</v>
      </c>
      <c r="FZ44" s="2" t="s">
        <v>66</v>
      </c>
      <c r="GA44" s="2" t="s">
        <v>67</v>
      </c>
      <c r="GB44" s="2"/>
      <c r="GC44" s="2"/>
      <c r="GD44" s="2"/>
      <c r="GE44" s="2" t="s">
        <v>68</v>
      </c>
      <c r="GF44" s="2">
        <v>72</v>
      </c>
      <c r="GG44" s="2">
        <v>72</v>
      </c>
      <c r="GH44" s="2"/>
      <c r="GI44" s="2"/>
      <c r="GJ44" s="2"/>
      <c r="GK44" s="2"/>
      <c r="GL44" s="2"/>
      <c r="GM44" s="2"/>
      <c r="GN44" s="2"/>
      <c r="GO44" s="2"/>
      <c r="GP44" s="2"/>
      <c r="GQ44" s="2">
        <v>72</v>
      </c>
      <c r="GR44" s="2" t="s">
        <v>523</v>
      </c>
      <c r="GS44" s="2" t="s">
        <v>70</v>
      </c>
      <c r="GT44" s="2" t="s">
        <v>2021</v>
      </c>
      <c r="GU44" s="2" t="s">
        <v>525</v>
      </c>
      <c r="GV44" s="2" t="s">
        <v>17</v>
      </c>
      <c r="GW44" s="2">
        <v>27.583342999999999</v>
      </c>
      <c r="GX44" s="2">
        <v>-81.513136000000003</v>
      </c>
      <c r="GY44" s="2"/>
      <c r="GZ44" s="2" t="s">
        <v>17</v>
      </c>
      <c r="HA44" s="2" t="s">
        <v>17</v>
      </c>
      <c r="HB44" s="2">
        <v>0</v>
      </c>
      <c r="HC44" s="2" t="s">
        <v>17</v>
      </c>
      <c r="HD44" s="2"/>
      <c r="HE44" s="2">
        <v>0</v>
      </c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 t="s">
        <v>73</v>
      </c>
      <c r="HY44" s="2" t="s">
        <v>17</v>
      </c>
      <c r="HZ44" s="2"/>
      <c r="IA44" s="2" t="s">
        <v>316</v>
      </c>
      <c r="IB44" s="2" t="s">
        <v>2022</v>
      </c>
      <c r="IC44" s="2">
        <v>0.16</v>
      </c>
      <c r="ID44" s="2">
        <v>4</v>
      </c>
      <c r="IE44" s="2"/>
      <c r="IF44" s="2"/>
      <c r="IG44" s="2"/>
      <c r="IH44" s="2" t="s">
        <v>224</v>
      </c>
      <c r="II44" s="2">
        <v>0.83</v>
      </c>
      <c r="IJ44" s="2">
        <v>2.5</v>
      </c>
      <c r="IK44" s="2" t="s">
        <v>2023</v>
      </c>
      <c r="IL44" s="2" t="s">
        <v>2024</v>
      </c>
      <c r="IM44" s="2">
        <v>0.95</v>
      </c>
      <c r="IN44" s="2">
        <v>3</v>
      </c>
      <c r="IO44" s="2" t="s">
        <v>17</v>
      </c>
      <c r="IP44" s="2">
        <v>0</v>
      </c>
      <c r="IQ44" s="2">
        <v>9.5</v>
      </c>
      <c r="IR44" s="2">
        <v>0</v>
      </c>
      <c r="IS44" s="2">
        <v>9.5</v>
      </c>
      <c r="IT44" s="2" t="s">
        <v>17</v>
      </c>
      <c r="IU44" s="2" t="s">
        <v>17</v>
      </c>
      <c r="IV44" s="2" t="s">
        <v>17</v>
      </c>
      <c r="IW44" s="2" t="s">
        <v>9</v>
      </c>
      <c r="IX44" s="2" t="s">
        <v>9</v>
      </c>
      <c r="IY44" s="2">
        <v>9.5</v>
      </c>
      <c r="IZ44" s="2">
        <v>72</v>
      </c>
      <c r="JA44" s="2" t="s">
        <v>81</v>
      </c>
      <c r="JB44" s="2" t="s">
        <v>173</v>
      </c>
      <c r="JC44" s="2"/>
      <c r="JD44" s="2"/>
      <c r="JE44" s="7">
        <v>0.1</v>
      </c>
      <c r="JF44" s="2"/>
      <c r="JG44" s="7">
        <v>0.9</v>
      </c>
      <c r="JH44" s="7">
        <v>0</v>
      </c>
      <c r="JI44" s="2">
        <v>72</v>
      </c>
      <c r="JJ44" s="7">
        <v>1</v>
      </c>
      <c r="JK44" s="2">
        <v>72</v>
      </c>
      <c r="JL44" s="7">
        <v>1</v>
      </c>
      <c r="JM44" s="2"/>
      <c r="JN44" s="2"/>
      <c r="JO44" s="2"/>
      <c r="JP44" s="2"/>
      <c r="JQ44" s="2"/>
      <c r="JR44" s="2"/>
      <c r="JS44" s="2">
        <v>0</v>
      </c>
      <c r="JT44" s="2">
        <v>0</v>
      </c>
      <c r="JU44" s="2"/>
      <c r="JV44" s="2">
        <v>0</v>
      </c>
      <c r="JW44" s="4">
        <v>0</v>
      </c>
      <c r="JX44" s="2">
        <v>0</v>
      </c>
      <c r="JY44" s="4">
        <v>0</v>
      </c>
      <c r="JZ44" s="2">
        <v>0</v>
      </c>
      <c r="KA44" s="2"/>
      <c r="KB44" s="2"/>
      <c r="KC44" s="2"/>
      <c r="KD44" s="2"/>
      <c r="KE44" s="2"/>
      <c r="KF44" s="2"/>
      <c r="KG44" s="2"/>
      <c r="KH44" s="2">
        <v>24</v>
      </c>
      <c r="KI44" s="2"/>
      <c r="KJ44" s="2"/>
      <c r="KK44" s="2">
        <v>36</v>
      </c>
      <c r="KL44" s="2">
        <v>12</v>
      </c>
      <c r="KM44" s="2"/>
      <c r="KN44" s="2"/>
      <c r="KO44" s="2"/>
      <c r="KP44" s="2"/>
      <c r="KQ44" s="2" t="s">
        <v>83</v>
      </c>
      <c r="KR44" s="2" t="s">
        <v>73</v>
      </c>
      <c r="KS44" s="2"/>
      <c r="KT44" s="2">
        <v>3</v>
      </c>
      <c r="KU44" s="2" t="s">
        <v>84</v>
      </c>
      <c r="KV44" s="2" t="s">
        <v>85</v>
      </c>
      <c r="KW44" s="2" t="s">
        <v>86</v>
      </c>
      <c r="KX44" s="2" t="s">
        <v>17</v>
      </c>
      <c r="KY44" s="2" t="s">
        <v>17</v>
      </c>
      <c r="KZ44" s="2" t="s">
        <v>17</v>
      </c>
      <c r="LA44" s="2" t="s">
        <v>17</v>
      </c>
      <c r="LB44" s="2" t="s">
        <v>17</v>
      </c>
      <c r="LC44" s="2" t="s">
        <v>17</v>
      </c>
      <c r="LD44" s="2" t="s">
        <v>17</v>
      </c>
      <c r="LE44" s="2" t="s">
        <v>17</v>
      </c>
      <c r="LF44" s="2" t="s">
        <v>17</v>
      </c>
      <c r="LG44" s="2" t="s">
        <v>17</v>
      </c>
      <c r="LH44" s="2" t="s">
        <v>17</v>
      </c>
      <c r="LI44" s="2" t="s">
        <v>17</v>
      </c>
      <c r="LJ44" s="2" t="s">
        <v>87</v>
      </c>
      <c r="LK44" s="2" t="s">
        <v>17</v>
      </c>
      <c r="LL44" s="2" t="s">
        <v>17</v>
      </c>
      <c r="LM44" s="2">
        <v>0</v>
      </c>
      <c r="LN44" s="2" t="s">
        <v>9</v>
      </c>
      <c r="LO44" s="2" t="s">
        <v>17</v>
      </c>
      <c r="LP44" s="2" t="s">
        <v>9</v>
      </c>
      <c r="LQ44" s="2" t="s">
        <v>17</v>
      </c>
      <c r="LR44" s="2" t="s">
        <v>9</v>
      </c>
      <c r="LS44" s="2" t="s">
        <v>17</v>
      </c>
      <c r="LT44" s="2" t="s">
        <v>17</v>
      </c>
      <c r="LU44" s="2" t="s">
        <v>17</v>
      </c>
      <c r="LV44" s="2" t="s">
        <v>17</v>
      </c>
      <c r="LW44" s="2" t="s">
        <v>17</v>
      </c>
      <c r="LX44" s="2" t="s">
        <v>17</v>
      </c>
      <c r="LY44" s="5">
        <v>5760000</v>
      </c>
      <c r="LZ44" s="5">
        <v>0</v>
      </c>
      <c r="MA44" s="5">
        <v>7200000</v>
      </c>
      <c r="MB44" s="5">
        <v>0</v>
      </c>
      <c r="MC44" s="5">
        <v>0</v>
      </c>
      <c r="MD44" s="5">
        <v>0</v>
      </c>
      <c r="ME44" s="5">
        <v>7560000</v>
      </c>
      <c r="MF44" s="5">
        <v>0</v>
      </c>
      <c r="MG44" s="5">
        <v>0</v>
      </c>
      <c r="MH44" s="5">
        <v>0</v>
      </c>
      <c r="MI44" s="5">
        <v>0</v>
      </c>
      <c r="MJ44" s="5">
        <v>0</v>
      </c>
      <c r="MK44" s="5">
        <v>0</v>
      </c>
      <c r="ML44" s="2">
        <v>0</v>
      </c>
      <c r="MM44" s="5">
        <v>0</v>
      </c>
      <c r="MN44" s="5">
        <v>0</v>
      </c>
      <c r="MO44" s="2">
        <v>0</v>
      </c>
      <c r="MP44" s="2">
        <v>0</v>
      </c>
      <c r="MQ44" s="2">
        <v>0</v>
      </c>
      <c r="MR44" s="5">
        <v>2950000</v>
      </c>
      <c r="MS44" s="5">
        <v>0</v>
      </c>
      <c r="MT44" s="5">
        <v>4600000</v>
      </c>
      <c r="MU44" s="5">
        <v>0</v>
      </c>
      <c r="MV44" s="5">
        <v>0</v>
      </c>
      <c r="MW44" s="5">
        <v>0</v>
      </c>
      <c r="MX44" s="5">
        <v>0</v>
      </c>
      <c r="MY44" s="5">
        <v>2500000</v>
      </c>
      <c r="MZ44" s="5">
        <v>0</v>
      </c>
      <c r="NA44" s="5">
        <v>5000000</v>
      </c>
      <c r="NB44" s="5">
        <v>0</v>
      </c>
      <c r="NC44" s="5">
        <v>0</v>
      </c>
      <c r="ND44" s="5">
        <v>0</v>
      </c>
      <c r="NE44" s="5">
        <v>0</v>
      </c>
      <c r="NF44" s="5">
        <v>0</v>
      </c>
      <c r="NG44" s="5">
        <v>2142000</v>
      </c>
      <c r="NH44" s="5">
        <v>2142000</v>
      </c>
      <c r="NI44" s="5">
        <v>2142000</v>
      </c>
      <c r="NJ44" s="5">
        <v>0</v>
      </c>
      <c r="NK44" s="5"/>
      <c r="NL44" s="2" t="s">
        <v>17</v>
      </c>
      <c r="NM44" s="2" t="s">
        <v>17</v>
      </c>
      <c r="NN44" s="2"/>
      <c r="NO44" s="2" t="s">
        <v>17</v>
      </c>
      <c r="NP44" s="2"/>
      <c r="NQ44" s="2"/>
      <c r="NR44" s="2" t="s">
        <v>17</v>
      </c>
      <c r="NS44" s="2"/>
      <c r="NT44" s="2" t="s">
        <v>17</v>
      </c>
      <c r="NU44" s="2"/>
      <c r="NV44" s="2"/>
      <c r="NW44" s="2"/>
      <c r="NX44" s="2" t="s">
        <v>9</v>
      </c>
      <c r="NY44" s="2" t="s">
        <v>88</v>
      </c>
      <c r="NZ44" s="2">
        <v>9601.0499999999993</v>
      </c>
      <c r="OA44" s="2" t="s">
        <v>2025</v>
      </c>
      <c r="OB44" s="2" t="s">
        <v>2026</v>
      </c>
      <c r="OC44" s="2" t="s">
        <v>2026</v>
      </c>
      <c r="OD44" s="2" t="s">
        <v>17</v>
      </c>
      <c r="OE44" s="2" t="s">
        <v>91</v>
      </c>
      <c r="OF44" s="2" t="s">
        <v>17</v>
      </c>
      <c r="OG44" s="2" t="s">
        <v>9</v>
      </c>
      <c r="OH44" s="2" t="s">
        <v>92</v>
      </c>
      <c r="OI44" s="2"/>
      <c r="OJ44" s="2"/>
      <c r="OK44" s="2" t="s">
        <v>17</v>
      </c>
      <c r="OL44" s="2" t="s">
        <v>17</v>
      </c>
      <c r="OM44" s="2" t="s">
        <v>85</v>
      </c>
      <c r="ON44" s="6">
        <v>0</v>
      </c>
      <c r="OO44" s="6">
        <v>0</v>
      </c>
      <c r="OP44" s="2" t="s">
        <v>93</v>
      </c>
      <c r="OQ44" s="2" t="s">
        <v>93</v>
      </c>
      <c r="OR44" s="6">
        <v>0</v>
      </c>
      <c r="OS44" s="4">
        <v>0</v>
      </c>
      <c r="OT44" s="2" t="s">
        <v>17</v>
      </c>
      <c r="OU44" s="2" t="s">
        <v>17</v>
      </c>
      <c r="OV44" s="2"/>
      <c r="OW44" s="2"/>
      <c r="OX44" s="5">
        <v>15430111</v>
      </c>
      <c r="OY44" s="6">
        <v>214307.1</v>
      </c>
      <c r="OZ44" s="2"/>
      <c r="PA44" s="2"/>
      <c r="PB44" s="8">
        <v>10409043</v>
      </c>
      <c r="PC44" s="2"/>
      <c r="PD44" s="8">
        <v>10409043</v>
      </c>
      <c r="PE44" s="8">
        <v>1080000</v>
      </c>
      <c r="PF44" s="8">
        <v>120000</v>
      </c>
      <c r="PG44" s="8">
        <v>1200000</v>
      </c>
      <c r="PH44" s="2"/>
      <c r="PI44" s="2"/>
      <c r="PJ44" s="2"/>
      <c r="PK44" s="8">
        <v>11489043</v>
      </c>
      <c r="PL44" s="8">
        <v>120000</v>
      </c>
      <c r="PM44" s="8">
        <v>11609043</v>
      </c>
      <c r="PN44" s="8">
        <v>1625264</v>
      </c>
      <c r="PO44" s="2"/>
      <c r="PP44" s="8">
        <v>1625264</v>
      </c>
      <c r="PQ44" s="6">
        <v>1625266</v>
      </c>
      <c r="PR44" s="8">
        <v>13114307</v>
      </c>
      <c r="PS44" s="8">
        <v>120000</v>
      </c>
      <c r="PT44" s="8">
        <v>13234307</v>
      </c>
      <c r="PU44" s="8">
        <v>661714</v>
      </c>
      <c r="PV44" s="2"/>
      <c r="PW44" s="8">
        <v>661714</v>
      </c>
      <c r="PX44" s="6">
        <v>661715.35</v>
      </c>
      <c r="PY44" s="8">
        <v>484000</v>
      </c>
      <c r="PZ44" s="2"/>
      <c r="QA44" s="8">
        <v>484000</v>
      </c>
      <c r="QB44" s="8">
        <v>69000</v>
      </c>
      <c r="QC44" s="8">
        <v>46000</v>
      </c>
      <c r="QD44" s="8">
        <v>115000</v>
      </c>
      <c r="QE44" s="8">
        <v>213000</v>
      </c>
      <c r="QF44" s="2"/>
      <c r="QG44" s="8">
        <v>213000</v>
      </c>
      <c r="QH44" s="2"/>
      <c r="QI44" s="8">
        <v>387602</v>
      </c>
      <c r="QJ44" s="8">
        <v>387602</v>
      </c>
      <c r="QK44" s="2"/>
      <c r="QL44" s="2"/>
      <c r="QM44" s="2"/>
      <c r="QN44" s="8">
        <v>568544</v>
      </c>
      <c r="QO44" s="8">
        <v>10000</v>
      </c>
      <c r="QP44" s="8">
        <v>578544</v>
      </c>
      <c r="QQ44" s="8">
        <v>1334544</v>
      </c>
      <c r="QR44" s="8">
        <v>443602</v>
      </c>
      <c r="QS44" s="8">
        <v>1778146</v>
      </c>
      <c r="QT44" s="8">
        <v>50000</v>
      </c>
      <c r="QU44" s="2"/>
      <c r="QV44" s="8">
        <v>50000</v>
      </c>
      <c r="QW44" s="6">
        <v>88907.3</v>
      </c>
      <c r="QX44" s="8">
        <v>1091695</v>
      </c>
      <c r="QY44" s="8">
        <v>540047</v>
      </c>
      <c r="QZ44" s="8">
        <v>1631742</v>
      </c>
      <c r="RA44" s="8">
        <v>33750</v>
      </c>
      <c r="RB44" s="8">
        <v>33750</v>
      </c>
      <c r="RC44" s="8">
        <v>30000</v>
      </c>
      <c r="RD44" s="8">
        <v>20000</v>
      </c>
      <c r="RE44" s="8">
        <v>50000</v>
      </c>
      <c r="RF44" s="8">
        <v>1121695</v>
      </c>
      <c r="RG44" s="8">
        <v>593797</v>
      </c>
      <c r="RH44" s="8">
        <v>1715492</v>
      </c>
      <c r="RI44" s="2"/>
      <c r="RJ44" s="2"/>
      <c r="RK44" s="2"/>
      <c r="RL44" s="2"/>
      <c r="RM44" s="8">
        <v>16282260</v>
      </c>
      <c r="RN44" s="8">
        <v>1157399</v>
      </c>
      <c r="RO44" s="8">
        <v>17439659</v>
      </c>
      <c r="RP44" s="2"/>
      <c r="RQ44" s="2"/>
      <c r="RR44" s="2">
        <v>0</v>
      </c>
      <c r="RS44" s="6">
        <v>0</v>
      </c>
      <c r="RT44" s="8">
        <v>2740751</v>
      </c>
      <c r="RU44" s="2"/>
      <c r="RV44" s="8">
        <v>2740751</v>
      </c>
      <c r="RW44" s="6">
        <v>2790345</v>
      </c>
      <c r="RX44" s="6">
        <v>0</v>
      </c>
      <c r="RY44" s="8">
        <v>2740751</v>
      </c>
      <c r="RZ44" s="2"/>
      <c r="SA44" s="8">
        <v>2740751</v>
      </c>
      <c r="SB44" s="6">
        <v>2790345</v>
      </c>
      <c r="SC44" s="2"/>
      <c r="SD44" s="2"/>
      <c r="SE44" s="6">
        <v>252000</v>
      </c>
      <c r="SF44" s="8">
        <v>1000000</v>
      </c>
      <c r="SG44" s="8">
        <v>1000000</v>
      </c>
      <c r="SH44" s="8">
        <v>19023011</v>
      </c>
      <c r="SI44" s="8">
        <v>2157399</v>
      </c>
      <c r="SJ44" s="8">
        <v>21180410</v>
      </c>
      <c r="SK44" s="2" t="s">
        <v>277</v>
      </c>
      <c r="SL44" s="2"/>
      <c r="SM44" s="2" t="s">
        <v>278</v>
      </c>
      <c r="SN44" s="2" t="s">
        <v>279</v>
      </c>
      <c r="SO44" s="2"/>
      <c r="SP44" s="8">
        <v>17125000</v>
      </c>
      <c r="SQ44" s="2" t="s">
        <v>95</v>
      </c>
      <c r="SR44" s="2"/>
      <c r="SS44" s="2"/>
      <c r="ST44" s="2"/>
      <c r="SU44" s="2"/>
      <c r="SV44" s="2"/>
      <c r="SW44" s="2"/>
      <c r="SX44" s="2" t="s">
        <v>96</v>
      </c>
      <c r="SY44" s="2" t="s">
        <v>96</v>
      </c>
      <c r="SZ44" s="2" t="s">
        <v>96</v>
      </c>
      <c r="TA44" s="2" t="s">
        <v>96</v>
      </c>
      <c r="TB44" s="8">
        <v>2762904</v>
      </c>
      <c r="TC44" s="2"/>
      <c r="TD44" s="2"/>
      <c r="TE44" s="2"/>
      <c r="TF44" s="2"/>
      <c r="TG44" s="2"/>
      <c r="TH44" s="2"/>
      <c r="TI44" s="8">
        <v>1292506</v>
      </c>
      <c r="TJ44" s="8">
        <v>21180410</v>
      </c>
      <c r="TK44" s="2">
        <v>0</v>
      </c>
      <c r="TL44" s="2" t="s">
        <v>9</v>
      </c>
      <c r="TM44" s="8">
        <v>2375000</v>
      </c>
      <c r="TN44" s="2" t="s">
        <v>95</v>
      </c>
      <c r="TO44" s="2"/>
      <c r="TP44" s="2"/>
      <c r="TQ44" s="2"/>
      <c r="TR44" s="2"/>
      <c r="TS44" s="2"/>
      <c r="TT44" s="2"/>
      <c r="TU44" s="2" t="s">
        <v>96</v>
      </c>
      <c r="TV44" s="8">
        <v>18419358</v>
      </c>
      <c r="TW44" s="2"/>
      <c r="TX44" s="2"/>
      <c r="TY44" s="2"/>
      <c r="TZ44" s="2"/>
      <c r="UA44" s="2"/>
      <c r="UB44" s="2"/>
      <c r="UC44" s="8">
        <v>386052</v>
      </c>
      <c r="UD44" s="8">
        <v>21180410</v>
      </c>
      <c r="UE44" s="6">
        <v>2375000</v>
      </c>
      <c r="UF44" s="2">
        <v>0</v>
      </c>
      <c r="UG44" s="2" t="s">
        <v>9</v>
      </c>
      <c r="UH44" s="2">
        <v>72</v>
      </c>
      <c r="UI44" s="5">
        <v>240000</v>
      </c>
      <c r="UJ44" s="6">
        <v>320000</v>
      </c>
      <c r="UK44" s="6">
        <v>320000</v>
      </c>
      <c r="UL44" s="6">
        <v>339200</v>
      </c>
      <c r="UM44" s="6">
        <v>24422400</v>
      </c>
      <c r="UN44" s="6">
        <v>3907584</v>
      </c>
      <c r="UO44" s="6">
        <v>3907584</v>
      </c>
      <c r="UP44" s="6">
        <v>28329984</v>
      </c>
      <c r="UQ44" s="6">
        <v>20180410</v>
      </c>
      <c r="UR44" s="2"/>
      <c r="US44" s="2"/>
      <c r="UT44" s="6">
        <v>0</v>
      </c>
      <c r="UU44" s="2"/>
      <c r="UV44" s="6">
        <v>0</v>
      </c>
      <c r="UW44" s="6">
        <v>0</v>
      </c>
      <c r="UX44" s="6">
        <v>0</v>
      </c>
      <c r="UY44" s="6">
        <v>0</v>
      </c>
      <c r="UZ44" s="2"/>
      <c r="VA44" s="2"/>
      <c r="VB44" s="2"/>
      <c r="VC44" s="2"/>
      <c r="VD44" s="2" t="s">
        <v>17</v>
      </c>
      <c r="VE44" s="2" t="s">
        <v>17</v>
      </c>
      <c r="VF44" s="2"/>
      <c r="VG44" s="2" t="s">
        <v>17</v>
      </c>
      <c r="VH44" s="2"/>
      <c r="VI44" s="388" t="s">
        <v>237</v>
      </c>
      <c r="VJ44" s="2" t="s">
        <v>98</v>
      </c>
      <c r="VK44" s="2" t="s">
        <v>280</v>
      </c>
      <c r="VL44" s="23">
        <f t="shared" si="21"/>
        <v>132</v>
      </c>
      <c r="VM44" s="17">
        <f t="shared" si="22"/>
        <v>1.8333333333333333</v>
      </c>
      <c r="VN44" s="17" t="str">
        <f t="shared" si="12"/>
        <v>NC-GA-F</v>
      </c>
      <c r="VO44" s="17" t="str">
        <f t="shared" si="13"/>
        <v>NC-GA-F-ESS</v>
      </c>
      <c r="VP44" s="12">
        <v>9</v>
      </c>
      <c r="VQ44" s="57">
        <v>1</v>
      </c>
      <c r="VR44" s="57">
        <f t="shared" si="23"/>
        <v>1</v>
      </c>
      <c r="VS44" s="14">
        <f t="shared" si="24"/>
        <v>1</v>
      </c>
      <c r="VT44" s="12">
        <f t="shared" si="25"/>
        <v>0.93000000000000016</v>
      </c>
      <c r="VU44" s="16">
        <f t="shared" si="26"/>
        <v>17928540.000000004</v>
      </c>
      <c r="VV44" s="16">
        <f t="shared" si="27"/>
        <v>249007.50000000006</v>
      </c>
      <c r="VW44" s="12" t="str">
        <f t="shared" si="14"/>
        <v>A</v>
      </c>
      <c r="VX44" s="12" t="str">
        <f t="shared" si="15"/>
        <v>NC-GA-ESS</v>
      </c>
      <c r="VY44" s="351">
        <f t="shared" si="16"/>
        <v>5</v>
      </c>
      <c r="WA44" s="12">
        <f t="shared" si="17"/>
        <v>0</v>
      </c>
      <c r="WB44" s="12">
        <f t="shared" si="18"/>
        <v>0</v>
      </c>
      <c r="WC44" s="12">
        <f t="shared" si="18"/>
        <v>0</v>
      </c>
      <c r="WD44" s="12">
        <f t="shared" si="18"/>
        <v>0</v>
      </c>
      <c r="WE44" s="12">
        <f t="shared" si="19"/>
        <v>1</v>
      </c>
      <c r="WF44" s="12">
        <f t="shared" si="28"/>
        <v>1</v>
      </c>
      <c r="WG44" s="12">
        <f t="shared" si="29"/>
        <v>0</v>
      </c>
      <c r="WH44" s="12">
        <f t="shared" si="30"/>
        <v>0</v>
      </c>
      <c r="WI44" s="22">
        <f t="shared" si="31"/>
        <v>2</v>
      </c>
      <c r="WJ44" s="2"/>
      <c r="WK44" s="443" t="str">
        <f t="shared" si="20"/>
        <v>NC-GA-ESS-BBN-BRN-NPH-F</v>
      </c>
      <c r="WL44" s="443"/>
      <c r="WM44" s="443"/>
    </row>
    <row r="45" spans="1:611" x14ac:dyDescent="0.25">
      <c r="A45" s="2">
        <v>9560</v>
      </c>
      <c r="B45" s="2" t="s">
        <v>1852</v>
      </c>
      <c r="C45" s="2" t="s">
        <v>8</v>
      </c>
      <c r="D45" s="3">
        <v>45153</v>
      </c>
      <c r="E45" s="2" t="s">
        <v>9</v>
      </c>
      <c r="F45" s="2">
        <v>3</v>
      </c>
      <c r="G45" s="2" t="s">
        <v>9</v>
      </c>
      <c r="H45" s="2">
        <v>3</v>
      </c>
      <c r="I45" s="2" t="s">
        <v>9</v>
      </c>
      <c r="J45" s="2">
        <v>2</v>
      </c>
      <c r="K45" s="2" t="s">
        <v>9</v>
      </c>
      <c r="L45" s="2">
        <v>3</v>
      </c>
      <c r="M45" s="2" t="s">
        <v>10</v>
      </c>
      <c r="N45" s="2">
        <v>0</v>
      </c>
      <c r="O45" s="2" t="s">
        <v>10</v>
      </c>
      <c r="P45" s="2">
        <v>0</v>
      </c>
      <c r="Q45" s="2" t="s">
        <v>11</v>
      </c>
      <c r="R45" s="2">
        <v>0</v>
      </c>
      <c r="S45" s="2" t="s">
        <v>9</v>
      </c>
      <c r="T45" s="2">
        <v>2</v>
      </c>
      <c r="U45" s="2" t="s">
        <v>9</v>
      </c>
      <c r="V45" s="2">
        <v>2</v>
      </c>
      <c r="W45" s="2" t="s">
        <v>9</v>
      </c>
      <c r="X45" s="2">
        <v>2</v>
      </c>
      <c r="Y45" s="2" t="s">
        <v>12</v>
      </c>
      <c r="Z45" s="2" t="s">
        <v>15</v>
      </c>
      <c r="AA45" s="2" t="s">
        <v>15</v>
      </c>
      <c r="AB45" s="2" t="s">
        <v>15</v>
      </c>
      <c r="AC45" s="2" t="s">
        <v>15</v>
      </c>
      <c r="AD45" s="2" t="s">
        <v>15</v>
      </c>
      <c r="AE45" s="2" t="s">
        <v>15</v>
      </c>
      <c r="AF45" s="2">
        <v>0</v>
      </c>
      <c r="AG45" s="2" t="s">
        <v>234</v>
      </c>
      <c r="AH45" s="2" t="s">
        <v>17</v>
      </c>
      <c r="AI45" s="4">
        <v>0.15789</v>
      </c>
      <c r="AJ45" s="2" t="s">
        <v>17</v>
      </c>
      <c r="AK45" s="2" t="s">
        <v>9</v>
      </c>
      <c r="AL45" s="2" t="s">
        <v>17</v>
      </c>
      <c r="AM45" s="2" t="s">
        <v>17</v>
      </c>
      <c r="AN45" s="2" t="s">
        <v>17</v>
      </c>
      <c r="AO45" s="2" t="s">
        <v>17</v>
      </c>
      <c r="AP45" s="2" t="s">
        <v>17</v>
      </c>
      <c r="AQ45" s="2" t="s">
        <v>17</v>
      </c>
      <c r="AR45" s="2" t="s">
        <v>9</v>
      </c>
      <c r="AS45" s="2" t="s">
        <v>17</v>
      </c>
      <c r="AT45" s="2">
        <v>0</v>
      </c>
      <c r="AU45" s="5">
        <v>50000</v>
      </c>
      <c r="AV45" s="5">
        <v>460000</v>
      </c>
      <c r="AW45" s="2">
        <v>0</v>
      </c>
      <c r="AX45" s="2">
        <v>6</v>
      </c>
      <c r="AY45" s="2">
        <v>0</v>
      </c>
      <c r="AZ45" s="2">
        <v>18</v>
      </c>
      <c r="BA45" s="2">
        <v>0</v>
      </c>
      <c r="BB45" s="2">
        <v>1</v>
      </c>
      <c r="BC45" s="2">
        <v>0</v>
      </c>
      <c r="BD45" s="2">
        <v>0</v>
      </c>
      <c r="BE45" s="2">
        <v>0</v>
      </c>
      <c r="BF45" s="2">
        <v>1</v>
      </c>
      <c r="BG45" s="2">
        <v>0</v>
      </c>
      <c r="BH45" s="2">
        <v>0</v>
      </c>
      <c r="BI45" s="2">
        <v>13</v>
      </c>
      <c r="BJ45" s="2">
        <v>1</v>
      </c>
      <c r="BK45" s="2">
        <v>0</v>
      </c>
      <c r="BL45" s="2">
        <v>2</v>
      </c>
      <c r="BM45" s="2">
        <v>0</v>
      </c>
      <c r="BN45" s="2">
        <v>11</v>
      </c>
      <c r="BO45" s="2">
        <v>11</v>
      </c>
      <c r="BP45" s="2">
        <v>0</v>
      </c>
      <c r="BQ45" s="2">
        <v>10</v>
      </c>
      <c r="BR45" s="2">
        <v>11.61</v>
      </c>
      <c r="BS45" s="2">
        <v>0</v>
      </c>
      <c r="BT45" s="4">
        <v>0.06</v>
      </c>
      <c r="BU45" s="2" t="s">
        <v>9</v>
      </c>
      <c r="BV45" s="6">
        <v>215599.14</v>
      </c>
      <c r="BW45" s="2" t="s">
        <v>126</v>
      </c>
      <c r="BX45" s="2" t="s">
        <v>17</v>
      </c>
      <c r="BY45" s="2" t="s">
        <v>17</v>
      </c>
      <c r="BZ45" s="2" t="s">
        <v>17</v>
      </c>
      <c r="CA45" s="2" t="s">
        <v>17</v>
      </c>
      <c r="CB45" s="2" t="s">
        <v>17</v>
      </c>
      <c r="CC45" s="2" t="s">
        <v>17</v>
      </c>
      <c r="CD45" s="2" t="s">
        <v>17</v>
      </c>
      <c r="CE45" s="2" t="s">
        <v>1853</v>
      </c>
      <c r="CF45" s="2" t="s">
        <v>17</v>
      </c>
      <c r="CG45" s="2" t="s">
        <v>1854</v>
      </c>
      <c r="CH45" s="2"/>
      <c r="CI45" s="2"/>
      <c r="CJ45" s="2" t="s">
        <v>9</v>
      </c>
      <c r="CK45" s="2" t="s">
        <v>328</v>
      </c>
      <c r="CL45" s="2" t="s">
        <v>1854</v>
      </c>
      <c r="CM45" s="2" t="s">
        <v>329</v>
      </c>
      <c r="CN45" s="2" t="s">
        <v>330</v>
      </c>
      <c r="CO45" s="2" t="s">
        <v>24</v>
      </c>
      <c r="CP45" s="2" t="s">
        <v>229</v>
      </c>
      <c r="CQ45" s="2">
        <v>90</v>
      </c>
      <c r="CR45" s="2" t="s">
        <v>331</v>
      </c>
      <c r="CS45" s="2">
        <v>2020</v>
      </c>
      <c r="CT45" s="2" t="s">
        <v>26</v>
      </c>
      <c r="CU45" s="2" t="s">
        <v>27</v>
      </c>
      <c r="CV45" s="2" t="s">
        <v>332</v>
      </c>
      <c r="CW45" s="2" t="s">
        <v>333</v>
      </c>
      <c r="CX45" s="2" t="s">
        <v>24</v>
      </c>
      <c r="CY45" s="2" t="s">
        <v>229</v>
      </c>
      <c r="CZ45" s="2">
        <v>86</v>
      </c>
      <c r="DA45" s="2" t="s">
        <v>331</v>
      </c>
      <c r="DB45" s="2">
        <v>2018</v>
      </c>
      <c r="DC45" s="2" t="s">
        <v>30</v>
      </c>
      <c r="DD45" s="2" t="s">
        <v>27</v>
      </c>
      <c r="DE45" s="2" t="s">
        <v>334</v>
      </c>
      <c r="DF45" s="2" t="s">
        <v>335</v>
      </c>
      <c r="DG45" s="2" t="s">
        <v>24</v>
      </c>
      <c r="DH45" s="2" t="s">
        <v>229</v>
      </c>
      <c r="DI45" s="2">
        <v>96</v>
      </c>
      <c r="DJ45" s="2" t="s">
        <v>331</v>
      </c>
      <c r="DK45" s="2">
        <v>2017</v>
      </c>
      <c r="DL45" s="2" t="s">
        <v>30</v>
      </c>
      <c r="DM45" s="2" t="s">
        <v>27</v>
      </c>
      <c r="DN45" s="2" t="s">
        <v>33</v>
      </c>
      <c r="DO45" s="2" t="s">
        <v>336</v>
      </c>
      <c r="DP45" s="2" t="s">
        <v>337</v>
      </c>
      <c r="DQ45" s="2" t="s">
        <v>338</v>
      </c>
      <c r="DR45" s="2" t="s">
        <v>36</v>
      </c>
      <c r="DS45" s="2">
        <v>1</v>
      </c>
      <c r="DT45" s="2" t="s">
        <v>339</v>
      </c>
      <c r="DU45" s="2" t="s">
        <v>38</v>
      </c>
      <c r="DV45" s="2" t="s">
        <v>39</v>
      </c>
      <c r="DW45" s="2">
        <v>32405</v>
      </c>
      <c r="DX45" s="2" t="s">
        <v>340</v>
      </c>
      <c r="DY45" s="2"/>
      <c r="DZ45" s="2" t="s">
        <v>341</v>
      </c>
      <c r="EA45" s="2" t="s">
        <v>508</v>
      </c>
      <c r="EB45" s="2" t="s">
        <v>329</v>
      </c>
      <c r="EC45" s="2" t="s">
        <v>330</v>
      </c>
      <c r="ED45" s="2" t="s">
        <v>44</v>
      </c>
      <c r="EE45" s="2">
        <v>90</v>
      </c>
      <c r="EF45" s="2" t="s">
        <v>342</v>
      </c>
      <c r="EG45" s="2">
        <v>3</v>
      </c>
      <c r="EH45" s="2" t="s">
        <v>46</v>
      </c>
      <c r="EI45" s="2" t="s">
        <v>47</v>
      </c>
      <c r="EJ45" s="2" t="s">
        <v>332</v>
      </c>
      <c r="EK45" s="2" t="s">
        <v>333</v>
      </c>
      <c r="EL45" s="2" t="s">
        <v>44</v>
      </c>
      <c r="EM45" s="2">
        <v>86</v>
      </c>
      <c r="EN45" s="2" t="s">
        <v>342</v>
      </c>
      <c r="EO45" s="2">
        <v>4</v>
      </c>
      <c r="EP45" s="2" t="s">
        <v>46</v>
      </c>
      <c r="EQ45" s="2" t="s">
        <v>47</v>
      </c>
      <c r="ER45" s="2" t="s">
        <v>343</v>
      </c>
      <c r="ES45" s="2"/>
      <c r="ET45" s="2" t="s">
        <v>344</v>
      </c>
      <c r="EU45" s="2" t="s">
        <v>345</v>
      </c>
      <c r="EV45" s="2" t="s">
        <v>352</v>
      </c>
      <c r="EW45" s="2" t="s">
        <v>347</v>
      </c>
      <c r="EX45" s="2" t="s">
        <v>39</v>
      </c>
      <c r="EY45" s="2">
        <v>33309</v>
      </c>
      <c r="EZ45" s="2" t="s">
        <v>348</v>
      </c>
      <c r="FA45" s="2"/>
      <c r="FB45" s="2" t="s">
        <v>349</v>
      </c>
      <c r="FC45" s="2" t="s">
        <v>350</v>
      </c>
      <c r="FD45" s="2" t="s">
        <v>1660</v>
      </c>
      <c r="FE45" s="2" t="s">
        <v>351</v>
      </c>
      <c r="FF45" s="2" t="s">
        <v>345</v>
      </c>
      <c r="FG45" s="2" t="s">
        <v>352</v>
      </c>
      <c r="FH45" s="2" t="s">
        <v>347</v>
      </c>
      <c r="FI45" s="2" t="s">
        <v>39</v>
      </c>
      <c r="FJ45" s="2">
        <v>33309</v>
      </c>
      <c r="FK45" s="2" t="s">
        <v>1855</v>
      </c>
      <c r="FL45" s="2"/>
      <c r="FM45" s="2" t="s">
        <v>354</v>
      </c>
      <c r="FN45" s="2" t="s">
        <v>1856</v>
      </c>
      <c r="FO45" s="2" t="s">
        <v>63</v>
      </c>
      <c r="FP45" s="2" t="s">
        <v>64</v>
      </c>
      <c r="FQ45" s="2" t="s">
        <v>9</v>
      </c>
      <c r="FR45" s="2" t="s">
        <v>17</v>
      </c>
      <c r="FS45" s="2" t="s">
        <v>17</v>
      </c>
      <c r="FT45" s="2" t="s">
        <v>9</v>
      </c>
      <c r="FU45" s="2">
        <v>0</v>
      </c>
      <c r="FV45" s="2">
        <v>0</v>
      </c>
      <c r="FW45" s="4">
        <v>0</v>
      </c>
      <c r="FX45" s="4">
        <v>0</v>
      </c>
      <c r="FY45" s="2" t="s">
        <v>65</v>
      </c>
      <c r="FZ45" s="2" t="s">
        <v>66</v>
      </c>
      <c r="GA45" s="2" t="s">
        <v>67</v>
      </c>
      <c r="GB45" s="2"/>
      <c r="GC45" s="2"/>
      <c r="GD45" s="2"/>
      <c r="GE45" s="2" t="s">
        <v>108</v>
      </c>
      <c r="GF45" s="2"/>
      <c r="GG45" s="2"/>
      <c r="GH45" s="2"/>
      <c r="GI45" s="2"/>
      <c r="GJ45" s="2">
        <v>76</v>
      </c>
      <c r="GK45" s="2"/>
      <c r="GL45" s="2"/>
      <c r="GM45" s="2"/>
      <c r="GN45" s="2"/>
      <c r="GO45" s="2"/>
      <c r="GP45" s="2"/>
      <c r="GQ45" s="2">
        <v>76</v>
      </c>
      <c r="GR45" s="2" t="s">
        <v>1065</v>
      </c>
      <c r="GS45" s="2" t="s">
        <v>70</v>
      </c>
      <c r="GT45" s="2" t="s">
        <v>1857</v>
      </c>
      <c r="GU45" s="2" t="s">
        <v>1858</v>
      </c>
      <c r="GV45" s="2" t="s">
        <v>17</v>
      </c>
      <c r="GW45" s="2">
        <v>27.897144000000001</v>
      </c>
      <c r="GX45" s="2">
        <v>-81.833888999999999</v>
      </c>
      <c r="GY45" s="2"/>
      <c r="GZ45" s="2" t="s">
        <v>17</v>
      </c>
      <c r="HA45" s="2" t="s">
        <v>17</v>
      </c>
      <c r="HB45" s="2">
        <v>0</v>
      </c>
      <c r="HC45" s="2" t="s">
        <v>17</v>
      </c>
      <c r="HD45" s="2" t="s">
        <v>17</v>
      </c>
      <c r="HE45" s="2">
        <v>0</v>
      </c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 t="s">
        <v>73</v>
      </c>
      <c r="HY45" s="2" t="s">
        <v>17</v>
      </c>
      <c r="HZ45" s="2"/>
      <c r="IA45" s="2" t="s">
        <v>549</v>
      </c>
      <c r="IB45" s="2" t="s">
        <v>1859</v>
      </c>
      <c r="IC45" s="2">
        <v>0.62</v>
      </c>
      <c r="ID45" s="2">
        <v>3</v>
      </c>
      <c r="IE45" s="2" t="s">
        <v>1860</v>
      </c>
      <c r="IF45" s="2">
        <v>0.3</v>
      </c>
      <c r="IG45" s="2">
        <v>4</v>
      </c>
      <c r="IH45" s="2" t="s">
        <v>1118</v>
      </c>
      <c r="II45" s="2">
        <v>0.61</v>
      </c>
      <c r="IJ45" s="2">
        <v>3</v>
      </c>
      <c r="IK45" s="2"/>
      <c r="IL45" s="2"/>
      <c r="IM45" s="2"/>
      <c r="IN45" s="2"/>
      <c r="IO45" s="2" t="s">
        <v>9</v>
      </c>
      <c r="IP45" s="2">
        <v>0</v>
      </c>
      <c r="IQ45" s="2">
        <v>10</v>
      </c>
      <c r="IR45" s="2">
        <v>0</v>
      </c>
      <c r="IS45" s="2">
        <v>10</v>
      </c>
      <c r="IT45" s="2" t="s">
        <v>9</v>
      </c>
      <c r="IU45" s="2" t="s">
        <v>17</v>
      </c>
      <c r="IV45" s="2" t="s">
        <v>17</v>
      </c>
      <c r="IW45" s="2" t="s">
        <v>9</v>
      </c>
      <c r="IX45" s="2" t="s">
        <v>9</v>
      </c>
      <c r="IY45" s="2">
        <v>10</v>
      </c>
      <c r="IZ45" s="2">
        <v>76</v>
      </c>
      <c r="JA45" s="2" t="s">
        <v>172</v>
      </c>
      <c r="JB45" s="2" t="s">
        <v>82</v>
      </c>
      <c r="JC45" s="2"/>
      <c r="JD45" s="2"/>
      <c r="JE45" s="2"/>
      <c r="JF45" s="2"/>
      <c r="JG45" s="2"/>
      <c r="JH45" s="7">
        <v>0</v>
      </c>
      <c r="JI45" s="2">
        <v>0</v>
      </c>
      <c r="JJ45" s="7">
        <v>0</v>
      </c>
      <c r="JK45" s="2">
        <v>0</v>
      </c>
      <c r="JL45" s="7">
        <v>0</v>
      </c>
      <c r="JM45" s="2">
        <v>12</v>
      </c>
      <c r="JN45" s="2"/>
      <c r="JO45" s="2"/>
      <c r="JP45" s="2">
        <v>28</v>
      </c>
      <c r="JQ45" s="2">
        <v>36</v>
      </c>
      <c r="JR45" s="2"/>
      <c r="JS45" s="2">
        <v>0</v>
      </c>
      <c r="JT45" s="2">
        <v>0</v>
      </c>
      <c r="JU45" s="2"/>
      <c r="JV45" s="2">
        <v>76</v>
      </c>
      <c r="JW45" s="4">
        <v>1</v>
      </c>
      <c r="JX45" s="2">
        <v>76</v>
      </c>
      <c r="JY45" s="4">
        <v>0.6</v>
      </c>
      <c r="JZ45" s="2">
        <v>0</v>
      </c>
      <c r="KA45" s="2"/>
      <c r="KB45" s="2"/>
      <c r="KC45" s="2"/>
      <c r="KD45" s="2"/>
      <c r="KE45" s="2"/>
      <c r="KF45" s="2"/>
      <c r="KG45" s="2"/>
      <c r="KH45" s="2">
        <v>76</v>
      </c>
      <c r="KI45" s="2"/>
      <c r="KJ45" s="2"/>
      <c r="KK45" s="2"/>
      <c r="KL45" s="2"/>
      <c r="KM45" s="2"/>
      <c r="KN45" s="2"/>
      <c r="KO45" s="2"/>
      <c r="KP45" s="2"/>
      <c r="KQ45" s="2" t="s">
        <v>83</v>
      </c>
      <c r="KR45" s="2"/>
      <c r="KS45" s="2" t="s">
        <v>73</v>
      </c>
      <c r="KT45" s="2">
        <v>1</v>
      </c>
      <c r="KU45" s="2" t="s">
        <v>84</v>
      </c>
      <c r="KV45" s="2" t="s">
        <v>85</v>
      </c>
      <c r="KW45" s="2" t="s">
        <v>86</v>
      </c>
      <c r="KX45" s="2" t="s">
        <v>17</v>
      </c>
      <c r="KY45" s="2" t="s">
        <v>17</v>
      </c>
      <c r="KZ45" s="2" t="s">
        <v>17</v>
      </c>
      <c r="LA45" s="2" t="s">
        <v>17</v>
      </c>
      <c r="LB45" s="2" t="s">
        <v>17</v>
      </c>
      <c r="LC45" s="2" t="s">
        <v>17</v>
      </c>
      <c r="LD45" s="2" t="s">
        <v>17</v>
      </c>
      <c r="LE45" s="2" t="s">
        <v>17</v>
      </c>
      <c r="LF45" s="2" t="s">
        <v>17</v>
      </c>
      <c r="LG45" s="2" t="s">
        <v>17</v>
      </c>
      <c r="LH45" s="2" t="s">
        <v>17</v>
      </c>
      <c r="LI45" s="2" t="s">
        <v>17</v>
      </c>
      <c r="LJ45" s="2" t="s">
        <v>87</v>
      </c>
      <c r="LK45" s="2" t="s">
        <v>17</v>
      </c>
      <c r="LL45" s="2" t="s">
        <v>17</v>
      </c>
      <c r="LM45" s="2">
        <v>0</v>
      </c>
      <c r="LN45" s="2" t="s">
        <v>17</v>
      </c>
      <c r="LO45" s="2" t="s">
        <v>17</v>
      </c>
      <c r="LP45" s="2" t="s">
        <v>17</v>
      </c>
      <c r="LQ45" s="2" t="s">
        <v>17</v>
      </c>
      <c r="LR45" s="2" t="s">
        <v>17</v>
      </c>
      <c r="LS45" s="2" t="s">
        <v>17</v>
      </c>
      <c r="LT45" s="2" t="s">
        <v>9</v>
      </c>
      <c r="LU45" s="2" t="s">
        <v>9</v>
      </c>
      <c r="LV45" s="2" t="s">
        <v>9</v>
      </c>
      <c r="LW45" s="2" t="s">
        <v>17</v>
      </c>
      <c r="LX45" s="2" t="s">
        <v>17</v>
      </c>
      <c r="LY45" s="5">
        <v>6080000</v>
      </c>
      <c r="LZ45" s="5">
        <v>0</v>
      </c>
      <c r="MA45" s="5">
        <v>7200000</v>
      </c>
      <c r="MB45" s="5">
        <v>0</v>
      </c>
      <c r="MC45" s="5">
        <v>0</v>
      </c>
      <c r="MD45" s="5">
        <v>0</v>
      </c>
      <c r="ME45" s="5">
        <v>7980000</v>
      </c>
      <c r="MF45" s="5">
        <v>0</v>
      </c>
      <c r="MG45" s="5">
        <v>0</v>
      </c>
      <c r="MH45" s="5">
        <v>0</v>
      </c>
      <c r="MI45" s="5">
        <v>0</v>
      </c>
      <c r="MJ45" s="5">
        <v>0</v>
      </c>
      <c r="MK45" s="5">
        <v>0</v>
      </c>
      <c r="ML45" s="2">
        <v>0</v>
      </c>
      <c r="MM45" s="5">
        <v>0</v>
      </c>
      <c r="MN45" s="5">
        <v>0</v>
      </c>
      <c r="MO45" s="2">
        <v>0</v>
      </c>
      <c r="MP45" s="2">
        <v>0</v>
      </c>
      <c r="MQ45" s="2">
        <v>0</v>
      </c>
      <c r="MR45" s="5">
        <v>2950000</v>
      </c>
      <c r="MS45" s="5">
        <v>0</v>
      </c>
      <c r="MT45" s="5">
        <v>4600000</v>
      </c>
      <c r="MU45" s="5">
        <v>0</v>
      </c>
      <c r="MV45" s="5">
        <v>0</v>
      </c>
      <c r="MW45" s="5">
        <v>0</v>
      </c>
      <c r="MX45" s="5">
        <v>0</v>
      </c>
      <c r="MY45" s="5">
        <v>2500000</v>
      </c>
      <c r="MZ45" s="5">
        <v>0</v>
      </c>
      <c r="NA45" s="5">
        <v>5000000</v>
      </c>
      <c r="NB45" s="5">
        <v>0</v>
      </c>
      <c r="NC45" s="5">
        <v>0</v>
      </c>
      <c r="ND45" s="5">
        <v>0</v>
      </c>
      <c r="NE45" s="5">
        <v>0</v>
      </c>
      <c r="NF45" s="5">
        <v>0</v>
      </c>
      <c r="NG45" s="5">
        <v>2142000</v>
      </c>
      <c r="NH45" s="5">
        <v>2141900</v>
      </c>
      <c r="NI45" s="5">
        <v>2141900</v>
      </c>
      <c r="NJ45" s="5">
        <v>0</v>
      </c>
      <c r="NK45" s="5"/>
      <c r="NL45" s="2" t="s">
        <v>9</v>
      </c>
      <c r="NM45" s="2" t="s">
        <v>17</v>
      </c>
      <c r="NN45" s="2"/>
      <c r="NO45" s="2" t="s">
        <v>17</v>
      </c>
      <c r="NP45" s="2"/>
      <c r="NQ45" s="2"/>
      <c r="NR45" s="2" t="s">
        <v>17</v>
      </c>
      <c r="NS45" s="2"/>
      <c r="NT45" s="2" t="s">
        <v>17</v>
      </c>
      <c r="NU45" s="2"/>
      <c r="NV45" s="2"/>
      <c r="NW45" s="2"/>
      <c r="NX45" s="2" t="s">
        <v>17</v>
      </c>
      <c r="NY45" s="2"/>
      <c r="NZ45" s="2"/>
      <c r="OA45" s="2" t="s">
        <v>118</v>
      </c>
      <c r="OB45" s="2" t="s">
        <v>118</v>
      </c>
      <c r="OC45" s="2" t="s">
        <v>118</v>
      </c>
      <c r="OD45" s="2" t="s">
        <v>9</v>
      </c>
      <c r="OE45" s="2" t="s">
        <v>320</v>
      </c>
      <c r="OF45" s="2" t="s">
        <v>17</v>
      </c>
      <c r="OG45" s="2" t="s">
        <v>17</v>
      </c>
      <c r="OH45" s="2"/>
      <c r="OI45" s="2"/>
      <c r="OJ45" s="2"/>
      <c r="OK45" s="2" t="s">
        <v>17</v>
      </c>
      <c r="OL45" s="2" t="s">
        <v>17</v>
      </c>
      <c r="OM45" s="2" t="s">
        <v>85</v>
      </c>
      <c r="ON45" s="6">
        <v>0</v>
      </c>
      <c r="OO45" s="6">
        <v>0</v>
      </c>
      <c r="OP45" s="2" t="s">
        <v>93</v>
      </c>
      <c r="OQ45" s="2" t="s">
        <v>93</v>
      </c>
      <c r="OR45" s="6">
        <v>0</v>
      </c>
      <c r="OS45" s="4">
        <v>0</v>
      </c>
      <c r="OT45" s="2" t="s">
        <v>17</v>
      </c>
      <c r="OU45" s="2" t="s">
        <v>17</v>
      </c>
      <c r="OV45" s="2"/>
      <c r="OW45" s="2"/>
      <c r="OX45" s="5">
        <v>16385535</v>
      </c>
      <c r="OY45" s="6">
        <v>215599.14</v>
      </c>
      <c r="OZ45" s="2"/>
      <c r="PA45" s="2"/>
      <c r="PB45" s="8">
        <v>11063736</v>
      </c>
      <c r="PC45" s="8">
        <v>265129</v>
      </c>
      <c r="PD45" s="8">
        <v>11328865</v>
      </c>
      <c r="PE45" s="2"/>
      <c r="PF45" s="8">
        <v>300000</v>
      </c>
      <c r="PG45" s="8">
        <v>300000</v>
      </c>
      <c r="PH45" s="8">
        <v>306907</v>
      </c>
      <c r="PI45" s="2"/>
      <c r="PJ45" s="8">
        <v>306907</v>
      </c>
      <c r="PK45" s="8">
        <v>11370643</v>
      </c>
      <c r="PL45" s="8">
        <v>565129</v>
      </c>
      <c r="PM45" s="8">
        <v>11935772</v>
      </c>
      <c r="PN45" s="8">
        <v>1627605</v>
      </c>
      <c r="PO45" s="2"/>
      <c r="PP45" s="8">
        <v>1627605</v>
      </c>
      <c r="PQ45" s="6">
        <v>1671008</v>
      </c>
      <c r="PR45" s="8">
        <v>12998248</v>
      </c>
      <c r="PS45" s="8">
        <v>565129</v>
      </c>
      <c r="PT45" s="8">
        <v>13563377</v>
      </c>
      <c r="PU45" s="8">
        <v>596541</v>
      </c>
      <c r="PV45" s="8">
        <v>66282</v>
      </c>
      <c r="PW45" s="8">
        <v>662823</v>
      </c>
      <c r="PX45" s="6">
        <v>678168.85</v>
      </c>
      <c r="PY45" s="8">
        <v>969700</v>
      </c>
      <c r="PZ45" s="8">
        <v>366118</v>
      </c>
      <c r="QA45" s="8">
        <v>1335818</v>
      </c>
      <c r="QB45" s="8">
        <v>130000</v>
      </c>
      <c r="QC45" s="2"/>
      <c r="QD45" s="8">
        <v>130000</v>
      </c>
      <c r="QE45" s="8">
        <v>507247</v>
      </c>
      <c r="QF45" s="8">
        <v>20000</v>
      </c>
      <c r="QG45" s="8">
        <v>527247</v>
      </c>
      <c r="QH45" s="2"/>
      <c r="QI45" s="8">
        <v>436705</v>
      </c>
      <c r="QJ45" s="8">
        <v>436705</v>
      </c>
      <c r="QK45" s="2"/>
      <c r="QL45" s="2"/>
      <c r="QM45" s="2"/>
      <c r="QN45" s="2"/>
      <c r="QO45" s="2"/>
      <c r="QP45" s="2"/>
      <c r="QQ45" s="8">
        <v>1606947</v>
      </c>
      <c r="QR45" s="8">
        <v>822823</v>
      </c>
      <c r="QS45" s="8">
        <v>2429770</v>
      </c>
      <c r="QT45" s="8">
        <v>40000</v>
      </c>
      <c r="QU45" s="8">
        <v>40000</v>
      </c>
      <c r="QV45" s="8">
        <v>80000</v>
      </c>
      <c r="QW45" s="6">
        <v>121488.5</v>
      </c>
      <c r="QX45" s="8">
        <v>777551</v>
      </c>
      <c r="QY45" s="8">
        <v>365000</v>
      </c>
      <c r="QZ45" s="8">
        <v>1142551</v>
      </c>
      <c r="RA45" s="8">
        <v>36800</v>
      </c>
      <c r="RB45" s="8">
        <v>36800</v>
      </c>
      <c r="RC45" s="2"/>
      <c r="RD45" s="2"/>
      <c r="RE45" s="2"/>
      <c r="RF45" s="8">
        <v>777551</v>
      </c>
      <c r="RG45" s="8">
        <v>401800</v>
      </c>
      <c r="RH45" s="8">
        <v>1179351</v>
      </c>
      <c r="RI45" s="2"/>
      <c r="RJ45" s="2"/>
      <c r="RK45" s="2"/>
      <c r="RL45" s="2"/>
      <c r="RM45" s="8">
        <v>16019287</v>
      </c>
      <c r="RN45" s="8">
        <v>1896034</v>
      </c>
      <c r="RO45" s="8">
        <v>17915321</v>
      </c>
      <c r="RP45" s="2"/>
      <c r="RQ45" s="2"/>
      <c r="RR45" s="2">
        <v>0</v>
      </c>
      <c r="RS45" s="6">
        <v>0</v>
      </c>
      <c r="RT45" s="8">
        <v>2865008</v>
      </c>
      <c r="RU45" s="2"/>
      <c r="RV45" s="8">
        <v>2865008</v>
      </c>
      <c r="RW45" s="6">
        <v>2866451</v>
      </c>
      <c r="RX45" s="6">
        <v>0</v>
      </c>
      <c r="RY45" s="8">
        <v>2865008</v>
      </c>
      <c r="RZ45" s="2"/>
      <c r="SA45" s="8">
        <v>2865008</v>
      </c>
      <c r="SB45" s="6">
        <v>2866451</v>
      </c>
      <c r="SC45" s="8">
        <v>266000</v>
      </c>
      <c r="SD45" s="8">
        <v>266000</v>
      </c>
      <c r="SE45" s="6">
        <v>266000</v>
      </c>
      <c r="SF45" s="8">
        <v>912000</v>
      </c>
      <c r="SG45" s="8">
        <v>912000</v>
      </c>
      <c r="SH45" s="8">
        <v>18884295</v>
      </c>
      <c r="SI45" s="8">
        <v>3074034</v>
      </c>
      <c r="SJ45" s="8">
        <v>21958329</v>
      </c>
      <c r="SK45" s="2" t="s">
        <v>229</v>
      </c>
      <c r="SL45" s="2" t="s">
        <v>363</v>
      </c>
      <c r="SM45" s="2"/>
      <c r="SN45" s="2"/>
      <c r="SO45" s="2"/>
      <c r="SP45" s="8">
        <v>13700000</v>
      </c>
      <c r="SQ45" s="2" t="s">
        <v>95</v>
      </c>
      <c r="SR45" s="8">
        <v>460000</v>
      </c>
      <c r="SS45" s="2" t="s">
        <v>180</v>
      </c>
      <c r="ST45" s="2"/>
      <c r="SU45" s="2"/>
      <c r="SV45" s="2"/>
      <c r="SW45" s="2"/>
      <c r="SX45" s="2" t="s">
        <v>96</v>
      </c>
      <c r="SY45" s="2" t="s">
        <v>96</v>
      </c>
      <c r="SZ45" s="2" t="s">
        <v>96</v>
      </c>
      <c r="TA45" s="2" t="s">
        <v>96</v>
      </c>
      <c r="TB45" s="8">
        <v>11308101</v>
      </c>
      <c r="TC45" s="2"/>
      <c r="TD45" s="2"/>
      <c r="TE45" s="2"/>
      <c r="TF45" s="2"/>
      <c r="TG45" s="2"/>
      <c r="TH45" s="2"/>
      <c r="TI45" s="2">
        <v>0</v>
      </c>
      <c r="TJ45" s="8">
        <v>25468101</v>
      </c>
      <c r="TK45" s="8">
        <v>3509772</v>
      </c>
      <c r="TL45" s="2" t="s">
        <v>9</v>
      </c>
      <c r="TM45" s="8">
        <v>900000</v>
      </c>
      <c r="TN45" s="2" t="s">
        <v>95</v>
      </c>
      <c r="TO45" s="8">
        <v>460000</v>
      </c>
      <c r="TP45" s="2" t="s">
        <v>180</v>
      </c>
      <c r="TQ45" s="2"/>
      <c r="TR45" s="2"/>
      <c r="TS45" s="2"/>
      <c r="TT45" s="2"/>
      <c r="TU45" s="2" t="s">
        <v>96</v>
      </c>
      <c r="TV45" s="8">
        <v>18846836</v>
      </c>
      <c r="TW45" s="2"/>
      <c r="TX45" s="2"/>
      <c r="TY45" s="2"/>
      <c r="TZ45" s="2"/>
      <c r="UA45" s="2"/>
      <c r="UB45" s="2"/>
      <c r="UC45" s="8">
        <v>1751493</v>
      </c>
      <c r="UD45" s="8">
        <v>21958329</v>
      </c>
      <c r="UE45" s="6">
        <v>1360000</v>
      </c>
      <c r="UF45" s="2">
        <v>0</v>
      </c>
      <c r="UG45" s="2" t="s">
        <v>9</v>
      </c>
      <c r="UH45" s="2">
        <v>76</v>
      </c>
      <c r="UI45" s="5">
        <v>240000</v>
      </c>
      <c r="UJ45" s="6">
        <v>320000</v>
      </c>
      <c r="UK45" s="6">
        <v>320000</v>
      </c>
      <c r="UL45" s="6">
        <v>339200</v>
      </c>
      <c r="UM45" s="6">
        <v>25779200</v>
      </c>
      <c r="UN45" s="6">
        <v>4124672</v>
      </c>
      <c r="UO45" s="6">
        <v>4124672</v>
      </c>
      <c r="UP45" s="6">
        <v>29903872</v>
      </c>
      <c r="UQ45" s="6">
        <v>20780329</v>
      </c>
      <c r="UR45" s="6">
        <v>460000</v>
      </c>
      <c r="US45" s="2"/>
      <c r="UT45" s="6">
        <v>460000</v>
      </c>
      <c r="UU45" s="2"/>
      <c r="UV45" s="6">
        <v>0</v>
      </c>
      <c r="UW45" s="6">
        <v>460000</v>
      </c>
      <c r="UX45" s="6">
        <v>0</v>
      </c>
      <c r="UY45" s="6">
        <v>460000</v>
      </c>
      <c r="UZ45" s="2" t="s">
        <v>1861</v>
      </c>
      <c r="VA45" s="2" t="s">
        <v>182</v>
      </c>
      <c r="VB45" s="2"/>
      <c r="VC45" s="2"/>
      <c r="VD45" s="2" t="s">
        <v>9</v>
      </c>
      <c r="VE45" s="2" t="s">
        <v>17</v>
      </c>
      <c r="VF45" s="2"/>
      <c r="VG45" s="2" t="s">
        <v>17</v>
      </c>
      <c r="VH45" s="2"/>
      <c r="VI45" s="388" t="s">
        <v>328</v>
      </c>
      <c r="VJ45" s="2" t="s">
        <v>98</v>
      </c>
      <c r="VK45" s="2" t="s">
        <v>366</v>
      </c>
      <c r="VL45" s="23">
        <f t="shared" si="21"/>
        <v>76</v>
      </c>
      <c r="VM45" s="17">
        <f t="shared" si="22"/>
        <v>1</v>
      </c>
      <c r="VN45" s="17" t="str">
        <f t="shared" si="12"/>
        <v>NC-MR-E</v>
      </c>
      <c r="VO45" s="17" t="str">
        <f t="shared" si="13"/>
        <v>NC-MR-E-Non</v>
      </c>
      <c r="VP45" s="12">
        <v>9</v>
      </c>
      <c r="VQ45" s="57">
        <v>1</v>
      </c>
      <c r="VR45" s="57">
        <f t="shared" si="23"/>
        <v>1</v>
      </c>
      <c r="VS45" s="14">
        <f t="shared" si="24"/>
        <v>1</v>
      </c>
      <c r="VT45" s="12">
        <f t="shared" si="25"/>
        <v>0.97</v>
      </c>
      <c r="VU45" s="16">
        <f t="shared" si="26"/>
        <v>18698787</v>
      </c>
      <c r="VV45" s="16">
        <f t="shared" si="27"/>
        <v>246036.67105263157</v>
      </c>
      <c r="VW45" s="12" t="str">
        <f t="shared" si="14"/>
        <v>A</v>
      </c>
      <c r="VX45" s="12" t="str">
        <f t="shared" si="15"/>
        <v>NC-MR-Non</v>
      </c>
      <c r="VY45" s="351">
        <f t="shared" si="16"/>
        <v>4</v>
      </c>
      <c r="WA45" s="12">
        <f t="shared" si="17"/>
        <v>1</v>
      </c>
      <c r="WB45" s="12">
        <f t="shared" si="18"/>
        <v>0</v>
      </c>
      <c r="WC45" s="12">
        <f t="shared" si="18"/>
        <v>0</v>
      </c>
      <c r="WD45" s="12">
        <f t="shared" si="18"/>
        <v>0</v>
      </c>
      <c r="WE45" s="12">
        <f t="shared" si="19"/>
        <v>0</v>
      </c>
      <c r="WF45" s="12">
        <f t="shared" si="28"/>
        <v>0</v>
      </c>
      <c r="WG45" s="12">
        <f t="shared" si="29"/>
        <v>1</v>
      </c>
      <c r="WH45" s="12">
        <f t="shared" si="30"/>
        <v>0</v>
      </c>
      <c r="WI45" s="22">
        <f t="shared" si="31"/>
        <v>2</v>
      </c>
      <c r="WJ45" s="2"/>
      <c r="WK45" s="445" t="str">
        <f t="shared" si="20"/>
        <v>NC-MR-Non-BBN-BRN-NPH-E</v>
      </c>
      <c r="WL45" s="445"/>
      <c r="WM45" s="445"/>
    </row>
    <row r="46" spans="1:611" x14ac:dyDescent="0.25">
      <c r="A46" s="2">
        <v>9430</v>
      </c>
      <c r="B46" s="2" t="s">
        <v>603</v>
      </c>
      <c r="C46" s="2" t="s">
        <v>8</v>
      </c>
      <c r="D46" s="3">
        <v>45153</v>
      </c>
      <c r="E46" s="2" t="s">
        <v>9</v>
      </c>
      <c r="F46" s="2">
        <v>3</v>
      </c>
      <c r="G46" s="2" t="s">
        <v>9</v>
      </c>
      <c r="H46" s="2">
        <v>3</v>
      </c>
      <c r="I46" s="2" t="s">
        <v>9</v>
      </c>
      <c r="J46" s="2">
        <v>3</v>
      </c>
      <c r="K46" s="2" t="s">
        <v>9</v>
      </c>
      <c r="L46" s="2">
        <v>3</v>
      </c>
      <c r="M46" s="2" t="s">
        <v>10</v>
      </c>
      <c r="N46" s="2">
        <v>0</v>
      </c>
      <c r="O46" s="2" t="s">
        <v>10</v>
      </c>
      <c r="P46" s="2">
        <v>0</v>
      </c>
      <c r="Q46" s="2" t="s">
        <v>11</v>
      </c>
      <c r="R46" s="2">
        <v>0</v>
      </c>
      <c r="S46" s="2" t="s">
        <v>9</v>
      </c>
      <c r="T46" s="2">
        <v>2</v>
      </c>
      <c r="U46" s="2" t="s">
        <v>9</v>
      </c>
      <c r="V46" s="2">
        <v>2</v>
      </c>
      <c r="W46" s="2" t="s">
        <v>9</v>
      </c>
      <c r="X46" s="2">
        <v>2</v>
      </c>
      <c r="Y46" s="2" t="s">
        <v>12</v>
      </c>
      <c r="Z46" s="2" t="s">
        <v>604</v>
      </c>
      <c r="AA46" s="2" t="s">
        <v>605</v>
      </c>
      <c r="AB46" s="2" t="s">
        <v>15</v>
      </c>
      <c r="AC46" s="2" t="s">
        <v>15</v>
      </c>
      <c r="AD46" s="2" t="s">
        <v>15</v>
      </c>
      <c r="AE46" s="2" t="s">
        <v>15</v>
      </c>
      <c r="AF46" s="2">
        <v>2</v>
      </c>
      <c r="AG46" s="2" t="s">
        <v>606</v>
      </c>
      <c r="AH46" s="2" t="s">
        <v>17</v>
      </c>
      <c r="AI46" s="4">
        <v>0.15151999999999999</v>
      </c>
      <c r="AJ46" s="2" t="s">
        <v>17</v>
      </c>
      <c r="AK46" s="2" t="s">
        <v>9</v>
      </c>
      <c r="AL46" s="2" t="s">
        <v>17</v>
      </c>
      <c r="AM46" s="2" t="s">
        <v>17</v>
      </c>
      <c r="AN46" s="2" t="s">
        <v>17</v>
      </c>
      <c r="AO46" s="2" t="s">
        <v>17</v>
      </c>
      <c r="AP46" s="2" t="s">
        <v>9</v>
      </c>
      <c r="AQ46" s="2" t="s">
        <v>17</v>
      </c>
      <c r="AR46" s="2" t="s">
        <v>17</v>
      </c>
      <c r="AS46" s="2" t="s">
        <v>17</v>
      </c>
      <c r="AT46" s="2">
        <v>0</v>
      </c>
      <c r="AU46" s="5">
        <v>37500</v>
      </c>
      <c r="AV46" s="5">
        <v>460000</v>
      </c>
      <c r="AW46" s="2">
        <v>0</v>
      </c>
      <c r="AX46" s="2">
        <v>9</v>
      </c>
      <c r="AY46" s="2">
        <v>0</v>
      </c>
      <c r="AZ46" s="2">
        <v>18</v>
      </c>
      <c r="BA46" s="2">
        <v>0</v>
      </c>
      <c r="BB46" s="2">
        <v>1</v>
      </c>
      <c r="BC46" s="2">
        <v>1</v>
      </c>
      <c r="BD46" s="2">
        <v>0</v>
      </c>
      <c r="BE46" s="2">
        <v>0</v>
      </c>
      <c r="BF46" s="2">
        <v>1</v>
      </c>
      <c r="BG46" s="2">
        <v>0</v>
      </c>
      <c r="BH46" s="2">
        <v>0</v>
      </c>
      <c r="BI46" s="2">
        <v>13</v>
      </c>
      <c r="BJ46" s="2">
        <v>1</v>
      </c>
      <c r="BK46" s="2">
        <v>0</v>
      </c>
      <c r="BL46" s="2">
        <v>3</v>
      </c>
      <c r="BM46" s="2">
        <v>0</v>
      </c>
      <c r="BN46" s="2">
        <v>12</v>
      </c>
      <c r="BO46" s="2">
        <v>11</v>
      </c>
      <c r="BP46" s="2">
        <v>0</v>
      </c>
      <c r="BQ46" s="2">
        <v>10</v>
      </c>
      <c r="BR46" s="2">
        <v>10.08</v>
      </c>
      <c r="BS46" s="2">
        <v>0</v>
      </c>
      <c r="BT46" s="4">
        <v>0.06</v>
      </c>
      <c r="BU46" s="2" t="s">
        <v>9</v>
      </c>
      <c r="BV46" s="6">
        <v>216001.23</v>
      </c>
      <c r="BW46" s="2" t="s">
        <v>18</v>
      </c>
      <c r="BX46" s="2" t="s">
        <v>17</v>
      </c>
      <c r="BY46" s="2" t="s">
        <v>17</v>
      </c>
      <c r="BZ46" s="2" t="s">
        <v>17</v>
      </c>
      <c r="CA46" s="2" t="s">
        <v>17</v>
      </c>
      <c r="CB46" s="2" t="s">
        <v>17</v>
      </c>
      <c r="CC46" s="2" t="s">
        <v>17</v>
      </c>
      <c r="CD46" s="2" t="s">
        <v>17</v>
      </c>
      <c r="CE46" s="2" t="s">
        <v>607</v>
      </c>
      <c r="CF46" s="2" t="s">
        <v>9</v>
      </c>
      <c r="CG46" s="2" t="s">
        <v>608</v>
      </c>
      <c r="CH46" s="2" t="s">
        <v>609</v>
      </c>
      <c r="CI46" s="2"/>
      <c r="CJ46" s="2" t="s">
        <v>9</v>
      </c>
      <c r="CK46" s="2" t="s">
        <v>610</v>
      </c>
      <c r="CL46" s="2" t="s">
        <v>608</v>
      </c>
      <c r="CM46" s="2" t="s">
        <v>611</v>
      </c>
      <c r="CN46" s="2" t="s">
        <v>330</v>
      </c>
      <c r="CO46" s="2" t="s">
        <v>24</v>
      </c>
      <c r="CP46" s="2"/>
      <c r="CQ46" s="2">
        <v>94</v>
      </c>
      <c r="CR46" s="2" t="s">
        <v>565</v>
      </c>
      <c r="CS46" s="2">
        <v>2015</v>
      </c>
      <c r="CT46" s="2" t="s">
        <v>26</v>
      </c>
      <c r="CU46" s="2" t="s">
        <v>27</v>
      </c>
      <c r="CV46" s="2" t="s">
        <v>612</v>
      </c>
      <c r="CW46" s="2" t="s">
        <v>613</v>
      </c>
      <c r="CX46" s="2" t="s">
        <v>24</v>
      </c>
      <c r="CY46" s="2"/>
      <c r="CZ46" s="2">
        <v>140</v>
      </c>
      <c r="DA46" s="2" t="s">
        <v>565</v>
      </c>
      <c r="DB46" s="2">
        <v>2018</v>
      </c>
      <c r="DC46" s="2" t="s">
        <v>30</v>
      </c>
      <c r="DD46" s="2" t="s">
        <v>27</v>
      </c>
      <c r="DE46" s="2" t="s">
        <v>614</v>
      </c>
      <c r="DF46" s="2" t="s">
        <v>613</v>
      </c>
      <c r="DG46" s="2" t="s">
        <v>24</v>
      </c>
      <c r="DH46" s="2"/>
      <c r="DI46" s="2">
        <v>174</v>
      </c>
      <c r="DJ46" s="2" t="s">
        <v>565</v>
      </c>
      <c r="DK46" s="2">
        <v>2019</v>
      </c>
      <c r="DL46" s="2" t="s">
        <v>30</v>
      </c>
      <c r="DM46" s="2" t="s">
        <v>27</v>
      </c>
      <c r="DN46" s="2" t="s">
        <v>33</v>
      </c>
      <c r="DO46" s="2" t="s">
        <v>34</v>
      </c>
      <c r="DP46" s="2"/>
      <c r="DQ46" s="2" t="s">
        <v>35</v>
      </c>
      <c r="DR46" s="2" t="s">
        <v>615</v>
      </c>
      <c r="DS46" s="2">
        <v>1</v>
      </c>
      <c r="DT46" s="2" t="s">
        <v>616</v>
      </c>
      <c r="DU46" s="2" t="s">
        <v>38</v>
      </c>
      <c r="DV46" s="2" t="s">
        <v>39</v>
      </c>
      <c r="DW46" s="2">
        <v>32405</v>
      </c>
      <c r="DX46" s="2" t="s">
        <v>617</v>
      </c>
      <c r="DY46" s="2"/>
      <c r="DZ46" s="2" t="s">
        <v>618</v>
      </c>
      <c r="EA46" s="2" t="s">
        <v>615</v>
      </c>
      <c r="EB46" s="2" t="s">
        <v>619</v>
      </c>
      <c r="EC46" s="2" t="s">
        <v>620</v>
      </c>
      <c r="ED46" s="2" t="s">
        <v>44</v>
      </c>
      <c r="EE46" s="2">
        <v>126</v>
      </c>
      <c r="EF46" s="2" t="s">
        <v>579</v>
      </c>
      <c r="EG46" s="2">
        <v>41</v>
      </c>
      <c r="EH46" s="2" t="s">
        <v>46</v>
      </c>
      <c r="EI46" s="2" t="s">
        <v>47</v>
      </c>
      <c r="EJ46" s="2" t="s">
        <v>621</v>
      </c>
      <c r="EK46" s="2" t="s">
        <v>622</v>
      </c>
      <c r="EL46" s="2" t="s">
        <v>44</v>
      </c>
      <c r="EM46" s="2">
        <v>272</v>
      </c>
      <c r="EN46" s="2" t="s">
        <v>579</v>
      </c>
      <c r="EO46" s="2">
        <v>22</v>
      </c>
      <c r="EP46" s="2" t="s">
        <v>46</v>
      </c>
      <c r="EQ46" s="2" t="s">
        <v>47</v>
      </c>
      <c r="ER46" s="2" t="s">
        <v>623</v>
      </c>
      <c r="ES46" s="2"/>
      <c r="ET46" s="2" t="s">
        <v>624</v>
      </c>
      <c r="EU46" s="2" t="s">
        <v>625</v>
      </c>
      <c r="EV46" s="2" t="s">
        <v>626</v>
      </c>
      <c r="EW46" s="2" t="s">
        <v>627</v>
      </c>
      <c r="EX46" s="2" t="s">
        <v>39</v>
      </c>
      <c r="EY46" s="2">
        <v>33407</v>
      </c>
      <c r="EZ46" s="2" t="s">
        <v>628</v>
      </c>
      <c r="FA46" s="2"/>
      <c r="FB46" s="2" t="s">
        <v>629</v>
      </c>
      <c r="FC46" s="2" t="s">
        <v>630</v>
      </c>
      <c r="FD46" s="2" t="s">
        <v>631</v>
      </c>
      <c r="FE46" s="2" t="s">
        <v>632</v>
      </c>
      <c r="FF46" s="2" t="s">
        <v>608</v>
      </c>
      <c r="FG46" s="2" t="s">
        <v>633</v>
      </c>
      <c r="FH46" s="2" t="s">
        <v>634</v>
      </c>
      <c r="FI46" s="2" t="s">
        <v>39</v>
      </c>
      <c r="FJ46" s="2">
        <v>33441</v>
      </c>
      <c r="FK46" s="2" t="s">
        <v>635</v>
      </c>
      <c r="FL46" s="2"/>
      <c r="FM46" s="2" t="s">
        <v>636</v>
      </c>
      <c r="FN46" s="2" t="s">
        <v>637</v>
      </c>
      <c r="FO46" s="2" t="s">
        <v>63</v>
      </c>
      <c r="FP46" s="2" t="s">
        <v>64</v>
      </c>
      <c r="FQ46" s="2" t="s">
        <v>9</v>
      </c>
      <c r="FR46" s="2" t="s">
        <v>17</v>
      </c>
      <c r="FS46" s="2" t="s">
        <v>17</v>
      </c>
      <c r="FT46" s="2" t="s">
        <v>9</v>
      </c>
      <c r="FU46" s="2">
        <v>0</v>
      </c>
      <c r="FV46" s="2">
        <v>0</v>
      </c>
      <c r="FW46" s="4">
        <v>0</v>
      </c>
      <c r="FX46" s="4">
        <v>0</v>
      </c>
      <c r="FY46" s="2" t="s">
        <v>65</v>
      </c>
      <c r="FZ46" s="2" t="s">
        <v>66</v>
      </c>
      <c r="GA46" s="2" t="s">
        <v>67</v>
      </c>
      <c r="GB46" s="2"/>
      <c r="GC46" s="2"/>
      <c r="GD46" s="2"/>
      <c r="GE46" s="2" t="s">
        <v>108</v>
      </c>
      <c r="GF46" s="2"/>
      <c r="GG46" s="2"/>
      <c r="GH46" s="2"/>
      <c r="GI46" s="2">
        <v>66</v>
      </c>
      <c r="GJ46" s="2"/>
      <c r="GK46" s="2"/>
      <c r="GL46" s="2"/>
      <c r="GM46" s="2"/>
      <c r="GN46" s="2"/>
      <c r="GO46" s="2"/>
      <c r="GP46" s="2"/>
      <c r="GQ46" s="2">
        <v>66</v>
      </c>
      <c r="GR46" s="2" t="s">
        <v>219</v>
      </c>
      <c r="GS46" s="2" t="s">
        <v>70</v>
      </c>
      <c r="GT46" s="2" t="s">
        <v>638</v>
      </c>
      <c r="GU46" s="2" t="s">
        <v>221</v>
      </c>
      <c r="GV46" s="2" t="s">
        <v>17</v>
      </c>
      <c r="GW46" s="2">
        <v>30.4187762</v>
      </c>
      <c r="GX46" s="2">
        <v>-84.235858199999996</v>
      </c>
      <c r="GY46" s="2"/>
      <c r="GZ46" s="2" t="s">
        <v>17</v>
      </c>
      <c r="HA46" s="2" t="s">
        <v>17</v>
      </c>
      <c r="HB46" s="2">
        <v>0</v>
      </c>
      <c r="HC46" s="2" t="s">
        <v>17</v>
      </c>
      <c r="HD46" s="2"/>
      <c r="HE46" s="2">
        <v>0</v>
      </c>
      <c r="HF46" s="2">
        <v>30.418202699999998</v>
      </c>
      <c r="HG46" s="2">
        <v>-84.234950499999997</v>
      </c>
      <c r="HH46" s="2">
        <v>0.02</v>
      </c>
      <c r="HI46" s="2">
        <v>4</v>
      </c>
      <c r="HJ46" s="2">
        <v>30.421382099999999</v>
      </c>
      <c r="HK46" s="2">
        <v>-84.234982799999997</v>
      </c>
      <c r="HL46" s="2">
        <v>0.02</v>
      </c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 t="s">
        <v>73</v>
      </c>
      <c r="HY46" s="2" t="s">
        <v>17</v>
      </c>
      <c r="HZ46" s="2"/>
      <c r="IA46" s="2" t="s">
        <v>639</v>
      </c>
      <c r="IB46" s="2" t="s">
        <v>640</v>
      </c>
      <c r="IC46" s="2">
        <v>1.03</v>
      </c>
      <c r="ID46" s="2">
        <v>2</v>
      </c>
      <c r="IE46" s="2"/>
      <c r="IF46" s="2"/>
      <c r="IG46" s="2"/>
      <c r="IH46" s="2" t="s">
        <v>641</v>
      </c>
      <c r="II46" s="2">
        <v>0.73</v>
      </c>
      <c r="IJ46" s="2">
        <v>3</v>
      </c>
      <c r="IK46" s="2" t="s">
        <v>642</v>
      </c>
      <c r="IL46" s="2" t="s">
        <v>643</v>
      </c>
      <c r="IM46" s="2">
        <v>0.8</v>
      </c>
      <c r="IN46" s="2">
        <v>3</v>
      </c>
      <c r="IO46" s="2" t="s">
        <v>17</v>
      </c>
      <c r="IP46" s="2">
        <v>4</v>
      </c>
      <c r="IQ46" s="2">
        <v>8</v>
      </c>
      <c r="IR46" s="2">
        <v>0</v>
      </c>
      <c r="IS46" s="2">
        <v>12</v>
      </c>
      <c r="IT46" s="2" t="s">
        <v>17</v>
      </c>
      <c r="IU46" s="2" t="s">
        <v>17</v>
      </c>
      <c r="IV46" s="2" t="s">
        <v>17</v>
      </c>
      <c r="IW46" s="2" t="s">
        <v>9</v>
      </c>
      <c r="IX46" s="2" t="s">
        <v>9</v>
      </c>
      <c r="IY46" s="2">
        <v>12</v>
      </c>
      <c r="IZ46" s="2">
        <v>66</v>
      </c>
      <c r="JA46" s="2" t="s">
        <v>81</v>
      </c>
      <c r="JB46" s="2" t="s">
        <v>82</v>
      </c>
      <c r="JC46" s="2"/>
      <c r="JD46" s="2"/>
      <c r="JE46" s="2"/>
      <c r="JF46" s="2"/>
      <c r="JG46" s="2"/>
      <c r="JH46" s="7">
        <v>0</v>
      </c>
      <c r="JI46" s="2">
        <v>0</v>
      </c>
      <c r="JJ46" s="7">
        <v>0</v>
      </c>
      <c r="JK46" s="2">
        <v>0</v>
      </c>
      <c r="JL46" s="7">
        <v>0</v>
      </c>
      <c r="JM46" s="2">
        <v>10</v>
      </c>
      <c r="JN46" s="2"/>
      <c r="JO46" s="2"/>
      <c r="JP46" s="2">
        <v>40</v>
      </c>
      <c r="JQ46" s="2">
        <v>10</v>
      </c>
      <c r="JR46" s="2">
        <v>6</v>
      </c>
      <c r="JS46" s="2">
        <v>0</v>
      </c>
      <c r="JT46" s="2">
        <v>0</v>
      </c>
      <c r="JU46" s="2"/>
      <c r="JV46" s="2">
        <v>66</v>
      </c>
      <c r="JW46" s="4">
        <v>1</v>
      </c>
      <c r="JX46" s="2">
        <v>66</v>
      </c>
      <c r="JY46" s="4">
        <v>0.58787999999999996</v>
      </c>
      <c r="JZ46" s="2">
        <v>0</v>
      </c>
      <c r="KA46" s="2"/>
      <c r="KB46" s="2"/>
      <c r="KC46" s="2"/>
      <c r="KD46" s="2"/>
      <c r="KE46" s="2"/>
      <c r="KF46" s="2"/>
      <c r="KG46" s="2"/>
      <c r="KH46" s="2">
        <v>20</v>
      </c>
      <c r="KI46" s="2">
        <v>46</v>
      </c>
      <c r="KJ46" s="2"/>
      <c r="KK46" s="2"/>
      <c r="KL46" s="2"/>
      <c r="KM46" s="2"/>
      <c r="KN46" s="2"/>
      <c r="KO46" s="2"/>
      <c r="KP46" s="2"/>
      <c r="KQ46" s="2" t="s">
        <v>83</v>
      </c>
      <c r="KR46" s="2" t="s">
        <v>73</v>
      </c>
      <c r="KS46" s="2"/>
      <c r="KT46" s="2">
        <v>1</v>
      </c>
      <c r="KU46" s="2" t="s">
        <v>84</v>
      </c>
      <c r="KV46" s="2" t="s">
        <v>85</v>
      </c>
      <c r="KW46" s="2" t="s">
        <v>86</v>
      </c>
      <c r="KX46" s="2" t="s">
        <v>17</v>
      </c>
      <c r="KY46" s="2" t="s">
        <v>17</v>
      </c>
      <c r="KZ46" s="2" t="s">
        <v>17</v>
      </c>
      <c r="LA46" s="2" t="s">
        <v>17</v>
      </c>
      <c r="LB46" s="2" t="s">
        <v>17</v>
      </c>
      <c r="LC46" s="2" t="s">
        <v>17</v>
      </c>
      <c r="LD46" s="2" t="s">
        <v>17</v>
      </c>
      <c r="LE46" s="2" t="s">
        <v>17</v>
      </c>
      <c r="LF46" s="2" t="s">
        <v>17</v>
      </c>
      <c r="LG46" s="2" t="s">
        <v>17</v>
      </c>
      <c r="LH46" s="2" t="s">
        <v>17</v>
      </c>
      <c r="LI46" s="2" t="s">
        <v>17</v>
      </c>
      <c r="LJ46" s="2" t="s">
        <v>87</v>
      </c>
      <c r="LK46" s="2" t="s">
        <v>17</v>
      </c>
      <c r="LL46" s="2" t="s">
        <v>17</v>
      </c>
      <c r="LM46" s="2">
        <v>0</v>
      </c>
      <c r="LN46" s="2" t="s">
        <v>17</v>
      </c>
      <c r="LO46" s="2" t="s">
        <v>9</v>
      </c>
      <c r="LP46" s="2" t="s">
        <v>17</v>
      </c>
      <c r="LQ46" s="2" t="s">
        <v>17</v>
      </c>
      <c r="LR46" s="2" t="s">
        <v>9</v>
      </c>
      <c r="LS46" s="2" t="s">
        <v>9</v>
      </c>
      <c r="LT46" s="2" t="s">
        <v>17</v>
      </c>
      <c r="LU46" s="2" t="s">
        <v>17</v>
      </c>
      <c r="LV46" s="2" t="s">
        <v>17</v>
      </c>
      <c r="LW46" s="2" t="s">
        <v>17</v>
      </c>
      <c r="LX46" s="2" t="s">
        <v>17</v>
      </c>
      <c r="LY46" s="5">
        <v>5280000</v>
      </c>
      <c r="LZ46" s="5">
        <v>0</v>
      </c>
      <c r="MA46" s="5">
        <v>6600000</v>
      </c>
      <c r="MB46" s="5">
        <v>0</v>
      </c>
      <c r="MC46" s="5">
        <v>0</v>
      </c>
      <c r="MD46" s="5">
        <v>0</v>
      </c>
      <c r="ME46" s="5">
        <v>6930000</v>
      </c>
      <c r="MF46" s="5">
        <v>0</v>
      </c>
      <c r="MG46" s="5">
        <v>0</v>
      </c>
      <c r="MH46" s="5">
        <v>0</v>
      </c>
      <c r="MI46" s="5">
        <v>0</v>
      </c>
      <c r="MJ46" s="5">
        <v>0</v>
      </c>
      <c r="MK46" s="5">
        <v>0</v>
      </c>
      <c r="ML46" s="2">
        <v>0</v>
      </c>
      <c r="MM46" s="5">
        <v>0</v>
      </c>
      <c r="MN46" s="5">
        <v>0</v>
      </c>
      <c r="MO46" s="2">
        <v>0</v>
      </c>
      <c r="MP46" s="2">
        <v>0</v>
      </c>
      <c r="MQ46" s="2">
        <v>0</v>
      </c>
      <c r="MR46" s="5">
        <v>2950000</v>
      </c>
      <c r="MS46" s="5">
        <v>0</v>
      </c>
      <c r="MT46" s="5">
        <v>4600000</v>
      </c>
      <c r="MU46" s="5">
        <v>0</v>
      </c>
      <c r="MV46" s="5">
        <v>0</v>
      </c>
      <c r="MW46" s="5">
        <v>0</v>
      </c>
      <c r="MX46" s="5">
        <v>0</v>
      </c>
      <c r="MY46" s="5">
        <v>2500000</v>
      </c>
      <c r="MZ46" s="5">
        <v>0</v>
      </c>
      <c r="NA46" s="5">
        <v>5000000</v>
      </c>
      <c r="NB46" s="5">
        <v>0</v>
      </c>
      <c r="NC46" s="5">
        <v>0</v>
      </c>
      <c r="ND46" s="5">
        <v>0</v>
      </c>
      <c r="NE46" s="5">
        <v>0</v>
      </c>
      <c r="NF46" s="5">
        <v>0</v>
      </c>
      <c r="NG46" s="5">
        <v>2142000</v>
      </c>
      <c r="NH46" s="5">
        <v>2142000</v>
      </c>
      <c r="NI46" s="5">
        <v>2142000</v>
      </c>
      <c r="NJ46" s="5">
        <v>0</v>
      </c>
      <c r="NK46" s="5"/>
      <c r="NL46" s="2" t="s">
        <v>17</v>
      </c>
      <c r="NM46" s="2" t="s">
        <v>17</v>
      </c>
      <c r="NN46" s="2"/>
      <c r="NO46" s="2" t="s">
        <v>17</v>
      </c>
      <c r="NP46" s="2"/>
      <c r="NQ46" s="2"/>
      <c r="NR46" s="2" t="s">
        <v>17</v>
      </c>
      <c r="NS46" s="2"/>
      <c r="NT46" s="2" t="s">
        <v>17</v>
      </c>
      <c r="NU46" s="2"/>
      <c r="NV46" s="2"/>
      <c r="NW46" s="2"/>
      <c r="NX46" s="2" t="s">
        <v>9</v>
      </c>
      <c r="NY46" s="2" t="s">
        <v>88</v>
      </c>
      <c r="NZ46" s="2">
        <v>3.03</v>
      </c>
      <c r="OA46" s="2" t="s">
        <v>227</v>
      </c>
      <c r="OB46" s="2" t="s">
        <v>228</v>
      </c>
      <c r="OC46" s="2" t="s">
        <v>228</v>
      </c>
      <c r="OD46" s="2" t="s">
        <v>17</v>
      </c>
      <c r="OE46" s="2" t="s">
        <v>91</v>
      </c>
      <c r="OF46" s="2" t="s">
        <v>17</v>
      </c>
      <c r="OG46" s="2" t="s">
        <v>9</v>
      </c>
      <c r="OH46" s="2" t="s">
        <v>92</v>
      </c>
      <c r="OI46" s="2"/>
      <c r="OJ46" s="2"/>
      <c r="OK46" s="2" t="s">
        <v>17</v>
      </c>
      <c r="OL46" s="2" t="s">
        <v>17</v>
      </c>
      <c r="OM46" s="2" t="s">
        <v>85</v>
      </c>
      <c r="ON46" s="6">
        <v>0</v>
      </c>
      <c r="OO46" s="6">
        <v>0</v>
      </c>
      <c r="OP46" s="2" t="s">
        <v>93</v>
      </c>
      <c r="OQ46" s="2" t="s">
        <v>93</v>
      </c>
      <c r="OR46" s="6">
        <v>0</v>
      </c>
      <c r="OS46" s="4">
        <v>0</v>
      </c>
      <c r="OT46" s="2" t="s">
        <v>17</v>
      </c>
      <c r="OU46" s="2" t="s">
        <v>17</v>
      </c>
      <c r="OV46" s="2"/>
      <c r="OW46" s="2"/>
      <c r="OX46" s="5">
        <v>14256081</v>
      </c>
      <c r="OY46" s="6">
        <v>216001.23</v>
      </c>
      <c r="OZ46" s="2"/>
      <c r="PA46" s="2"/>
      <c r="PB46" s="8">
        <v>11336770</v>
      </c>
      <c r="PC46" s="2"/>
      <c r="PD46" s="8">
        <v>11336770</v>
      </c>
      <c r="PE46" s="2"/>
      <c r="PF46" s="8">
        <v>500000</v>
      </c>
      <c r="PG46" s="8">
        <v>500000</v>
      </c>
      <c r="PH46" s="2"/>
      <c r="PI46" s="2"/>
      <c r="PJ46" s="2"/>
      <c r="PK46" s="8">
        <v>11336770</v>
      </c>
      <c r="PL46" s="8">
        <v>500000</v>
      </c>
      <c r="PM46" s="8">
        <v>11836770</v>
      </c>
      <c r="PN46" s="8">
        <v>1657147</v>
      </c>
      <c r="PO46" s="2"/>
      <c r="PP46" s="8">
        <v>1657147</v>
      </c>
      <c r="PQ46" s="6">
        <v>1657147</v>
      </c>
      <c r="PR46" s="8">
        <v>12993917</v>
      </c>
      <c r="PS46" s="8">
        <v>500000</v>
      </c>
      <c r="PT46" s="8">
        <v>13493917</v>
      </c>
      <c r="PU46" s="8">
        <v>674695</v>
      </c>
      <c r="PV46" s="2"/>
      <c r="PW46" s="8">
        <v>674695</v>
      </c>
      <c r="PX46" s="6">
        <v>674695.85</v>
      </c>
      <c r="PY46" s="8">
        <v>2147810</v>
      </c>
      <c r="PZ46" s="2"/>
      <c r="QA46" s="8">
        <v>2147810</v>
      </c>
      <c r="QB46" s="8">
        <v>214443</v>
      </c>
      <c r="QC46" s="2"/>
      <c r="QD46" s="8">
        <v>214443</v>
      </c>
      <c r="QE46" s="8">
        <v>689955</v>
      </c>
      <c r="QF46" s="2"/>
      <c r="QG46" s="8">
        <v>689955</v>
      </c>
      <c r="QH46" s="2"/>
      <c r="QI46" s="8">
        <v>162951</v>
      </c>
      <c r="QJ46" s="8">
        <v>162951</v>
      </c>
      <c r="QK46" s="2"/>
      <c r="QL46" s="2"/>
      <c r="QM46" s="2"/>
      <c r="QN46" s="2"/>
      <c r="QO46" s="2"/>
      <c r="QP46" s="2"/>
      <c r="QQ46" s="8">
        <v>3052208</v>
      </c>
      <c r="QR46" s="8">
        <v>162951</v>
      </c>
      <c r="QS46" s="8">
        <v>3215159</v>
      </c>
      <c r="QT46" s="8">
        <v>160757</v>
      </c>
      <c r="QU46" s="2"/>
      <c r="QV46" s="8">
        <v>160757</v>
      </c>
      <c r="QW46" s="6">
        <v>160757.95000000001</v>
      </c>
      <c r="QX46" s="8">
        <v>816249</v>
      </c>
      <c r="QY46" s="8">
        <v>402033</v>
      </c>
      <c r="QZ46" s="8">
        <v>1218282</v>
      </c>
      <c r="RA46" s="8">
        <v>180000</v>
      </c>
      <c r="RB46" s="8">
        <v>180000</v>
      </c>
      <c r="RC46" s="2"/>
      <c r="RD46" s="8">
        <v>116741</v>
      </c>
      <c r="RE46" s="8">
        <v>116741</v>
      </c>
      <c r="RF46" s="8">
        <v>816249</v>
      </c>
      <c r="RG46" s="8">
        <v>698774</v>
      </c>
      <c r="RH46" s="8">
        <v>1515023</v>
      </c>
      <c r="RI46" s="2"/>
      <c r="RJ46" s="2"/>
      <c r="RK46" s="2"/>
      <c r="RL46" s="2"/>
      <c r="RM46" s="8">
        <v>17697826</v>
      </c>
      <c r="RN46" s="8">
        <v>1361725</v>
      </c>
      <c r="RO46" s="8">
        <v>19059551</v>
      </c>
      <c r="RP46" s="2"/>
      <c r="RQ46" s="2"/>
      <c r="RR46" s="2">
        <v>0</v>
      </c>
      <c r="RS46" s="6">
        <v>0</v>
      </c>
      <c r="RT46" s="8">
        <v>3049528</v>
      </c>
      <c r="RU46" s="2"/>
      <c r="RV46" s="8">
        <v>3049528</v>
      </c>
      <c r="RW46" s="6">
        <v>3049528</v>
      </c>
      <c r="RX46" s="6">
        <v>0</v>
      </c>
      <c r="RY46" s="8">
        <v>3049528</v>
      </c>
      <c r="RZ46" s="2"/>
      <c r="SA46" s="8">
        <v>3049528</v>
      </c>
      <c r="SB46" s="6">
        <v>3049528</v>
      </c>
      <c r="SC46" s="8">
        <v>231000</v>
      </c>
      <c r="SD46" s="8">
        <v>231000</v>
      </c>
      <c r="SE46" s="6">
        <v>231000</v>
      </c>
      <c r="SF46" s="8">
        <v>450000</v>
      </c>
      <c r="SG46" s="8">
        <v>450000</v>
      </c>
      <c r="SH46" s="8">
        <v>20747354</v>
      </c>
      <c r="SI46" s="8">
        <v>2042725</v>
      </c>
      <c r="SJ46" s="8">
        <v>22790079</v>
      </c>
      <c r="SK46" s="2" t="s">
        <v>644</v>
      </c>
      <c r="SL46" s="2"/>
      <c r="SM46" s="2"/>
      <c r="SN46" s="2" t="s">
        <v>645</v>
      </c>
      <c r="SO46" s="2"/>
      <c r="SP46" s="8">
        <v>14000000</v>
      </c>
      <c r="SQ46" s="2" t="s">
        <v>95</v>
      </c>
      <c r="SR46" s="2"/>
      <c r="SS46" s="2"/>
      <c r="ST46" s="2"/>
      <c r="SU46" s="2"/>
      <c r="SV46" s="2"/>
      <c r="SW46" s="2"/>
      <c r="SX46" s="2" t="s">
        <v>96</v>
      </c>
      <c r="SY46" s="2" t="s">
        <v>96</v>
      </c>
      <c r="SZ46" s="2" t="s">
        <v>96</v>
      </c>
      <c r="TA46" s="2" t="s">
        <v>96</v>
      </c>
      <c r="TB46" s="8">
        <v>7710429</v>
      </c>
      <c r="TC46" s="2"/>
      <c r="TD46" s="2"/>
      <c r="TE46" s="2"/>
      <c r="TF46" s="2"/>
      <c r="TG46" s="2"/>
      <c r="TH46" s="2"/>
      <c r="TI46" s="8">
        <v>1079650</v>
      </c>
      <c r="TJ46" s="8">
        <v>22790079</v>
      </c>
      <c r="TK46" s="2">
        <v>0</v>
      </c>
      <c r="TL46" s="2" t="s">
        <v>9</v>
      </c>
      <c r="TM46" s="8">
        <v>3174118</v>
      </c>
      <c r="TN46" s="2" t="s">
        <v>95</v>
      </c>
      <c r="TO46" s="2"/>
      <c r="TP46" s="2"/>
      <c r="TQ46" s="2"/>
      <c r="TR46" s="2"/>
      <c r="TS46" s="2"/>
      <c r="TT46" s="2"/>
      <c r="TU46" s="2" t="s">
        <v>96</v>
      </c>
      <c r="TV46" s="8">
        <v>19276072</v>
      </c>
      <c r="TW46" s="2"/>
      <c r="TX46" s="2"/>
      <c r="TY46" s="2"/>
      <c r="TZ46" s="2"/>
      <c r="UA46" s="2"/>
      <c r="UB46" s="2"/>
      <c r="UC46" s="8">
        <v>339889</v>
      </c>
      <c r="UD46" s="8">
        <v>22790079</v>
      </c>
      <c r="UE46" s="6">
        <v>3174118</v>
      </c>
      <c r="UF46" s="2">
        <v>0</v>
      </c>
      <c r="UG46" s="2" t="s">
        <v>9</v>
      </c>
      <c r="UH46" s="2">
        <v>66</v>
      </c>
      <c r="UI46" s="5">
        <v>270000</v>
      </c>
      <c r="UJ46" s="6">
        <v>360000</v>
      </c>
      <c r="UK46" s="6">
        <v>360000</v>
      </c>
      <c r="UL46" s="6">
        <v>381600</v>
      </c>
      <c r="UM46" s="6">
        <v>25185600</v>
      </c>
      <c r="UN46" s="6">
        <v>4029696</v>
      </c>
      <c r="UO46" s="6">
        <v>4029696</v>
      </c>
      <c r="UP46" s="6">
        <v>29215296</v>
      </c>
      <c r="UQ46" s="6">
        <v>22109079</v>
      </c>
      <c r="UR46" s="2"/>
      <c r="US46" s="2"/>
      <c r="UT46" s="6">
        <v>0</v>
      </c>
      <c r="UU46" s="2"/>
      <c r="UV46" s="6">
        <v>0</v>
      </c>
      <c r="UW46" s="6">
        <v>0</v>
      </c>
      <c r="UX46" s="6">
        <v>0</v>
      </c>
      <c r="UY46" s="6">
        <v>0</v>
      </c>
      <c r="UZ46" s="2"/>
      <c r="VA46" s="2"/>
      <c r="VB46" s="2"/>
      <c r="VC46" s="2"/>
      <c r="VD46" s="2" t="s">
        <v>17</v>
      </c>
      <c r="VE46" s="2" t="s">
        <v>17</v>
      </c>
      <c r="VF46" s="2"/>
      <c r="VG46" s="2" t="s">
        <v>17</v>
      </c>
      <c r="VH46" s="2"/>
      <c r="VI46" s="388" t="s">
        <v>646</v>
      </c>
      <c r="VJ46" s="2" t="s">
        <v>98</v>
      </c>
      <c r="VK46" s="2" t="s">
        <v>185</v>
      </c>
      <c r="VL46" s="23">
        <f t="shared" si="21"/>
        <v>112</v>
      </c>
      <c r="VM46" s="17">
        <f t="shared" si="22"/>
        <v>1.696969696969697</v>
      </c>
      <c r="VN46" s="17" t="str">
        <f t="shared" si="12"/>
        <v>NC-MR-F</v>
      </c>
      <c r="VO46" s="17" t="str">
        <f t="shared" si="13"/>
        <v>NC-MR-F-ESS</v>
      </c>
      <c r="VP46" s="12">
        <v>9</v>
      </c>
      <c r="VQ46" s="57">
        <v>1</v>
      </c>
      <c r="VR46" s="57">
        <f t="shared" si="23"/>
        <v>1</v>
      </c>
      <c r="VS46" s="14">
        <f t="shared" si="24"/>
        <v>1</v>
      </c>
      <c r="VT46" s="12">
        <f t="shared" si="25"/>
        <v>0.90210000000000001</v>
      </c>
      <c r="VU46" s="16">
        <f t="shared" si="26"/>
        <v>17390683.800000001</v>
      </c>
      <c r="VV46" s="16">
        <f t="shared" si="27"/>
        <v>263495.20909090911</v>
      </c>
      <c r="VW46" s="12" t="str">
        <f t="shared" si="14"/>
        <v>B</v>
      </c>
      <c r="VX46" s="12" t="str">
        <f t="shared" si="15"/>
        <v>NC-MR-ESS</v>
      </c>
      <c r="VY46" s="351">
        <f t="shared" si="16"/>
        <v>5</v>
      </c>
      <c r="WA46" s="12">
        <f t="shared" si="17"/>
        <v>0</v>
      </c>
      <c r="WB46" s="12">
        <f t="shared" si="18"/>
        <v>0</v>
      </c>
      <c r="WC46" s="12">
        <f t="shared" si="18"/>
        <v>0</v>
      </c>
      <c r="WD46" s="12">
        <f t="shared" si="18"/>
        <v>0</v>
      </c>
      <c r="WE46" s="12">
        <f t="shared" si="19"/>
        <v>1</v>
      </c>
      <c r="WF46" s="12">
        <f t="shared" si="28"/>
        <v>0</v>
      </c>
      <c r="WG46" s="12">
        <f t="shared" si="29"/>
        <v>1</v>
      </c>
      <c r="WH46" s="12">
        <f t="shared" si="30"/>
        <v>0</v>
      </c>
      <c r="WI46" s="22">
        <f t="shared" si="31"/>
        <v>2</v>
      </c>
      <c r="WJ46" s="2"/>
      <c r="WK46" s="446" t="str">
        <f t="shared" si="20"/>
        <v>NC-MR-ESS-BBN-BRN-NPH-F</v>
      </c>
      <c r="WL46" s="446"/>
      <c r="WM46" s="446"/>
    </row>
    <row r="47" spans="1:611" x14ac:dyDescent="0.25">
      <c r="A47" s="2">
        <v>9372</v>
      </c>
      <c r="B47" s="2" t="s">
        <v>281</v>
      </c>
      <c r="C47" s="2" t="s">
        <v>8</v>
      </c>
      <c r="D47" s="3">
        <v>45153</v>
      </c>
      <c r="E47" s="2" t="s">
        <v>9</v>
      </c>
      <c r="F47" s="2">
        <v>3</v>
      </c>
      <c r="G47" s="2" t="s">
        <v>9</v>
      </c>
      <c r="H47" s="2">
        <v>3</v>
      </c>
      <c r="I47" s="2" t="s">
        <v>9</v>
      </c>
      <c r="J47" s="2">
        <v>3</v>
      </c>
      <c r="K47" s="2" t="s">
        <v>9</v>
      </c>
      <c r="L47" s="2">
        <v>3</v>
      </c>
      <c r="M47" s="2" t="s">
        <v>10</v>
      </c>
      <c r="N47" s="2">
        <v>0</v>
      </c>
      <c r="O47" s="2" t="s">
        <v>10</v>
      </c>
      <c r="P47" s="2">
        <v>0</v>
      </c>
      <c r="Q47" s="2" t="s">
        <v>11</v>
      </c>
      <c r="R47" s="2">
        <v>0</v>
      </c>
      <c r="S47" s="2" t="s">
        <v>9</v>
      </c>
      <c r="T47" s="2">
        <v>2</v>
      </c>
      <c r="U47" s="2" t="s">
        <v>9</v>
      </c>
      <c r="V47" s="2">
        <v>2</v>
      </c>
      <c r="W47" s="2" t="s">
        <v>9</v>
      </c>
      <c r="X47" s="2">
        <v>2</v>
      </c>
      <c r="Y47" s="2" t="s">
        <v>12</v>
      </c>
      <c r="Z47" s="2" t="s">
        <v>282</v>
      </c>
      <c r="AA47" s="2" t="s">
        <v>15</v>
      </c>
      <c r="AB47" s="2" t="s">
        <v>15</v>
      </c>
      <c r="AC47" s="2" t="s">
        <v>15</v>
      </c>
      <c r="AD47" s="2" t="s">
        <v>15</v>
      </c>
      <c r="AE47" s="2" t="s">
        <v>15</v>
      </c>
      <c r="AF47" s="2">
        <v>1</v>
      </c>
      <c r="AG47" s="2" t="s">
        <v>283</v>
      </c>
      <c r="AH47" s="2" t="s">
        <v>17</v>
      </c>
      <c r="AI47" s="4">
        <v>0.1</v>
      </c>
      <c r="AJ47" s="2" t="s">
        <v>17</v>
      </c>
      <c r="AK47" s="2" t="s">
        <v>9</v>
      </c>
      <c r="AL47" s="2" t="s">
        <v>17</v>
      </c>
      <c r="AM47" s="2" t="s">
        <v>17</v>
      </c>
      <c r="AN47" s="2" t="s">
        <v>17</v>
      </c>
      <c r="AO47" s="2" t="s">
        <v>17</v>
      </c>
      <c r="AP47" s="2" t="s">
        <v>17</v>
      </c>
      <c r="AQ47" s="2" t="s">
        <v>17</v>
      </c>
      <c r="AR47" s="2" t="s">
        <v>9</v>
      </c>
      <c r="AS47" s="2" t="s">
        <v>17</v>
      </c>
      <c r="AT47" s="2">
        <v>0</v>
      </c>
      <c r="AU47" s="5">
        <v>50000</v>
      </c>
      <c r="AV47" s="5">
        <v>460000</v>
      </c>
      <c r="AW47" s="2">
        <v>0</v>
      </c>
      <c r="AX47" s="2">
        <v>7</v>
      </c>
      <c r="AY47" s="2">
        <v>0</v>
      </c>
      <c r="AZ47" s="2">
        <v>18</v>
      </c>
      <c r="BA47" s="2">
        <v>0</v>
      </c>
      <c r="BB47" s="2">
        <v>1</v>
      </c>
      <c r="BC47" s="2">
        <v>0</v>
      </c>
      <c r="BD47" s="2">
        <v>0</v>
      </c>
      <c r="BE47" s="2">
        <v>0</v>
      </c>
      <c r="BF47" s="2">
        <v>1</v>
      </c>
      <c r="BG47" s="2">
        <v>0</v>
      </c>
      <c r="BH47" s="2">
        <v>0</v>
      </c>
      <c r="BI47" s="2">
        <v>13</v>
      </c>
      <c r="BJ47" s="2">
        <v>1</v>
      </c>
      <c r="BK47" s="2">
        <v>0</v>
      </c>
      <c r="BL47" s="2">
        <v>2</v>
      </c>
      <c r="BM47" s="2">
        <v>0</v>
      </c>
      <c r="BN47" s="2">
        <v>11</v>
      </c>
      <c r="BO47" s="2">
        <v>11</v>
      </c>
      <c r="BP47" s="2">
        <v>0</v>
      </c>
      <c r="BQ47" s="2">
        <v>10</v>
      </c>
      <c r="BR47" s="2">
        <v>12.53</v>
      </c>
      <c r="BS47" s="2">
        <v>0</v>
      </c>
      <c r="BT47" s="4">
        <v>0.06</v>
      </c>
      <c r="BU47" s="2" t="s">
        <v>9</v>
      </c>
      <c r="BV47" s="6">
        <v>216087.8</v>
      </c>
      <c r="BW47" s="2" t="s">
        <v>126</v>
      </c>
      <c r="BX47" s="2" t="s">
        <v>17</v>
      </c>
      <c r="BY47" s="2" t="s">
        <v>17</v>
      </c>
      <c r="BZ47" s="2" t="s">
        <v>17</v>
      </c>
      <c r="CA47" s="2" t="s">
        <v>17</v>
      </c>
      <c r="CB47" s="2" t="s">
        <v>17</v>
      </c>
      <c r="CC47" s="2" t="s">
        <v>17</v>
      </c>
      <c r="CD47" s="2" t="s">
        <v>17</v>
      </c>
      <c r="CE47" s="2" t="s">
        <v>284</v>
      </c>
      <c r="CF47" s="2" t="s">
        <v>17</v>
      </c>
      <c r="CG47" s="2" t="s">
        <v>285</v>
      </c>
      <c r="CH47" s="2"/>
      <c r="CI47" s="2"/>
      <c r="CJ47" s="2" t="s">
        <v>9</v>
      </c>
      <c r="CK47" s="2" t="s">
        <v>286</v>
      </c>
      <c r="CL47" s="2" t="s">
        <v>285</v>
      </c>
      <c r="CM47" s="2" t="s">
        <v>287</v>
      </c>
      <c r="CN47" s="2" t="s">
        <v>288</v>
      </c>
      <c r="CO47" s="2" t="s">
        <v>24</v>
      </c>
      <c r="CP47" s="2"/>
      <c r="CQ47" s="2">
        <v>100</v>
      </c>
      <c r="CR47" s="2" t="s">
        <v>289</v>
      </c>
      <c r="CS47" s="2">
        <v>2021</v>
      </c>
      <c r="CT47" s="2" t="s">
        <v>26</v>
      </c>
      <c r="CU47" s="2" t="s">
        <v>27</v>
      </c>
      <c r="CV47" s="2" t="s">
        <v>290</v>
      </c>
      <c r="CW47" s="2" t="s">
        <v>291</v>
      </c>
      <c r="CX47" s="2" t="s">
        <v>24</v>
      </c>
      <c r="CY47" s="2"/>
      <c r="CZ47" s="2">
        <v>110</v>
      </c>
      <c r="DA47" s="2" t="s">
        <v>289</v>
      </c>
      <c r="DB47" s="2">
        <v>2021</v>
      </c>
      <c r="DC47" s="2" t="s">
        <v>30</v>
      </c>
      <c r="DD47" s="2" t="s">
        <v>27</v>
      </c>
      <c r="DE47" s="2" t="s">
        <v>292</v>
      </c>
      <c r="DF47" s="2" t="s">
        <v>293</v>
      </c>
      <c r="DG47" s="2" t="s">
        <v>24</v>
      </c>
      <c r="DH47" s="2"/>
      <c r="DI47" s="2">
        <v>132</v>
      </c>
      <c r="DJ47" s="2" t="s">
        <v>289</v>
      </c>
      <c r="DK47" s="2">
        <v>2020</v>
      </c>
      <c r="DL47" s="2" t="s">
        <v>30</v>
      </c>
      <c r="DM47" s="2" t="s">
        <v>27</v>
      </c>
      <c r="DN47" s="2" t="s">
        <v>33</v>
      </c>
      <c r="DO47" s="2" t="s">
        <v>294</v>
      </c>
      <c r="DP47" s="2" t="s">
        <v>295</v>
      </c>
      <c r="DQ47" s="2" t="s">
        <v>296</v>
      </c>
      <c r="DR47" s="2" t="s">
        <v>297</v>
      </c>
      <c r="DS47" s="2">
        <v>1</v>
      </c>
      <c r="DT47" s="2" t="s">
        <v>298</v>
      </c>
      <c r="DU47" s="2" t="s">
        <v>299</v>
      </c>
      <c r="DV47" s="2" t="s">
        <v>39</v>
      </c>
      <c r="DW47" s="2">
        <v>33133</v>
      </c>
      <c r="DX47" s="2" t="s">
        <v>300</v>
      </c>
      <c r="DY47" s="2">
        <v>125</v>
      </c>
      <c r="DZ47" s="2" t="s">
        <v>301</v>
      </c>
      <c r="EA47" s="2" t="s">
        <v>297</v>
      </c>
      <c r="EB47" s="2" t="s">
        <v>302</v>
      </c>
      <c r="EC47" s="2" t="s">
        <v>291</v>
      </c>
      <c r="ED47" s="2" t="s">
        <v>44</v>
      </c>
      <c r="EE47" s="2">
        <v>144</v>
      </c>
      <c r="EF47" s="2" t="s">
        <v>303</v>
      </c>
      <c r="EG47" s="2">
        <v>7</v>
      </c>
      <c r="EH47" s="2" t="s">
        <v>46</v>
      </c>
      <c r="EI47" s="2" t="s">
        <v>47</v>
      </c>
      <c r="EJ47" s="2" t="s">
        <v>304</v>
      </c>
      <c r="EK47" s="2" t="s">
        <v>305</v>
      </c>
      <c r="EL47" s="2" t="s">
        <v>44</v>
      </c>
      <c r="EM47" s="2">
        <v>150</v>
      </c>
      <c r="EN47" s="2" t="s">
        <v>303</v>
      </c>
      <c r="EO47" s="2">
        <v>5</v>
      </c>
      <c r="EP47" s="2" t="s">
        <v>46</v>
      </c>
      <c r="EQ47" s="2" t="s">
        <v>47</v>
      </c>
      <c r="ER47" s="2" t="s">
        <v>294</v>
      </c>
      <c r="ES47" s="2" t="s">
        <v>295</v>
      </c>
      <c r="ET47" s="2" t="s">
        <v>296</v>
      </c>
      <c r="EU47" s="2" t="s">
        <v>306</v>
      </c>
      <c r="EV47" s="2" t="s">
        <v>298</v>
      </c>
      <c r="EW47" s="2" t="s">
        <v>299</v>
      </c>
      <c r="EX47" s="2" t="s">
        <v>39</v>
      </c>
      <c r="EY47" s="2">
        <v>33133</v>
      </c>
      <c r="EZ47" s="2" t="s">
        <v>300</v>
      </c>
      <c r="FA47" s="2">
        <v>125</v>
      </c>
      <c r="FB47" s="2" t="s">
        <v>301</v>
      </c>
      <c r="FC47" s="2" t="s">
        <v>307</v>
      </c>
      <c r="FD47" s="2"/>
      <c r="FE47" s="2" t="s">
        <v>308</v>
      </c>
      <c r="FF47" s="2" t="s">
        <v>309</v>
      </c>
      <c r="FG47" s="2" t="s">
        <v>298</v>
      </c>
      <c r="FH47" s="2" t="s">
        <v>299</v>
      </c>
      <c r="FI47" s="2" t="s">
        <v>39</v>
      </c>
      <c r="FJ47" s="2">
        <v>33133</v>
      </c>
      <c r="FK47" s="2" t="s">
        <v>310</v>
      </c>
      <c r="FL47" s="2"/>
      <c r="FM47" s="2" t="s">
        <v>311</v>
      </c>
      <c r="FN47" s="2" t="s">
        <v>312</v>
      </c>
      <c r="FO47" s="2" t="s">
        <v>63</v>
      </c>
      <c r="FP47" s="2" t="s">
        <v>64</v>
      </c>
      <c r="FQ47" s="2" t="s">
        <v>9</v>
      </c>
      <c r="FR47" s="2" t="s">
        <v>17</v>
      </c>
      <c r="FS47" s="2" t="s">
        <v>17</v>
      </c>
      <c r="FT47" s="2" t="s">
        <v>9</v>
      </c>
      <c r="FU47" s="2">
        <v>0</v>
      </c>
      <c r="FV47" s="2">
        <v>0</v>
      </c>
      <c r="FW47" s="4">
        <v>0</v>
      </c>
      <c r="FX47" s="4">
        <v>0</v>
      </c>
      <c r="FY47" s="2" t="s">
        <v>65</v>
      </c>
      <c r="FZ47" s="2" t="s">
        <v>66</v>
      </c>
      <c r="GA47" s="2" t="s">
        <v>67</v>
      </c>
      <c r="GB47" s="2"/>
      <c r="GC47" s="2"/>
      <c r="GD47" s="2"/>
      <c r="GE47" s="2" t="s">
        <v>68</v>
      </c>
      <c r="GF47" s="2"/>
      <c r="GG47" s="2"/>
      <c r="GH47" s="2">
        <v>82</v>
      </c>
      <c r="GI47" s="2"/>
      <c r="GJ47" s="2"/>
      <c r="GK47" s="2"/>
      <c r="GL47" s="2"/>
      <c r="GM47" s="2"/>
      <c r="GN47" s="2"/>
      <c r="GO47" s="2"/>
      <c r="GP47" s="2"/>
      <c r="GQ47" s="2">
        <v>82</v>
      </c>
      <c r="GR47" s="2" t="s">
        <v>313</v>
      </c>
      <c r="GS47" s="2" t="s">
        <v>70</v>
      </c>
      <c r="GT47" s="2" t="s">
        <v>314</v>
      </c>
      <c r="GU47" s="2" t="s">
        <v>315</v>
      </c>
      <c r="GV47" s="2" t="s">
        <v>17</v>
      </c>
      <c r="GW47" s="2">
        <v>28.607171999999998</v>
      </c>
      <c r="GX47" s="2">
        <v>-80.825744</v>
      </c>
      <c r="GY47" s="2"/>
      <c r="GZ47" s="2" t="s">
        <v>17</v>
      </c>
      <c r="HA47" s="2" t="s">
        <v>17</v>
      </c>
      <c r="HB47" s="2">
        <v>0</v>
      </c>
      <c r="HC47" s="2" t="s">
        <v>17</v>
      </c>
      <c r="HD47" s="2" t="s">
        <v>17</v>
      </c>
      <c r="HE47" s="2">
        <v>0</v>
      </c>
      <c r="HF47" s="2">
        <v>28.608006</v>
      </c>
      <c r="HG47" s="2">
        <v>-80.818235999999999</v>
      </c>
      <c r="HH47" s="2">
        <v>0.46</v>
      </c>
      <c r="HI47" s="2">
        <v>1</v>
      </c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 t="s">
        <v>73</v>
      </c>
      <c r="HY47" s="2" t="s">
        <v>17</v>
      </c>
      <c r="HZ47" s="2"/>
      <c r="IA47" s="2" t="s">
        <v>316</v>
      </c>
      <c r="IB47" s="2" t="s">
        <v>317</v>
      </c>
      <c r="IC47" s="2">
        <v>1.1499999999999999</v>
      </c>
      <c r="ID47" s="2">
        <v>2</v>
      </c>
      <c r="IE47" s="2" t="s">
        <v>318</v>
      </c>
      <c r="IF47" s="2">
        <v>0.54</v>
      </c>
      <c r="IG47" s="2">
        <v>3</v>
      </c>
      <c r="IH47" s="2" t="s">
        <v>319</v>
      </c>
      <c r="II47" s="2">
        <v>0.73</v>
      </c>
      <c r="IJ47" s="2">
        <v>3</v>
      </c>
      <c r="IK47" s="2"/>
      <c r="IL47" s="2"/>
      <c r="IM47" s="2"/>
      <c r="IN47" s="2"/>
      <c r="IO47" s="2" t="s">
        <v>9</v>
      </c>
      <c r="IP47" s="2">
        <v>1</v>
      </c>
      <c r="IQ47" s="2">
        <v>8</v>
      </c>
      <c r="IR47" s="2">
        <v>0</v>
      </c>
      <c r="IS47" s="2">
        <v>9</v>
      </c>
      <c r="IT47" s="2" t="s">
        <v>9</v>
      </c>
      <c r="IU47" s="2" t="s">
        <v>17</v>
      </c>
      <c r="IV47" s="2" t="s">
        <v>17</v>
      </c>
      <c r="IW47" s="2" t="s">
        <v>9</v>
      </c>
      <c r="IX47" s="2" t="s">
        <v>9</v>
      </c>
      <c r="IY47" s="2">
        <v>9</v>
      </c>
      <c r="IZ47" s="2">
        <v>82</v>
      </c>
      <c r="JA47" s="2" t="s">
        <v>172</v>
      </c>
      <c r="JB47" s="2" t="s">
        <v>173</v>
      </c>
      <c r="JC47" s="2"/>
      <c r="JD47" s="2"/>
      <c r="JE47" s="7">
        <v>0.1</v>
      </c>
      <c r="JF47" s="2"/>
      <c r="JG47" s="7">
        <v>0.9</v>
      </c>
      <c r="JH47" s="7">
        <v>0</v>
      </c>
      <c r="JI47" s="2">
        <v>82</v>
      </c>
      <c r="JJ47" s="7">
        <v>1</v>
      </c>
      <c r="JK47" s="2">
        <v>82</v>
      </c>
      <c r="JL47" s="7">
        <v>1</v>
      </c>
      <c r="JM47" s="2"/>
      <c r="JN47" s="2"/>
      <c r="JO47" s="2"/>
      <c r="JP47" s="2"/>
      <c r="JQ47" s="2"/>
      <c r="JR47" s="2"/>
      <c r="JS47" s="2">
        <v>0</v>
      </c>
      <c r="JT47" s="2">
        <v>0</v>
      </c>
      <c r="JU47" s="2"/>
      <c r="JV47" s="2">
        <v>0</v>
      </c>
      <c r="JW47" s="4">
        <v>0</v>
      </c>
      <c r="JX47" s="2">
        <v>0</v>
      </c>
      <c r="JY47" s="4">
        <v>0</v>
      </c>
      <c r="JZ47" s="2">
        <v>0</v>
      </c>
      <c r="KA47" s="2"/>
      <c r="KB47" s="2"/>
      <c r="KC47" s="2"/>
      <c r="KD47" s="2"/>
      <c r="KE47" s="2"/>
      <c r="KF47" s="2"/>
      <c r="KG47" s="2"/>
      <c r="KH47" s="2">
        <v>54</v>
      </c>
      <c r="KI47" s="2"/>
      <c r="KJ47" s="2"/>
      <c r="KK47" s="2">
        <v>28</v>
      </c>
      <c r="KL47" s="2"/>
      <c r="KM47" s="2"/>
      <c r="KN47" s="2"/>
      <c r="KO47" s="2"/>
      <c r="KP47" s="2"/>
      <c r="KQ47" s="2" t="s">
        <v>83</v>
      </c>
      <c r="KR47" s="2"/>
      <c r="KS47" s="2" t="s">
        <v>73</v>
      </c>
      <c r="KT47" s="2">
        <v>1</v>
      </c>
      <c r="KU47" s="2" t="s">
        <v>84</v>
      </c>
      <c r="KV47" s="2" t="s">
        <v>85</v>
      </c>
      <c r="KW47" s="2" t="s">
        <v>86</v>
      </c>
      <c r="KX47" s="2" t="s">
        <v>17</v>
      </c>
      <c r="KY47" s="2" t="s">
        <v>17</v>
      </c>
      <c r="KZ47" s="2" t="s">
        <v>17</v>
      </c>
      <c r="LA47" s="2" t="s">
        <v>17</v>
      </c>
      <c r="LB47" s="2" t="s">
        <v>17</v>
      </c>
      <c r="LC47" s="2" t="s">
        <v>17</v>
      </c>
      <c r="LD47" s="2" t="s">
        <v>17</v>
      </c>
      <c r="LE47" s="2" t="s">
        <v>17</v>
      </c>
      <c r="LF47" s="2" t="s">
        <v>17</v>
      </c>
      <c r="LG47" s="2" t="s">
        <v>17</v>
      </c>
      <c r="LH47" s="2" t="s">
        <v>17</v>
      </c>
      <c r="LI47" s="2" t="s">
        <v>17</v>
      </c>
      <c r="LJ47" s="2" t="s">
        <v>87</v>
      </c>
      <c r="LK47" s="2" t="s">
        <v>17</v>
      </c>
      <c r="LL47" s="2" t="s">
        <v>17</v>
      </c>
      <c r="LM47" s="2">
        <v>0</v>
      </c>
      <c r="LN47" s="2" t="s">
        <v>17</v>
      </c>
      <c r="LO47" s="2" t="s">
        <v>17</v>
      </c>
      <c r="LP47" s="2" t="s">
        <v>17</v>
      </c>
      <c r="LQ47" s="2" t="s">
        <v>17</v>
      </c>
      <c r="LR47" s="2" t="s">
        <v>17</v>
      </c>
      <c r="LS47" s="2" t="s">
        <v>17</v>
      </c>
      <c r="LT47" s="2" t="s">
        <v>17</v>
      </c>
      <c r="LU47" s="2" t="s">
        <v>17</v>
      </c>
      <c r="LV47" s="2" t="s">
        <v>9</v>
      </c>
      <c r="LW47" s="2" t="s">
        <v>9</v>
      </c>
      <c r="LX47" s="2" t="s">
        <v>9</v>
      </c>
      <c r="LY47" s="5">
        <v>6500000</v>
      </c>
      <c r="LZ47" s="5">
        <v>0</v>
      </c>
      <c r="MA47" s="5">
        <v>7200000</v>
      </c>
      <c r="MB47" s="5">
        <v>0</v>
      </c>
      <c r="MC47" s="5">
        <v>0</v>
      </c>
      <c r="MD47" s="5">
        <v>0</v>
      </c>
      <c r="ME47" s="5">
        <v>8610000</v>
      </c>
      <c r="MF47" s="5">
        <v>0</v>
      </c>
      <c r="MG47" s="5">
        <v>0</v>
      </c>
      <c r="MH47" s="5">
        <v>0</v>
      </c>
      <c r="MI47" s="5">
        <v>0</v>
      </c>
      <c r="MJ47" s="5">
        <v>0</v>
      </c>
      <c r="MK47" s="5">
        <v>0</v>
      </c>
      <c r="ML47" s="2">
        <v>0</v>
      </c>
      <c r="MM47" s="5">
        <v>0</v>
      </c>
      <c r="MN47" s="5">
        <v>0</v>
      </c>
      <c r="MO47" s="2">
        <v>0</v>
      </c>
      <c r="MP47" s="2">
        <v>0</v>
      </c>
      <c r="MQ47" s="2">
        <v>0</v>
      </c>
      <c r="MR47" s="5">
        <v>2950000</v>
      </c>
      <c r="MS47" s="5">
        <v>0</v>
      </c>
      <c r="MT47" s="5">
        <v>4600000</v>
      </c>
      <c r="MU47" s="5">
        <v>0</v>
      </c>
      <c r="MV47" s="5">
        <v>0</v>
      </c>
      <c r="MW47" s="5">
        <v>0</v>
      </c>
      <c r="MX47" s="5">
        <v>0</v>
      </c>
      <c r="MY47" s="5">
        <v>2500000</v>
      </c>
      <c r="MZ47" s="5">
        <v>0</v>
      </c>
      <c r="NA47" s="5">
        <v>5000000</v>
      </c>
      <c r="NB47" s="5">
        <v>0</v>
      </c>
      <c r="NC47" s="5">
        <v>0</v>
      </c>
      <c r="ND47" s="5">
        <v>0</v>
      </c>
      <c r="NE47" s="5">
        <v>0</v>
      </c>
      <c r="NF47" s="5">
        <v>0</v>
      </c>
      <c r="NG47" s="5">
        <v>2142000</v>
      </c>
      <c r="NH47" s="5">
        <v>2140000</v>
      </c>
      <c r="NI47" s="5">
        <v>2140000</v>
      </c>
      <c r="NJ47" s="5">
        <v>0</v>
      </c>
      <c r="NK47" s="5"/>
      <c r="NL47" s="2" t="s">
        <v>17</v>
      </c>
      <c r="NM47" s="2" t="s">
        <v>17</v>
      </c>
      <c r="NN47" s="2"/>
      <c r="NO47" s="2" t="s">
        <v>17</v>
      </c>
      <c r="NP47" s="2"/>
      <c r="NQ47" s="2"/>
      <c r="NR47" s="2" t="s">
        <v>17</v>
      </c>
      <c r="NS47" s="2"/>
      <c r="NT47" s="2" t="s">
        <v>17</v>
      </c>
      <c r="NU47" s="2"/>
      <c r="NV47" s="2"/>
      <c r="NW47" s="2"/>
      <c r="NX47" s="2" t="s">
        <v>17</v>
      </c>
      <c r="NY47" s="2"/>
      <c r="NZ47" s="2"/>
      <c r="OA47" s="2" t="s">
        <v>118</v>
      </c>
      <c r="OB47" s="2" t="s">
        <v>118</v>
      </c>
      <c r="OC47" s="2" t="s">
        <v>118</v>
      </c>
      <c r="OD47" s="2" t="s">
        <v>9</v>
      </c>
      <c r="OE47" s="2" t="s">
        <v>320</v>
      </c>
      <c r="OF47" s="2" t="s">
        <v>17</v>
      </c>
      <c r="OG47" s="2" t="s">
        <v>17</v>
      </c>
      <c r="OH47" s="2"/>
      <c r="OI47" s="2"/>
      <c r="OJ47" s="2"/>
      <c r="OK47" s="2" t="s">
        <v>17</v>
      </c>
      <c r="OL47" s="2" t="s">
        <v>17</v>
      </c>
      <c r="OM47" s="2" t="s">
        <v>85</v>
      </c>
      <c r="ON47" s="6">
        <v>0</v>
      </c>
      <c r="OO47" s="6">
        <v>0</v>
      </c>
      <c r="OP47" s="2" t="s">
        <v>93</v>
      </c>
      <c r="OQ47" s="2" t="s">
        <v>93</v>
      </c>
      <c r="OR47" s="6">
        <v>0</v>
      </c>
      <c r="OS47" s="4">
        <v>0</v>
      </c>
      <c r="OT47" s="2" t="s">
        <v>17</v>
      </c>
      <c r="OU47" s="2" t="s">
        <v>17</v>
      </c>
      <c r="OV47" s="2"/>
      <c r="OW47" s="2"/>
      <c r="OX47" s="5">
        <v>17719200</v>
      </c>
      <c r="OY47" s="6">
        <v>216087.8</v>
      </c>
      <c r="OZ47" s="2"/>
      <c r="PA47" s="2"/>
      <c r="PB47" s="8">
        <v>14124000</v>
      </c>
      <c r="PC47" s="2"/>
      <c r="PD47" s="8">
        <v>14124000</v>
      </c>
      <c r="PE47" s="2"/>
      <c r="PF47" s="2"/>
      <c r="PG47" s="2"/>
      <c r="PH47" s="2"/>
      <c r="PI47" s="2"/>
      <c r="PJ47" s="2"/>
      <c r="PK47" s="8">
        <v>14124000</v>
      </c>
      <c r="PL47" s="2"/>
      <c r="PM47" s="8">
        <v>14124000</v>
      </c>
      <c r="PN47" s="8">
        <v>1977000</v>
      </c>
      <c r="PO47" s="2"/>
      <c r="PP47" s="8">
        <v>1977000</v>
      </c>
      <c r="PQ47" s="6">
        <v>1977360</v>
      </c>
      <c r="PR47" s="8">
        <v>16101000</v>
      </c>
      <c r="PS47" s="2"/>
      <c r="PT47" s="8">
        <v>16101000</v>
      </c>
      <c r="PU47" s="8">
        <v>805000</v>
      </c>
      <c r="PV47" s="2"/>
      <c r="PW47" s="8">
        <v>805000</v>
      </c>
      <c r="PX47" s="6">
        <v>805050</v>
      </c>
      <c r="PY47" s="8">
        <v>1016000</v>
      </c>
      <c r="PZ47" s="8">
        <v>100000</v>
      </c>
      <c r="QA47" s="8">
        <v>1116000</v>
      </c>
      <c r="QB47" s="8">
        <v>255238</v>
      </c>
      <c r="QC47" s="2"/>
      <c r="QD47" s="8">
        <v>255238</v>
      </c>
      <c r="QE47" s="8">
        <v>220125</v>
      </c>
      <c r="QF47" s="2"/>
      <c r="QG47" s="8">
        <v>220125</v>
      </c>
      <c r="QH47" s="2"/>
      <c r="QI47" s="8">
        <v>338655</v>
      </c>
      <c r="QJ47" s="8">
        <v>338655</v>
      </c>
      <c r="QK47" s="2"/>
      <c r="QL47" s="2"/>
      <c r="QM47" s="2"/>
      <c r="QN47" s="2"/>
      <c r="QO47" s="2"/>
      <c r="QP47" s="2"/>
      <c r="QQ47" s="8">
        <v>1491363</v>
      </c>
      <c r="QR47" s="8">
        <v>438655</v>
      </c>
      <c r="QS47" s="8">
        <v>1930018</v>
      </c>
      <c r="QT47" s="8">
        <v>96500</v>
      </c>
      <c r="QU47" s="2"/>
      <c r="QV47" s="8">
        <v>96500</v>
      </c>
      <c r="QW47" s="6">
        <v>96500.9</v>
      </c>
      <c r="QX47" s="8">
        <v>646500</v>
      </c>
      <c r="QY47" s="8">
        <v>646500</v>
      </c>
      <c r="QZ47" s="8">
        <v>1293000</v>
      </c>
      <c r="RA47" s="8">
        <v>25000</v>
      </c>
      <c r="RB47" s="8">
        <v>25000</v>
      </c>
      <c r="RC47" s="2"/>
      <c r="RD47" s="2"/>
      <c r="RE47" s="2"/>
      <c r="RF47" s="8">
        <v>646500</v>
      </c>
      <c r="RG47" s="8">
        <v>671500</v>
      </c>
      <c r="RH47" s="8">
        <v>1318000</v>
      </c>
      <c r="RI47" s="2"/>
      <c r="RJ47" s="2"/>
      <c r="RK47" s="2"/>
      <c r="RL47" s="2"/>
      <c r="RM47" s="8">
        <v>19140363</v>
      </c>
      <c r="RN47" s="8">
        <v>1110155</v>
      </c>
      <c r="RO47" s="8">
        <v>20250518</v>
      </c>
      <c r="RP47" s="2"/>
      <c r="RQ47" s="2"/>
      <c r="RR47" s="2">
        <v>0</v>
      </c>
      <c r="RS47" s="6">
        <v>0</v>
      </c>
      <c r="RT47" s="8">
        <v>3240082</v>
      </c>
      <c r="RU47" s="2"/>
      <c r="RV47" s="8">
        <v>3240082</v>
      </c>
      <c r="RW47" s="6">
        <v>3240082</v>
      </c>
      <c r="RX47" s="6">
        <v>0</v>
      </c>
      <c r="RY47" s="8">
        <v>3240082</v>
      </c>
      <c r="RZ47" s="2"/>
      <c r="SA47" s="8">
        <v>3240082</v>
      </c>
      <c r="SB47" s="6">
        <v>3240082</v>
      </c>
      <c r="SC47" s="8">
        <v>287000</v>
      </c>
      <c r="SD47" s="8">
        <v>287000</v>
      </c>
      <c r="SE47" s="6">
        <v>287000</v>
      </c>
      <c r="SF47" s="8">
        <v>1750000</v>
      </c>
      <c r="SG47" s="8">
        <v>1750000</v>
      </c>
      <c r="SH47" s="8">
        <v>22380445</v>
      </c>
      <c r="SI47" s="8">
        <v>3147155</v>
      </c>
      <c r="SJ47" s="8">
        <v>25527600</v>
      </c>
      <c r="SK47" s="2"/>
      <c r="SL47" s="2"/>
      <c r="SM47" s="2"/>
      <c r="SN47" s="2"/>
      <c r="SO47" s="2"/>
      <c r="SP47" s="8">
        <v>19000000</v>
      </c>
      <c r="SQ47" s="2" t="s">
        <v>95</v>
      </c>
      <c r="SR47" s="8">
        <v>310000</v>
      </c>
      <c r="SS47" s="2" t="s">
        <v>180</v>
      </c>
      <c r="ST47" s="8">
        <v>150000</v>
      </c>
      <c r="SU47" s="2" t="s">
        <v>180</v>
      </c>
      <c r="SV47" s="2"/>
      <c r="SW47" s="2"/>
      <c r="SX47" s="2" t="s">
        <v>96</v>
      </c>
      <c r="SY47" s="2" t="s">
        <v>96</v>
      </c>
      <c r="SZ47" s="2" t="s">
        <v>96</v>
      </c>
      <c r="TA47" s="2" t="s">
        <v>96</v>
      </c>
      <c r="TB47" s="8">
        <v>9629050</v>
      </c>
      <c r="TC47" s="2"/>
      <c r="TD47" s="2"/>
      <c r="TE47" s="2"/>
      <c r="TF47" s="2"/>
      <c r="TG47" s="2"/>
      <c r="TH47" s="2"/>
      <c r="TI47" s="2">
        <v>0</v>
      </c>
      <c r="TJ47" s="8">
        <v>29089050</v>
      </c>
      <c r="TK47" s="8">
        <v>3561450</v>
      </c>
      <c r="TL47" s="2" t="s">
        <v>9</v>
      </c>
      <c r="TM47" s="8">
        <v>5000000</v>
      </c>
      <c r="TN47" s="2" t="s">
        <v>95</v>
      </c>
      <c r="TO47" s="8">
        <v>310000</v>
      </c>
      <c r="TP47" s="2" t="s">
        <v>180</v>
      </c>
      <c r="TQ47" s="8">
        <v>150000</v>
      </c>
      <c r="TR47" s="2" t="s">
        <v>180</v>
      </c>
      <c r="TS47" s="2"/>
      <c r="TT47" s="2"/>
      <c r="TU47" s="2" t="s">
        <v>96</v>
      </c>
      <c r="TV47" s="8">
        <v>19258100</v>
      </c>
      <c r="TW47" s="2"/>
      <c r="TX47" s="2"/>
      <c r="TY47" s="2"/>
      <c r="TZ47" s="2"/>
      <c r="UA47" s="2"/>
      <c r="UB47" s="2"/>
      <c r="UC47" s="8">
        <v>809500</v>
      </c>
      <c r="UD47" s="8">
        <v>25527600</v>
      </c>
      <c r="UE47" s="6">
        <v>5460000</v>
      </c>
      <c r="UF47" s="2">
        <v>0</v>
      </c>
      <c r="UG47" s="2" t="s">
        <v>9</v>
      </c>
      <c r="UH47" s="2">
        <v>82</v>
      </c>
      <c r="UI47" s="5">
        <v>220000</v>
      </c>
      <c r="UJ47" s="6">
        <v>293333.33</v>
      </c>
      <c r="UK47" s="6">
        <v>293333.33</v>
      </c>
      <c r="UL47" s="6">
        <v>310933.33</v>
      </c>
      <c r="UM47" s="6">
        <v>25496533.329999998</v>
      </c>
      <c r="UN47" s="6">
        <v>4079445</v>
      </c>
      <c r="UO47" s="6">
        <v>4079445</v>
      </c>
      <c r="UP47" s="6">
        <v>29575978.329999998</v>
      </c>
      <c r="UQ47" s="6">
        <v>23490600</v>
      </c>
      <c r="UR47" s="6">
        <v>460000</v>
      </c>
      <c r="US47" s="2"/>
      <c r="UT47" s="6">
        <v>460000</v>
      </c>
      <c r="UU47" s="2"/>
      <c r="UV47" s="6">
        <v>0</v>
      </c>
      <c r="UW47" s="6">
        <v>460000</v>
      </c>
      <c r="UX47" s="6">
        <v>0</v>
      </c>
      <c r="UY47" s="6">
        <v>460000</v>
      </c>
      <c r="UZ47" s="2" t="s">
        <v>321</v>
      </c>
      <c r="VA47" s="2" t="s">
        <v>182</v>
      </c>
      <c r="VB47" s="2" t="s">
        <v>322</v>
      </c>
      <c r="VC47" s="2" t="s">
        <v>182</v>
      </c>
      <c r="VD47" s="2" t="s">
        <v>9</v>
      </c>
      <c r="VE47" s="2" t="s">
        <v>17</v>
      </c>
      <c r="VF47" s="2"/>
      <c r="VG47" s="2" t="s">
        <v>9</v>
      </c>
      <c r="VH47" s="2" t="s">
        <v>323</v>
      </c>
      <c r="VI47" s="388" t="s">
        <v>286</v>
      </c>
      <c r="VJ47" s="2" t="s">
        <v>98</v>
      </c>
      <c r="VK47" s="2" t="s">
        <v>324</v>
      </c>
      <c r="VL47" s="23">
        <f t="shared" si="21"/>
        <v>110</v>
      </c>
      <c r="VM47" s="17">
        <f t="shared" si="22"/>
        <v>1.3414634146341464</v>
      </c>
      <c r="VN47" s="17" t="str">
        <f t="shared" si="12"/>
        <v>NC-GA-E</v>
      </c>
      <c r="VO47" s="17" t="str">
        <f t="shared" si="13"/>
        <v>NC-GA-E-Non</v>
      </c>
      <c r="VP47" s="12">
        <v>9</v>
      </c>
      <c r="VQ47" s="57">
        <v>1</v>
      </c>
      <c r="VR47" s="57">
        <f t="shared" si="23"/>
        <v>1</v>
      </c>
      <c r="VS47" s="14">
        <f t="shared" si="24"/>
        <v>1</v>
      </c>
      <c r="VT47" s="12">
        <f t="shared" si="25"/>
        <v>1</v>
      </c>
      <c r="VU47" s="16">
        <f t="shared" si="26"/>
        <v>19260000</v>
      </c>
      <c r="VV47" s="16">
        <f t="shared" si="27"/>
        <v>234878.04878048779</v>
      </c>
      <c r="VW47" s="12" t="str">
        <f t="shared" si="14"/>
        <v>A</v>
      </c>
      <c r="VX47" s="12" t="str">
        <f t="shared" si="15"/>
        <v>NC-GA-Non</v>
      </c>
      <c r="VY47" s="351">
        <f t="shared" si="16"/>
        <v>4</v>
      </c>
      <c r="WA47" s="12">
        <f t="shared" si="17"/>
        <v>1</v>
      </c>
      <c r="WB47" s="12">
        <f t="shared" si="18"/>
        <v>0</v>
      </c>
      <c r="WC47" s="12">
        <f t="shared" si="18"/>
        <v>0</v>
      </c>
      <c r="WD47" s="12">
        <f t="shared" si="18"/>
        <v>0</v>
      </c>
      <c r="WE47" s="12">
        <f t="shared" si="19"/>
        <v>0</v>
      </c>
      <c r="WF47" s="12">
        <f t="shared" si="28"/>
        <v>1</v>
      </c>
      <c r="WG47" s="12">
        <f t="shared" si="29"/>
        <v>0</v>
      </c>
      <c r="WH47" s="12">
        <f t="shared" si="30"/>
        <v>0</v>
      </c>
      <c r="WI47" s="22">
        <f t="shared" si="31"/>
        <v>2</v>
      </c>
      <c r="WJ47" s="2"/>
      <c r="WK47" s="444" t="str">
        <f t="shared" si="20"/>
        <v>NC-GA-Non-BBN-BRN-NPH-E</v>
      </c>
      <c r="WL47" s="444"/>
      <c r="WM47" s="444"/>
    </row>
    <row r="48" spans="1:611" x14ac:dyDescent="0.25">
      <c r="A48" s="2">
        <v>9554</v>
      </c>
      <c r="B48" s="2" t="s">
        <v>1732</v>
      </c>
      <c r="C48" s="2" t="s">
        <v>8</v>
      </c>
      <c r="D48" s="3">
        <v>45100</v>
      </c>
      <c r="E48" s="2" t="s">
        <v>9</v>
      </c>
      <c r="F48" s="2">
        <v>3</v>
      </c>
      <c r="G48" s="2" t="s">
        <v>9</v>
      </c>
      <c r="H48" s="2">
        <v>3</v>
      </c>
      <c r="I48" s="2" t="s">
        <v>9</v>
      </c>
      <c r="J48" s="2">
        <v>3</v>
      </c>
      <c r="K48" s="2" t="s">
        <v>9</v>
      </c>
      <c r="L48" s="2">
        <v>3</v>
      </c>
      <c r="M48" s="2" t="s">
        <v>10</v>
      </c>
      <c r="N48" s="2">
        <v>0</v>
      </c>
      <c r="O48" s="2" t="s">
        <v>10</v>
      </c>
      <c r="P48" s="2">
        <v>0</v>
      </c>
      <c r="Q48" s="2" t="s">
        <v>11</v>
      </c>
      <c r="R48" s="2">
        <v>0</v>
      </c>
      <c r="S48" s="2" t="s">
        <v>9</v>
      </c>
      <c r="T48" s="2">
        <v>2</v>
      </c>
      <c r="U48" s="2" t="s">
        <v>9</v>
      </c>
      <c r="V48" s="2">
        <v>2</v>
      </c>
      <c r="W48" s="2" t="s">
        <v>9</v>
      </c>
      <c r="X48" s="2">
        <v>2</v>
      </c>
      <c r="Y48" s="2" t="s">
        <v>12</v>
      </c>
      <c r="Z48" s="2" t="s">
        <v>15</v>
      </c>
      <c r="AA48" s="2" t="s">
        <v>15</v>
      </c>
      <c r="AB48" s="2" t="s">
        <v>15</v>
      </c>
      <c r="AC48" s="2" t="s">
        <v>15</v>
      </c>
      <c r="AD48" s="2" t="s">
        <v>15</v>
      </c>
      <c r="AE48" s="2" t="s">
        <v>15</v>
      </c>
      <c r="AF48" s="2">
        <v>0</v>
      </c>
      <c r="AG48" s="2" t="s">
        <v>234</v>
      </c>
      <c r="AH48" s="2" t="s">
        <v>17</v>
      </c>
      <c r="AI48" s="4">
        <v>0.1</v>
      </c>
      <c r="AJ48" s="2" t="s">
        <v>17</v>
      </c>
      <c r="AK48" s="2" t="s">
        <v>9</v>
      </c>
      <c r="AL48" s="2" t="s">
        <v>17</v>
      </c>
      <c r="AM48" s="2" t="s">
        <v>17</v>
      </c>
      <c r="AN48" s="2" t="s">
        <v>17</v>
      </c>
      <c r="AO48" s="2" t="s">
        <v>17</v>
      </c>
      <c r="AP48" s="2" t="s">
        <v>9</v>
      </c>
      <c r="AQ48" s="2" t="s">
        <v>17</v>
      </c>
      <c r="AR48" s="2" t="s">
        <v>17</v>
      </c>
      <c r="AS48" s="2" t="s">
        <v>17</v>
      </c>
      <c r="AT48" s="2">
        <v>0</v>
      </c>
      <c r="AU48" s="5">
        <v>37500</v>
      </c>
      <c r="AV48" s="5">
        <v>460000</v>
      </c>
      <c r="AW48" s="2">
        <v>0</v>
      </c>
      <c r="AX48" s="2">
        <v>7</v>
      </c>
      <c r="AY48" s="2">
        <v>0</v>
      </c>
      <c r="AZ48" s="2">
        <v>18</v>
      </c>
      <c r="BA48" s="2">
        <v>0</v>
      </c>
      <c r="BB48" s="2">
        <v>1</v>
      </c>
      <c r="BC48" s="2">
        <v>1</v>
      </c>
      <c r="BD48" s="2">
        <v>0</v>
      </c>
      <c r="BE48" s="2">
        <v>0</v>
      </c>
      <c r="BF48" s="2">
        <v>1</v>
      </c>
      <c r="BG48" s="2">
        <v>0</v>
      </c>
      <c r="BH48" s="2">
        <v>0</v>
      </c>
      <c r="BI48" s="2">
        <v>13</v>
      </c>
      <c r="BJ48" s="2">
        <v>1</v>
      </c>
      <c r="BK48" s="2">
        <v>0</v>
      </c>
      <c r="BL48" s="2">
        <v>3</v>
      </c>
      <c r="BM48" s="2">
        <v>0</v>
      </c>
      <c r="BN48" s="2">
        <v>12</v>
      </c>
      <c r="BO48" s="2">
        <v>11</v>
      </c>
      <c r="BP48" s="2">
        <v>0</v>
      </c>
      <c r="BQ48" s="2">
        <v>10</v>
      </c>
      <c r="BR48" s="2">
        <v>12.52</v>
      </c>
      <c r="BS48" s="2">
        <v>0</v>
      </c>
      <c r="BT48" s="4">
        <v>0.06</v>
      </c>
      <c r="BU48" s="2" t="s">
        <v>9</v>
      </c>
      <c r="BV48" s="6">
        <v>216289.76</v>
      </c>
      <c r="BW48" s="2" t="s">
        <v>18</v>
      </c>
      <c r="BX48" s="2" t="s">
        <v>17</v>
      </c>
      <c r="BY48" s="2" t="s">
        <v>17</v>
      </c>
      <c r="BZ48" s="2" t="s">
        <v>17</v>
      </c>
      <c r="CA48" s="2" t="s">
        <v>17</v>
      </c>
      <c r="CB48" s="2" t="s">
        <v>17</v>
      </c>
      <c r="CC48" s="2" t="s">
        <v>17</v>
      </c>
      <c r="CD48" s="2" t="s">
        <v>17</v>
      </c>
      <c r="CE48" s="2" t="s">
        <v>1733</v>
      </c>
      <c r="CF48" s="2" t="s">
        <v>17</v>
      </c>
      <c r="CG48" s="2" t="s">
        <v>1734</v>
      </c>
      <c r="CH48" s="2"/>
      <c r="CI48" s="2"/>
      <c r="CJ48" s="2" t="s">
        <v>9</v>
      </c>
      <c r="CK48" s="2" t="s">
        <v>1735</v>
      </c>
      <c r="CL48" s="2" t="s">
        <v>1734</v>
      </c>
      <c r="CM48" s="2" t="s">
        <v>1736</v>
      </c>
      <c r="CN48" s="2" t="s">
        <v>1737</v>
      </c>
      <c r="CO48" s="2" t="s">
        <v>24</v>
      </c>
      <c r="CP48" s="2"/>
      <c r="CQ48" s="2">
        <v>48</v>
      </c>
      <c r="CR48" s="2" t="s">
        <v>289</v>
      </c>
      <c r="CS48" s="2">
        <v>2021</v>
      </c>
      <c r="CT48" s="2" t="s">
        <v>26</v>
      </c>
      <c r="CU48" s="2" t="s">
        <v>27</v>
      </c>
      <c r="CV48" s="2" t="s">
        <v>1738</v>
      </c>
      <c r="CW48" s="2" t="s">
        <v>1739</v>
      </c>
      <c r="CX48" s="2" t="s">
        <v>24</v>
      </c>
      <c r="CY48" s="2"/>
      <c r="CZ48" s="2">
        <v>72</v>
      </c>
      <c r="DA48" s="2" t="s">
        <v>289</v>
      </c>
      <c r="DB48" s="2">
        <v>2020</v>
      </c>
      <c r="DC48" s="2" t="s">
        <v>30</v>
      </c>
      <c r="DD48" s="2" t="s">
        <v>27</v>
      </c>
      <c r="DE48" s="2" t="s">
        <v>1740</v>
      </c>
      <c r="DF48" s="2" t="s">
        <v>1741</v>
      </c>
      <c r="DG48" s="2" t="s">
        <v>24</v>
      </c>
      <c r="DH48" s="2"/>
      <c r="DI48" s="2">
        <v>68</v>
      </c>
      <c r="DJ48" s="2" t="s">
        <v>289</v>
      </c>
      <c r="DK48" s="2">
        <v>2021</v>
      </c>
      <c r="DL48" s="2" t="s">
        <v>30</v>
      </c>
      <c r="DM48" s="2" t="s">
        <v>27</v>
      </c>
      <c r="DN48" s="2" t="s">
        <v>33</v>
      </c>
      <c r="DO48" s="2" t="s">
        <v>1742</v>
      </c>
      <c r="DP48" s="2" t="s">
        <v>748</v>
      </c>
      <c r="DQ48" s="2" t="s">
        <v>1743</v>
      </c>
      <c r="DR48" s="2" t="s">
        <v>1744</v>
      </c>
      <c r="DS48" s="2">
        <v>1</v>
      </c>
      <c r="DT48" s="2" t="s">
        <v>1745</v>
      </c>
      <c r="DU48" s="2" t="s">
        <v>1746</v>
      </c>
      <c r="DV48" s="2" t="s">
        <v>1747</v>
      </c>
      <c r="DW48" s="2">
        <v>35242</v>
      </c>
      <c r="DX48" s="2" t="s">
        <v>1748</v>
      </c>
      <c r="DY48" s="2">
        <v>205</v>
      </c>
      <c r="DZ48" s="2" t="s">
        <v>1749</v>
      </c>
      <c r="EA48" s="2" t="s">
        <v>1744</v>
      </c>
      <c r="EB48" s="2" t="s">
        <v>1750</v>
      </c>
      <c r="EC48" s="2" t="s">
        <v>1751</v>
      </c>
      <c r="ED48" s="2" t="s">
        <v>44</v>
      </c>
      <c r="EE48" s="2">
        <v>240</v>
      </c>
      <c r="EF48" s="2" t="s">
        <v>303</v>
      </c>
      <c r="EG48" s="2">
        <v>7</v>
      </c>
      <c r="EH48" s="2" t="s">
        <v>46</v>
      </c>
      <c r="EI48" s="2" t="s">
        <v>47</v>
      </c>
      <c r="EJ48" s="2" t="s">
        <v>1752</v>
      </c>
      <c r="EK48" s="2" t="s">
        <v>1753</v>
      </c>
      <c r="EL48" s="2" t="s">
        <v>44</v>
      </c>
      <c r="EM48" s="2">
        <v>56</v>
      </c>
      <c r="EN48" s="2" t="s">
        <v>303</v>
      </c>
      <c r="EO48" s="2">
        <v>11</v>
      </c>
      <c r="EP48" s="2" t="s">
        <v>46</v>
      </c>
      <c r="EQ48" s="2" t="s">
        <v>47</v>
      </c>
      <c r="ER48" s="2" t="s">
        <v>1754</v>
      </c>
      <c r="ES48" s="2" t="s">
        <v>514</v>
      </c>
      <c r="ET48" s="2" t="s">
        <v>1755</v>
      </c>
      <c r="EU48" s="2" t="s">
        <v>1733</v>
      </c>
      <c r="EV48" s="2" t="s">
        <v>1756</v>
      </c>
      <c r="EW48" s="2" t="s">
        <v>510</v>
      </c>
      <c r="EX48" s="2" t="s">
        <v>39</v>
      </c>
      <c r="EY48" s="2">
        <v>32804</v>
      </c>
      <c r="EZ48" s="2" t="s">
        <v>1757</v>
      </c>
      <c r="FA48" s="2"/>
      <c r="FB48" s="2" t="s">
        <v>1758</v>
      </c>
      <c r="FC48" s="2" t="s">
        <v>812</v>
      </c>
      <c r="FD48" s="2" t="s">
        <v>1759</v>
      </c>
      <c r="FE48" s="2" t="s">
        <v>1760</v>
      </c>
      <c r="FF48" s="2" t="s">
        <v>1733</v>
      </c>
      <c r="FG48" s="2" t="s">
        <v>1756</v>
      </c>
      <c r="FH48" s="2" t="s">
        <v>510</v>
      </c>
      <c r="FI48" s="2" t="s">
        <v>39</v>
      </c>
      <c r="FJ48" s="2">
        <v>32804</v>
      </c>
      <c r="FK48" s="2" t="s">
        <v>1761</v>
      </c>
      <c r="FL48" s="2"/>
      <c r="FM48" s="2" t="s">
        <v>1762</v>
      </c>
      <c r="FN48" s="2" t="s">
        <v>1763</v>
      </c>
      <c r="FO48" s="2" t="s">
        <v>63</v>
      </c>
      <c r="FP48" s="2" t="s">
        <v>64</v>
      </c>
      <c r="FQ48" s="2" t="s">
        <v>9</v>
      </c>
      <c r="FR48" s="2" t="s">
        <v>17</v>
      </c>
      <c r="FS48" s="2" t="s">
        <v>17</v>
      </c>
      <c r="FT48" s="2" t="s">
        <v>9</v>
      </c>
      <c r="FU48" s="2">
        <v>0</v>
      </c>
      <c r="FV48" s="2">
        <v>0</v>
      </c>
      <c r="FW48" s="4">
        <v>0</v>
      </c>
      <c r="FX48" s="4">
        <v>0</v>
      </c>
      <c r="FY48" s="2" t="s">
        <v>65</v>
      </c>
      <c r="FZ48" s="2" t="s">
        <v>66</v>
      </c>
      <c r="GA48" s="2" t="s">
        <v>67</v>
      </c>
      <c r="GB48" s="2"/>
      <c r="GC48" s="2"/>
      <c r="GD48" s="2"/>
      <c r="GE48" s="2" t="s">
        <v>68</v>
      </c>
      <c r="GF48" s="2"/>
      <c r="GG48" s="2"/>
      <c r="GH48" s="2">
        <v>82</v>
      </c>
      <c r="GI48" s="2"/>
      <c r="GJ48" s="2"/>
      <c r="GK48" s="2"/>
      <c r="GL48" s="2"/>
      <c r="GM48" s="2"/>
      <c r="GN48" s="2"/>
      <c r="GO48" s="2"/>
      <c r="GP48" s="2"/>
      <c r="GQ48" s="2">
        <v>82</v>
      </c>
      <c r="GR48" s="2" t="s">
        <v>878</v>
      </c>
      <c r="GS48" s="2" t="s">
        <v>70</v>
      </c>
      <c r="GT48" s="2" t="s">
        <v>1764</v>
      </c>
      <c r="GU48" s="2" t="s">
        <v>1378</v>
      </c>
      <c r="GV48" s="2" t="s">
        <v>17</v>
      </c>
      <c r="GW48" s="2">
        <v>30.534179999999999</v>
      </c>
      <c r="GX48" s="2">
        <v>-87.372885999999994</v>
      </c>
      <c r="GY48" s="2"/>
      <c r="GZ48" s="2" t="s">
        <v>17</v>
      </c>
      <c r="HA48" s="2" t="s">
        <v>17</v>
      </c>
      <c r="HB48" s="2">
        <v>0</v>
      </c>
      <c r="HC48" s="2" t="s">
        <v>17</v>
      </c>
      <c r="HD48" s="2"/>
      <c r="HE48" s="2">
        <v>0</v>
      </c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 t="s">
        <v>73</v>
      </c>
      <c r="HY48" s="2" t="s">
        <v>17</v>
      </c>
      <c r="HZ48" s="2"/>
      <c r="IA48" s="2" t="s">
        <v>549</v>
      </c>
      <c r="IB48" s="2" t="s">
        <v>1765</v>
      </c>
      <c r="IC48" s="2">
        <v>0.39</v>
      </c>
      <c r="ID48" s="2">
        <v>3.5</v>
      </c>
      <c r="IE48" s="2"/>
      <c r="IF48" s="2"/>
      <c r="IG48" s="2"/>
      <c r="IH48" s="2" t="s">
        <v>549</v>
      </c>
      <c r="II48" s="2">
        <v>0.39</v>
      </c>
      <c r="IJ48" s="2">
        <v>3.5</v>
      </c>
      <c r="IK48" s="2" t="s">
        <v>1766</v>
      </c>
      <c r="IL48" s="2" t="s">
        <v>1767</v>
      </c>
      <c r="IM48" s="2">
        <v>0.76</v>
      </c>
      <c r="IN48" s="2">
        <v>3</v>
      </c>
      <c r="IO48" s="2" t="s">
        <v>17</v>
      </c>
      <c r="IP48" s="2">
        <v>0</v>
      </c>
      <c r="IQ48" s="2">
        <v>10</v>
      </c>
      <c r="IR48" s="2">
        <v>0</v>
      </c>
      <c r="IS48" s="2">
        <v>10</v>
      </c>
      <c r="IT48" s="2" t="s">
        <v>17</v>
      </c>
      <c r="IU48" s="2" t="s">
        <v>17</v>
      </c>
      <c r="IV48" s="2" t="s">
        <v>17</v>
      </c>
      <c r="IW48" s="2" t="s">
        <v>9</v>
      </c>
      <c r="IX48" s="2" t="s">
        <v>9</v>
      </c>
      <c r="IY48" s="2">
        <v>10</v>
      </c>
      <c r="IZ48" s="2">
        <v>82</v>
      </c>
      <c r="JA48" s="2" t="s">
        <v>81</v>
      </c>
      <c r="JB48" s="2" t="s">
        <v>173</v>
      </c>
      <c r="JC48" s="2"/>
      <c r="JD48" s="2"/>
      <c r="JE48" s="7">
        <v>0.1</v>
      </c>
      <c r="JF48" s="2"/>
      <c r="JG48" s="7">
        <v>0.9</v>
      </c>
      <c r="JH48" s="7">
        <v>0</v>
      </c>
      <c r="JI48" s="2">
        <v>82</v>
      </c>
      <c r="JJ48" s="7">
        <v>1</v>
      </c>
      <c r="JK48" s="2">
        <v>82</v>
      </c>
      <c r="JL48" s="7">
        <v>1</v>
      </c>
      <c r="JM48" s="2"/>
      <c r="JN48" s="2"/>
      <c r="JO48" s="2"/>
      <c r="JP48" s="2"/>
      <c r="JQ48" s="2"/>
      <c r="JR48" s="2"/>
      <c r="JS48" s="2">
        <v>0</v>
      </c>
      <c r="JT48" s="2">
        <v>0</v>
      </c>
      <c r="JU48" s="2"/>
      <c r="JV48" s="2">
        <v>0</v>
      </c>
      <c r="JW48" s="4">
        <v>0</v>
      </c>
      <c r="JX48" s="2">
        <v>0</v>
      </c>
      <c r="JY48" s="4">
        <v>0</v>
      </c>
      <c r="JZ48" s="2">
        <v>0</v>
      </c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>
        <v>41</v>
      </c>
      <c r="KL48" s="2">
        <v>41</v>
      </c>
      <c r="KM48" s="2"/>
      <c r="KN48" s="2"/>
      <c r="KO48" s="2"/>
      <c r="KP48" s="2"/>
      <c r="KQ48" s="2" t="s">
        <v>83</v>
      </c>
      <c r="KR48" s="2" t="s">
        <v>73</v>
      </c>
      <c r="KS48" s="2"/>
      <c r="KT48" s="2">
        <v>3</v>
      </c>
      <c r="KU48" s="2" t="s">
        <v>84</v>
      </c>
      <c r="KV48" s="2" t="s">
        <v>85</v>
      </c>
      <c r="KW48" s="2" t="s">
        <v>530</v>
      </c>
      <c r="KX48" s="2" t="s">
        <v>17</v>
      </c>
      <c r="KY48" s="2" t="s">
        <v>17</v>
      </c>
      <c r="KZ48" s="2" t="s">
        <v>17</v>
      </c>
      <c r="LA48" s="2" t="s">
        <v>17</v>
      </c>
      <c r="LB48" s="2" t="s">
        <v>17</v>
      </c>
      <c r="LC48" s="2" t="s">
        <v>17</v>
      </c>
      <c r="LD48" s="2" t="s">
        <v>17</v>
      </c>
      <c r="LE48" s="2" t="s">
        <v>17</v>
      </c>
      <c r="LF48" s="2" t="s">
        <v>17</v>
      </c>
      <c r="LG48" s="2" t="s">
        <v>17</v>
      </c>
      <c r="LH48" s="2" t="s">
        <v>17</v>
      </c>
      <c r="LI48" s="2" t="s">
        <v>17</v>
      </c>
      <c r="LJ48" s="2" t="s">
        <v>87</v>
      </c>
      <c r="LK48" s="2" t="s">
        <v>17</v>
      </c>
      <c r="LL48" s="2" t="s">
        <v>17</v>
      </c>
      <c r="LM48" s="2">
        <v>0</v>
      </c>
      <c r="LN48" s="2" t="s">
        <v>17</v>
      </c>
      <c r="LO48" s="2" t="s">
        <v>9</v>
      </c>
      <c r="LP48" s="2" t="s">
        <v>9</v>
      </c>
      <c r="LQ48" s="2" t="s">
        <v>17</v>
      </c>
      <c r="LR48" s="2" t="s">
        <v>9</v>
      </c>
      <c r="LS48" s="2" t="s">
        <v>17</v>
      </c>
      <c r="LT48" s="2" t="s">
        <v>17</v>
      </c>
      <c r="LU48" s="2" t="s">
        <v>17</v>
      </c>
      <c r="LV48" s="2" t="s">
        <v>17</v>
      </c>
      <c r="LW48" s="2" t="s">
        <v>17</v>
      </c>
      <c r="LX48" s="2" t="s">
        <v>17</v>
      </c>
      <c r="LY48" s="5">
        <v>6500000</v>
      </c>
      <c r="LZ48" s="5">
        <v>0</v>
      </c>
      <c r="MA48" s="5">
        <v>7200000</v>
      </c>
      <c r="MB48" s="5">
        <v>0</v>
      </c>
      <c r="MC48" s="5">
        <v>0</v>
      </c>
      <c r="MD48" s="5">
        <v>0</v>
      </c>
      <c r="ME48" s="5">
        <v>8610000</v>
      </c>
      <c r="MF48" s="5">
        <v>0</v>
      </c>
      <c r="MG48" s="5">
        <v>0</v>
      </c>
      <c r="MH48" s="5">
        <v>0</v>
      </c>
      <c r="MI48" s="5">
        <v>0</v>
      </c>
      <c r="MJ48" s="5">
        <v>0</v>
      </c>
      <c r="MK48" s="5">
        <v>0</v>
      </c>
      <c r="ML48" s="2">
        <v>0</v>
      </c>
      <c r="MM48" s="5">
        <v>0</v>
      </c>
      <c r="MN48" s="5">
        <v>0</v>
      </c>
      <c r="MO48" s="2">
        <v>0</v>
      </c>
      <c r="MP48" s="2">
        <v>0</v>
      </c>
      <c r="MQ48" s="2">
        <v>0</v>
      </c>
      <c r="MR48" s="5">
        <v>2950000</v>
      </c>
      <c r="MS48" s="5">
        <v>0</v>
      </c>
      <c r="MT48" s="5">
        <v>4600000</v>
      </c>
      <c r="MU48" s="5">
        <v>0</v>
      </c>
      <c r="MV48" s="5">
        <v>0</v>
      </c>
      <c r="MW48" s="5">
        <v>0</v>
      </c>
      <c r="MX48" s="5">
        <v>0</v>
      </c>
      <c r="MY48" s="5">
        <v>2500000</v>
      </c>
      <c r="MZ48" s="5">
        <v>0</v>
      </c>
      <c r="NA48" s="5">
        <v>5000000</v>
      </c>
      <c r="NB48" s="5">
        <v>0</v>
      </c>
      <c r="NC48" s="5">
        <v>0</v>
      </c>
      <c r="ND48" s="5">
        <v>0</v>
      </c>
      <c r="NE48" s="5">
        <v>0</v>
      </c>
      <c r="NF48" s="5">
        <v>0</v>
      </c>
      <c r="NG48" s="5">
        <v>2142000</v>
      </c>
      <c r="NH48" s="5">
        <v>2142000</v>
      </c>
      <c r="NI48" s="5">
        <v>2142000</v>
      </c>
      <c r="NJ48" s="5">
        <v>0</v>
      </c>
      <c r="NK48" s="5"/>
      <c r="NL48" s="2" t="s">
        <v>17</v>
      </c>
      <c r="NM48" s="2" t="s">
        <v>17</v>
      </c>
      <c r="NN48" s="2"/>
      <c r="NO48" s="2" t="s">
        <v>17</v>
      </c>
      <c r="NP48" s="2"/>
      <c r="NQ48" s="2"/>
      <c r="NR48" s="2" t="s">
        <v>17</v>
      </c>
      <c r="NS48" s="2"/>
      <c r="NT48" s="2" t="s">
        <v>17</v>
      </c>
      <c r="NU48" s="2"/>
      <c r="NV48" s="2"/>
      <c r="NW48" s="2"/>
      <c r="NX48" s="2" t="s">
        <v>9</v>
      </c>
      <c r="NY48" s="2" t="s">
        <v>88</v>
      </c>
      <c r="NZ48" s="2">
        <v>36.03</v>
      </c>
      <c r="OA48" s="2" t="s">
        <v>960</v>
      </c>
      <c r="OB48" s="2" t="s">
        <v>961</v>
      </c>
      <c r="OC48" s="2" t="s">
        <v>961</v>
      </c>
      <c r="OD48" s="2" t="s">
        <v>17</v>
      </c>
      <c r="OE48" s="2" t="s">
        <v>91</v>
      </c>
      <c r="OF48" s="2" t="s">
        <v>17</v>
      </c>
      <c r="OG48" s="2" t="s">
        <v>9</v>
      </c>
      <c r="OH48" s="2" t="s">
        <v>92</v>
      </c>
      <c r="OI48" s="2"/>
      <c r="OJ48" s="2"/>
      <c r="OK48" s="2" t="s">
        <v>17</v>
      </c>
      <c r="OL48" s="2" t="s">
        <v>17</v>
      </c>
      <c r="OM48" s="2" t="s">
        <v>85</v>
      </c>
      <c r="ON48" s="6">
        <v>0</v>
      </c>
      <c r="OO48" s="6">
        <v>0</v>
      </c>
      <c r="OP48" s="2" t="s">
        <v>93</v>
      </c>
      <c r="OQ48" s="2" t="s">
        <v>93</v>
      </c>
      <c r="OR48" s="6">
        <v>0</v>
      </c>
      <c r="OS48" s="4">
        <v>0</v>
      </c>
      <c r="OT48" s="2" t="s">
        <v>17</v>
      </c>
      <c r="OU48" s="2" t="s">
        <v>17</v>
      </c>
      <c r="OV48" s="2"/>
      <c r="OW48" s="2"/>
      <c r="OX48" s="5">
        <v>17735760</v>
      </c>
      <c r="OY48" s="6">
        <v>216289.76</v>
      </c>
      <c r="OZ48" s="8">
        <v>50000</v>
      </c>
      <c r="PA48" s="8">
        <v>50000</v>
      </c>
      <c r="PB48" s="8">
        <v>11152000</v>
      </c>
      <c r="PC48" s="2"/>
      <c r="PD48" s="8">
        <v>11152000</v>
      </c>
      <c r="PE48" s="8">
        <v>1771200</v>
      </c>
      <c r="PF48" s="8">
        <v>146800</v>
      </c>
      <c r="PG48" s="8">
        <v>1918000</v>
      </c>
      <c r="PH48" s="2"/>
      <c r="PI48" s="2"/>
      <c r="PJ48" s="2"/>
      <c r="PK48" s="8">
        <v>12923200</v>
      </c>
      <c r="PL48" s="8">
        <v>196800</v>
      </c>
      <c r="PM48" s="8">
        <v>13120000</v>
      </c>
      <c r="PN48" s="8">
        <v>1836800</v>
      </c>
      <c r="PO48" s="2"/>
      <c r="PP48" s="8">
        <v>1836800</v>
      </c>
      <c r="PQ48" s="6">
        <v>1836800</v>
      </c>
      <c r="PR48" s="8">
        <v>14760000</v>
      </c>
      <c r="PS48" s="8">
        <v>196800</v>
      </c>
      <c r="PT48" s="8">
        <v>14956800</v>
      </c>
      <c r="PU48" s="8">
        <v>747840</v>
      </c>
      <c r="PV48" s="2"/>
      <c r="PW48" s="8">
        <v>747840</v>
      </c>
      <c r="PX48" s="6">
        <v>747840</v>
      </c>
      <c r="PY48" s="8">
        <v>692400</v>
      </c>
      <c r="PZ48" s="8">
        <v>223000</v>
      </c>
      <c r="QA48" s="8">
        <v>915400</v>
      </c>
      <c r="QB48" s="8">
        <v>450000</v>
      </c>
      <c r="QC48" s="2"/>
      <c r="QD48" s="8">
        <v>450000</v>
      </c>
      <c r="QE48" s="8">
        <v>456750</v>
      </c>
      <c r="QF48" s="8">
        <v>26250</v>
      </c>
      <c r="QG48" s="8">
        <v>483000</v>
      </c>
      <c r="QH48" s="2"/>
      <c r="QI48" s="8">
        <v>436398</v>
      </c>
      <c r="QJ48" s="8">
        <v>436398</v>
      </c>
      <c r="QK48" s="2"/>
      <c r="QL48" s="2"/>
      <c r="QM48" s="2"/>
      <c r="QN48" s="8">
        <v>150000</v>
      </c>
      <c r="QO48" s="8">
        <v>5000</v>
      </c>
      <c r="QP48" s="8">
        <v>155000</v>
      </c>
      <c r="QQ48" s="8">
        <v>1749150</v>
      </c>
      <c r="QR48" s="8">
        <v>690648</v>
      </c>
      <c r="QS48" s="8">
        <v>2439798</v>
      </c>
      <c r="QT48" s="8">
        <v>121989</v>
      </c>
      <c r="QU48" s="2"/>
      <c r="QV48" s="8">
        <v>121989</v>
      </c>
      <c r="QW48" s="6">
        <v>121989.9</v>
      </c>
      <c r="QX48" s="8">
        <v>1183220</v>
      </c>
      <c r="QY48" s="8">
        <v>470666</v>
      </c>
      <c r="QZ48" s="8">
        <v>1653886</v>
      </c>
      <c r="RA48" s="8">
        <v>47769</v>
      </c>
      <c r="RB48" s="8">
        <v>47769</v>
      </c>
      <c r="RC48" s="2"/>
      <c r="RD48" s="2"/>
      <c r="RE48" s="2"/>
      <c r="RF48" s="8">
        <v>1183220</v>
      </c>
      <c r="RG48" s="8">
        <v>518435</v>
      </c>
      <c r="RH48" s="8">
        <v>1701655</v>
      </c>
      <c r="RI48" s="2"/>
      <c r="RJ48" s="2"/>
      <c r="RK48" s="2"/>
      <c r="RL48" s="2"/>
      <c r="RM48" s="8">
        <v>18562199</v>
      </c>
      <c r="RN48" s="8">
        <v>1405883</v>
      </c>
      <c r="RO48" s="8">
        <v>19968082</v>
      </c>
      <c r="RP48" s="2"/>
      <c r="RQ48" s="2"/>
      <c r="RR48" s="2">
        <v>0</v>
      </c>
      <c r="RS48" s="6">
        <v>0</v>
      </c>
      <c r="RT48" s="8">
        <v>3194893</v>
      </c>
      <c r="RU48" s="2"/>
      <c r="RV48" s="8">
        <v>3194893</v>
      </c>
      <c r="RW48" s="6">
        <v>3194893</v>
      </c>
      <c r="RX48" s="6">
        <v>0</v>
      </c>
      <c r="RY48" s="8">
        <v>3194893</v>
      </c>
      <c r="RZ48" s="2"/>
      <c r="SA48" s="8">
        <v>3194893</v>
      </c>
      <c r="SB48" s="6">
        <v>3194893</v>
      </c>
      <c r="SC48" s="8">
        <v>287000</v>
      </c>
      <c r="SD48" s="8">
        <v>287000</v>
      </c>
      <c r="SE48" s="6">
        <v>287000</v>
      </c>
      <c r="SF48" s="8">
        <v>1895000</v>
      </c>
      <c r="SG48" s="8">
        <v>1895000</v>
      </c>
      <c r="SH48" s="8">
        <v>21757092</v>
      </c>
      <c r="SI48" s="8">
        <v>3587883</v>
      </c>
      <c r="SJ48" s="8">
        <v>25344975</v>
      </c>
      <c r="SK48" s="2" t="s">
        <v>410</v>
      </c>
      <c r="SL48" s="2"/>
      <c r="SM48" s="2" t="s">
        <v>1768</v>
      </c>
      <c r="SN48" s="2"/>
      <c r="SO48" s="2"/>
      <c r="SP48" s="8">
        <v>19500000</v>
      </c>
      <c r="SQ48" s="2" t="s">
        <v>95</v>
      </c>
      <c r="SR48" s="2"/>
      <c r="SS48" s="2"/>
      <c r="ST48" s="2"/>
      <c r="SU48" s="2"/>
      <c r="SV48" s="2"/>
      <c r="SW48" s="2"/>
      <c r="SX48" s="2" t="s">
        <v>96</v>
      </c>
      <c r="SY48" s="2" t="s">
        <v>96</v>
      </c>
      <c r="SZ48" s="2" t="s">
        <v>96</v>
      </c>
      <c r="TA48" s="2" t="s">
        <v>96</v>
      </c>
      <c r="TB48" s="8">
        <v>2859284</v>
      </c>
      <c r="TC48" s="2"/>
      <c r="TD48" s="2"/>
      <c r="TE48" s="2"/>
      <c r="TF48" s="2"/>
      <c r="TG48" s="2"/>
      <c r="TH48" s="2"/>
      <c r="TI48" s="8">
        <v>2985691</v>
      </c>
      <c r="TJ48" s="8">
        <v>25344975</v>
      </c>
      <c r="TK48" s="2">
        <v>0</v>
      </c>
      <c r="TL48" s="2" t="s">
        <v>9</v>
      </c>
      <c r="TM48" s="8">
        <v>4776895</v>
      </c>
      <c r="TN48" s="2" t="s">
        <v>95</v>
      </c>
      <c r="TO48" s="2"/>
      <c r="TP48" s="2"/>
      <c r="TQ48" s="2"/>
      <c r="TR48" s="2"/>
      <c r="TS48" s="2"/>
      <c r="TT48" s="2"/>
      <c r="TU48" s="2" t="s">
        <v>96</v>
      </c>
      <c r="TV48" s="8">
        <v>19061893</v>
      </c>
      <c r="TW48" s="2"/>
      <c r="TX48" s="2"/>
      <c r="TY48" s="2"/>
      <c r="TZ48" s="2"/>
      <c r="UA48" s="2"/>
      <c r="UB48" s="2"/>
      <c r="UC48" s="8">
        <v>1506187</v>
      </c>
      <c r="UD48" s="8">
        <v>25344975</v>
      </c>
      <c r="UE48" s="6">
        <v>4776895</v>
      </c>
      <c r="UF48" s="2">
        <v>0</v>
      </c>
      <c r="UG48" s="2" t="s">
        <v>9</v>
      </c>
      <c r="UH48" s="2">
        <v>82</v>
      </c>
      <c r="UI48" s="5">
        <v>220000</v>
      </c>
      <c r="UJ48" s="6">
        <v>293333.33</v>
      </c>
      <c r="UK48" s="6">
        <v>293333.33</v>
      </c>
      <c r="UL48" s="6">
        <v>310933.33</v>
      </c>
      <c r="UM48" s="6">
        <v>25496533.329999998</v>
      </c>
      <c r="UN48" s="6">
        <v>4079445</v>
      </c>
      <c r="UO48" s="6">
        <v>4079445</v>
      </c>
      <c r="UP48" s="6">
        <v>29575978.329999998</v>
      </c>
      <c r="UQ48" s="6">
        <v>23112975</v>
      </c>
      <c r="UR48" s="2"/>
      <c r="US48" s="2"/>
      <c r="UT48" s="6">
        <v>0</v>
      </c>
      <c r="UU48" s="2"/>
      <c r="UV48" s="6">
        <v>0</v>
      </c>
      <c r="UW48" s="6">
        <v>0</v>
      </c>
      <c r="UX48" s="6">
        <v>0</v>
      </c>
      <c r="UY48" s="6">
        <v>0</v>
      </c>
      <c r="UZ48" s="2"/>
      <c r="VA48" s="2"/>
      <c r="VB48" s="2"/>
      <c r="VC48" s="2"/>
      <c r="VD48" s="2" t="s">
        <v>17</v>
      </c>
      <c r="VE48" s="2" t="s">
        <v>17</v>
      </c>
      <c r="VF48" s="2"/>
      <c r="VG48" s="2" t="s">
        <v>17</v>
      </c>
      <c r="VH48" s="2"/>
      <c r="VI48" s="388" t="s">
        <v>1769</v>
      </c>
      <c r="VJ48" s="2" t="s">
        <v>98</v>
      </c>
      <c r="VK48" s="2" t="s">
        <v>1224</v>
      </c>
      <c r="VL48" s="23">
        <f t="shared" si="21"/>
        <v>205</v>
      </c>
      <c r="VM48" s="17">
        <f t="shared" si="22"/>
        <v>2.5</v>
      </c>
      <c r="VN48" s="17" t="str">
        <f t="shared" si="12"/>
        <v>NC-GA-F</v>
      </c>
      <c r="VO48" s="17" t="str">
        <f t="shared" si="13"/>
        <v>NC-GA-F-Non</v>
      </c>
      <c r="VP48" s="12">
        <v>9</v>
      </c>
      <c r="VQ48" s="57">
        <v>1</v>
      </c>
      <c r="VR48" s="57">
        <f t="shared" si="23"/>
        <v>1</v>
      </c>
      <c r="VS48" s="14">
        <f t="shared" si="24"/>
        <v>1</v>
      </c>
      <c r="VT48" s="12">
        <f t="shared" si="25"/>
        <v>1</v>
      </c>
      <c r="VU48" s="16">
        <f t="shared" si="26"/>
        <v>19278000</v>
      </c>
      <c r="VV48" s="16">
        <f t="shared" si="27"/>
        <v>235097.56097560975</v>
      </c>
      <c r="VW48" s="12" t="str">
        <f t="shared" si="14"/>
        <v>A</v>
      </c>
      <c r="VX48" s="12" t="str">
        <f t="shared" si="15"/>
        <v>NC-GA-Non</v>
      </c>
      <c r="VY48" s="351">
        <f t="shared" si="16"/>
        <v>4</v>
      </c>
      <c r="WA48" s="12">
        <f t="shared" si="17"/>
        <v>0</v>
      </c>
      <c r="WB48" s="12">
        <f t="shared" si="18"/>
        <v>0</v>
      </c>
      <c r="WC48" s="12">
        <f t="shared" si="18"/>
        <v>0</v>
      </c>
      <c r="WD48" s="12">
        <f t="shared" si="18"/>
        <v>0</v>
      </c>
      <c r="WE48" s="12">
        <f t="shared" si="19"/>
        <v>0</v>
      </c>
      <c r="WF48" s="12">
        <f t="shared" si="28"/>
        <v>1</v>
      </c>
      <c r="WG48" s="12">
        <f t="shared" si="29"/>
        <v>0</v>
      </c>
      <c r="WH48" s="12">
        <f t="shared" si="30"/>
        <v>0</v>
      </c>
      <c r="WI48" s="22">
        <f t="shared" si="31"/>
        <v>1</v>
      </c>
      <c r="WJ48" s="2"/>
      <c r="WK48" s="443" t="str">
        <f t="shared" si="20"/>
        <v>NC-GA-Non-BBN-BRN-NPH-F</v>
      </c>
      <c r="WL48" s="443"/>
      <c r="WM48" s="443"/>
    </row>
    <row r="49" spans="1:611" x14ac:dyDescent="0.25">
      <c r="A49" s="2">
        <v>9556</v>
      </c>
      <c r="B49" s="2" t="s">
        <v>1781</v>
      </c>
      <c r="C49" s="2" t="s">
        <v>8</v>
      </c>
      <c r="D49" s="3">
        <v>45100</v>
      </c>
      <c r="E49" s="2" t="s">
        <v>9</v>
      </c>
      <c r="F49" s="2">
        <v>3</v>
      </c>
      <c r="G49" s="2" t="s">
        <v>9</v>
      </c>
      <c r="H49" s="2">
        <v>3</v>
      </c>
      <c r="I49" s="2" t="s">
        <v>9</v>
      </c>
      <c r="J49" s="2">
        <v>3</v>
      </c>
      <c r="K49" s="2" t="s">
        <v>9</v>
      </c>
      <c r="L49" s="2">
        <v>3</v>
      </c>
      <c r="M49" s="2" t="s">
        <v>10</v>
      </c>
      <c r="N49" s="2">
        <v>0</v>
      </c>
      <c r="O49" s="2" t="s">
        <v>10</v>
      </c>
      <c r="P49" s="2">
        <v>0</v>
      </c>
      <c r="Q49" s="2" t="s">
        <v>11</v>
      </c>
      <c r="R49" s="2">
        <v>0</v>
      </c>
      <c r="S49" s="2" t="s">
        <v>9</v>
      </c>
      <c r="T49" s="2">
        <v>2</v>
      </c>
      <c r="U49" s="2" t="s">
        <v>9</v>
      </c>
      <c r="V49" s="2">
        <v>2</v>
      </c>
      <c r="W49" s="2" t="s">
        <v>9</v>
      </c>
      <c r="X49" s="2">
        <v>2</v>
      </c>
      <c r="Y49" s="2" t="s">
        <v>12</v>
      </c>
      <c r="Z49" s="2" t="s">
        <v>15</v>
      </c>
      <c r="AA49" s="2" t="s">
        <v>15</v>
      </c>
      <c r="AB49" s="2" t="s">
        <v>15</v>
      </c>
      <c r="AC49" s="2" t="s">
        <v>15</v>
      </c>
      <c r="AD49" s="2" t="s">
        <v>15</v>
      </c>
      <c r="AE49" s="2" t="s">
        <v>15</v>
      </c>
      <c r="AF49" s="2">
        <v>0</v>
      </c>
      <c r="AG49" s="2" t="s">
        <v>234</v>
      </c>
      <c r="AH49" s="2" t="s">
        <v>17</v>
      </c>
      <c r="AI49" s="4">
        <v>0.1</v>
      </c>
      <c r="AJ49" s="2" t="s">
        <v>17</v>
      </c>
      <c r="AK49" s="2" t="s">
        <v>9</v>
      </c>
      <c r="AL49" s="2" t="s">
        <v>17</v>
      </c>
      <c r="AM49" s="2" t="s">
        <v>17</v>
      </c>
      <c r="AN49" s="2" t="s">
        <v>17</v>
      </c>
      <c r="AO49" s="2" t="s">
        <v>17</v>
      </c>
      <c r="AP49" s="2" t="s">
        <v>9</v>
      </c>
      <c r="AQ49" s="2" t="s">
        <v>17</v>
      </c>
      <c r="AR49" s="2" t="s">
        <v>17</v>
      </c>
      <c r="AS49" s="2" t="s">
        <v>17</v>
      </c>
      <c r="AT49" s="2">
        <v>0</v>
      </c>
      <c r="AU49" s="5">
        <v>20000</v>
      </c>
      <c r="AV49" s="5">
        <v>340000</v>
      </c>
      <c r="AW49" s="2">
        <v>0</v>
      </c>
      <c r="AX49" s="2">
        <v>7</v>
      </c>
      <c r="AY49" s="2">
        <v>0</v>
      </c>
      <c r="AZ49" s="2">
        <v>18</v>
      </c>
      <c r="BA49" s="2">
        <v>0</v>
      </c>
      <c r="BB49" s="2">
        <v>1</v>
      </c>
      <c r="BC49" s="2">
        <v>1</v>
      </c>
      <c r="BD49" s="2">
        <v>0</v>
      </c>
      <c r="BE49" s="2">
        <v>0</v>
      </c>
      <c r="BF49" s="2">
        <v>1</v>
      </c>
      <c r="BG49" s="2">
        <v>0</v>
      </c>
      <c r="BH49" s="2">
        <v>0</v>
      </c>
      <c r="BI49" s="2">
        <v>13</v>
      </c>
      <c r="BJ49" s="2">
        <v>1</v>
      </c>
      <c r="BK49" s="2">
        <v>0</v>
      </c>
      <c r="BL49" s="2">
        <v>3</v>
      </c>
      <c r="BM49" s="2">
        <v>0</v>
      </c>
      <c r="BN49" s="2">
        <v>12</v>
      </c>
      <c r="BO49" s="2">
        <v>11</v>
      </c>
      <c r="BP49" s="2">
        <v>0</v>
      </c>
      <c r="BQ49" s="2">
        <v>10</v>
      </c>
      <c r="BR49" s="2">
        <v>12.52</v>
      </c>
      <c r="BS49" s="2">
        <v>0</v>
      </c>
      <c r="BT49" s="4">
        <v>0.06</v>
      </c>
      <c r="BU49" s="2" t="s">
        <v>9</v>
      </c>
      <c r="BV49" s="6">
        <v>216289.76</v>
      </c>
      <c r="BW49" s="2" t="s">
        <v>18</v>
      </c>
      <c r="BX49" s="2" t="s">
        <v>17</v>
      </c>
      <c r="BY49" s="2" t="s">
        <v>17</v>
      </c>
      <c r="BZ49" s="2" t="s">
        <v>17</v>
      </c>
      <c r="CA49" s="2" t="s">
        <v>17</v>
      </c>
      <c r="CB49" s="2" t="s">
        <v>17</v>
      </c>
      <c r="CC49" s="2" t="s">
        <v>17</v>
      </c>
      <c r="CD49" s="2" t="s">
        <v>17</v>
      </c>
      <c r="CE49" s="2" t="s">
        <v>1782</v>
      </c>
      <c r="CF49" s="2" t="s">
        <v>17</v>
      </c>
      <c r="CG49" s="2" t="s">
        <v>1734</v>
      </c>
      <c r="CH49" s="2"/>
      <c r="CI49" s="2"/>
      <c r="CJ49" s="2" t="s">
        <v>9</v>
      </c>
      <c r="CK49" s="2" t="s">
        <v>1735</v>
      </c>
      <c r="CL49" s="2" t="s">
        <v>1734</v>
      </c>
      <c r="CM49" s="2" t="s">
        <v>1736</v>
      </c>
      <c r="CN49" s="2" t="s">
        <v>1737</v>
      </c>
      <c r="CO49" s="2" t="s">
        <v>24</v>
      </c>
      <c r="CP49" s="2"/>
      <c r="CQ49" s="2">
        <v>48</v>
      </c>
      <c r="CR49" s="2" t="s">
        <v>289</v>
      </c>
      <c r="CS49" s="2">
        <v>2021</v>
      </c>
      <c r="CT49" s="2" t="s">
        <v>26</v>
      </c>
      <c r="CU49" s="2" t="s">
        <v>27</v>
      </c>
      <c r="CV49" s="2" t="s">
        <v>1738</v>
      </c>
      <c r="CW49" s="2" t="s">
        <v>1739</v>
      </c>
      <c r="CX49" s="2" t="s">
        <v>24</v>
      </c>
      <c r="CY49" s="2"/>
      <c r="CZ49" s="2">
        <v>72</v>
      </c>
      <c r="DA49" s="2" t="s">
        <v>289</v>
      </c>
      <c r="DB49" s="2">
        <v>2020</v>
      </c>
      <c r="DC49" s="2" t="s">
        <v>30</v>
      </c>
      <c r="DD49" s="2" t="s">
        <v>27</v>
      </c>
      <c r="DE49" s="2" t="s">
        <v>1740</v>
      </c>
      <c r="DF49" s="2" t="s">
        <v>1741</v>
      </c>
      <c r="DG49" s="2" t="s">
        <v>24</v>
      </c>
      <c r="DH49" s="2"/>
      <c r="DI49" s="2">
        <v>68</v>
      </c>
      <c r="DJ49" s="2" t="s">
        <v>289</v>
      </c>
      <c r="DK49" s="2">
        <v>2021</v>
      </c>
      <c r="DL49" s="2" t="s">
        <v>30</v>
      </c>
      <c r="DM49" s="2" t="s">
        <v>27</v>
      </c>
      <c r="DN49" s="2" t="s">
        <v>33</v>
      </c>
      <c r="DO49" s="2" t="s">
        <v>1742</v>
      </c>
      <c r="DP49" s="2" t="s">
        <v>748</v>
      </c>
      <c r="DQ49" s="2" t="s">
        <v>1743</v>
      </c>
      <c r="DR49" s="2" t="s">
        <v>1744</v>
      </c>
      <c r="DS49" s="2">
        <v>1</v>
      </c>
      <c r="DT49" s="2" t="s">
        <v>1745</v>
      </c>
      <c r="DU49" s="2" t="s">
        <v>1746</v>
      </c>
      <c r="DV49" s="2" t="s">
        <v>1747</v>
      </c>
      <c r="DW49" s="2">
        <v>35242</v>
      </c>
      <c r="DX49" s="2" t="s">
        <v>1748</v>
      </c>
      <c r="DY49" s="2">
        <v>205</v>
      </c>
      <c r="DZ49" s="2" t="s">
        <v>1749</v>
      </c>
      <c r="EA49" s="2" t="s">
        <v>1744</v>
      </c>
      <c r="EB49" s="2" t="s">
        <v>1750</v>
      </c>
      <c r="EC49" s="2" t="s">
        <v>1751</v>
      </c>
      <c r="ED49" s="2" t="s">
        <v>44</v>
      </c>
      <c r="EE49" s="2">
        <v>240</v>
      </c>
      <c r="EF49" s="2" t="s">
        <v>303</v>
      </c>
      <c r="EG49" s="2">
        <v>7</v>
      </c>
      <c r="EH49" s="2" t="s">
        <v>46</v>
      </c>
      <c r="EI49" s="2" t="s">
        <v>47</v>
      </c>
      <c r="EJ49" s="2" t="s">
        <v>1752</v>
      </c>
      <c r="EK49" s="2" t="s">
        <v>1753</v>
      </c>
      <c r="EL49" s="2" t="s">
        <v>44</v>
      </c>
      <c r="EM49" s="2">
        <v>56</v>
      </c>
      <c r="EN49" s="2" t="s">
        <v>303</v>
      </c>
      <c r="EO49" s="2">
        <v>11</v>
      </c>
      <c r="EP49" s="2" t="s">
        <v>46</v>
      </c>
      <c r="EQ49" s="2" t="s">
        <v>47</v>
      </c>
      <c r="ER49" s="2" t="s">
        <v>1754</v>
      </c>
      <c r="ES49" s="2" t="s">
        <v>514</v>
      </c>
      <c r="ET49" s="2" t="s">
        <v>1755</v>
      </c>
      <c r="EU49" s="2" t="s">
        <v>1782</v>
      </c>
      <c r="EV49" s="2" t="s">
        <v>1756</v>
      </c>
      <c r="EW49" s="2" t="s">
        <v>510</v>
      </c>
      <c r="EX49" s="2" t="s">
        <v>39</v>
      </c>
      <c r="EY49" s="2">
        <v>32804</v>
      </c>
      <c r="EZ49" s="2" t="s">
        <v>1757</v>
      </c>
      <c r="FA49" s="2"/>
      <c r="FB49" s="2" t="s">
        <v>1758</v>
      </c>
      <c r="FC49" s="2" t="s">
        <v>812</v>
      </c>
      <c r="FD49" s="2" t="s">
        <v>1759</v>
      </c>
      <c r="FE49" s="2" t="s">
        <v>1760</v>
      </c>
      <c r="FF49" s="2" t="s">
        <v>1782</v>
      </c>
      <c r="FG49" s="2" t="s">
        <v>1756</v>
      </c>
      <c r="FH49" s="2" t="s">
        <v>510</v>
      </c>
      <c r="FI49" s="2" t="s">
        <v>39</v>
      </c>
      <c r="FJ49" s="2">
        <v>32804</v>
      </c>
      <c r="FK49" s="2" t="s">
        <v>1761</v>
      </c>
      <c r="FL49" s="2"/>
      <c r="FM49" s="2" t="s">
        <v>1762</v>
      </c>
      <c r="FN49" s="2" t="s">
        <v>1783</v>
      </c>
      <c r="FO49" s="2" t="s">
        <v>63</v>
      </c>
      <c r="FP49" s="2" t="s">
        <v>64</v>
      </c>
      <c r="FQ49" s="2" t="s">
        <v>9</v>
      </c>
      <c r="FR49" s="2" t="s">
        <v>17</v>
      </c>
      <c r="FS49" s="2" t="s">
        <v>17</v>
      </c>
      <c r="FT49" s="2" t="s">
        <v>9</v>
      </c>
      <c r="FU49" s="2">
        <v>0</v>
      </c>
      <c r="FV49" s="2">
        <v>0</v>
      </c>
      <c r="FW49" s="4">
        <v>0</v>
      </c>
      <c r="FX49" s="4">
        <v>0</v>
      </c>
      <c r="FY49" s="2" t="s">
        <v>65</v>
      </c>
      <c r="FZ49" s="2" t="s">
        <v>66</v>
      </c>
      <c r="GA49" s="2" t="s">
        <v>67</v>
      </c>
      <c r="GB49" s="2"/>
      <c r="GC49" s="2"/>
      <c r="GD49" s="2"/>
      <c r="GE49" s="2" t="s">
        <v>68</v>
      </c>
      <c r="GF49" s="2"/>
      <c r="GG49" s="2"/>
      <c r="GH49" s="2">
        <v>82</v>
      </c>
      <c r="GI49" s="2"/>
      <c r="GJ49" s="2"/>
      <c r="GK49" s="2"/>
      <c r="GL49" s="2"/>
      <c r="GM49" s="2"/>
      <c r="GN49" s="2"/>
      <c r="GO49" s="2"/>
      <c r="GP49" s="2"/>
      <c r="GQ49" s="2">
        <v>82</v>
      </c>
      <c r="GR49" s="2" t="s">
        <v>1784</v>
      </c>
      <c r="GS49" s="2" t="s">
        <v>70</v>
      </c>
      <c r="GT49" s="2" t="s">
        <v>1785</v>
      </c>
      <c r="GU49" s="2" t="s">
        <v>1786</v>
      </c>
      <c r="GV49" s="2" t="s">
        <v>17</v>
      </c>
      <c r="GW49" s="2">
        <v>30.201072</v>
      </c>
      <c r="GX49" s="2">
        <v>-85.680198000000004</v>
      </c>
      <c r="GY49" s="2"/>
      <c r="GZ49" s="2" t="s">
        <v>17</v>
      </c>
      <c r="HA49" s="2" t="s">
        <v>17</v>
      </c>
      <c r="HB49" s="2">
        <v>0</v>
      </c>
      <c r="HC49" s="2" t="s">
        <v>17</v>
      </c>
      <c r="HD49" s="2"/>
      <c r="HE49" s="2">
        <v>0</v>
      </c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 t="s">
        <v>73</v>
      </c>
      <c r="HY49" s="2" t="s">
        <v>17</v>
      </c>
      <c r="HZ49" s="2"/>
      <c r="IA49" s="2" t="s">
        <v>549</v>
      </c>
      <c r="IB49" s="2" t="s">
        <v>1787</v>
      </c>
      <c r="IC49" s="2">
        <v>0.92</v>
      </c>
      <c r="ID49" s="2">
        <v>2.5</v>
      </c>
      <c r="IE49" s="2"/>
      <c r="IF49" s="2"/>
      <c r="IG49" s="2"/>
      <c r="IH49" s="2" t="s">
        <v>549</v>
      </c>
      <c r="II49" s="2">
        <v>0.92</v>
      </c>
      <c r="IJ49" s="2">
        <v>2.5</v>
      </c>
      <c r="IK49" s="2" t="s">
        <v>1788</v>
      </c>
      <c r="IL49" s="2" t="s">
        <v>1789</v>
      </c>
      <c r="IM49" s="2">
        <v>0.46</v>
      </c>
      <c r="IN49" s="2">
        <v>4</v>
      </c>
      <c r="IO49" s="2" t="s">
        <v>17</v>
      </c>
      <c r="IP49" s="2">
        <v>0</v>
      </c>
      <c r="IQ49" s="2">
        <v>9</v>
      </c>
      <c r="IR49" s="2">
        <v>0</v>
      </c>
      <c r="IS49" s="2">
        <v>9</v>
      </c>
      <c r="IT49" s="2" t="s">
        <v>17</v>
      </c>
      <c r="IU49" s="2" t="s">
        <v>17</v>
      </c>
      <c r="IV49" s="2" t="s">
        <v>17</v>
      </c>
      <c r="IW49" s="2" t="s">
        <v>9</v>
      </c>
      <c r="IX49" s="2" t="s">
        <v>9</v>
      </c>
      <c r="IY49" s="2">
        <v>9</v>
      </c>
      <c r="IZ49" s="2">
        <v>82</v>
      </c>
      <c r="JA49" s="2" t="s">
        <v>81</v>
      </c>
      <c r="JB49" s="2" t="s">
        <v>173</v>
      </c>
      <c r="JC49" s="2"/>
      <c r="JD49" s="2"/>
      <c r="JE49" s="7">
        <v>0.1</v>
      </c>
      <c r="JF49" s="2"/>
      <c r="JG49" s="7">
        <v>0.9</v>
      </c>
      <c r="JH49" s="7">
        <v>0</v>
      </c>
      <c r="JI49" s="2">
        <v>82</v>
      </c>
      <c r="JJ49" s="7">
        <v>1</v>
      </c>
      <c r="JK49" s="2">
        <v>82</v>
      </c>
      <c r="JL49" s="7">
        <v>1</v>
      </c>
      <c r="JM49" s="2"/>
      <c r="JN49" s="2"/>
      <c r="JO49" s="2"/>
      <c r="JP49" s="2"/>
      <c r="JQ49" s="2"/>
      <c r="JR49" s="2"/>
      <c r="JS49" s="2">
        <v>0</v>
      </c>
      <c r="JT49" s="2">
        <v>0</v>
      </c>
      <c r="JU49" s="2"/>
      <c r="JV49" s="2">
        <v>0</v>
      </c>
      <c r="JW49" s="4">
        <v>0</v>
      </c>
      <c r="JX49" s="2">
        <v>0</v>
      </c>
      <c r="JY49" s="4">
        <v>0</v>
      </c>
      <c r="JZ49" s="2">
        <v>0</v>
      </c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>
        <v>41</v>
      </c>
      <c r="KL49" s="2">
        <v>41</v>
      </c>
      <c r="KM49" s="2"/>
      <c r="KN49" s="2"/>
      <c r="KO49" s="2"/>
      <c r="KP49" s="2"/>
      <c r="KQ49" s="2" t="s">
        <v>83</v>
      </c>
      <c r="KR49" s="2" t="s">
        <v>73</v>
      </c>
      <c r="KS49" s="2"/>
      <c r="KT49" s="2">
        <v>3</v>
      </c>
      <c r="KU49" s="2" t="s">
        <v>84</v>
      </c>
      <c r="KV49" s="2" t="s">
        <v>85</v>
      </c>
      <c r="KW49" s="2" t="s">
        <v>530</v>
      </c>
      <c r="KX49" s="2" t="s">
        <v>17</v>
      </c>
      <c r="KY49" s="2" t="s">
        <v>17</v>
      </c>
      <c r="KZ49" s="2" t="s">
        <v>17</v>
      </c>
      <c r="LA49" s="2" t="s">
        <v>17</v>
      </c>
      <c r="LB49" s="2" t="s">
        <v>17</v>
      </c>
      <c r="LC49" s="2" t="s">
        <v>17</v>
      </c>
      <c r="LD49" s="2" t="s">
        <v>17</v>
      </c>
      <c r="LE49" s="2" t="s">
        <v>17</v>
      </c>
      <c r="LF49" s="2" t="s">
        <v>17</v>
      </c>
      <c r="LG49" s="2" t="s">
        <v>17</v>
      </c>
      <c r="LH49" s="2" t="s">
        <v>17</v>
      </c>
      <c r="LI49" s="2" t="s">
        <v>17</v>
      </c>
      <c r="LJ49" s="2" t="s">
        <v>87</v>
      </c>
      <c r="LK49" s="2" t="s">
        <v>17</v>
      </c>
      <c r="LL49" s="2" t="s">
        <v>17</v>
      </c>
      <c r="LM49" s="2">
        <v>0</v>
      </c>
      <c r="LN49" s="2" t="s">
        <v>17</v>
      </c>
      <c r="LO49" s="2" t="s">
        <v>9</v>
      </c>
      <c r="LP49" s="2" t="s">
        <v>9</v>
      </c>
      <c r="LQ49" s="2" t="s">
        <v>17</v>
      </c>
      <c r="LR49" s="2" t="s">
        <v>9</v>
      </c>
      <c r="LS49" s="2" t="s">
        <v>17</v>
      </c>
      <c r="LT49" s="2" t="s">
        <v>17</v>
      </c>
      <c r="LU49" s="2" t="s">
        <v>17</v>
      </c>
      <c r="LV49" s="2" t="s">
        <v>17</v>
      </c>
      <c r="LW49" s="2" t="s">
        <v>17</v>
      </c>
      <c r="LX49" s="2" t="s">
        <v>17</v>
      </c>
      <c r="LY49" s="5">
        <v>6500000</v>
      </c>
      <c r="LZ49" s="5">
        <v>0</v>
      </c>
      <c r="MA49" s="5">
        <v>7200000</v>
      </c>
      <c r="MB49" s="5">
        <v>0</v>
      </c>
      <c r="MC49" s="5">
        <v>0</v>
      </c>
      <c r="MD49" s="5">
        <v>0</v>
      </c>
      <c r="ME49" s="5">
        <v>8610000</v>
      </c>
      <c r="MF49" s="5">
        <v>0</v>
      </c>
      <c r="MG49" s="5">
        <v>0</v>
      </c>
      <c r="MH49" s="5">
        <v>0</v>
      </c>
      <c r="MI49" s="5">
        <v>0</v>
      </c>
      <c r="MJ49" s="5">
        <v>0</v>
      </c>
      <c r="MK49" s="5">
        <v>0</v>
      </c>
      <c r="ML49" s="2">
        <v>0</v>
      </c>
      <c r="MM49" s="5">
        <v>0</v>
      </c>
      <c r="MN49" s="5">
        <v>0</v>
      </c>
      <c r="MO49" s="2">
        <v>0</v>
      </c>
      <c r="MP49" s="2">
        <v>0</v>
      </c>
      <c r="MQ49" s="2">
        <v>0</v>
      </c>
      <c r="MR49" s="5">
        <v>2950000</v>
      </c>
      <c r="MS49" s="5">
        <v>0</v>
      </c>
      <c r="MT49" s="5">
        <v>4600000</v>
      </c>
      <c r="MU49" s="5">
        <v>0</v>
      </c>
      <c r="MV49" s="5">
        <v>0</v>
      </c>
      <c r="MW49" s="5">
        <v>0</v>
      </c>
      <c r="MX49" s="5">
        <v>0</v>
      </c>
      <c r="MY49" s="5">
        <v>2500000</v>
      </c>
      <c r="MZ49" s="5">
        <v>0</v>
      </c>
      <c r="NA49" s="5">
        <v>5000000</v>
      </c>
      <c r="NB49" s="5">
        <v>0</v>
      </c>
      <c r="NC49" s="5">
        <v>0</v>
      </c>
      <c r="ND49" s="5">
        <v>0</v>
      </c>
      <c r="NE49" s="5">
        <v>0</v>
      </c>
      <c r="NF49" s="5">
        <v>0</v>
      </c>
      <c r="NG49" s="5">
        <v>2142000</v>
      </c>
      <c r="NH49" s="5">
        <v>2142000</v>
      </c>
      <c r="NI49" s="5">
        <v>2142000</v>
      </c>
      <c r="NJ49" s="5">
        <v>0</v>
      </c>
      <c r="NK49" s="5"/>
      <c r="NL49" s="2" t="s">
        <v>17</v>
      </c>
      <c r="NM49" s="2" t="s">
        <v>17</v>
      </c>
      <c r="NN49" s="2"/>
      <c r="NO49" s="2" t="s">
        <v>17</v>
      </c>
      <c r="NP49" s="2"/>
      <c r="NQ49" s="2"/>
      <c r="NR49" s="2" t="s">
        <v>17</v>
      </c>
      <c r="NS49" s="2"/>
      <c r="NT49" s="2" t="s">
        <v>17</v>
      </c>
      <c r="NU49" s="2"/>
      <c r="NV49" s="2"/>
      <c r="NW49" s="2"/>
      <c r="NX49" s="2" t="s">
        <v>9</v>
      </c>
      <c r="NY49" s="2" t="s">
        <v>88</v>
      </c>
      <c r="NZ49" s="2">
        <v>15.02</v>
      </c>
      <c r="OA49" s="2" t="s">
        <v>1790</v>
      </c>
      <c r="OB49" s="2" t="s">
        <v>1791</v>
      </c>
      <c r="OC49" s="2" t="s">
        <v>1791</v>
      </c>
      <c r="OD49" s="2" t="s">
        <v>17</v>
      </c>
      <c r="OE49" s="2" t="s">
        <v>91</v>
      </c>
      <c r="OF49" s="2" t="s">
        <v>17</v>
      </c>
      <c r="OG49" s="2" t="s">
        <v>9</v>
      </c>
      <c r="OH49" s="2" t="s">
        <v>92</v>
      </c>
      <c r="OI49" s="2"/>
      <c r="OJ49" s="2"/>
      <c r="OK49" s="2" t="s">
        <v>17</v>
      </c>
      <c r="OL49" s="2" t="s">
        <v>17</v>
      </c>
      <c r="OM49" s="2" t="s">
        <v>85</v>
      </c>
      <c r="ON49" s="6">
        <v>0</v>
      </c>
      <c r="OO49" s="6">
        <v>0</v>
      </c>
      <c r="OP49" s="2" t="s">
        <v>93</v>
      </c>
      <c r="OQ49" s="2" t="s">
        <v>93</v>
      </c>
      <c r="OR49" s="6">
        <v>0</v>
      </c>
      <c r="OS49" s="4">
        <v>0</v>
      </c>
      <c r="OT49" s="2" t="s">
        <v>17</v>
      </c>
      <c r="OU49" s="2" t="s">
        <v>17</v>
      </c>
      <c r="OV49" s="2"/>
      <c r="OW49" s="2"/>
      <c r="OX49" s="5">
        <v>17735760</v>
      </c>
      <c r="OY49" s="6">
        <v>216289.76</v>
      </c>
      <c r="OZ49" s="2"/>
      <c r="PA49" s="2"/>
      <c r="PB49" s="8">
        <v>11152000</v>
      </c>
      <c r="PC49" s="2"/>
      <c r="PD49" s="8">
        <v>11152000</v>
      </c>
      <c r="PE49" s="8">
        <v>1771200</v>
      </c>
      <c r="PF49" s="8">
        <v>196800</v>
      </c>
      <c r="PG49" s="8">
        <v>1968000</v>
      </c>
      <c r="PH49" s="2"/>
      <c r="PI49" s="2"/>
      <c r="PJ49" s="2"/>
      <c r="PK49" s="8">
        <v>12923200</v>
      </c>
      <c r="PL49" s="8">
        <v>196800</v>
      </c>
      <c r="PM49" s="8">
        <v>13120000</v>
      </c>
      <c r="PN49" s="8">
        <v>1836800</v>
      </c>
      <c r="PO49" s="2"/>
      <c r="PP49" s="8">
        <v>1836800</v>
      </c>
      <c r="PQ49" s="6">
        <v>1836800</v>
      </c>
      <c r="PR49" s="8">
        <v>14760000</v>
      </c>
      <c r="PS49" s="8">
        <v>196800</v>
      </c>
      <c r="PT49" s="8">
        <v>14956800</v>
      </c>
      <c r="PU49" s="8">
        <v>747840</v>
      </c>
      <c r="PV49" s="2"/>
      <c r="PW49" s="8">
        <v>747840</v>
      </c>
      <c r="PX49" s="6">
        <v>747840</v>
      </c>
      <c r="PY49" s="8">
        <v>692400</v>
      </c>
      <c r="PZ49" s="8">
        <v>223000</v>
      </c>
      <c r="QA49" s="8">
        <v>915400</v>
      </c>
      <c r="QB49" s="8">
        <v>450000</v>
      </c>
      <c r="QC49" s="2"/>
      <c r="QD49" s="8">
        <v>450000</v>
      </c>
      <c r="QE49" s="8">
        <v>505732</v>
      </c>
      <c r="QF49" s="8">
        <v>26250</v>
      </c>
      <c r="QG49" s="8">
        <v>531982</v>
      </c>
      <c r="QH49" s="2"/>
      <c r="QI49" s="8">
        <v>433618</v>
      </c>
      <c r="QJ49" s="8">
        <v>433618</v>
      </c>
      <c r="QK49" s="2"/>
      <c r="QL49" s="2"/>
      <c r="QM49" s="2"/>
      <c r="QN49" s="8">
        <v>150000</v>
      </c>
      <c r="QO49" s="8">
        <v>5000</v>
      </c>
      <c r="QP49" s="8">
        <v>155000</v>
      </c>
      <c r="QQ49" s="8">
        <v>1798132</v>
      </c>
      <c r="QR49" s="8">
        <v>687868</v>
      </c>
      <c r="QS49" s="8">
        <v>2486000</v>
      </c>
      <c r="QT49" s="8">
        <v>124300</v>
      </c>
      <c r="QU49" s="2"/>
      <c r="QV49" s="8">
        <v>124300</v>
      </c>
      <c r="QW49" s="6">
        <v>124300</v>
      </c>
      <c r="QX49" s="8">
        <v>1165118</v>
      </c>
      <c r="QY49" s="8">
        <v>462908</v>
      </c>
      <c r="QZ49" s="8">
        <v>1628026</v>
      </c>
      <c r="RA49" s="8">
        <v>43734</v>
      </c>
      <c r="RB49" s="8">
        <v>43734</v>
      </c>
      <c r="RC49" s="2"/>
      <c r="RD49" s="2"/>
      <c r="RE49" s="2"/>
      <c r="RF49" s="8">
        <v>1165118</v>
      </c>
      <c r="RG49" s="8">
        <v>506642</v>
      </c>
      <c r="RH49" s="8">
        <v>1671760</v>
      </c>
      <c r="RI49" s="2"/>
      <c r="RJ49" s="2"/>
      <c r="RK49" s="2"/>
      <c r="RL49" s="2"/>
      <c r="RM49" s="8">
        <v>18595390</v>
      </c>
      <c r="RN49" s="8">
        <v>1391310</v>
      </c>
      <c r="RO49" s="8">
        <v>19986700</v>
      </c>
      <c r="RP49" s="2"/>
      <c r="RQ49" s="2"/>
      <c r="RR49" s="2">
        <v>0</v>
      </c>
      <c r="RS49" s="6">
        <v>0</v>
      </c>
      <c r="RT49" s="8">
        <v>3197872</v>
      </c>
      <c r="RU49" s="2"/>
      <c r="RV49" s="8">
        <v>3197872</v>
      </c>
      <c r="RW49" s="6">
        <v>3197872</v>
      </c>
      <c r="RX49" s="6">
        <v>0</v>
      </c>
      <c r="RY49" s="8">
        <v>3197872</v>
      </c>
      <c r="RZ49" s="2"/>
      <c r="SA49" s="8">
        <v>3197872</v>
      </c>
      <c r="SB49" s="6">
        <v>3197872</v>
      </c>
      <c r="SC49" s="8">
        <v>287000</v>
      </c>
      <c r="SD49" s="8">
        <v>287000</v>
      </c>
      <c r="SE49" s="6">
        <v>287000</v>
      </c>
      <c r="SF49" s="8">
        <v>1800000</v>
      </c>
      <c r="SG49" s="8">
        <v>1800000</v>
      </c>
      <c r="SH49" s="8">
        <v>21793262</v>
      </c>
      <c r="SI49" s="8">
        <v>3478310</v>
      </c>
      <c r="SJ49" s="8">
        <v>25271572</v>
      </c>
      <c r="SK49" s="2" t="s">
        <v>410</v>
      </c>
      <c r="SL49" s="2"/>
      <c r="SM49" s="2" t="s">
        <v>1768</v>
      </c>
      <c r="SN49" s="2"/>
      <c r="SO49" s="2"/>
      <c r="SP49" s="8">
        <v>19300000</v>
      </c>
      <c r="SQ49" s="2" t="s">
        <v>95</v>
      </c>
      <c r="SR49" s="2"/>
      <c r="SS49" s="2"/>
      <c r="ST49" s="2"/>
      <c r="SU49" s="2"/>
      <c r="SV49" s="2"/>
      <c r="SW49" s="2"/>
      <c r="SX49" s="2" t="s">
        <v>96</v>
      </c>
      <c r="SY49" s="2" t="s">
        <v>96</v>
      </c>
      <c r="SZ49" s="2" t="s">
        <v>96</v>
      </c>
      <c r="TA49" s="2" t="s">
        <v>96</v>
      </c>
      <c r="TB49" s="8">
        <v>2859284</v>
      </c>
      <c r="TC49" s="2"/>
      <c r="TD49" s="2"/>
      <c r="TE49" s="2"/>
      <c r="TF49" s="2"/>
      <c r="TG49" s="2"/>
      <c r="TH49" s="2"/>
      <c r="TI49" s="8">
        <v>3112288</v>
      </c>
      <c r="TJ49" s="8">
        <v>25271572</v>
      </c>
      <c r="TK49" s="2">
        <v>0</v>
      </c>
      <c r="TL49" s="2" t="s">
        <v>9</v>
      </c>
      <c r="TM49" s="8">
        <v>4375000</v>
      </c>
      <c r="TN49" s="2" t="s">
        <v>95</v>
      </c>
      <c r="TO49" s="2"/>
      <c r="TP49" s="2"/>
      <c r="TQ49" s="2"/>
      <c r="TR49" s="2"/>
      <c r="TS49" s="2"/>
      <c r="TT49" s="2"/>
      <c r="TU49" s="2" t="s">
        <v>96</v>
      </c>
      <c r="TV49" s="8">
        <v>19061893</v>
      </c>
      <c r="TW49" s="2"/>
      <c r="TX49" s="2"/>
      <c r="TY49" s="2"/>
      <c r="TZ49" s="2"/>
      <c r="UA49" s="2"/>
      <c r="UB49" s="2"/>
      <c r="UC49" s="8">
        <v>1834679</v>
      </c>
      <c r="UD49" s="8">
        <v>25271572</v>
      </c>
      <c r="UE49" s="6">
        <v>4375000</v>
      </c>
      <c r="UF49" s="2">
        <v>0</v>
      </c>
      <c r="UG49" s="2" t="s">
        <v>9</v>
      </c>
      <c r="UH49" s="2">
        <v>82</v>
      </c>
      <c r="UI49" s="5">
        <v>220000</v>
      </c>
      <c r="UJ49" s="6">
        <v>293333.33</v>
      </c>
      <c r="UK49" s="6">
        <v>293333.33</v>
      </c>
      <c r="UL49" s="6">
        <v>310933.33</v>
      </c>
      <c r="UM49" s="6">
        <v>25496533.329999998</v>
      </c>
      <c r="UN49" s="6">
        <v>4079445</v>
      </c>
      <c r="UO49" s="6">
        <v>4079445</v>
      </c>
      <c r="UP49" s="6">
        <v>29575978.329999998</v>
      </c>
      <c r="UQ49" s="6">
        <v>23184572</v>
      </c>
      <c r="UR49" s="2"/>
      <c r="US49" s="2"/>
      <c r="UT49" s="6">
        <v>0</v>
      </c>
      <c r="UU49" s="2"/>
      <c r="UV49" s="6">
        <v>0</v>
      </c>
      <c r="UW49" s="6">
        <v>0</v>
      </c>
      <c r="UX49" s="6">
        <v>0</v>
      </c>
      <c r="UY49" s="6">
        <v>0</v>
      </c>
      <c r="UZ49" s="2"/>
      <c r="VA49" s="2"/>
      <c r="VB49" s="2"/>
      <c r="VC49" s="2"/>
      <c r="VD49" s="2" t="s">
        <v>17</v>
      </c>
      <c r="VE49" s="2" t="s">
        <v>17</v>
      </c>
      <c r="VF49" s="2"/>
      <c r="VG49" s="2" t="s">
        <v>17</v>
      </c>
      <c r="VH49" s="2"/>
      <c r="VI49" s="388" t="s">
        <v>1769</v>
      </c>
      <c r="VJ49" s="2" t="s">
        <v>98</v>
      </c>
      <c r="VK49" s="2" t="s">
        <v>1224</v>
      </c>
      <c r="VL49" s="23">
        <f t="shared" si="21"/>
        <v>205</v>
      </c>
      <c r="VM49" s="17">
        <f t="shared" si="22"/>
        <v>2.5</v>
      </c>
      <c r="VN49" s="17" t="str">
        <f t="shared" si="12"/>
        <v>NC-GA-F</v>
      </c>
      <c r="VO49" s="17" t="str">
        <f t="shared" si="13"/>
        <v>NC-GA-F-Non</v>
      </c>
      <c r="VP49" s="12">
        <v>9</v>
      </c>
      <c r="VQ49" s="57">
        <v>1</v>
      </c>
      <c r="VR49" s="57">
        <f t="shared" si="23"/>
        <v>1</v>
      </c>
      <c r="VS49" s="14">
        <f t="shared" si="24"/>
        <v>1</v>
      </c>
      <c r="VT49" s="12">
        <f t="shared" si="25"/>
        <v>1</v>
      </c>
      <c r="VU49" s="16">
        <f t="shared" si="26"/>
        <v>19278000</v>
      </c>
      <c r="VV49" s="16">
        <f t="shared" si="27"/>
        <v>235097.56097560975</v>
      </c>
      <c r="VW49" s="12" t="str">
        <f t="shared" si="14"/>
        <v>A</v>
      </c>
      <c r="VX49" s="12" t="str">
        <f t="shared" si="15"/>
        <v>NC-GA-Non</v>
      </c>
      <c r="VY49" s="351">
        <f t="shared" si="16"/>
        <v>4</v>
      </c>
      <c r="WA49" s="12">
        <f t="shared" si="17"/>
        <v>0</v>
      </c>
      <c r="WB49" s="12">
        <f t="shared" si="18"/>
        <v>0</v>
      </c>
      <c r="WC49" s="12">
        <f t="shared" si="18"/>
        <v>0</v>
      </c>
      <c r="WD49" s="12">
        <f t="shared" si="18"/>
        <v>0</v>
      </c>
      <c r="WE49" s="12">
        <f t="shared" si="19"/>
        <v>0</v>
      </c>
      <c r="WF49" s="12">
        <f t="shared" si="28"/>
        <v>1</v>
      </c>
      <c r="WG49" s="12">
        <f t="shared" si="29"/>
        <v>0</v>
      </c>
      <c r="WH49" s="12">
        <f t="shared" si="30"/>
        <v>0</v>
      </c>
      <c r="WI49" s="22">
        <f t="shared" si="31"/>
        <v>1</v>
      </c>
      <c r="WJ49" s="2"/>
      <c r="WK49" s="443" t="str">
        <f t="shared" si="20"/>
        <v>NC-GA-Non-BBN-BRN-NPH-F</v>
      </c>
      <c r="WL49" s="443"/>
      <c r="WM49" s="443"/>
    </row>
    <row r="50" spans="1:611" x14ac:dyDescent="0.25">
      <c r="A50" s="2">
        <v>9434</v>
      </c>
      <c r="B50" s="15" t="s">
        <v>729</v>
      </c>
      <c r="C50" s="2" t="s">
        <v>8</v>
      </c>
      <c r="D50" s="3">
        <v>45153</v>
      </c>
      <c r="E50" s="2" t="s">
        <v>9</v>
      </c>
      <c r="F50" s="2">
        <v>3</v>
      </c>
      <c r="G50" s="2" t="s">
        <v>9</v>
      </c>
      <c r="H50" s="2">
        <v>3</v>
      </c>
      <c r="I50" s="2" t="s">
        <v>9</v>
      </c>
      <c r="J50" s="2">
        <v>3</v>
      </c>
      <c r="K50" s="2" t="s">
        <v>9</v>
      </c>
      <c r="L50" s="2">
        <v>3</v>
      </c>
      <c r="M50" s="2" t="s">
        <v>10</v>
      </c>
      <c r="N50" s="2">
        <v>0</v>
      </c>
      <c r="O50" s="2" t="s">
        <v>10</v>
      </c>
      <c r="P50" s="2">
        <v>0</v>
      </c>
      <c r="Q50" s="2" t="s">
        <v>11</v>
      </c>
      <c r="R50" s="2">
        <v>0</v>
      </c>
      <c r="S50" s="2" t="s">
        <v>9</v>
      </c>
      <c r="T50" s="2">
        <v>2</v>
      </c>
      <c r="U50" s="2" t="s">
        <v>9</v>
      </c>
      <c r="V50" s="2">
        <v>2</v>
      </c>
      <c r="W50" s="2" t="s">
        <v>9</v>
      </c>
      <c r="X50" s="2">
        <v>2</v>
      </c>
      <c r="Y50" s="2" t="s">
        <v>12</v>
      </c>
      <c r="Z50" s="2" t="s">
        <v>435</v>
      </c>
      <c r="AA50" s="2" t="s">
        <v>15</v>
      </c>
      <c r="AB50" s="2" t="s">
        <v>15</v>
      </c>
      <c r="AC50" s="2" t="s">
        <v>15</v>
      </c>
      <c r="AD50" s="2" t="s">
        <v>15</v>
      </c>
      <c r="AE50" s="2" t="s">
        <v>15</v>
      </c>
      <c r="AF50" s="2">
        <v>1</v>
      </c>
      <c r="AG50" s="2" t="s">
        <v>730</v>
      </c>
      <c r="AH50" s="2" t="s">
        <v>17</v>
      </c>
      <c r="AI50" s="4">
        <v>0.16048999999999999</v>
      </c>
      <c r="AJ50" s="2" t="s">
        <v>17</v>
      </c>
      <c r="AK50" s="2" t="s">
        <v>9</v>
      </c>
      <c r="AL50" s="2" t="s">
        <v>17</v>
      </c>
      <c r="AM50" s="2" t="s">
        <v>17</v>
      </c>
      <c r="AN50" s="2" t="s">
        <v>17</v>
      </c>
      <c r="AO50" s="2" t="s">
        <v>17</v>
      </c>
      <c r="AP50" s="2" t="s">
        <v>17</v>
      </c>
      <c r="AQ50" s="2" t="s">
        <v>17</v>
      </c>
      <c r="AR50" s="2" t="s">
        <v>9</v>
      </c>
      <c r="AS50" s="2" t="s">
        <v>17</v>
      </c>
      <c r="AT50" s="2">
        <v>0</v>
      </c>
      <c r="AU50" s="5">
        <v>50000</v>
      </c>
      <c r="AV50" s="5">
        <v>460000</v>
      </c>
      <c r="AW50" s="2">
        <v>0</v>
      </c>
      <c r="AX50" s="2">
        <v>19</v>
      </c>
      <c r="AY50" s="2">
        <v>0</v>
      </c>
      <c r="AZ50" s="2">
        <v>18</v>
      </c>
      <c r="BA50" s="2">
        <v>0</v>
      </c>
      <c r="BB50" s="2">
        <v>1</v>
      </c>
      <c r="BC50" s="2">
        <v>0</v>
      </c>
      <c r="BD50" s="2">
        <v>0</v>
      </c>
      <c r="BE50" s="2">
        <v>0</v>
      </c>
      <c r="BF50" s="2">
        <v>1</v>
      </c>
      <c r="BG50" s="2">
        <v>0</v>
      </c>
      <c r="BH50" s="2">
        <v>0</v>
      </c>
      <c r="BI50" s="2">
        <v>13</v>
      </c>
      <c r="BJ50" s="2">
        <v>1</v>
      </c>
      <c r="BK50" s="2">
        <v>0</v>
      </c>
      <c r="BL50" s="2">
        <v>3</v>
      </c>
      <c r="BM50" s="2">
        <v>0</v>
      </c>
      <c r="BN50" s="2">
        <v>14</v>
      </c>
      <c r="BO50" s="2">
        <v>11</v>
      </c>
      <c r="BP50" s="2">
        <v>0</v>
      </c>
      <c r="BQ50" s="2">
        <v>10</v>
      </c>
      <c r="BR50" s="2">
        <v>12.44</v>
      </c>
      <c r="BS50" s="2">
        <v>0</v>
      </c>
      <c r="BT50" s="4">
        <v>0.06</v>
      </c>
      <c r="BU50" s="2" t="s">
        <v>9</v>
      </c>
      <c r="BV50" s="6">
        <v>217260</v>
      </c>
      <c r="BW50" s="2" t="s">
        <v>18</v>
      </c>
      <c r="BX50" s="2" t="s">
        <v>17</v>
      </c>
      <c r="BY50" s="2" t="s">
        <v>17</v>
      </c>
      <c r="BZ50" s="2" t="s">
        <v>17</v>
      </c>
      <c r="CA50" s="2" t="s">
        <v>17</v>
      </c>
      <c r="CB50" s="2" t="s">
        <v>17</v>
      </c>
      <c r="CC50" s="2" t="s">
        <v>17</v>
      </c>
      <c r="CD50" s="2" t="s">
        <v>17</v>
      </c>
      <c r="CE50" s="2" t="s">
        <v>731</v>
      </c>
      <c r="CF50" s="2" t="s">
        <v>17</v>
      </c>
      <c r="CG50" s="2" t="s">
        <v>732</v>
      </c>
      <c r="CH50" s="2"/>
      <c r="CI50" s="2"/>
      <c r="CJ50" s="2" t="s">
        <v>9</v>
      </c>
      <c r="CK50" s="2" t="s">
        <v>733</v>
      </c>
      <c r="CL50" s="2" t="s">
        <v>732</v>
      </c>
      <c r="CM50" s="2" t="s">
        <v>734</v>
      </c>
      <c r="CN50" s="2" t="s">
        <v>692</v>
      </c>
      <c r="CO50" s="2" t="s">
        <v>24</v>
      </c>
      <c r="CP50" s="2"/>
      <c r="CQ50" s="2">
        <v>104</v>
      </c>
      <c r="CR50" s="2" t="s">
        <v>133</v>
      </c>
      <c r="CS50" s="2">
        <v>2014</v>
      </c>
      <c r="CT50" s="2" t="s">
        <v>26</v>
      </c>
      <c r="CU50" s="2" t="s">
        <v>27</v>
      </c>
      <c r="CV50" s="2" t="s">
        <v>735</v>
      </c>
      <c r="CW50" s="2" t="s">
        <v>692</v>
      </c>
      <c r="CX50" s="2" t="s">
        <v>24</v>
      </c>
      <c r="CY50" s="2"/>
      <c r="CZ50" s="2">
        <v>116</v>
      </c>
      <c r="DA50" s="2" t="s">
        <v>133</v>
      </c>
      <c r="DB50" s="2">
        <v>2017</v>
      </c>
      <c r="DC50" s="2" t="s">
        <v>30</v>
      </c>
      <c r="DD50" s="2" t="s">
        <v>27</v>
      </c>
      <c r="DE50" s="2" t="s">
        <v>736</v>
      </c>
      <c r="DF50" s="2" t="s">
        <v>737</v>
      </c>
      <c r="DG50" s="2" t="s">
        <v>24</v>
      </c>
      <c r="DH50" s="2"/>
      <c r="DI50" s="2">
        <v>61</v>
      </c>
      <c r="DJ50" s="2" t="s">
        <v>133</v>
      </c>
      <c r="DK50" s="2">
        <v>2014</v>
      </c>
      <c r="DL50" s="2" t="s">
        <v>30</v>
      </c>
      <c r="DM50" s="2" t="s">
        <v>27</v>
      </c>
      <c r="DN50" s="2" t="s">
        <v>33</v>
      </c>
      <c r="DO50" s="2" t="s">
        <v>738</v>
      </c>
      <c r="DP50" s="2"/>
      <c r="DQ50" s="2" t="s">
        <v>739</v>
      </c>
      <c r="DR50" s="2" t="s">
        <v>740</v>
      </c>
      <c r="DS50" s="2">
        <v>1</v>
      </c>
      <c r="DT50" s="2" t="s">
        <v>741</v>
      </c>
      <c r="DU50" s="2" t="s">
        <v>661</v>
      </c>
      <c r="DV50" s="2" t="s">
        <v>39</v>
      </c>
      <c r="DW50" s="2">
        <v>32751</v>
      </c>
      <c r="DX50" s="2" t="s">
        <v>742</v>
      </c>
      <c r="DY50" s="2"/>
      <c r="DZ50" s="2" t="s">
        <v>743</v>
      </c>
      <c r="EA50" s="2" t="s">
        <v>740</v>
      </c>
      <c r="EB50" s="2" t="s">
        <v>744</v>
      </c>
      <c r="EC50" s="2" t="s">
        <v>737</v>
      </c>
      <c r="ED50" s="2" t="s">
        <v>44</v>
      </c>
      <c r="EE50" s="2">
        <v>106</v>
      </c>
      <c r="EF50" s="2" t="s">
        <v>148</v>
      </c>
      <c r="EG50" s="2">
        <v>12</v>
      </c>
      <c r="EH50" s="2" t="s">
        <v>46</v>
      </c>
      <c r="EI50" s="2" t="s">
        <v>47</v>
      </c>
      <c r="EJ50" s="2" t="s">
        <v>745</v>
      </c>
      <c r="EK50" s="2" t="s">
        <v>746</v>
      </c>
      <c r="EL50" s="2" t="s">
        <v>44</v>
      </c>
      <c r="EM50" s="2">
        <v>76</v>
      </c>
      <c r="EN50" s="2" t="s">
        <v>148</v>
      </c>
      <c r="EO50" s="2">
        <v>13</v>
      </c>
      <c r="EP50" s="2" t="s">
        <v>46</v>
      </c>
      <c r="EQ50" s="2" t="s">
        <v>47</v>
      </c>
      <c r="ER50" s="2" t="s">
        <v>747</v>
      </c>
      <c r="ES50" s="2" t="s">
        <v>748</v>
      </c>
      <c r="ET50" s="2" t="s">
        <v>749</v>
      </c>
      <c r="EU50" s="2" t="s">
        <v>750</v>
      </c>
      <c r="EV50" s="2" t="s">
        <v>751</v>
      </c>
      <c r="EW50" s="2" t="s">
        <v>752</v>
      </c>
      <c r="EX50" s="2" t="s">
        <v>39</v>
      </c>
      <c r="EY50" s="2">
        <v>32789</v>
      </c>
      <c r="EZ50" s="2" t="s">
        <v>753</v>
      </c>
      <c r="FA50" s="2"/>
      <c r="FB50" s="2" t="s">
        <v>754</v>
      </c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 t="s">
        <v>755</v>
      </c>
      <c r="FO50" s="2" t="s">
        <v>63</v>
      </c>
      <c r="FP50" s="2" t="s">
        <v>64</v>
      </c>
      <c r="FQ50" s="2" t="s">
        <v>9</v>
      </c>
      <c r="FR50" s="2" t="s">
        <v>17</v>
      </c>
      <c r="FS50" s="2" t="s">
        <v>17</v>
      </c>
      <c r="FT50" s="2" t="s">
        <v>9</v>
      </c>
      <c r="FU50" s="2">
        <v>0</v>
      </c>
      <c r="FV50" s="2">
        <v>0</v>
      </c>
      <c r="FW50" s="4">
        <v>0</v>
      </c>
      <c r="FX50" s="4">
        <v>0</v>
      </c>
      <c r="FY50" s="2" t="s">
        <v>65</v>
      </c>
      <c r="FZ50" s="2" t="s">
        <v>66</v>
      </c>
      <c r="GA50" s="2" t="s">
        <v>67</v>
      </c>
      <c r="GB50" s="2"/>
      <c r="GC50" s="2"/>
      <c r="GD50" s="2"/>
      <c r="GE50" s="2" t="s">
        <v>108</v>
      </c>
      <c r="GF50" s="2"/>
      <c r="GG50" s="2"/>
      <c r="GH50" s="2"/>
      <c r="GI50" s="2"/>
      <c r="GJ50" s="2">
        <v>81</v>
      </c>
      <c r="GK50" s="2"/>
      <c r="GL50" s="2"/>
      <c r="GM50" s="2"/>
      <c r="GN50" s="2"/>
      <c r="GO50" s="2"/>
      <c r="GP50" s="2"/>
      <c r="GQ50" s="2">
        <v>81</v>
      </c>
      <c r="GR50" s="2" t="s">
        <v>756</v>
      </c>
      <c r="GS50" s="2" t="s">
        <v>70</v>
      </c>
      <c r="GT50" s="2" t="s">
        <v>757</v>
      </c>
      <c r="GU50" s="2" t="s">
        <v>758</v>
      </c>
      <c r="GV50" s="2" t="s">
        <v>17</v>
      </c>
      <c r="GW50" s="2">
        <v>28.787856000000001</v>
      </c>
      <c r="GX50" s="2">
        <v>-81.220033000000001</v>
      </c>
      <c r="GY50" s="2"/>
      <c r="GZ50" s="2" t="s">
        <v>17</v>
      </c>
      <c r="HA50" s="2" t="s">
        <v>17</v>
      </c>
      <c r="HB50" s="2">
        <v>0</v>
      </c>
      <c r="HC50" s="2" t="s">
        <v>17</v>
      </c>
      <c r="HD50" s="2"/>
      <c r="HE50" s="2">
        <v>0</v>
      </c>
      <c r="HF50" s="2">
        <v>28.786849</v>
      </c>
      <c r="HG50" s="2">
        <v>-81.223422999999997</v>
      </c>
      <c r="HH50" s="2">
        <v>0.2</v>
      </c>
      <c r="HI50" s="2">
        <v>2</v>
      </c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 t="s">
        <v>73</v>
      </c>
      <c r="HY50" s="2" t="s">
        <v>17</v>
      </c>
      <c r="HZ50" s="2"/>
      <c r="IA50" s="2"/>
      <c r="IB50" s="2"/>
      <c r="IC50" s="2"/>
      <c r="ID50" s="2"/>
      <c r="IE50" s="2" t="s">
        <v>759</v>
      </c>
      <c r="IF50" s="2">
        <v>0.5</v>
      </c>
      <c r="IG50" s="2">
        <v>3.5</v>
      </c>
      <c r="IH50" s="2" t="s">
        <v>759</v>
      </c>
      <c r="II50" s="2">
        <v>0.5</v>
      </c>
      <c r="IJ50" s="2">
        <v>3.5</v>
      </c>
      <c r="IK50" s="2" t="s">
        <v>760</v>
      </c>
      <c r="IL50" s="2" t="s">
        <v>761</v>
      </c>
      <c r="IM50" s="2">
        <v>1.23</v>
      </c>
      <c r="IN50" s="2">
        <v>2.5</v>
      </c>
      <c r="IO50" s="2" t="s">
        <v>17</v>
      </c>
      <c r="IP50" s="2">
        <v>2</v>
      </c>
      <c r="IQ50" s="2">
        <v>9.5</v>
      </c>
      <c r="IR50" s="2">
        <v>0</v>
      </c>
      <c r="IS50" s="2">
        <v>11.5</v>
      </c>
      <c r="IT50" s="2" t="s">
        <v>9</v>
      </c>
      <c r="IU50" s="2" t="s">
        <v>17</v>
      </c>
      <c r="IV50" s="2" t="s">
        <v>17</v>
      </c>
      <c r="IW50" s="2" t="s">
        <v>9</v>
      </c>
      <c r="IX50" s="2" t="s">
        <v>9</v>
      </c>
      <c r="IY50" s="2">
        <v>11.5</v>
      </c>
      <c r="IZ50" s="2">
        <v>81</v>
      </c>
      <c r="JA50" s="2" t="s">
        <v>81</v>
      </c>
      <c r="JB50" s="2" t="s">
        <v>82</v>
      </c>
      <c r="JC50" s="2"/>
      <c r="JD50" s="2"/>
      <c r="JE50" s="2"/>
      <c r="JF50" s="2"/>
      <c r="JG50" s="2"/>
      <c r="JH50" s="7">
        <v>0</v>
      </c>
      <c r="JI50" s="2">
        <v>0</v>
      </c>
      <c r="JJ50" s="7">
        <v>0</v>
      </c>
      <c r="JK50" s="2">
        <v>0</v>
      </c>
      <c r="JL50" s="7">
        <v>0</v>
      </c>
      <c r="JM50" s="2">
        <v>13</v>
      </c>
      <c r="JN50" s="2"/>
      <c r="JO50" s="2"/>
      <c r="JP50" s="2">
        <v>46</v>
      </c>
      <c r="JQ50" s="2"/>
      <c r="JR50" s="2">
        <v>16</v>
      </c>
      <c r="JS50" s="2">
        <v>6</v>
      </c>
      <c r="JT50" s="2">
        <v>6</v>
      </c>
      <c r="JU50" s="2"/>
      <c r="JV50" s="2">
        <v>75</v>
      </c>
      <c r="JW50" s="4">
        <v>0.92593000000000003</v>
      </c>
      <c r="JX50" s="2">
        <v>81</v>
      </c>
      <c r="JY50" s="4">
        <v>0.59067000000000003</v>
      </c>
      <c r="JZ50" s="2">
        <v>0</v>
      </c>
      <c r="KA50" s="2"/>
      <c r="KB50" s="2"/>
      <c r="KC50" s="2"/>
      <c r="KD50" s="2"/>
      <c r="KE50" s="2"/>
      <c r="KF50" s="2"/>
      <c r="KG50" s="2"/>
      <c r="KH50" s="2">
        <v>46</v>
      </c>
      <c r="KI50" s="2"/>
      <c r="KJ50" s="2"/>
      <c r="KK50" s="2">
        <v>23</v>
      </c>
      <c r="KL50" s="2">
        <v>12</v>
      </c>
      <c r="KM50" s="2"/>
      <c r="KN50" s="2"/>
      <c r="KO50" s="2"/>
      <c r="KP50" s="2"/>
      <c r="KQ50" s="2" t="s">
        <v>83</v>
      </c>
      <c r="KR50" s="2" t="s">
        <v>73</v>
      </c>
      <c r="KS50" s="2"/>
      <c r="KT50" s="2">
        <v>1</v>
      </c>
      <c r="KU50" s="2" t="s">
        <v>84</v>
      </c>
      <c r="KV50" s="2" t="s">
        <v>85</v>
      </c>
      <c r="KW50" s="2" t="s">
        <v>530</v>
      </c>
      <c r="KX50" s="2" t="s">
        <v>17</v>
      </c>
      <c r="KY50" s="2" t="s">
        <v>17</v>
      </c>
      <c r="KZ50" s="2" t="s">
        <v>17</v>
      </c>
      <c r="LA50" s="2" t="s">
        <v>17</v>
      </c>
      <c r="LB50" s="2" t="s">
        <v>17</v>
      </c>
      <c r="LC50" s="2" t="s">
        <v>17</v>
      </c>
      <c r="LD50" s="2" t="s">
        <v>17</v>
      </c>
      <c r="LE50" s="2" t="s">
        <v>17</v>
      </c>
      <c r="LF50" s="2" t="s">
        <v>17</v>
      </c>
      <c r="LG50" s="2" t="s">
        <v>17</v>
      </c>
      <c r="LH50" s="2" t="s">
        <v>17</v>
      </c>
      <c r="LI50" s="2" t="s">
        <v>17</v>
      </c>
      <c r="LJ50" s="2" t="s">
        <v>87</v>
      </c>
      <c r="LK50" s="2" t="s">
        <v>17</v>
      </c>
      <c r="LL50" s="2" t="s">
        <v>17</v>
      </c>
      <c r="LM50" s="2">
        <v>0</v>
      </c>
      <c r="LN50" s="2" t="s">
        <v>17</v>
      </c>
      <c r="LO50" s="2" t="s">
        <v>9</v>
      </c>
      <c r="LP50" s="2" t="s">
        <v>9</v>
      </c>
      <c r="LQ50" s="2" t="s">
        <v>17</v>
      </c>
      <c r="LR50" s="2" t="s">
        <v>9</v>
      </c>
      <c r="LS50" s="2" t="s">
        <v>17</v>
      </c>
      <c r="LT50" s="2" t="s">
        <v>17</v>
      </c>
      <c r="LU50" s="2" t="s">
        <v>17</v>
      </c>
      <c r="LV50" s="2" t="s">
        <v>17</v>
      </c>
      <c r="LW50" s="2" t="s">
        <v>17</v>
      </c>
      <c r="LX50" s="2" t="s">
        <v>17</v>
      </c>
      <c r="LY50" s="5">
        <v>6480000</v>
      </c>
      <c r="LZ50" s="5">
        <v>0</v>
      </c>
      <c r="MA50" s="5">
        <v>7200000</v>
      </c>
      <c r="MB50" s="5">
        <v>0</v>
      </c>
      <c r="MC50" s="5">
        <v>0</v>
      </c>
      <c r="MD50" s="5">
        <v>0</v>
      </c>
      <c r="ME50" s="5">
        <v>8505000</v>
      </c>
      <c r="MF50" s="5">
        <v>0</v>
      </c>
      <c r="MG50" s="5">
        <v>0</v>
      </c>
      <c r="MH50" s="5">
        <v>0</v>
      </c>
      <c r="MI50" s="5">
        <v>0</v>
      </c>
      <c r="MJ50" s="5">
        <v>0</v>
      </c>
      <c r="MK50" s="5">
        <v>0</v>
      </c>
      <c r="ML50" s="2">
        <v>0</v>
      </c>
      <c r="MM50" s="5">
        <v>0</v>
      </c>
      <c r="MN50" s="5">
        <v>0</v>
      </c>
      <c r="MO50" s="2">
        <v>0</v>
      </c>
      <c r="MP50" s="2">
        <v>0</v>
      </c>
      <c r="MQ50" s="2">
        <v>0</v>
      </c>
      <c r="MR50" s="5">
        <v>2950000</v>
      </c>
      <c r="MS50" s="5">
        <v>0</v>
      </c>
      <c r="MT50" s="5">
        <v>4600000</v>
      </c>
      <c r="MU50" s="5">
        <v>0</v>
      </c>
      <c r="MV50" s="5">
        <v>0</v>
      </c>
      <c r="MW50" s="5">
        <v>0</v>
      </c>
      <c r="MX50" s="5">
        <v>0</v>
      </c>
      <c r="MY50" s="5">
        <v>2500000</v>
      </c>
      <c r="MZ50" s="5">
        <v>0</v>
      </c>
      <c r="NA50" s="5">
        <v>5000000</v>
      </c>
      <c r="NB50" s="5">
        <v>0</v>
      </c>
      <c r="NC50" s="5">
        <v>0</v>
      </c>
      <c r="ND50" s="5">
        <v>0</v>
      </c>
      <c r="NE50" s="5">
        <v>0</v>
      </c>
      <c r="NF50" s="5">
        <v>0</v>
      </c>
      <c r="NG50" s="5">
        <v>2142000</v>
      </c>
      <c r="NH50" s="5">
        <v>2130000</v>
      </c>
      <c r="NI50" s="5">
        <v>2130000</v>
      </c>
      <c r="NJ50" s="5">
        <v>0</v>
      </c>
      <c r="NK50" s="5"/>
      <c r="NL50" s="2" t="s">
        <v>17</v>
      </c>
      <c r="NM50" s="2" t="s">
        <v>17</v>
      </c>
      <c r="NN50" s="2"/>
      <c r="NO50" s="2" t="s">
        <v>17</v>
      </c>
      <c r="NP50" s="2"/>
      <c r="NQ50" s="2"/>
      <c r="NR50" s="2" t="s">
        <v>17</v>
      </c>
      <c r="NS50" s="2"/>
      <c r="NT50" s="2" t="s">
        <v>17</v>
      </c>
      <c r="NU50" s="2"/>
      <c r="NV50" s="2"/>
      <c r="NW50" s="2"/>
      <c r="NX50" s="2" t="s">
        <v>9</v>
      </c>
      <c r="NY50" s="2" t="s">
        <v>762</v>
      </c>
      <c r="NZ50" s="2">
        <v>211</v>
      </c>
      <c r="OA50" s="2" t="s">
        <v>763</v>
      </c>
      <c r="OB50" s="2" t="s">
        <v>764</v>
      </c>
      <c r="OC50" s="2" t="s">
        <v>764</v>
      </c>
      <c r="OD50" s="2" t="s">
        <v>9</v>
      </c>
      <c r="OE50" s="2" t="s">
        <v>320</v>
      </c>
      <c r="OF50" s="2" t="s">
        <v>17</v>
      </c>
      <c r="OG50" s="2" t="s">
        <v>9</v>
      </c>
      <c r="OH50" s="2" t="s">
        <v>92</v>
      </c>
      <c r="OI50" s="2"/>
      <c r="OJ50" s="2"/>
      <c r="OK50" s="2" t="s">
        <v>17</v>
      </c>
      <c r="OL50" s="2" t="s">
        <v>17</v>
      </c>
      <c r="OM50" s="2" t="s">
        <v>85</v>
      </c>
      <c r="ON50" s="6">
        <v>0</v>
      </c>
      <c r="OO50" s="6">
        <v>0</v>
      </c>
      <c r="OP50" s="2" t="s">
        <v>93</v>
      </c>
      <c r="OQ50" s="2" t="s">
        <v>93</v>
      </c>
      <c r="OR50" s="6">
        <v>0</v>
      </c>
      <c r="OS50" s="4">
        <v>0</v>
      </c>
      <c r="OT50" s="2"/>
      <c r="OU50" s="2"/>
      <c r="OV50" s="2"/>
      <c r="OW50" s="2"/>
      <c r="OX50" s="5">
        <v>16294500</v>
      </c>
      <c r="OY50" s="6">
        <v>217260</v>
      </c>
      <c r="OZ50" s="2"/>
      <c r="PA50" s="2"/>
      <c r="PB50" s="8">
        <v>12710705</v>
      </c>
      <c r="PC50" s="8">
        <v>225809</v>
      </c>
      <c r="PD50" s="8">
        <v>12936514</v>
      </c>
      <c r="PE50" s="2"/>
      <c r="PF50" s="2"/>
      <c r="PG50" s="2"/>
      <c r="PH50" s="2"/>
      <c r="PI50" s="2"/>
      <c r="PJ50" s="2"/>
      <c r="PK50" s="8">
        <v>12710705</v>
      </c>
      <c r="PL50" s="8">
        <v>225809</v>
      </c>
      <c r="PM50" s="8">
        <v>12936514</v>
      </c>
      <c r="PN50" s="8">
        <v>1811111</v>
      </c>
      <c r="PO50" s="2"/>
      <c r="PP50" s="8">
        <v>1811111</v>
      </c>
      <c r="PQ50" s="6">
        <v>1811111</v>
      </c>
      <c r="PR50" s="8">
        <v>14521816</v>
      </c>
      <c r="PS50" s="8">
        <v>225809</v>
      </c>
      <c r="PT50" s="8">
        <v>14747625</v>
      </c>
      <c r="PU50" s="8">
        <v>646827</v>
      </c>
      <c r="PV50" s="2"/>
      <c r="PW50" s="8">
        <v>646827</v>
      </c>
      <c r="PX50" s="6">
        <v>737381.25</v>
      </c>
      <c r="PY50" s="8">
        <v>449692</v>
      </c>
      <c r="PZ50" s="8">
        <v>50000</v>
      </c>
      <c r="QA50" s="8">
        <v>499692</v>
      </c>
      <c r="QB50" s="8">
        <v>117675</v>
      </c>
      <c r="QC50" s="2"/>
      <c r="QD50" s="8">
        <v>117675</v>
      </c>
      <c r="QE50" s="8">
        <v>716177</v>
      </c>
      <c r="QF50" s="2"/>
      <c r="QG50" s="8">
        <v>716177</v>
      </c>
      <c r="QH50" s="2"/>
      <c r="QI50" s="8">
        <v>439534</v>
      </c>
      <c r="QJ50" s="8">
        <v>439534</v>
      </c>
      <c r="QK50" s="2"/>
      <c r="QL50" s="2"/>
      <c r="QM50" s="2"/>
      <c r="QN50" s="2"/>
      <c r="QO50" s="2"/>
      <c r="QP50" s="2"/>
      <c r="QQ50" s="8">
        <v>1283544</v>
      </c>
      <c r="QR50" s="8">
        <v>489534</v>
      </c>
      <c r="QS50" s="8">
        <v>1773078</v>
      </c>
      <c r="QT50" s="8">
        <v>88653</v>
      </c>
      <c r="QU50" s="2"/>
      <c r="QV50" s="8">
        <v>88653</v>
      </c>
      <c r="QW50" s="6">
        <v>88653.9</v>
      </c>
      <c r="QX50" s="8">
        <v>1386754</v>
      </c>
      <c r="QY50" s="2"/>
      <c r="QZ50" s="8">
        <v>1386754</v>
      </c>
      <c r="RA50" s="8">
        <v>147476</v>
      </c>
      <c r="RB50" s="8">
        <v>147476</v>
      </c>
      <c r="RC50" s="2"/>
      <c r="RD50" s="2"/>
      <c r="RE50" s="2"/>
      <c r="RF50" s="8">
        <v>1386754</v>
      </c>
      <c r="RG50" s="8">
        <v>147476</v>
      </c>
      <c r="RH50" s="8">
        <v>1534230</v>
      </c>
      <c r="RI50" s="2"/>
      <c r="RJ50" s="2"/>
      <c r="RK50" s="2"/>
      <c r="RL50" s="2"/>
      <c r="RM50" s="8">
        <v>17927594</v>
      </c>
      <c r="RN50" s="8">
        <v>862819</v>
      </c>
      <c r="RO50" s="8">
        <v>18790413</v>
      </c>
      <c r="RP50" s="2"/>
      <c r="RQ50" s="2"/>
      <c r="RR50" s="2">
        <v>0</v>
      </c>
      <c r="RS50" s="6">
        <v>0</v>
      </c>
      <c r="RT50" s="8">
        <v>3006466</v>
      </c>
      <c r="RU50" s="2"/>
      <c r="RV50" s="8">
        <v>3006466</v>
      </c>
      <c r="RW50" s="6">
        <v>3006466</v>
      </c>
      <c r="RX50" s="6">
        <v>0</v>
      </c>
      <c r="RY50" s="8">
        <v>3006466</v>
      </c>
      <c r="RZ50" s="2"/>
      <c r="SA50" s="8">
        <v>3006466</v>
      </c>
      <c r="SB50" s="6">
        <v>3006466</v>
      </c>
      <c r="SC50" s="2"/>
      <c r="SD50" s="2"/>
      <c r="SE50" s="6">
        <v>283500</v>
      </c>
      <c r="SF50" s="8">
        <v>1620000</v>
      </c>
      <c r="SG50" s="8">
        <v>1620000</v>
      </c>
      <c r="SH50" s="8">
        <v>20934060</v>
      </c>
      <c r="SI50" s="8">
        <v>2482819</v>
      </c>
      <c r="SJ50" s="8">
        <v>23416879</v>
      </c>
      <c r="SK50" s="2"/>
      <c r="SL50" s="2"/>
      <c r="SM50" s="2"/>
      <c r="SN50" s="2"/>
      <c r="SO50" s="2"/>
      <c r="SP50" s="8">
        <v>3295000</v>
      </c>
      <c r="SQ50" s="2" t="s">
        <v>95</v>
      </c>
      <c r="SR50" s="2"/>
      <c r="SS50" s="2"/>
      <c r="ST50" s="2"/>
      <c r="SU50" s="2"/>
      <c r="SV50" s="2"/>
      <c r="SW50" s="2"/>
      <c r="SX50" s="2" t="s">
        <v>96</v>
      </c>
      <c r="SY50" s="2" t="s">
        <v>96</v>
      </c>
      <c r="SZ50" s="2" t="s">
        <v>96</v>
      </c>
      <c r="TA50" s="2" t="s">
        <v>96</v>
      </c>
      <c r="TB50" s="8">
        <v>17251275</v>
      </c>
      <c r="TC50" s="2" t="s">
        <v>765</v>
      </c>
      <c r="TD50" s="8">
        <v>460000</v>
      </c>
      <c r="TE50" s="2" t="s">
        <v>453</v>
      </c>
      <c r="TF50" s="2"/>
      <c r="TG50" s="2"/>
      <c r="TH50" s="2"/>
      <c r="TI50" s="8">
        <v>2410604</v>
      </c>
      <c r="TJ50" s="8">
        <v>23416879</v>
      </c>
      <c r="TK50" s="2">
        <v>0</v>
      </c>
      <c r="TL50" s="2" t="s">
        <v>9</v>
      </c>
      <c r="TM50" s="8">
        <v>3295000</v>
      </c>
      <c r="TN50" s="2" t="s">
        <v>95</v>
      </c>
      <c r="TO50" s="2"/>
      <c r="TP50" s="2"/>
      <c r="TQ50" s="2"/>
      <c r="TR50" s="2"/>
      <c r="TS50" s="2"/>
      <c r="TT50" s="2"/>
      <c r="TU50" s="2" t="s">
        <v>96</v>
      </c>
      <c r="TV50" s="8">
        <v>19168083</v>
      </c>
      <c r="TW50" s="2" t="s">
        <v>766</v>
      </c>
      <c r="TX50" s="8">
        <v>460000</v>
      </c>
      <c r="TY50" s="2" t="s">
        <v>453</v>
      </c>
      <c r="TZ50" s="2"/>
      <c r="UA50" s="2"/>
      <c r="UB50" s="2"/>
      <c r="UC50" s="8">
        <v>493796</v>
      </c>
      <c r="UD50" s="8">
        <v>23416879</v>
      </c>
      <c r="UE50" s="6">
        <v>3755000</v>
      </c>
      <c r="UF50" s="2">
        <v>0</v>
      </c>
      <c r="UG50" s="2" t="s">
        <v>9</v>
      </c>
      <c r="UH50" s="2">
        <v>81</v>
      </c>
      <c r="UI50" s="5">
        <v>240000</v>
      </c>
      <c r="UJ50" s="6">
        <v>320000</v>
      </c>
      <c r="UK50" s="6">
        <v>320000</v>
      </c>
      <c r="UL50" s="6">
        <v>339200</v>
      </c>
      <c r="UM50" s="6">
        <v>27475200</v>
      </c>
      <c r="UN50" s="6">
        <v>4396032</v>
      </c>
      <c r="UO50" s="6">
        <v>4396032</v>
      </c>
      <c r="UP50" s="6">
        <v>31871232</v>
      </c>
      <c r="UQ50" s="6">
        <v>21796879</v>
      </c>
      <c r="UR50" s="2"/>
      <c r="US50" s="2"/>
      <c r="UT50" s="6">
        <v>0</v>
      </c>
      <c r="UU50" s="6">
        <v>460000</v>
      </c>
      <c r="UV50" s="6">
        <v>460000</v>
      </c>
      <c r="UW50" s="6">
        <v>460000</v>
      </c>
      <c r="UX50" s="6">
        <v>0</v>
      </c>
      <c r="UY50" s="6">
        <v>460000</v>
      </c>
      <c r="UZ50" s="2" t="s">
        <v>767</v>
      </c>
      <c r="VA50" s="2" t="s">
        <v>453</v>
      </c>
      <c r="VB50" s="2"/>
      <c r="VC50" s="2"/>
      <c r="VD50" s="2" t="s">
        <v>9</v>
      </c>
      <c r="VE50" s="2" t="s">
        <v>17</v>
      </c>
      <c r="VF50" s="2"/>
      <c r="VG50" s="2" t="s">
        <v>17</v>
      </c>
      <c r="VH50" s="2"/>
      <c r="VI50" s="388" t="s">
        <v>768</v>
      </c>
      <c r="VJ50" s="2" t="s">
        <v>98</v>
      </c>
      <c r="VK50" s="2" t="s">
        <v>769</v>
      </c>
      <c r="VL50" s="23">
        <f t="shared" si="21"/>
        <v>128</v>
      </c>
      <c r="VM50" s="17">
        <f t="shared" si="22"/>
        <v>1.5802469135802468</v>
      </c>
      <c r="VN50" s="17" t="str">
        <f t="shared" si="12"/>
        <v>NC-MR-F</v>
      </c>
      <c r="VO50" s="17" t="str">
        <f t="shared" si="13"/>
        <v>NC-MR-F-Non</v>
      </c>
      <c r="VP50" s="12">
        <v>9</v>
      </c>
      <c r="VQ50" s="57">
        <v>1</v>
      </c>
      <c r="VR50" s="57">
        <f t="shared" si="23"/>
        <v>1</v>
      </c>
      <c r="VS50" s="14">
        <f t="shared" si="24"/>
        <v>1</v>
      </c>
      <c r="VT50" s="12">
        <f t="shared" si="25"/>
        <v>0.96999999999999986</v>
      </c>
      <c r="VU50" s="16">
        <f t="shared" si="26"/>
        <v>18594899.999999996</v>
      </c>
      <c r="VV50" s="16">
        <f t="shared" si="27"/>
        <v>247931.99999999994</v>
      </c>
      <c r="VW50" s="12" t="str">
        <f t="shared" si="14"/>
        <v>A</v>
      </c>
      <c r="VX50" s="12" t="str">
        <f t="shared" si="15"/>
        <v>NC-MR-Non</v>
      </c>
      <c r="VY50" s="351">
        <f t="shared" si="16"/>
        <v>4</v>
      </c>
      <c r="WA50" s="12">
        <f t="shared" si="17"/>
        <v>0</v>
      </c>
      <c r="WB50" s="12">
        <f t="shared" si="18"/>
        <v>0</v>
      </c>
      <c r="WC50" s="12">
        <f t="shared" si="18"/>
        <v>0</v>
      </c>
      <c r="WD50" s="12">
        <f t="shared" si="18"/>
        <v>0</v>
      </c>
      <c r="WE50" s="12">
        <f t="shared" si="19"/>
        <v>0</v>
      </c>
      <c r="WF50" s="12">
        <f t="shared" si="28"/>
        <v>0</v>
      </c>
      <c r="WG50" s="12">
        <f t="shared" si="29"/>
        <v>1</v>
      </c>
      <c r="WH50" s="12">
        <f t="shared" si="30"/>
        <v>0</v>
      </c>
      <c r="WI50" s="22">
        <f t="shared" si="31"/>
        <v>1</v>
      </c>
      <c r="WJ50" s="2"/>
      <c r="WK50" s="445" t="str">
        <f t="shared" si="20"/>
        <v>NC-MR-Non-BBN-BRN-NPH-F</v>
      </c>
      <c r="WL50" s="445"/>
      <c r="WM50" s="445"/>
    </row>
    <row r="51" spans="1:611" x14ac:dyDescent="0.25">
      <c r="A51" s="2">
        <v>9541</v>
      </c>
      <c r="B51" s="2" t="s">
        <v>1619</v>
      </c>
      <c r="C51" s="2" t="s">
        <v>8</v>
      </c>
      <c r="D51" s="3">
        <v>45153</v>
      </c>
      <c r="E51" s="2" t="s">
        <v>9</v>
      </c>
      <c r="F51" s="2">
        <v>3</v>
      </c>
      <c r="G51" s="2" t="s">
        <v>9</v>
      </c>
      <c r="H51" s="2">
        <v>3</v>
      </c>
      <c r="I51" s="2" t="s">
        <v>9</v>
      </c>
      <c r="J51" s="2">
        <v>3</v>
      </c>
      <c r="K51" s="2" t="s">
        <v>9</v>
      </c>
      <c r="L51" s="2">
        <v>3</v>
      </c>
      <c r="M51" s="2" t="s">
        <v>10</v>
      </c>
      <c r="N51" s="2">
        <v>0</v>
      </c>
      <c r="O51" s="2" t="s">
        <v>10</v>
      </c>
      <c r="P51" s="2">
        <v>0</v>
      </c>
      <c r="Q51" s="2" t="s">
        <v>11</v>
      </c>
      <c r="R51" s="2">
        <v>0</v>
      </c>
      <c r="S51" s="2" t="s">
        <v>9</v>
      </c>
      <c r="T51" s="2">
        <v>2</v>
      </c>
      <c r="U51" s="2" t="s">
        <v>9</v>
      </c>
      <c r="V51" s="2">
        <v>2</v>
      </c>
      <c r="W51" s="2" t="s">
        <v>9</v>
      </c>
      <c r="X51" s="2">
        <v>2</v>
      </c>
      <c r="Y51" s="2" t="s">
        <v>12</v>
      </c>
      <c r="Z51" s="2" t="s">
        <v>1227</v>
      </c>
      <c r="AA51" s="2" t="s">
        <v>1620</v>
      </c>
      <c r="AB51" s="2" t="s">
        <v>15</v>
      </c>
      <c r="AC51" s="2" t="s">
        <v>15</v>
      </c>
      <c r="AD51" s="2" t="s">
        <v>15</v>
      </c>
      <c r="AE51" s="2" t="s">
        <v>15</v>
      </c>
      <c r="AF51" s="2">
        <v>2</v>
      </c>
      <c r="AG51" s="2" t="s">
        <v>1621</v>
      </c>
      <c r="AH51" s="2" t="s">
        <v>17</v>
      </c>
      <c r="AI51" s="4">
        <v>0.1</v>
      </c>
      <c r="AJ51" s="2" t="s">
        <v>17</v>
      </c>
      <c r="AK51" s="2" t="s">
        <v>9</v>
      </c>
      <c r="AL51" s="2" t="s">
        <v>9</v>
      </c>
      <c r="AM51" s="2" t="s">
        <v>17</v>
      </c>
      <c r="AN51" s="2" t="s">
        <v>17</v>
      </c>
      <c r="AO51" s="2" t="s">
        <v>9</v>
      </c>
      <c r="AP51" s="2" t="s">
        <v>17</v>
      </c>
      <c r="AQ51" s="2" t="s">
        <v>17</v>
      </c>
      <c r="AR51" s="2" t="s">
        <v>17</v>
      </c>
      <c r="AS51" s="2" t="s">
        <v>17</v>
      </c>
      <c r="AT51" s="2">
        <v>0</v>
      </c>
      <c r="AU51" s="5">
        <v>20000</v>
      </c>
      <c r="AV51" s="5">
        <v>340000</v>
      </c>
      <c r="AW51" s="2">
        <v>0</v>
      </c>
      <c r="AX51" s="2">
        <v>7</v>
      </c>
      <c r="AY51" s="2">
        <v>0</v>
      </c>
      <c r="AZ51" s="2">
        <v>18</v>
      </c>
      <c r="BA51" s="2">
        <v>0</v>
      </c>
      <c r="BB51" s="2">
        <v>1</v>
      </c>
      <c r="BC51" s="2">
        <v>0</v>
      </c>
      <c r="BD51" s="2">
        <v>0</v>
      </c>
      <c r="BE51" s="2">
        <v>0</v>
      </c>
      <c r="BF51" s="2">
        <v>1</v>
      </c>
      <c r="BG51" s="2">
        <v>0</v>
      </c>
      <c r="BH51" s="2">
        <v>0</v>
      </c>
      <c r="BI51" s="2">
        <v>13</v>
      </c>
      <c r="BJ51" s="2">
        <v>1</v>
      </c>
      <c r="BK51" s="2">
        <v>0</v>
      </c>
      <c r="BL51" s="2">
        <v>3</v>
      </c>
      <c r="BM51" s="2">
        <v>2</v>
      </c>
      <c r="BN51" s="2">
        <v>11</v>
      </c>
      <c r="BO51" s="2">
        <v>11</v>
      </c>
      <c r="BP51" s="2">
        <v>0</v>
      </c>
      <c r="BQ51" s="2">
        <v>10</v>
      </c>
      <c r="BR51" s="2">
        <v>11.49</v>
      </c>
      <c r="BS51" s="2">
        <v>0</v>
      </c>
      <c r="BT51" s="4">
        <v>0.06</v>
      </c>
      <c r="BU51" s="2" t="s">
        <v>9</v>
      </c>
      <c r="BV51" s="6">
        <v>219247.5</v>
      </c>
      <c r="BW51" s="2" t="s">
        <v>18</v>
      </c>
      <c r="BX51" s="2" t="s">
        <v>17</v>
      </c>
      <c r="BY51" s="2" t="s">
        <v>17</v>
      </c>
      <c r="BZ51" s="2" t="s">
        <v>17</v>
      </c>
      <c r="CA51" s="2" t="s">
        <v>17</v>
      </c>
      <c r="CB51" s="2" t="s">
        <v>17</v>
      </c>
      <c r="CC51" s="2" t="s">
        <v>17</v>
      </c>
      <c r="CD51" s="2" t="s">
        <v>17</v>
      </c>
      <c r="CE51" s="2" t="s">
        <v>1622</v>
      </c>
      <c r="CF51" s="2" t="s">
        <v>9</v>
      </c>
      <c r="CG51" s="2" t="s">
        <v>1623</v>
      </c>
      <c r="CH51" s="2" t="s">
        <v>1624</v>
      </c>
      <c r="CI51" s="2" t="s">
        <v>1625</v>
      </c>
      <c r="CJ51" s="2" t="s">
        <v>9</v>
      </c>
      <c r="CK51" s="2" t="s">
        <v>1626</v>
      </c>
      <c r="CL51" s="2" t="s">
        <v>1623</v>
      </c>
      <c r="CM51" s="2" t="s">
        <v>1627</v>
      </c>
      <c r="CN51" s="2" t="s">
        <v>330</v>
      </c>
      <c r="CO51" s="2" t="s">
        <v>24</v>
      </c>
      <c r="CP51" s="2"/>
      <c r="CQ51" s="2">
        <v>160</v>
      </c>
      <c r="CR51" s="2" t="s">
        <v>1234</v>
      </c>
      <c r="CS51" s="2">
        <v>2019</v>
      </c>
      <c r="CT51" s="2" t="s">
        <v>26</v>
      </c>
      <c r="CU51" s="2" t="s">
        <v>27</v>
      </c>
      <c r="CV51" s="2" t="s">
        <v>1628</v>
      </c>
      <c r="CW51" s="2" t="s">
        <v>1281</v>
      </c>
      <c r="CX51" s="2" t="s">
        <v>24</v>
      </c>
      <c r="CY51" s="2"/>
      <c r="CZ51" s="2">
        <v>228</v>
      </c>
      <c r="DA51" s="2" t="s">
        <v>1234</v>
      </c>
      <c r="DB51" s="2">
        <v>2019</v>
      </c>
      <c r="DC51" s="2" t="s">
        <v>30</v>
      </c>
      <c r="DD51" s="2" t="s">
        <v>27</v>
      </c>
      <c r="DE51" s="2" t="s">
        <v>1629</v>
      </c>
      <c r="DF51" s="2" t="s">
        <v>330</v>
      </c>
      <c r="DG51" s="2" t="s">
        <v>24</v>
      </c>
      <c r="DH51" s="2"/>
      <c r="DI51" s="2">
        <v>120</v>
      </c>
      <c r="DJ51" s="2" t="s">
        <v>1234</v>
      </c>
      <c r="DK51" s="2">
        <v>2018</v>
      </c>
      <c r="DL51" s="2" t="s">
        <v>30</v>
      </c>
      <c r="DM51" s="2" t="s">
        <v>27</v>
      </c>
      <c r="DN51" s="2" t="s">
        <v>33</v>
      </c>
      <c r="DO51" s="2" t="s">
        <v>1630</v>
      </c>
      <c r="DP51" s="2"/>
      <c r="DQ51" s="2" t="s">
        <v>1631</v>
      </c>
      <c r="DR51" s="2" t="s">
        <v>1632</v>
      </c>
      <c r="DS51" s="2">
        <v>1</v>
      </c>
      <c r="DT51" s="2" t="s">
        <v>1633</v>
      </c>
      <c r="DU51" s="2" t="s">
        <v>299</v>
      </c>
      <c r="DV51" s="2" t="s">
        <v>39</v>
      </c>
      <c r="DW51" s="2">
        <v>33127</v>
      </c>
      <c r="DX51" s="2" t="s">
        <v>1634</v>
      </c>
      <c r="DY51" s="2">
        <v>102</v>
      </c>
      <c r="DZ51" s="2" t="s">
        <v>1635</v>
      </c>
      <c r="EA51" s="2" t="s">
        <v>1626</v>
      </c>
      <c r="EB51" s="2" t="s">
        <v>1628</v>
      </c>
      <c r="EC51" s="2" t="s">
        <v>1281</v>
      </c>
      <c r="ED51" s="2" t="s">
        <v>44</v>
      </c>
      <c r="EE51" s="2">
        <v>228</v>
      </c>
      <c r="EF51" s="2" t="s">
        <v>1244</v>
      </c>
      <c r="EG51" s="2">
        <v>4</v>
      </c>
      <c r="EH51" s="2" t="s">
        <v>46</v>
      </c>
      <c r="EI51" s="2" t="s">
        <v>47</v>
      </c>
      <c r="EJ51" s="2" t="s">
        <v>1627</v>
      </c>
      <c r="EK51" s="2" t="s">
        <v>330</v>
      </c>
      <c r="EL51" s="2" t="s">
        <v>44</v>
      </c>
      <c r="EM51" s="2">
        <v>160</v>
      </c>
      <c r="EN51" s="2" t="s">
        <v>1244</v>
      </c>
      <c r="EO51" s="2">
        <v>5</v>
      </c>
      <c r="EP51" s="2" t="s">
        <v>46</v>
      </c>
      <c r="EQ51" s="2" t="s">
        <v>47</v>
      </c>
      <c r="ER51" s="2" t="s">
        <v>1630</v>
      </c>
      <c r="ES51" s="2"/>
      <c r="ET51" s="2" t="s">
        <v>1631</v>
      </c>
      <c r="EU51" s="2" t="s">
        <v>1623</v>
      </c>
      <c r="EV51" s="2" t="s">
        <v>1633</v>
      </c>
      <c r="EW51" s="2" t="s">
        <v>299</v>
      </c>
      <c r="EX51" s="2" t="s">
        <v>39</v>
      </c>
      <c r="EY51" s="2">
        <v>33127</v>
      </c>
      <c r="EZ51" s="2" t="s">
        <v>1634</v>
      </c>
      <c r="FA51" s="2">
        <v>102</v>
      </c>
      <c r="FB51" s="2" t="s">
        <v>1635</v>
      </c>
      <c r="FC51" s="2" t="s">
        <v>1636</v>
      </c>
      <c r="FD51" s="2"/>
      <c r="FE51" s="2" t="s">
        <v>267</v>
      </c>
      <c r="FF51" s="2" t="s">
        <v>1623</v>
      </c>
      <c r="FG51" s="2" t="s">
        <v>1633</v>
      </c>
      <c r="FH51" s="2" t="s">
        <v>299</v>
      </c>
      <c r="FI51" s="2" t="s">
        <v>39</v>
      </c>
      <c r="FJ51" s="2">
        <v>33127</v>
      </c>
      <c r="FK51" s="2" t="s">
        <v>1634</v>
      </c>
      <c r="FL51" s="2"/>
      <c r="FM51" s="2" t="s">
        <v>1637</v>
      </c>
      <c r="FN51" s="2" t="s">
        <v>1638</v>
      </c>
      <c r="FO51" s="2" t="s">
        <v>63</v>
      </c>
      <c r="FP51" s="2" t="s">
        <v>64</v>
      </c>
      <c r="FQ51" s="2" t="s">
        <v>9</v>
      </c>
      <c r="FR51" s="2" t="s">
        <v>17</v>
      </c>
      <c r="FS51" s="2" t="s">
        <v>17</v>
      </c>
      <c r="FT51" s="2" t="s">
        <v>9</v>
      </c>
      <c r="FU51" s="2">
        <v>0</v>
      </c>
      <c r="FV51" s="2">
        <v>0</v>
      </c>
      <c r="FW51" s="4">
        <v>0</v>
      </c>
      <c r="FX51" s="4">
        <v>0</v>
      </c>
      <c r="FY51" s="2" t="s">
        <v>65</v>
      </c>
      <c r="FZ51" s="2" t="s">
        <v>66</v>
      </c>
      <c r="GA51" s="2" t="s">
        <v>67</v>
      </c>
      <c r="GB51" s="2"/>
      <c r="GC51" s="2"/>
      <c r="GD51" s="2"/>
      <c r="GE51" s="2" t="s">
        <v>68</v>
      </c>
      <c r="GF51" s="2"/>
      <c r="GG51" s="2"/>
      <c r="GH51" s="2">
        <v>72</v>
      </c>
      <c r="GI51" s="2"/>
      <c r="GJ51" s="2"/>
      <c r="GK51" s="2"/>
      <c r="GL51" s="2"/>
      <c r="GM51" s="2"/>
      <c r="GN51" s="2"/>
      <c r="GO51" s="2"/>
      <c r="GP51" s="2"/>
      <c r="GQ51" s="2">
        <v>72</v>
      </c>
      <c r="GR51" s="2" t="s">
        <v>1639</v>
      </c>
      <c r="GS51" s="2" t="s">
        <v>70</v>
      </c>
      <c r="GT51" s="2" t="s">
        <v>1640</v>
      </c>
      <c r="GU51" s="2" t="s">
        <v>1641</v>
      </c>
      <c r="GV51" s="2" t="s">
        <v>17</v>
      </c>
      <c r="GW51" s="2">
        <v>30.409524999999999</v>
      </c>
      <c r="GX51" s="2">
        <v>-86.616404000000003</v>
      </c>
      <c r="GY51" s="2"/>
      <c r="GZ51" s="2" t="s">
        <v>17</v>
      </c>
      <c r="HA51" s="2" t="s">
        <v>9</v>
      </c>
      <c r="HB51" s="2">
        <v>3</v>
      </c>
      <c r="HC51" s="2" t="s">
        <v>17</v>
      </c>
      <c r="HD51" s="2"/>
      <c r="HE51" s="2">
        <v>0</v>
      </c>
      <c r="HF51" s="2">
        <v>30.412648000000001</v>
      </c>
      <c r="HG51" s="2">
        <v>-86.615039999999993</v>
      </c>
      <c r="HH51" s="2">
        <v>0.23</v>
      </c>
      <c r="HI51" s="2">
        <v>4</v>
      </c>
      <c r="HJ51" s="2">
        <v>30.412495</v>
      </c>
      <c r="HK51" s="2">
        <v>-86.614022000000006</v>
      </c>
      <c r="HL51" s="2">
        <v>0.25</v>
      </c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 t="s">
        <v>73</v>
      </c>
      <c r="HY51" s="2" t="s">
        <v>17</v>
      </c>
      <c r="HZ51" s="2"/>
      <c r="IA51" s="2" t="s">
        <v>167</v>
      </c>
      <c r="IB51" s="2" t="s">
        <v>1642</v>
      </c>
      <c r="IC51" s="2">
        <v>0.82</v>
      </c>
      <c r="ID51" s="2">
        <v>2.5</v>
      </c>
      <c r="IE51" s="2"/>
      <c r="IF51" s="2"/>
      <c r="IG51" s="2"/>
      <c r="IH51" s="2" t="s">
        <v>167</v>
      </c>
      <c r="II51" s="2">
        <v>0.82</v>
      </c>
      <c r="IJ51" s="2">
        <v>2.5</v>
      </c>
      <c r="IK51" s="2" t="s">
        <v>1643</v>
      </c>
      <c r="IL51" s="2" t="s">
        <v>1644</v>
      </c>
      <c r="IM51" s="2">
        <v>1.34</v>
      </c>
      <c r="IN51" s="2">
        <v>2</v>
      </c>
      <c r="IO51" s="2" t="s">
        <v>17</v>
      </c>
      <c r="IP51" s="2">
        <v>4</v>
      </c>
      <c r="IQ51" s="2">
        <v>7</v>
      </c>
      <c r="IR51" s="2">
        <v>3</v>
      </c>
      <c r="IS51" s="2">
        <v>14</v>
      </c>
      <c r="IT51" s="2" t="s">
        <v>9</v>
      </c>
      <c r="IU51" s="2" t="s">
        <v>17</v>
      </c>
      <c r="IV51" s="2" t="s">
        <v>9</v>
      </c>
      <c r="IW51" s="2" t="s">
        <v>9</v>
      </c>
      <c r="IX51" s="2" t="s">
        <v>9</v>
      </c>
      <c r="IY51" s="2">
        <v>11</v>
      </c>
      <c r="IZ51" s="2">
        <v>72</v>
      </c>
      <c r="JA51" s="2" t="s">
        <v>81</v>
      </c>
      <c r="JB51" s="2" t="s">
        <v>173</v>
      </c>
      <c r="JC51" s="2"/>
      <c r="JD51" s="7">
        <v>0.1</v>
      </c>
      <c r="JE51" s="2"/>
      <c r="JF51" s="2"/>
      <c r="JG51" s="7">
        <v>0.9</v>
      </c>
      <c r="JH51" s="7">
        <v>0</v>
      </c>
      <c r="JI51" s="2">
        <v>72</v>
      </c>
      <c r="JJ51" s="7">
        <v>1</v>
      </c>
      <c r="JK51" s="2">
        <v>72</v>
      </c>
      <c r="JL51" s="7">
        <v>1</v>
      </c>
      <c r="JM51" s="2"/>
      <c r="JN51" s="2"/>
      <c r="JO51" s="2"/>
      <c r="JP51" s="2"/>
      <c r="JQ51" s="2"/>
      <c r="JR51" s="2"/>
      <c r="JS51" s="2">
        <v>0</v>
      </c>
      <c r="JT51" s="2">
        <v>0</v>
      </c>
      <c r="JU51" s="2"/>
      <c r="JV51" s="2">
        <v>0</v>
      </c>
      <c r="JW51" s="4">
        <v>0</v>
      </c>
      <c r="JX51" s="2">
        <v>0</v>
      </c>
      <c r="JY51" s="4">
        <v>0</v>
      </c>
      <c r="JZ51" s="2">
        <v>0</v>
      </c>
      <c r="KA51" s="2"/>
      <c r="KB51" s="2"/>
      <c r="KC51" s="2"/>
      <c r="KD51" s="2"/>
      <c r="KE51" s="2"/>
      <c r="KF51" s="2"/>
      <c r="KG51" s="2"/>
      <c r="KH51" s="2">
        <v>18</v>
      </c>
      <c r="KI51" s="2"/>
      <c r="KJ51" s="2"/>
      <c r="KK51" s="2">
        <v>36</v>
      </c>
      <c r="KL51" s="2">
        <v>18</v>
      </c>
      <c r="KM51" s="2"/>
      <c r="KN51" s="2"/>
      <c r="KO51" s="2"/>
      <c r="KP51" s="2"/>
      <c r="KQ51" s="2" t="s">
        <v>83</v>
      </c>
      <c r="KR51" s="2" t="s">
        <v>73</v>
      </c>
      <c r="KS51" s="2"/>
      <c r="KT51" s="2">
        <v>5</v>
      </c>
      <c r="KU51" s="2" t="s">
        <v>84</v>
      </c>
      <c r="KV51" s="2" t="s">
        <v>85</v>
      </c>
      <c r="KW51" s="2" t="s">
        <v>86</v>
      </c>
      <c r="KX51" s="2" t="s">
        <v>17</v>
      </c>
      <c r="KY51" s="2" t="s">
        <v>17</v>
      </c>
      <c r="KZ51" s="2" t="s">
        <v>17</v>
      </c>
      <c r="LA51" s="2" t="s">
        <v>17</v>
      </c>
      <c r="LB51" s="2" t="s">
        <v>17</v>
      </c>
      <c r="LC51" s="2" t="s">
        <v>17</v>
      </c>
      <c r="LD51" s="2" t="s">
        <v>17</v>
      </c>
      <c r="LE51" s="2" t="s">
        <v>17</v>
      </c>
      <c r="LF51" s="2" t="s">
        <v>17</v>
      </c>
      <c r="LG51" s="2" t="s">
        <v>17</v>
      </c>
      <c r="LH51" s="2" t="s">
        <v>17</v>
      </c>
      <c r="LI51" s="2" t="s">
        <v>17</v>
      </c>
      <c r="LJ51" s="2" t="s">
        <v>87</v>
      </c>
      <c r="LK51" s="2" t="s">
        <v>17</v>
      </c>
      <c r="LL51" s="2" t="s">
        <v>17</v>
      </c>
      <c r="LM51" s="2">
        <v>0</v>
      </c>
      <c r="LN51" s="2" t="s">
        <v>17</v>
      </c>
      <c r="LO51" s="2" t="s">
        <v>9</v>
      </c>
      <c r="LP51" s="2" t="s">
        <v>9</v>
      </c>
      <c r="LQ51" s="2" t="s">
        <v>17</v>
      </c>
      <c r="LR51" s="2" t="s">
        <v>9</v>
      </c>
      <c r="LS51" s="2" t="s">
        <v>17</v>
      </c>
      <c r="LT51" s="2" t="s">
        <v>17</v>
      </c>
      <c r="LU51" s="2" t="s">
        <v>17</v>
      </c>
      <c r="LV51" s="2" t="s">
        <v>17</v>
      </c>
      <c r="LW51" s="2" t="s">
        <v>17</v>
      </c>
      <c r="LX51" s="2" t="s">
        <v>17</v>
      </c>
      <c r="LY51" s="5">
        <v>5760000</v>
      </c>
      <c r="LZ51" s="5">
        <v>0</v>
      </c>
      <c r="MA51" s="5">
        <v>7200000</v>
      </c>
      <c r="MB51" s="5">
        <v>0</v>
      </c>
      <c r="MC51" s="5">
        <v>0</v>
      </c>
      <c r="MD51" s="5">
        <v>0</v>
      </c>
      <c r="ME51" s="5">
        <v>7560000</v>
      </c>
      <c r="MF51" s="5">
        <v>0</v>
      </c>
      <c r="MG51" s="5">
        <v>0</v>
      </c>
      <c r="MH51" s="5">
        <v>0</v>
      </c>
      <c r="MI51" s="5">
        <v>0</v>
      </c>
      <c r="MJ51" s="5">
        <v>0</v>
      </c>
      <c r="MK51" s="5">
        <v>0</v>
      </c>
      <c r="ML51" s="2">
        <v>0</v>
      </c>
      <c r="MM51" s="5">
        <v>0</v>
      </c>
      <c r="MN51" s="5">
        <v>0</v>
      </c>
      <c r="MO51" s="2">
        <v>0</v>
      </c>
      <c r="MP51" s="2">
        <v>0</v>
      </c>
      <c r="MQ51" s="2">
        <v>0</v>
      </c>
      <c r="MR51" s="5">
        <v>2950000</v>
      </c>
      <c r="MS51" s="5">
        <v>0</v>
      </c>
      <c r="MT51" s="5">
        <v>4600000</v>
      </c>
      <c r="MU51" s="5">
        <v>0</v>
      </c>
      <c r="MV51" s="5">
        <v>0</v>
      </c>
      <c r="MW51" s="5">
        <v>0</v>
      </c>
      <c r="MX51" s="5">
        <v>0</v>
      </c>
      <c r="MY51" s="5">
        <v>2500000</v>
      </c>
      <c r="MZ51" s="5">
        <v>0</v>
      </c>
      <c r="NA51" s="5">
        <v>5000000</v>
      </c>
      <c r="NB51" s="5">
        <v>0</v>
      </c>
      <c r="NC51" s="5">
        <v>0</v>
      </c>
      <c r="ND51" s="5">
        <v>0</v>
      </c>
      <c r="NE51" s="5">
        <v>0</v>
      </c>
      <c r="NF51" s="5">
        <v>0</v>
      </c>
      <c r="NG51" s="5">
        <v>2142000</v>
      </c>
      <c r="NH51" s="5">
        <v>2050000</v>
      </c>
      <c r="NI51" s="5">
        <v>2050000</v>
      </c>
      <c r="NJ51" s="5">
        <v>0</v>
      </c>
      <c r="NK51" s="5"/>
      <c r="NL51" s="2" t="s">
        <v>17</v>
      </c>
      <c r="NM51" s="2" t="s">
        <v>9</v>
      </c>
      <c r="NN51" s="2" t="s">
        <v>1645</v>
      </c>
      <c r="NO51" s="2" t="s">
        <v>17</v>
      </c>
      <c r="NP51" s="2"/>
      <c r="NQ51" s="2"/>
      <c r="NR51" s="2" t="s">
        <v>17</v>
      </c>
      <c r="NS51" s="2"/>
      <c r="NT51" s="2" t="s">
        <v>9</v>
      </c>
      <c r="NU51" s="2" t="s">
        <v>450</v>
      </c>
      <c r="NV51" s="2">
        <v>226</v>
      </c>
      <c r="NW51" s="2" t="s">
        <v>1646</v>
      </c>
      <c r="NX51" s="2"/>
      <c r="NY51" s="2"/>
      <c r="NZ51" s="2"/>
      <c r="OA51" s="2" t="s">
        <v>118</v>
      </c>
      <c r="OB51" s="2" t="s">
        <v>118</v>
      </c>
      <c r="OC51" s="2" t="s">
        <v>118</v>
      </c>
      <c r="OD51" s="2" t="s">
        <v>17</v>
      </c>
      <c r="OE51" s="2" t="s">
        <v>119</v>
      </c>
      <c r="OF51" s="2"/>
      <c r="OG51" s="2" t="s">
        <v>17</v>
      </c>
      <c r="OH51" s="2"/>
      <c r="OI51" s="2"/>
      <c r="OJ51" s="2"/>
      <c r="OK51" s="2" t="s">
        <v>17</v>
      </c>
      <c r="OL51" s="2" t="s">
        <v>17</v>
      </c>
      <c r="OM51" s="2" t="s">
        <v>85</v>
      </c>
      <c r="ON51" s="6">
        <v>0</v>
      </c>
      <c r="OO51" s="6">
        <v>0</v>
      </c>
      <c r="OP51" s="2" t="s">
        <v>93</v>
      </c>
      <c r="OQ51" s="2" t="s">
        <v>93</v>
      </c>
      <c r="OR51" s="6">
        <v>0</v>
      </c>
      <c r="OS51" s="4">
        <v>0</v>
      </c>
      <c r="OT51" s="2" t="s">
        <v>9</v>
      </c>
      <c r="OU51" s="2" t="s">
        <v>9</v>
      </c>
      <c r="OV51" s="2"/>
      <c r="OW51" s="2" t="s">
        <v>1647</v>
      </c>
      <c r="OX51" s="5">
        <v>15785820</v>
      </c>
      <c r="OY51" s="6">
        <v>219247.5</v>
      </c>
      <c r="OZ51" s="2"/>
      <c r="PA51" s="2"/>
      <c r="PB51" s="8">
        <v>14328000</v>
      </c>
      <c r="PC51" s="2"/>
      <c r="PD51" s="8">
        <v>14328000</v>
      </c>
      <c r="PE51" s="2"/>
      <c r="PF51" s="2"/>
      <c r="PG51" s="2"/>
      <c r="PH51" s="2"/>
      <c r="PI51" s="2"/>
      <c r="PJ51" s="2"/>
      <c r="PK51" s="8">
        <v>14328000</v>
      </c>
      <c r="PL51" s="2"/>
      <c r="PM51" s="8">
        <v>14328000</v>
      </c>
      <c r="PN51" s="8">
        <v>2005920</v>
      </c>
      <c r="PO51" s="2"/>
      <c r="PP51" s="8">
        <v>2005920</v>
      </c>
      <c r="PQ51" s="6">
        <v>2005920</v>
      </c>
      <c r="PR51" s="8">
        <v>16333920</v>
      </c>
      <c r="PS51" s="2"/>
      <c r="PT51" s="8">
        <v>16333920</v>
      </c>
      <c r="PU51" s="8">
        <v>816696</v>
      </c>
      <c r="PV51" s="2"/>
      <c r="PW51" s="8">
        <v>816696</v>
      </c>
      <c r="PX51" s="6">
        <v>816696</v>
      </c>
      <c r="PY51" s="8">
        <v>1195000</v>
      </c>
      <c r="PZ51" s="2"/>
      <c r="QA51" s="8">
        <v>1195000</v>
      </c>
      <c r="QB51" s="8">
        <v>514518</v>
      </c>
      <c r="QC51" s="2"/>
      <c r="QD51" s="8">
        <v>514518</v>
      </c>
      <c r="QE51" s="8">
        <v>860000</v>
      </c>
      <c r="QF51" s="2"/>
      <c r="QG51" s="8">
        <v>860000</v>
      </c>
      <c r="QH51" s="8">
        <v>429500</v>
      </c>
      <c r="QI51" s="2"/>
      <c r="QJ51" s="8">
        <v>429500</v>
      </c>
      <c r="QK51" s="2"/>
      <c r="QL51" s="2"/>
      <c r="QM51" s="2"/>
      <c r="QN51" s="8">
        <v>241000</v>
      </c>
      <c r="QO51" s="2"/>
      <c r="QP51" s="8">
        <v>241000</v>
      </c>
      <c r="QQ51" s="8">
        <v>3240018</v>
      </c>
      <c r="QR51" s="2"/>
      <c r="QS51" s="8">
        <v>3240018</v>
      </c>
      <c r="QT51" s="8">
        <v>162000</v>
      </c>
      <c r="QU51" s="2"/>
      <c r="QV51" s="8">
        <v>162000</v>
      </c>
      <c r="QW51" s="6">
        <v>162000.9</v>
      </c>
      <c r="QX51" s="8">
        <v>1794212</v>
      </c>
      <c r="QY51" s="8">
        <v>292081</v>
      </c>
      <c r="QZ51" s="8">
        <v>2086293</v>
      </c>
      <c r="RA51" s="8">
        <v>110456</v>
      </c>
      <c r="RB51" s="8">
        <v>110456</v>
      </c>
      <c r="RC51" s="2"/>
      <c r="RD51" s="2"/>
      <c r="RE51" s="2"/>
      <c r="RF51" s="8">
        <v>1794212</v>
      </c>
      <c r="RG51" s="8">
        <v>402537</v>
      </c>
      <c r="RH51" s="8">
        <v>2196749</v>
      </c>
      <c r="RI51" s="2"/>
      <c r="RJ51" s="2"/>
      <c r="RK51" s="2"/>
      <c r="RL51" s="2"/>
      <c r="RM51" s="8">
        <v>22346846</v>
      </c>
      <c r="RN51" s="8">
        <v>402537</v>
      </c>
      <c r="RO51" s="8">
        <v>22749383</v>
      </c>
      <c r="RP51" s="2"/>
      <c r="RQ51" s="2"/>
      <c r="RR51" s="2">
        <v>0</v>
      </c>
      <c r="RS51" s="6">
        <v>0</v>
      </c>
      <c r="RT51" s="8">
        <v>3639901</v>
      </c>
      <c r="RU51" s="2"/>
      <c r="RV51" s="8">
        <v>3639901</v>
      </c>
      <c r="RW51" s="6">
        <v>3639901</v>
      </c>
      <c r="RX51" s="6">
        <v>0</v>
      </c>
      <c r="RY51" s="8">
        <v>3639901</v>
      </c>
      <c r="RZ51" s="2"/>
      <c r="SA51" s="8">
        <v>3639901</v>
      </c>
      <c r="SB51" s="6">
        <v>3639901</v>
      </c>
      <c r="SC51" s="2"/>
      <c r="SD51" s="2"/>
      <c r="SE51" s="6">
        <v>252000</v>
      </c>
      <c r="SF51" s="2"/>
      <c r="SG51" s="2"/>
      <c r="SH51" s="8">
        <v>25986747</v>
      </c>
      <c r="SI51" s="8">
        <v>402537</v>
      </c>
      <c r="SJ51" s="8">
        <v>26389284</v>
      </c>
      <c r="SK51" s="2"/>
      <c r="SL51" s="2"/>
      <c r="SM51" s="2" t="s">
        <v>1648</v>
      </c>
      <c r="SN51" s="2"/>
      <c r="SO51" s="2"/>
      <c r="SP51" s="8">
        <v>18000000</v>
      </c>
      <c r="SQ51" s="2" t="s">
        <v>95</v>
      </c>
      <c r="SR51" s="8">
        <v>340000</v>
      </c>
      <c r="SS51" s="2" t="s">
        <v>180</v>
      </c>
      <c r="ST51" s="2"/>
      <c r="SU51" s="2"/>
      <c r="SV51" s="2"/>
      <c r="SW51" s="2"/>
      <c r="SX51" s="2" t="s">
        <v>96</v>
      </c>
      <c r="SY51" s="2" t="s">
        <v>96</v>
      </c>
      <c r="SZ51" s="2" t="s">
        <v>96</v>
      </c>
      <c r="TA51" s="2" t="s">
        <v>96</v>
      </c>
      <c r="TB51" s="8">
        <v>8117188</v>
      </c>
      <c r="TC51" s="2"/>
      <c r="TD51" s="2"/>
      <c r="TE51" s="2"/>
      <c r="TF51" s="2"/>
      <c r="TG51" s="2"/>
      <c r="TH51" s="2"/>
      <c r="TI51" s="2">
        <v>0</v>
      </c>
      <c r="TJ51" s="8">
        <v>26457188</v>
      </c>
      <c r="TK51" s="8">
        <v>67904</v>
      </c>
      <c r="TL51" s="2" t="s">
        <v>9</v>
      </c>
      <c r="TM51" s="8">
        <v>7200000</v>
      </c>
      <c r="TN51" s="2" t="s">
        <v>95</v>
      </c>
      <c r="TO51" s="8">
        <v>340000</v>
      </c>
      <c r="TP51" s="2" t="s">
        <v>180</v>
      </c>
      <c r="TQ51" s="8">
        <v>500000</v>
      </c>
      <c r="TR51" s="2" t="s">
        <v>413</v>
      </c>
      <c r="TS51" s="2"/>
      <c r="TT51" s="2"/>
      <c r="TU51" s="2" t="s">
        <v>96</v>
      </c>
      <c r="TV51" s="8">
        <v>18038196</v>
      </c>
      <c r="TW51" s="2"/>
      <c r="TX51" s="2"/>
      <c r="TY51" s="2"/>
      <c r="TZ51" s="2"/>
      <c r="UA51" s="2"/>
      <c r="UB51" s="2"/>
      <c r="UC51" s="8">
        <v>311088</v>
      </c>
      <c r="UD51" s="8">
        <v>26389284</v>
      </c>
      <c r="UE51" s="6">
        <v>8040000</v>
      </c>
      <c r="UF51" s="2">
        <v>0</v>
      </c>
      <c r="UG51" s="2" t="s">
        <v>9</v>
      </c>
      <c r="UH51" s="2">
        <v>72</v>
      </c>
      <c r="UI51" s="5">
        <v>220000</v>
      </c>
      <c r="UJ51" s="6">
        <v>293333.33</v>
      </c>
      <c r="UK51" s="6">
        <v>300833.33</v>
      </c>
      <c r="UL51" s="6">
        <v>318883.33</v>
      </c>
      <c r="UM51" s="6">
        <v>22959600</v>
      </c>
      <c r="UN51" s="6">
        <v>3673536</v>
      </c>
      <c r="UO51" s="6">
        <v>3673536</v>
      </c>
      <c r="UP51" s="6">
        <v>26633136</v>
      </c>
      <c r="UQ51" s="6">
        <v>26389284</v>
      </c>
      <c r="UR51" s="6">
        <v>170000</v>
      </c>
      <c r="US51" s="2"/>
      <c r="UT51" s="6">
        <v>170000</v>
      </c>
      <c r="UU51" s="6">
        <v>170000</v>
      </c>
      <c r="UV51" s="6">
        <v>170000</v>
      </c>
      <c r="UW51" s="6">
        <v>340000</v>
      </c>
      <c r="UX51" s="6">
        <v>0</v>
      </c>
      <c r="UY51" s="6">
        <v>340000</v>
      </c>
      <c r="UZ51" s="2" t="s">
        <v>1649</v>
      </c>
      <c r="VA51" s="2" t="s">
        <v>182</v>
      </c>
      <c r="VB51" s="2" t="s">
        <v>1649</v>
      </c>
      <c r="VC51" s="2" t="s">
        <v>453</v>
      </c>
      <c r="VD51" s="2" t="s">
        <v>9</v>
      </c>
      <c r="VE51" s="2" t="s">
        <v>9</v>
      </c>
      <c r="VF51" s="2" t="s">
        <v>1650</v>
      </c>
      <c r="VG51" s="2" t="s">
        <v>9</v>
      </c>
      <c r="VH51" s="2" t="s">
        <v>1651</v>
      </c>
      <c r="VI51" s="388" t="s">
        <v>4737</v>
      </c>
      <c r="VJ51" s="2" t="s">
        <v>98</v>
      </c>
      <c r="VK51" s="2" t="s">
        <v>1652</v>
      </c>
      <c r="VL51" s="23">
        <f t="shared" si="21"/>
        <v>144</v>
      </c>
      <c r="VM51" s="17">
        <f t="shared" si="22"/>
        <v>2</v>
      </c>
      <c r="VN51" s="17" t="str">
        <f t="shared" si="12"/>
        <v>NC-GA-F</v>
      </c>
      <c r="VO51" s="17" t="str">
        <f t="shared" si="13"/>
        <v>NC-GA-F-Non</v>
      </c>
      <c r="VP51" s="12">
        <v>9</v>
      </c>
      <c r="VQ51" s="57">
        <v>1</v>
      </c>
      <c r="VR51" s="57">
        <f t="shared" si="23"/>
        <v>1</v>
      </c>
      <c r="VS51" s="14">
        <f t="shared" si="24"/>
        <v>0.97</v>
      </c>
      <c r="VT51" s="12">
        <f t="shared" si="25"/>
        <v>1</v>
      </c>
      <c r="VU51" s="16">
        <f t="shared" si="26"/>
        <v>17896500</v>
      </c>
      <c r="VV51" s="16">
        <f t="shared" si="27"/>
        <v>248562.5</v>
      </c>
      <c r="VW51" s="12" t="str">
        <f t="shared" si="14"/>
        <v>A</v>
      </c>
      <c r="VX51" s="12" t="str">
        <f t="shared" si="15"/>
        <v>NC-GA-Non</v>
      </c>
      <c r="VY51" s="351">
        <f t="shared" si="16"/>
        <v>5</v>
      </c>
      <c r="WA51" s="12">
        <f t="shared" si="17"/>
        <v>0</v>
      </c>
      <c r="WB51" s="12">
        <f t="shared" si="18"/>
        <v>0</v>
      </c>
      <c r="WC51" s="12">
        <f t="shared" si="18"/>
        <v>0</v>
      </c>
      <c r="WD51" s="12">
        <f t="shared" si="18"/>
        <v>1</v>
      </c>
      <c r="WE51" s="12">
        <f t="shared" si="19"/>
        <v>0</v>
      </c>
      <c r="WF51" s="12">
        <f t="shared" si="28"/>
        <v>1</v>
      </c>
      <c r="WG51" s="12">
        <f t="shared" si="29"/>
        <v>0</v>
      </c>
      <c r="WH51" s="12">
        <f t="shared" si="30"/>
        <v>0</v>
      </c>
      <c r="WI51" s="22">
        <f t="shared" si="31"/>
        <v>2</v>
      </c>
      <c r="WJ51" s="2"/>
      <c r="WK51" s="443" t="str">
        <f t="shared" si="20"/>
        <v>NC-GA-Non-BBN-BRN-PHA-F</v>
      </c>
      <c r="WL51" s="443"/>
      <c r="WM51" s="443"/>
    </row>
    <row r="52" spans="1:611" x14ac:dyDescent="0.25">
      <c r="A52" s="2">
        <v>9535</v>
      </c>
      <c r="B52" s="2" t="s">
        <v>1558</v>
      </c>
      <c r="C52" s="2" t="s">
        <v>8</v>
      </c>
      <c r="D52" s="3">
        <v>45153</v>
      </c>
      <c r="E52" s="2" t="s">
        <v>9</v>
      </c>
      <c r="F52" s="2">
        <v>3</v>
      </c>
      <c r="G52" s="2" t="s">
        <v>9</v>
      </c>
      <c r="H52" s="2">
        <v>3</v>
      </c>
      <c r="I52" s="2" t="s">
        <v>9</v>
      </c>
      <c r="J52" s="2">
        <v>3</v>
      </c>
      <c r="K52" s="2" t="s">
        <v>9</v>
      </c>
      <c r="L52" s="2">
        <v>3</v>
      </c>
      <c r="M52" s="2" t="s">
        <v>10</v>
      </c>
      <c r="N52" s="2">
        <v>0</v>
      </c>
      <c r="O52" s="2" t="s">
        <v>10</v>
      </c>
      <c r="P52" s="2">
        <v>0</v>
      </c>
      <c r="Q52" s="2" t="s">
        <v>11</v>
      </c>
      <c r="R52" s="2">
        <v>0</v>
      </c>
      <c r="S52" s="2" t="s">
        <v>9</v>
      </c>
      <c r="T52" s="2">
        <v>2</v>
      </c>
      <c r="U52" s="2" t="s">
        <v>9</v>
      </c>
      <c r="V52" s="2">
        <v>2</v>
      </c>
      <c r="W52" s="2" t="s">
        <v>9</v>
      </c>
      <c r="X52" s="2">
        <v>2</v>
      </c>
      <c r="Y52" s="2" t="s">
        <v>12</v>
      </c>
      <c r="Z52" s="2" t="s">
        <v>15</v>
      </c>
      <c r="AA52" s="2" t="s">
        <v>15</v>
      </c>
      <c r="AB52" s="2" t="s">
        <v>15</v>
      </c>
      <c r="AC52" s="2" t="s">
        <v>15</v>
      </c>
      <c r="AD52" s="2" t="s">
        <v>15</v>
      </c>
      <c r="AE52" s="2" t="s">
        <v>15</v>
      </c>
      <c r="AF52" s="2">
        <v>0</v>
      </c>
      <c r="AG52" s="2" t="s">
        <v>234</v>
      </c>
      <c r="AH52" s="2" t="s">
        <v>17</v>
      </c>
      <c r="AI52" s="4">
        <v>0.15714</v>
      </c>
      <c r="AJ52" s="2" t="s">
        <v>17</v>
      </c>
      <c r="AK52" s="2" t="s">
        <v>9</v>
      </c>
      <c r="AL52" s="2" t="s">
        <v>17</v>
      </c>
      <c r="AM52" s="2" t="s">
        <v>17</v>
      </c>
      <c r="AN52" s="2" t="s">
        <v>17</v>
      </c>
      <c r="AO52" s="2" t="s">
        <v>17</v>
      </c>
      <c r="AP52" s="2" t="s">
        <v>9</v>
      </c>
      <c r="AQ52" s="2" t="s">
        <v>17</v>
      </c>
      <c r="AR52" s="2" t="s">
        <v>9</v>
      </c>
      <c r="AS52" s="2" t="s">
        <v>17</v>
      </c>
      <c r="AT52" s="2">
        <v>0</v>
      </c>
      <c r="AU52" s="5">
        <v>20000</v>
      </c>
      <c r="AV52" s="5">
        <v>340000</v>
      </c>
      <c r="AW52" s="2">
        <v>0</v>
      </c>
      <c r="AX52" s="2">
        <v>11</v>
      </c>
      <c r="AY52" s="2">
        <v>0</v>
      </c>
      <c r="AZ52" s="2">
        <v>18</v>
      </c>
      <c r="BA52" s="2">
        <v>0</v>
      </c>
      <c r="BB52" s="2">
        <v>1</v>
      </c>
      <c r="BC52" s="2">
        <v>0</v>
      </c>
      <c r="BD52" s="2">
        <v>0</v>
      </c>
      <c r="BE52" s="2">
        <v>0</v>
      </c>
      <c r="BF52" s="2">
        <v>1</v>
      </c>
      <c r="BG52" s="2">
        <v>0</v>
      </c>
      <c r="BH52" s="2">
        <v>0</v>
      </c>
      <c r="BI52" s="2">
        <v>13</v>
      </c>
      <c r="BJ52" s="2">
        <v>1</v>
      </c>
      <c r="BK52" s="2">
        <v>0</v>
      </c>
      <c r="BL52" s="2">
        <v>3</v>
      </c>
      <c r="BM52" s="2">
        <v>0</v>
      </c>
      <c r="BN52" s="2">
        <v>12</v>
      </c>
      <c r="BO52" s="2">
        <v>11</v>
      </c>
      <c r="BP52" s="2">
        <v>0</v>
      </c>
      <c r="BQ52" s="2">
        <v>10</v>
      </c>
      <c r="BR52" s="2">
        <v>10.69</v>
      </c>
      <c r="BS52" s="2">
        <v>0</v>
      </c>
      <c r="BT52" s="4">
        <v>0.06</v>
      </c>
      <c r="BU52" s="2" t="s">
        <v>9</v>
      </c>
      <c r="BV52" s="6">
        <v>220430.16</v>
      </c>
      <c r="BW52" s="2" t="s">
        <v>18</v>
      </c>
      <c r="BX52" s="2" t="s">
        <v>17</v>
      </c>
      <c r="BY52" s="2" t="s">
        <v>17</v>
      </c>
      <c r="BZ52" s="2" t="s">
        <v>17</v>
      </c>
      <c r="CA52" s="2" t="s">
        <v>17</v>
      </c>
      <c r="CB52" s="2" t="s">
        <v>17</v>
      </c>
      <c r="CC52" s="2" t="s">
        <v>17</v>
      </c>
      <c r="CD52" s="2" t="s">
        <v>17</v>
      </c>
      <c r="CE52" s="2" t="s">
        <v>1559</v>
      </c>
      <c r="CF52" s="2" t="s">
        <v>17</v>
      </c>
      <c r="CG52" s="2" t="s">
        <v>1560</v>
      </c>
      <c r="CH52" s="2"/>
      <c r="CI52" s="2"/>
      <c r="CJ52" s="2" t="s">
        <v>9</v>
      </c>
      <c r="CK52" s="2" t="s">
        <v>1132</v>
      </c>
      <c r="CL52" s="2" t="s">
        <v>1560</v>
      </c>
      <c r="CM52" s="2" t="s">
        <v>1133</v>
      </c>
      <c r="CN52" s="2" t="s">
        <v>1134</v>
      </c>
      <c r="CO52" s="2" t="s">
        <v>24</v>
      </c>
      <c r="CP52" s="2"/>
      <c r="CQ52" s="2">
        <v>144</v>
      </c>
      <c r="CR52" s="2" t="s">
        <v>105</v>
      </c>
      <c r="CS52" s="2">
        <v>2020</v>
      </c>
      <c r="CT52" s="2" t="s">
        <v>26</v>
      </c>
      <c r="CU52" s="2" t="s">
        <v>27</v>
      </c>
      <c r="CV52" s="2" t="s">
        <v>1136</v>
      </c>
      <c r="CW52" s="2" t="s">
        <v>1137</v>
      </c>
      <c r="CX52" s="2" t="s">
        <v>24</v>
      </c>
      <c r="CY52" s="2"/>
      <c r="CZ52" s="2">
        <v>120</v>
      </c>
      <c r="DA52" s="2" t="s">
        <v>105</v>
      </c>
      <c r="DB52" s="2">
        <v>2017</v>
      </c>
      <c r="DC52" s="2" t="s">
        <v>30</v>
      </c>
      <c r="DD52" s="2" t="s">
        <v>27</v>
      </c>
      <c r="DE52" s="2" t="s">
        <v>1138</v>
      </c>
      <c r="DF52" s="2" t="s">
        <v>1139</v>
      </c>
      <c r="DG52" s="2" t="s">
        <v>24</v>
      </c>
      <c r="DH52" s="2"/>
      <c r="DI52" s="2">
        <v>92</v>
      </c>
      <c r="DJ52" s="2" t="s">
        <v>105</v>
      </c>
      <c r="DK52" s="2">
        <v>2021</v>
      </c>
      <c r="DL52" s="2" t="s">
        <v>30</v>
      </c>
      <c r="DM52" s="2" t="s">
        <v>27</v>
      </c>
      <c r="DN52" s="2" t="s">
        <v>33</v>
      </c>
      <c r="DO52" s="2" t="s">
        <v>1140</v>
      </c>
      <c r="DP52" s="2"/>
      <c r="DQ52" s="2" t="s">
        <v>1141</v>
      </c>
      <c r="DR52" s="2" t="s">
        <v>1142</v>
      </c>
      <c r="DS52" s="2">
        <v>1</v>
      </c>
      <c r="DT52" s="2" t="s">
        <v>1143</v>
      </c>
      <c r="DU52" s="2" t="s">
        <v>1144</v>
      </c>
      <c r="DV52" s="2" t="s">
        <v>39</v>
      </c>
      <c r="DW52" s="2">
        <v>33716</v>
      </c>
      <c r="DX52" s="2" t="s">
        <v>1145</v>
      </c>
      <c r="DY52" s="2"/>
      <c r="DZ52" s="2" t="s">
        <v>1146</v>
      </c>
      <c r="EA52" s="2" t="s">
        <v>1142</v>
      </c>
      <c r="EB52" s="2" t="s">
        <v>1136</v>
      </c>
      <c r="EC52" s="2" t="s">
        <v>1137</v>
      </c>
      <c r="ED52" s="2" t="s">
        <v>44</v>
      </c>
      <c r="EE52" s="2">
        <v>120</v>
      </c>
      <c r="EF52" s="2" t="s">
        <v>106</v>
      </c>
      <c r="EG52" s="2">
        <v>6</v>
      </c>
      <c r="EH52" s="2" t="s">
        <v>46</v>
      </c>
      <c r="EI52" s="2" t="s">
        <v>47</v>
      </c>
      <c r="EJ52" s="2" t="s">
        <v>1148</v>
      </c>
      <c r="EK52" s="2" t="s">
        <v>333</v>
      </c>
      <c r="EL52" s="2" t="s">
        <v>44</v>
      </c>
      <c r="EM52" s="2">
        <v>88</v>
      </c>
      <c r="EN52" s="2" t="s">
        <v>106</v>
      </c>
      <c r="EO52" s="2">
        <v>8</v>
      </c>
      <c r="EP52" s="2" t="s">
        <v>46</v>
      </c>
      <c r="EQ52" s="2" t="s">
        <v>47</v>
      </c>
      <c r="ER52" s="2" t="s">
        <v>1149</v>
      </c>
      <c r="ES52" s="2"/>
      <c r="ET52" s="2" t="s">
        <v>247</v>
      </c>
      <c r="EU52" s="2" t="s">
        <v>1559</v>
      </c>
      <c r="EV52" s="2" t="s">
        <v>1143</v>
      </c>
      <c r="EW52" s="2" t="s">
        <v>1144</v>
      </c>
      <c r="EX52" s="2" t="s">
        <v>39</v>
      </c>
      <c r="EY52" s="2">
        <v>33716</v>
      </c>
      <c r="EZ52" s="2" t="s">
        <v>1150</v>
      </c>
      <c r="FA52" s="2"/>
      <c r="FB52" s="2" t="s">
        <v>1151</v>
      </c>
      <c r="FC52" s="2" t="s">
        <v>1024</v>
      </c>
      <c r="FD52" s="2"/>
      <c r="FE52" s="2" t="s">
        <v>1141</v>
      </c>
      <c r="FF52" s="2" t="s">
        <v>1152</v>
      </c>
      <c r="FG52" s="2" t="s">
        <v>1143</v>
      </c>
      <c r="FH52" s="2" t="s">
        <v>1144</v>
      </c>
      <c r="FI52" s="2" t="s">
        <v>39</v>
      </c>
      <c r="FJ52" s="2">
        <v>33716</v>
      </c>
      <c r="FK52" s="2" t="s">
        <v>1153</v>
      </c>
      <c r="FL52" s="2"/>
      <c r="FM52" s="2" t="s">
        <v>1154</v>
      </c>
      <c r="FN52" s="2" t="s">
        <v>1561</v>
      </c>
      <c r="FO52" s="2" t="s">
        <v>63</v>
      </c>
      <c r="FP52" s="2" t="s">
        <v>64</v>
      </c>
      <c r="FQ52" s="2" t="s">
        <v>9</v>
      </c>
      <c r="FR52" s="2" t="s">
        <v>17</v>
      </c>
      <c r="FS52" s="2" t="s">
        <v>17</v>
      </c>
      <c r="FT52" s="2" t="s">
        <v>9</v>
      </c>
      <c r="FU52" s="2">
        <v>0</v>
      </c>
      <c r="FV52" s="2">
        <v>0</v>
      </c>
      <c r="FW52" s="4">
        <v>0</v>
      </c>
      <c r="FX52" s="4">
        <v>0</v>
      </c>
      <c r="FY52" s="2" t="s">
        <v>65</v>
      </c>
      <c r="FZ52" s="2" t="s">
        <v>66</v>
      </c>
      <c r="GA52" s="2" t="s">
        <v>67</v>
      </c>
      <c r="GB52" s="2"/>
      <c r="GC52" s="2"/>
      <c r="GD52" s="2"/>
      <c r="GE52" s="2" t="s">
        <v>68</v>
      </c>
      <c r="GF52" s="2">
        <v>70</v>
      </c>
      <c r="GG52" s="2">
        <v>70</v>
      </c>
      <c r="GH52" s="2"/>
      <c r="GI52" s="2"/>
      <c r="GJ52" s="2"/>
      <c r="GK52" s="2"/>
      <c r="GL52" s="2"/>
      <c r="GM52" s="2"/>
      <c r="GN52" s="2"/>
      <c r="GO52" s="2"/>
      <c r="GP52" s="2"/>
      <c r="GQ52" s="2">
        <v>70</v>
      </c>
      <c r="GR52" s="2" t="s">
        <v>142</v>
      </c>
      <c r="GS52" s="2" t="s">
        <v>70</v>
      </c>
      <c r="GT52" s="2" t="s">
        <v>1562</v>
      </c>
      <c r="GU52" s="2" t="s">
        <v>1563</v>
      </c>
      <c r="GV52" s="2" t="s">
        <v>17</v>
      </c>
      <c r="GW52" s="2">
        <v>26.993019</v>
      </c>
      <c r="GX52" s="2">
        <v>-82.028435999999999</v>
      </c>
      <c r="GY52" s="2"/>
      <c r="GZ52" s="2" t="s">
        <v>17</v>
      </c>
      <c r="HA52" s="2" t="s">
        <v>17</v>
      </c>
      <c r="HB52" s="2">
        <v>0</v>
      </c>
      <c r="HC52" s="2" t="s">
        <v>17</v>
      </c>
      <c r="HD52" s="2"/>
      <c r="HE52" s="2">
        <v>0</v>
      </c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 t="s">
        <v>73</v>
      </c>
      <c r="HY52" s="2" t="s">
        <v>17</v>
      </c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 t="s">
        <v>9</v>
      </c>
      <c r="IP52" s="2">
        <v>0</v>
      </c>
      <c r="IQ52" s="2">
        <v>0</v>
      </c>
      <c r="IR52" s="2">
        <v>0</v>
      </c>
      <c r="IS52" s="2">
        <v>0</v>
      </c>
      <c r="IT52" s="2" t="s">
        <v>9</v>
      </c>
      <c r="IU52" s="2" t="s">
        <v>17</v>
      </c>
      <c r="IV52" s="2" t="s">
        <v>17</v>
      </c>
      <c r="IW52" s="2" t="s">
        <v>17</v>
      </c>
      <c r="IX52" s="2" t="s">
        <v>17</v>
      </c>
      <c r="IY52" s="2">
        <v>0</v>
      </c>
      <c r="IZ52" s="2">
        <v>70</v>
      </c>
      <c r="JA52" s="2" t="s">
        <v>81</v>
      </c>
      <c r="JB52" s="2" t="s">
        <v>82</v>
      </c>
      <c r="JC52" s="2"/>
      <c r="JD52" s="2"/>
      <c r="JE52" s="2"/>
      <c r="JF52" s="2"/>
      <c r="JG52" s="2"/>
      <c r="JH52" s="7">
        <v>0</v>
      </c>
      <c r="JI52" s="2">
        <v>0</v>
      </c>
      <c r="JJ52" s="7">
        <v>0</v>
      </c>
      <c r="JK52" s="2">
        <v>0</v>
      </c>
      <c r="JL52" s="7">
        <v>0</v>
      </c>
      <c r="JM52" s="2">
        <v>11</v>
      </c>
      <c r="JN52" s="2"/>
      <c r="JO52" s="2"/>
      <c r="JP52" s="2">
        <v>43</v>
      </c>
      <c r="JQ52" s="2"/>
      <c r="JR52" s="2">
        <v>16</v>
      </c>
      <c r="JS52" s="2">
        <v>0</v>
      </c>
      <c r="JT52" s="2">
        <v>0</v>
      </c>
      <c r="JU52" s="2"/>
      <c r="JV52" s="2">
        <v>70</v>
      </c>
      <c r="JW52" s="4">
        <v>1</v>
      </c>
      <c r="JX52" s="2">
        <v>70</v>
      </c>
      <c r="JY52" s="4">
        <v>0.59857000000000005</v>
      </c>
      <c r="JZ52" s="2">
        <v>0</v>
      </c>
      <c r="KA52" s="2"/>
      <c r="KB52" s="2"/>
      <c r="KC52" s="2"/>
      <c r="KD52" s="2"/>
      <c r="KE52" s="2"/>
      <c r="KF52" s="2"/>
      <c r="KG52" s="2"/>
      <c r="KH52" s="2">
        <v>20</v>
      </c>
      <c r="KI52" s="2"/>
      <c r="KJ52" s="2"/>
      <c r="KK52" s="2">
        <v>40</v>
      </c>
      <c r="KL52" s="2">
        <v>10</v>
      </c>
      <c r="KM52" s="2"/>
      <c r="KN52" s="2"/>
      <c r="KO52" s="2"/>
      <c r="KP52" s="2"/>
      <c r="KQ52" s="2" t="s">
        <v>83</v>
      </c>
      <c r="KR52" s="2" t="s">
        <v>73</v>
      </c>
      <c r="KS52" s="2"/>
      <c r="KT52" s="2">
        <v>2</v>
      </c>
      <c r="KU52" s="2" t="s">
        <v>84</v>
      </c>
      <c r="KV52" s="2" t="s">
        <v>85</v>
      </c>
      <c r="KW52" s="2" t="s">
        <v>86</v>
      </c>
      <c r="KX52" s="2" t="s">
        <v>17</v>
      </c>
      <c r="KY52" s="2" t="s">
        <v>17</v>
      </c>
      <c r="KZ52" s="2" t="s">
        <v>17</v>
      </c>
      <c r="LA52" s="2" t="s">
        <v>17</v>
      </c>
      <c r="LB52" s="2" t="s">
        <v>17</v>
      </c>
      <c r="LC52" s="2" t="s">
        <v>17</v>
      </c>
      <c r="LD52" s="2" t="s">
        <v>17</v>
      </c>
      <c r="LE52" s="2" t="s">
        <v>17</v>
      </c>
      <c r="LF52" s="2" t="s">
        <v>17</v>
      </c>
      <c r="LG52" s="2" t="s">
        <v>17</v>
      </c>
      <c r="LH52" s="2" t="s">
        <v>17</v>
      </c>
      <c r="LI52" s="2" t="s">
        <v>17</v>
      </c>
      <c r="LJ52" s="2" t="s">
        <v>87</v>
      </c>
      <c r="LK52" s="2" t="s">
        <v>17</v>
      </c>
      <c r="LL52" s="2" t="s">
        <v>17</v>
      </c>
      <c r="LM52" s="2">
        <v>0</v>
      </c>
      <c r="LN52" s="2" t="s">
        <v>17</v>
      </c>
      <c r="LO52" s="2" t="s">
        <v>9</v>
      </c>
      <c r="LP52" s="2" t="s">
        <v>9</v>
      </c>
      <c r="LQ52" s="2" t="s">
        <v>17</v>
      </c>
      <c r="LR52" s="2" t="s">
        <v>9</v>
      </c>
      <c r="LS52" s="2" t="s">
        <v>17</v>
      </c>
      <c r="LT52" s="2" t="s">
        <v>17</v>
      </c>
      <c r="LU52" s="2" t="s">
        <v>17</v>
      </c>
      <c r="LV52" s="2" t="s">
        <v>17</v>
      </c>
      <c r="LW52" s="2" t="s">
        <v>17</v>
      </c>
      <c r="LX52" s="2" t="s">
        <v>17</v>
      </c>
      <c r="LY52" s="5">
        <v>5600000</v>
      </c>
      <c r="LZ52" s="5">
        <v>0</v>
      </c>
      <c r="MA52" s="5">
        <v>7000000</v>
      </c>
      <c r="MB52" s="5">
        <v>0</v>
      </c>
      <c r="MC52" s="5">
        <v>0</v>
      </c>
      <c r="MD52" s="5">
        <v>0</v>
      </c>
      <c r="ME52" s="5">
        <v>7350000</v>
      </c>
      <c r="MF52" s="5">
        <v>0</v>
      </c>
      <c r="MG52" s="5">
        <v>0</v>
      </c>
      <c r="MH52" s="5">
        <v>0</v>
      </c>
      <c r="MI52" s="5">
        <v>0</v>
      </c>
      <c r="MJ52" s="5">
        <v>0</v>
      </c>
      <c r="MK52" s="5">
        <v>0</v>
      </c>
      <c r="ML52" s="2">
        <v>0</v>
      </c>
      <c r="MM52" s="5">
        <v>0</v>
      </c>
      <c r="MN52" s="5">
        <v>0</v>
      </c>
      <c r="MO52" s="2">
        <v>0</v>
      </c>
      <c r="MP52" s="2">
        <v>0</v>
      </c>
      <c r="MQ52" s="2">
        <v>0</v>
      </c>
      <c r="MR52" s="5">
        <v>2950000</v>
      </c>
      <c r="MS52" s="5">
        <v>0</v>
      </c>
      <c r="MT52" s="5">
        <v>4600000</v>
      </c>
      <c r="MU52" s="5">
        <v>0</v>
      </c>
      <c r="MV52" s="5">
        <v>0</v>
      </c>
      <c r="MW52" s="5">
        <v>0</v>
      </c>
      <c r="MX52" s="5">
        <v>0</v>
      </c>
      <c r="MY52" s="5">
        <v>2500000</v>
      </c>
      <c r="MZ52" s="5">
        <v>0</v>
      </c>
      <c r="NA52" s="5">
        <v>5000000</v>
      </c>
      <c r="NB52" s="5">
        <v>0</v>
      </c>
      <c r="NC52" s="5">
        <v>0</v>
      </c>
      <c r="ND52" s="5">
        <v>0</v>
      </c>
      <c r="NE52" s="5">
        <v>0</v>
      </c>
      <c r="NF52" s="5">
        <v>0</v>
      </c>
      <c r="NG52" s="5">
        <v>2142000</v>
      </c>
      <c r="NH52" s="5">
        <v>2142000</v>
      </c>
      <c r="NI52" s="5">
        <v>2142000</v>
      </c>
      <c r="NJ52" s="5">
        <v>0</v>
      </c>
      <c r="NK52" s="5"/>
      <c r="NL52" s="2" t="s">
        <v>17</v>
      </c>
      <c r="NM52" s="2" t="s">
        <v>17</v>
      </c>
      <c r="NN52" s="2"/>
      <c r="NO52" s="2" t="s">
        <v>17</v>
      </c>
      <c r="NP52" s="2"/>
      <c r="NQ52" s="2"/>
      <c r="NR52" s="2" t="s">
        <v>17</v>
      </c>
      <c r="NS52" s="2"/>
      <c r="NT52" s="2" t="s">
        <v>17</v>
      </c>
      <c r="NU52" s="2"/>
      <c r="NV52" s="2"/>
      <c r="NW52" s="2"/>
      <c r="NX52" s="2" t="s">
        <v>9</v>
      </c>
      <c r="NY52" s="2" t="s">
        <v>88</v>
      </c>
      <c r="NZ52" s="2">
        <v>201.01</v>
      </c>
      <c r="OA52" s="2" t="s">
        <v>1564</v>
      </c>
      <c r="OB52" s="2" t="s">
        <v>1565</v>
      </c>
      <c r="OC52" s="2" t="s">
        <v>1565</v>
      </c>
      <c r="OD52" s="2" t="s">
        <v>9</v>
      </c>
      <c r="OE52" s="2" t="s">
        <v>320</v>
      </c>
      <c r="OF52" s="2" t="s">
        <v>17</v>
      </c>
      <c r="OG52" s="2" t="s">
        <v>17</v>
      </c>
      <c r="OH52" s="2" t="s">
        <v>92</v>
      </c>
      <c r="OI52" s="2"/>
      <c r="OJ52" s="2"/>
      <c r="OK52" s="2" t="s">
        <v>17</v>
      </c>
      <c r="OL52" s="2" t="s">
        <v>17</v>
      </c>
      <c r="OM52" s="2" t="s">
        <v>85</v>
      </c>
      <c r="ON52" s="6">
        <v>0</v>
      </c>
      <c r="OO52" s="6">
        <v>0</v>
      </c>
      <c r="OP52" s="2" t="s">
        <v>93</v>
      </c>
      <c r="OQ52" s="2" t="s">
        <v>93</v>
      </c>
      <c r="OR52" s="6">
        <v>0</v>
      </c>
      <c r="OS52" s="4">
        <v>0</v>
      </c>
      <c r="OT52" s="2" t="s">
        <v>17</v>
      </c>
      <c r="OU52" s="2" t="s">
        <v>17</v>
      </c>
      <c r="OV52" s="2"/>
      <c r="OW52" s="2"/>
      <c r="OX52" s="5">
        <v>15430111</v>
      </c>
      <c r="OY52" s="6">
        <v>220430.16</v>
      </c>
      <c r="OZ52" s="2"/>
      <c r="PA52" s="2"/>
      <c r="PB52" s="8">
        <v>12198000</v>
      </c>
      <c r="PC52" s="8">
        <v>112000</v>
      </c>
      <c r="PD52" s="8">
        <v>12310000</v>
      </c>
      <c r="PE52" s="2"/>
      <c r="PF52" s="2"/>
      <c r="PG52" s="2"/>
      <c r="PH52" s="2"/>
      <c r="PI52" s="2"/>
      <c r="PJ52" s="2"/>
      <c r="PK52" s="8">
        <v>12198000</v>
      </c>
      <c r="PL52" s="8">
        <v>112000</v>
      </c>
      <c r="PM52" s="8">
        <v>12310000</v>
      </c>
      <c r="PN52" s="8">
        <v>1723400</v>
      </c>
      <c r="PO52" s="2"/>
      <c r="PP52" s="8">
        <v>1723400</v>
      </c>
      <c r="PQ52" s="6">
        <v>1723400</v>
      </c>
      <c r="PR52" s="8">
        <v>13921400</v>
      </c>
      <c r="PS52" s="8">
        <v>112000</v>
      </c>
      <c r="PT52" s="8">
        <v>14033400</v>
      </c>
      <c r="PU52" s="8">
        <v>701670</v>
      </c>
      <c r="PV52" s="2"/>
      <c r="PW52" s="8">
        <v>701670</v>
      </c>
      <c r="PX52" s="6">
        <v>701670</v>
      </c>
      <c r="PY52" s="8">
        <v>888500</v>
      </c>
      <c r="PZ52" s="8">
        <v>242751</v>
      </c>
      <c r="QA52" s="8">
        <v>1131251</v>
      </c>
      <c r="QB52" s="8">
        <v>270000</v>
      </c>
      <c r="QC52" s="8">
        <v>180000</v>
      </c>
      <c r="QD52" s="8">
        <v>450000</v>
      </c>
      <c r="QE52" s="8">
        <v>282830</v>
      </c>
      <c r="QF52" s="8">
        <v>13121</v>
      </c>
      <c r="QG52" s="8">
        <v>295951</v>
      </c>
      <c r="QH52" s="2"/>
      <c r="QI52" s="8">
        <v>450780</v>
      </c>
      <c r="QJ52" s="8">
        <v>450780</v>
      </c>
      <c r="QK52" s="2">
        <v>0</v>
      </c>
      <c r="QL52" s="2">
        <v>0</v>
      </c>
      <c r="QM52" s="2"/>
      <c r="QN52" s="8">
        <v>210000</v>
      </c>
      <c r="QO52" s="8">
        <v>15000</v>
      </c>
      <c r="QP52" s="8">
        <v>225000</v>
      </c>
      <c r="QQ52" s="8">
        <v>1651330</v>
      </c>
      <c r="QR52" s="8">
        <v>901652</v>
      </c>
      <c r="QS52" s="8">
        <v>2552982</v>
      </c>
      <c r="QT52" s="8">
        <v>127649</v>
      </c>
      <c r="QU52" s="2"/>
      <c r="QV52" s="8">
        <v>127649</v>
      </c>
      <c r="QW52" s="6">
        <v>127649.1</v>
      </c>
      <c r="QX52" s="8">
        <v>920550</v>
      </c>
      <c r="QY52" s="8">
        <v>518700</v>
      </c>
      <c r="QZ52" s="8">
        <v>1439250</v>
      </c>
      <c r="RA52" s="8">
        <v>24100</v>
      </c>
      <c r="RB52" s="8">
        <v>24100</v>
      </c>
      <c r="RC52" s="8">
        <v>21000</v>
      </c>
      <c r="RD52" s="8">
        <v>39000</v>
      </c>
      <c r="RE52" s="8">
        <v>60000</v>
      </c>
      <c r="RF52" s="8">
        <v>941550</v>
      </c>
      <c r="RG52" s="8">
        <v>581800</v>
      </c>
      <c r="RH52" s="8">
        <v>1523350</v>
      </c>
      <c r="RI52" s="2"/>
      <c r="RJ52" s="2"/>
      <c r="RK52" s="2"/>
      <c r="RL52" s="2"/>
      <c r="RM52" s="8">
        <v>17343599</v>
      </c>
      <c r="RN52" s="8">
        <v>1595452</v>
      </c>
      <c r="RO52" s="8">
        <v>18939051</v>
      </c>
      <c r="RP52" s="2"/>
      <c r="RQ52" s="2"/>
      <c r="RR52" s="2">
        <v>0</v>
      </c>
      <c r="RS52" s="6">
        <v>0</v>
      </c>
      <c r="RT52" s="8">
        <v>3030248</v>
      </c>
      <c r="RU52" s="2"/>
      <c r="RV52" s="8">
        <v>3030248</v>
      </c>
      <c r="RW52" s="6">
        <v>3030248</v>
      </c>
      <c r="RX52" s="6">
        <v>0</v>
      </c>
      <c r="RY52" s="8">
        <v>3030248</v>
      </c>
      <c r="RZ52" s="2"/>
      <c r="SA52" s="8">
        <v>3030248</v>
      </c>
      <c r="SB52" s="6">
        <v>3030248</v>
      </c>
      <c r="SC52" s="8">
        <v>189999</v>
      </c>
      <c r="SD52" s="8">
        <v>189999</v>
      </c>
      <c r="SE52" s="6">
        <v>245000</v>
      </c>
      <c r="SF52" s="8">
        <v>1650000</v>
      </c>
      <c r="SG52" s="8">
        <v>1650000</v>
      </c>
      <c r="SH52" s="8">
        <v>20373847</v>
      </c>
      <c r="SI52" s="8">
        <v>3435451</v>
      </c>
      <c r="SJ52" s="8">
        <v>23809298</v>
      </c>
      <c r="SK52" s="2"/>
      <c r="SL52" s="2"/>
      <c r="SM52" s="2" t="s">
        <v>1566</v>
      </c>
      <c r="SN52" s="2" t="s">
        <v>1567</v>
      </c>
      <c r="SO52" s="2"/>
      <c r="SP52" s="8">
        <v>19000000</v>
      </c>
      <c r="SQ52" s="2" t="s">
        <v>95</v>
      </c>
      <c r="SR52" s="8">
        <v>340000</v>
      </c>
      <c r="SS52" s="2" t="s">
        <v>180</v>
      </c>
      <c r="ST52" s="2"/>
      <c r="SU52" s="2"/>
      <c r="SV52" s="2"/>
      <c r="SW52" s="2"/>
      <c r="SX52" s="2" t="s">
        <v>96</v>
      </c>
      <c r="SY52" s="2" t="s">
        <v>96</v>
      </c>
      <c r="SZ52" s="2" t="s">
        <v>96</v>
      </c>
      <c r="TA52" s="2" t="s">
        <v>96</v>
      </c>
      <c r="TB52" s="8">
        <v>3019919</v>
      </c>
      <c r="TC52" s="2"/>
      <c r="TD52" s="2"/>
      <c r="TE52" s="2"/>
      <c r="TF52" s="2"/>
      <c r="TG52" s="2"/>
      <c r="TH52" s="2"/>
      <c r="TI52" s="8">
        <v>1449379</v>
      </c>
      <c r="TJ52" s="8">
        <v>23809298</v>
      </c>
      <c r="TK52" s="2">
        <v>0</v>
      </c>
      <c r="TL52" s="2" t="s">
        <v>9</v>
      </c>
      <c r="TM52" s="8">
        <v>2410000</v>
      </c>
      <c r="TN52" s="2" t="s">
        <v>95</v>
      </c>
      <c r="TO52" s="8">
        <v>340000</v>
      </c>
      <c r="TP52" s="2" t="s">
        <v>180</v>
      </c>
      <c r="TQ52" s="2"/>
      <c r="TR52" s="2"/>
      <c r="TS52" s="2"/>
      <c r="TT52" s="2"/>
      <c r="TU52" s="2" t="s">
        <v>96</v>
      </c>
      <c r="TV52" s="8">
        <v>20132787</v>
      </c>
      <c r="TW52" s="2"/>
      <c r="TX52" s="2"/>
      <c r="TY52" s="2"/>
      <c r="TZ52" s="2"/>
      <c r="UA52" s="2"/>
      <c r="UB52" s="2"/>
      <c r="UC52" s="8">
        <v>926511</v>
      </c>
      <c r="UD52" s="8">
        <v>23809298</v>
      </c>
      <c r="UE52" s="6">
        <v>2750000</v>
      </c>
      <c r="UF52" s="2">
        <v>0</v>
      </c>
      <c r="UG52" s="2" t="s">
        <v>9</v>
      </c>
      <c r="UH52" s="2">
        <v>70</v>
      </c>
      <c r="UI52" s="5">
        <v>240000</v>
      </c>
      <c r="UJ52" s="6">
        <v>320000</v>
      </c>
      <c r="UK52" s="6">
        <v>320000</v>
      </c>
      <c r="UL52" s="6">
        <v>339200</v>
      </c>
      <c r="UM52" s="6">
        <v>23744000</v>
      </c>
      <c r="UN52" s="6">
        <v>3799040</v>
      </c>
      <c r="UO52" s="6">
        <v>3799040</v>
      </c>
      <c r="UP52" s="6">
        <v>27543040</v>
      </c>
      <c r="UQ52" s="6">
        <v>21969299</v>
      </c>
      <c r="UR52" s="6">
        <v>340000</v>
      </c>
      <c r="US52" s="2"/>
      <c r="UT52" s="6">
        <v>340000</v>
      </c>
      <c r="UU52" s="2"/>
      <c r="UV52" s="6">
        <v>0</v>
      </c>
      <c r="UW52" s="6">
        <v>340000</v>
      </c>
      <c r="UX52" s="6">
        <v>0</v>
      </c>
      <c r="UY52" s="6">
        <v>340000</v>
      </c>
      <c r="UZ52" s="2" t="s">
        <v>1568</v>
      </c>
      <c r="VA52" s="2" t="s">
        <v>182</v>
      </c>
      <c r="VB52" s="2"/>
      <c r="VC52" s="2"/>
      <c r="VD52" s="2" t="s">
        <v>9</v>
      </c>
      <c r="VE52" s="2" t="s">
        <v>17</v>
      </c>
      <c r="VF52" s="2"/>
      <c r="VG52" s="2" t="s">
        <v>17</v>
      </c>
      <c r="VH52" s="2"/>
      <c r="VI52" s="388" t="s">
        <v>1132</v>
      </c>
      <c r="VJ52" s="2" t="s">
        <v>98</v>
      </c>
      <c r="VK52" s="2" t="s">
        <v>1168</v>
      </c>
      <c r="VL52" s="23">
        <f t="shared" si="21"/>
        <v>130</v>
      </c>
      <c r="VM52" s="17">
        <f t="shared" si="22"/>
        <v>1.8571428571428572</v>
      </c>
      <c r="VN52" s="17" t="str">
        <f t="shared" si="12"/>
        <v>NC-GA-F</v>
      </c>
      <c r="VO52" s="17" t="str">
        <f t="shared" si="13"/>
        <v>NC-GA-F-ESS</v>
      </c>
      <c r="VP52" s="12">
        <v>9</v>
      </c>
      <c r="VQ52" s="57">
        <v>1</v>
      </c>
      <c r="VR52" s="57">
        <f t="shared" si="23"/>
        <v>1</v>
      </c>
      <c r="VS52" s="14">
        <f t="shared" si="24"/>
        <v>1</v>
      </c>
      <c r="VT52" s="12">
        <f t="shared" si="25"/>
        <v>0.93000000000000016</v>
      </c>
      <c r="VU52" s="16">
        <f t="shared" si="26"/>
        <v>17928540.000000004</v>
      </c>
      <c r="VV52" s="16">
        <f t="shared" si="27"/>
        <v>256122.00000000006</v>
      </c>
      <c r="VW52" s="12" t="str">
        <f t="shared" si="14"/>
        <v>B</v>
      </c>
      <c r="VX52" s="12" t="str">
        <f t="shared" si="15"/>
        <v>NC-GA-ESS</v>
      </c>
      <c r="VY52" s="351">
        <f t="shared" si="16"/>
        <v>5</v>
      </c>
      <c r="WA52" s="12">
        <f t="shared" si="17"/>
        <v>0</v>
      </c>
      <c r="WB52" s="12">
        <f t="shared" si="18"/>
        <v>0</v>
      </c>
      <c r="WC52" s="12">
        <f t="shared" si="18"/>
        <v>0</v>
      </c>
      <c r="WD52" s="12">
        <f t="shared" si="18"/>
        <v>0</v>
      </c>
      <c r="WE52" s="12">
        <f t="shared" si="19"/>
        <v>1</v>
      </c>
      <c r="WF52" s="12">
        <f t="shared" si="28"/>
        <v>1</v>
      </c>
      <c r="WG52" s="12">
        <f t="shared" si="29"/>
        <v>0</v>
      </c>
      <c r="WH52" s="12">
        <f t="shared" si="30"/>
        <v>0</v>
      </c>
      <c r="WI52" s="22">
        <f t="shared" si="31"/>
        <v>2</v>
      </c>
      <c r="WJ52" s="2"/>
      <c r="WK52" s="443" t="str">
        <f t="shared" si="20"/>
        <v>NC-GA-ESS-BBN-BRN-NPH-F</v>
      </c>
      <c r="WL52" s="443"/>
      <c r="WM52" s="443"/>
    </row>
    <row r="53" spans="1:611" x14ac:dyDescent="0.25">
      <c r="A53" s="2">
        <v>9451</v>
      </c>
      <c r="B53" s="15" t="s">
        <v>833</v>
      </c>
      <c r="C53" s="2" t="s">
        <v>8</v>
      </c>
      <c r="D53" s="3">
        <v>45153</v>
      </c>
      <c r="E53" s="2" t="s">
        <v>9</v>
      </c>
      <c r="F53" s="2">
        <v>3</v>
      </c>
      <c r="G53" s="2" t="s">
        <v>9</v>
      </c>
      <c r="H53" s="2">
        <v>3</v>
      </c>
      <c r="I53" s="2" t="s">
        <v>9</v>
      </c>
      <c r="J53" s="2">
        <v>3</v>
      </c>
      <c r="K53" s="2" t="s">
        <v>9</v>
      </c>
      <c r="L53" s="2">
        <v>3</v>
      </c>
      <c r="M53" s="2" t="s">
        <v>10</v>
      </c>
      <c r="N53" s="2">
        <v>0</v>
      </c>
      <c r="O53" s="2" t="s">
        <v>10</v>
      </c>
      <c r="P53" s="2">
        <v>0</v>
      </c>
      <c r="Q53" s="2" t="s">
        <v>11</v>
      </c>
      <c r="R53" s="2">
        <v>0</v>
      </c>
      <c r="S53" s="2" t="s">
        <v>9</v>
      </c>
      <c r="T53" s="2">
        <v>2</v>
      </c>
      <c r="U53" s="2" t="s">
        <v>9</v>
      </c>
      <c r="V53" s="2">
        <v>2</v>
      </c>
      <c r="W53" s="2" t="s">
        <v>9</v>
      </c>
      <c r="X53" s="2">
        <v>2</v>
      </c>
      <c r="Y53" s="2" t="s">
        <v>12</v>
      </c>
      <c r="Z53" s="2" t="s">
        <v>834</v>
      </c>
      <c r="AA53" s="2" t="s">
        <v>15</v>
      </c>
      <c r="AB53" s="2" t="s">
        <v>15</v>
      </c>
      <c r="AC53" s="2" t="s">
        <v>15</v>
      </c>
      <c r="AD53" s="2" t="s">
        <v>15</v>
      </c>
      <c r="AE53" s="2" t="s">
        <v>15</v>
      </c>
      <c r="AF53" s="2">
        <v>1</v>
      </c>
      <c r="AG53" s="2" t="s">
        <v>835</v>
      </c>
      <c r="AH53" s="2" t="s">
        <v>17</v>
      </c>
      <c r="AI53" s="4">
        <v>0.1</v>
      </c>
      <c r="AJ53" s="2" t="s">
        <v>17</v>
      </c>
      <c r="AK53" s="2" t="s">
        <v>9</v>
      </c>
      <c r="AL53" s="2" t="s">
        <v>17</v>
      </c>
      <c r="AM53" s="2" t="s">
        <v>17</v>
      </c>
      <c r="AN53" s="2" t="s">
        <v>17</v>
      </c>
      <c r="AO53" s="2" t="s">
        <v>17</v>
      </c>
      <c r="AP53" s="2" t="s">
        <v>9</v>
      </c>
      <c r="AQ53" s="2" t="s">
        <v>17</v>
      </c>
      <c r="AR53" s="2" t="s">
        <v>17</v>
      </c>
      <c r="AS53" s="2" t="s">
        <v>17</v>
      </c>
      <c r="AT53" s="2">
        <v>0</v>
      </c>
      <c r="AU53" s="5">
        <v>20000</v>
      </c>
      <c r="AV53" s="5">
        <v>340000</v>
      </c>
      <c r="AW53" s="2">
        <v>0</v>
      </c>
      <c r="AX53" s="2">
        <v>6</v>
      </c>
      <c r="AY53" s="2">
        <v>0</v>
      </c>
      <c r="AZ53" s="2">
        <v>18</v>
      </c>
      <c r="BA53" s="2">
        <v>0</v>
      </c>
      <c r="BB53" s="2">
        <v>1</v>
      </c>
      <c r="BC53" s="2">
        <v>1</v>
      </c>
      <c r="BD53" s="2">
        <v>0</v>
      </c>
      <c r="BE53" s="2">
        <v>0</v>
      </c>
      <c r="BF53" s="2">
        <v>1</v>
      </c>
      <c r="BG53" s="2">
        <v>0</v>
      </c>
      <c r="BH53" s="2">
        <v>0</v>
      </c>
      <c r="BI53" s="2">
        <v>13</v>
      </c>
      <c r="BJ53" s="2">
        <v>1</v>
      </c>
      <c r="BK53" s="2">
        <v>0</v>
      </c>
      <c r="BL53" s="2">
        <v>3</v>
      </c>
      <c r="BM53" s="2">
        <v>0</v>
      </c>
      <c r="BN53" s="2">
        <v>12</v>
      </c>
      <c r="BO53" s="2">
        <v>11</v>
      </c>
      <c r="BP53" s="2">
        <v>0</v>
      </c>
      <c r="BQ53" s="2">
        <v>10</v>
      </c>
      <c r="BR53" s="2">
        <v>11.62</v>
      </c>
      <c r="BS53" s="2">
        <v>0</v>
      </c>
      <c r="BT53" s="4">
        <v>0.06</v>
      </c>
      <c r="BU53" s="2" t="s">
        <v>9</v>
      </c>
      <c r="BV53" s="6">
        <v>220476.32</v>
      </c>
      <c r="BW53" s="2" t="s">
        <v>18</v>
      </c>
      <c r="BX53" s="2" t="s">
        <v>17</v>
      </c>
      <c r="BY53" s="2" t="s">
        <v>17</v>
      </c>
      <c r="BZ53" s="2" t="s">
        <v>17</v>
      </c>
      <c r="CA53" s="2" t="s">
        <v>17</v>
      </c>
      <c r="CB53" s="2" t="s">
        <v>17</v>
      </c>
      <c r="CC53" s="2" t="s">
        <v>17</v>
      </c>
      <c r="CD53" s="2" t="s">
        <v>17</v>
      </c>
      <c r="CE53" s="2" t="s">
        <v>836</v>
      </c>
      <c r="CF53" s="2" t="s">
        <v>17</v>
      </c>
      <c r="CG53" s="2" t="s">
        <v>649</v>
      </c>
      <c r="CH53" s="2"/>
      <c r="CI53" s="2"/>
      <c r="CJ53" s="2" t="s">
        <v>9</v>
      </c>
      <c r="CK53" s="2" t="s">
        <v>650</v>
      </c>
      <c r="CL53" s="2" t="s">
        <v>649</v>
      </c>
      <c r="CM53" s="2" t="s">
        <v>651</v>
      </c>
      <c r="CN53" s="2" t="s">
        <v>464</v>
      </c>
      <c r="CO53" s="2" t="s">
        <v>24</v>
      </c>
      <c r="CP53" s="2"/>
      <c r="CQ53" s="2">
        <v>72</v>
      </c>
      <c r="CR53" s="2" t="s">
        <v>331</v>
      </c>
      <c r="CS53" s="2">
        <v>2020</v>
      </c>
      <c r="CT53" s="2" t="s">
        <v>26</v>
      </c>
      <c r="CU53" s="2" t="s">
        <v>27</v>
      </c>
      <c r="CV53" s="2" t="s">
        <v>652</v>
      </c>
      <c r="CW53" s="2" t="s">
        <v>653</v>
      </c>
      <c r="CX53" s="2" t="s">
        <v>24</v>
      </c>
      <c r="CY53" s="2"/>
      <c r="CZ53" s="2">
        <v>96</v>
      </c>
      <c r="DA53" s="2" t="s">
        <v>331</v>
      </c>
      <c r="DB53" s="2">
        <v>2016</v>
      </c>
      <c r="DC53" s="2" t="s">
        <v>30</v>
      </c>
      <c r="DD53" s="2" t="s">
        <v>27</v>
      </c>
      <c r="DE53" s="2" t="s">
        <v>654</v>
      </c>
      <c r="DF53" s="2" t="s">
        <v>655</v>
      </c>
      <c r="DG53" s="2" t="s">
        <v>24</v>
      </c>
      <c r="DH53" s="2"/>
      <c r="DI53" s="2">
        <v>91</v>
      </c>
      <c r="DJ53" s="2" t="s">
        <v>331</v>
      </c>
      <c r="DK53" s="2">
        <v>2016</v>
      </c>
      <c r="DL53" s="2" t="s">
        <v>30</v>
      </c>
      <c r="DM53" s="2" t="s">
        <v>27</v>
      </c>
      <c r="DN53" s="2" t="s">
        <v>33</v>
      </c>
      <c r="DO53" s="2" t="s">
        <v>656</v>
      </c>
      <c r="DP53" s="2" t="s">
        <v>657</v>
      </c>
      <c r="DQ53" s="2" t="s">
        <v>658</v>
      </c>
      <c r="DR53" s="2" t="s">
        <v>659</v>
      </c>
      <c r="DS53" s="2">
        <v>1</v>
      </c>
      <c r="DT53" s="2" t="s">
        <v>660</v>
      </c>
      <c r="DU53" s="2" t="s">
        <v>661</v>
      </c>
      <c r="DV53" s="2" t="s">
        <v>39</v>
      </c>
      <c r="DW53" s="2">
        <v>32751</v>
      </c>
      <c r="DX53" s="2" t="s">
        <v>662</v>
      </c>
      <c r="DY53" s="2"/>
      <c r="DZ53" s="2" t="s">
        <v>663</v>
      </c>
      <c r="EA53" s="2" t="s">
        <v>659</v>
      </c>
      <c r="EB53" s="2" t="s">
        <v>652</v>
      </c>
      <c r="EC53" s="2" t="s">
        <v>653</v>
      </c>
      <c r="ED53" s="2" t="s">
        <v>44</v>
      </c>
      <c r="EE53" s="2">
        <v>96</v>
      </c>
      <c r="EF53" s="2" t="s">
        <v>342</v>
      </c>
      <c r="EG53" s="2">
        <v>7</v>
      </c>
      <c r="EH53" s="2" t="s">
        <v>46</v>
      </c>
      <c r="EI53" s="2" t="s">
        <v>47</v>
      </c>
      <c r="EJ53" s="2" t="s">
        <v>651</v>
      </c>
      <c r="EK53" s="2" t="s">
        <v>464</v>
      </c>
      <c r="EL53" s="2" t="s">
        <v>44</v>
      </c>
      <c r="EM53" s="2">
        <v>72</v>
      </c>
      <c r="EN53" s="2" t="s">
        <v>342</v>
      </c>
      <c r="EO53" s="2">
        <v>4</v>
      </c>
      <c r="EP53" s="2" t="s">
        <v>46</v>
      </c>
      <c r="EQ53" s="2" t="s">
        <v>47</v>
      </c>
      <c r="ER53" s="2" t="s">
        <v>664</v>
      </c>
      <c r="ES53" s="2" t="s">
        <v>665</v>
      </c>
      <c r="ET53" s="2" t="s">
        <v>666</v>
      </c>
      <c r="EU53" s="2" t="s">
        <v>649</v>
      </c>
      <c r="EV53" s="2" t="s">
        <v>667</v>
      </c>
      <c r="EW53" s="2" t="s">
        <v>668</v>
      </c>
      <c r="EX53" s="2" t="s">
        <v>39</v>
      </c>
      <c r="EY53" s="2">
        <v>34236</v>
      </c>
      <c r="EZ53" s="2" t="s">
        <v>669</v>
      </c>
      <c r="FA53" s="2">
        <v>110</v>
      </c>
      <c r="FB53" s="2" t="s">
        <v>670</v>
      </c>
      <c r="FC53" s="2" t="s">
        <v>671</v>
      </c>
      <c r="FD53" s="2" t="s">
        <v>672</v>
      </c>
      <c r="FE53" s="2" t="s">
        <v>673</v>
      </c>
      <c r="FF53" s="2" t="s">
        <v>649</v>
      </c>
      <c r="FG53" s="2" t="s">
        <v>667</v>
      </c>
      <c r="FH53" s="2" t="s">
        <v>668</v>
      </c>
      <c r="FI53" s="2" t="s">
        <v>39</v>
      </c>
      <c r="FJ53" s="2">
        <v>34236</v>
      </c>
      <c r="FK53" s="2" t="s">
        <v>669</v>
      </c>
      <c r="FL53" s="2">
        <v>130</v>
      </c>
      <c r="FM53" s="2" t="s">
        <v>674</v>
      </c>
      <c r="FN53" s="2" t="s">
        <v>837</v>
      </c>
      <c r="FO53" s="2" t="s">
        <v>63</v>
      </c>
      <c r="FP53" s="2" t="s">
        <v>64</v>
      </c>
      <c r="FQ53" s="2" t="s">
        <v>9</v>
      </c>
      <c r="FR53" s="2" t="s">
        <v>17</v>
      </c>
      <c r="FS53" s="2" t="s">
        <v>17</v>
      </c>
      <c r="FT53" s="2" t="s">
        <v>9</v>
      </c>
      <c r="FU53" s="2">
        <v>0</v>
      </c>
      <c r="FV53" s="2">
        <v>0</v>
      </c>
      <c r="FW53" s="4">
        <v>0</v>
      </c>
      <c r="FX53" s="4">
        <v>0</v>
      </c>
      <c r="FY53" s="2" t="s">
        <v>65</v>
      </c>
      <c r="FZ53" s="2" t="s">
        <v>66</v>
      </c>
      <c r="GA53" s="2" t="s">
        <v>67</v>
      </c>
      <c r="GB53" s="2"/>
      <c r="GC53" s="2"/>
      <c r="GD53" s="2"/>
      <c r="GE53" s="2" t="s">
        <v>838</v>
      </c>
      <c r="GF53" s="2"/>
      <c r="GG53" s="2"/>
      <c r="GH53" s="2"/>
      <c r="GI53" s="2"/>
      <c r="GJ53" s="2"/>
      <c r="GK53" s="2"/>
      <c r="GL53" s="2">
        <v>76</v>
      </c>
      <c r="GM53" s="2"/>
      <c r="GN53" s="2"/>
      <c r="GO53" s="2"/>
      <c r="GP53" s="2"/>
      <c r="GQ53" s="2">
        <v>76</v>
      </c>
      <c r="GR53" s="2" t="s">
        <v>775</v>
      </c>
      <c r="GS53" s="2" t="s">
        <v>70</v>
      </c>
      <c r="GT53" s="2" t="s">
        <v>839</v>
      </c>
      <c r="GU53" s="2" t="s">
        <v>777</v>
      </c>
      <c r="GV53" s="2" t="s">
        <v>17</v>
      </c>
      <c r="GW53" s="2">
        <v>28.527428</v>
      </c>
      <c r="GX53" s="2">
        <v>-82.566488000000007</v>
      </c>
      <c r="GY53" s="2"/>
      <c r="GZ53" s="2" t="s">
        <v>17</v>
      </c>
      <c r="HA53" s="2" t="s">
        <v>17</v>
      </c>
      <c r="HB53" s="2">
        <v>0</v>
      </c>
      <c r="HC53" s="2" t="s">
        <v>17</v>
      </c>
      <c r="HD53" s="2"/>
      <c r="HE53" s="2">
        <v>0</v>
      </c>
      <c r="HF53" s="2">
        <v>28.519677000000001</v>
      </c>
      <c r="HG53" s="2">
        <v>-82.567684</v>
      </c>
      <c r="HH53" s="2">
        <v>0.54</v>
      </c>
      <c r="HI53" s="2">
        <v>0</v>
      </c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 t="s">
        <v>73</v>
      </c>
      <c r="HY53" s="2" t="s">
        <v>17</v>
      </c>
      <c r="HZ53" s="2"/>
      <c r="IA53" s="2" t="s">
        <v>167</v>
      </c>
      <c r="IB53" s="2" t="s">
        <v>778</v>
      </c>
      <c r="IC53" s="2">
        <v>0.44</v>
      </c>
      <c r="ID53" s="2">
        <v>3.5</v>
      </c>
      <c r="IE53" s="2"/>
      <c r="IF53" s="2"/>
      <c r="IG53" s="2"/>
      <c r="IH53" s="2" t="s">
        <v>527</v>
      </c>
      <c r="II53" s="2">
        <v>0.71</v>
      </c>
      <c r="IJ53" s="2">
        <v>3</v>
      </c>
      <c r="IK53" s="2" t="s">
        <v>779</v>
      </c>
      <c r="IL53" s="2" t="s">
        <v>780</v>
      </c>
      <c r="IM53" s="2">
        <v>1.17</v>
      </c>
      <c r="IN53" s="2">
        <v>2.5</v>
      </c>
      <c r="IO53" s="2" t="s">
        <v>17</v>
      </c>
      <c r="IP53" s="2">
        <v>0</v>
      </c>
      <c r="IQ53" s="2">
        <v>9</v>
      </c>
      <c r="IR53" s="2">
        <v>0</v>
      </c>
      <c r="IS53" s="2">
        <v>9</v>
      </c>
      <c r="IT53" s="2" t="s">
        <v>17</v>
      </c>
      <c r="IU53" s="2" t="s">
        <v>17</v>
      </c>
      <c r="IV53" s="2" t="s">
        <v>17</v>
      </c>
      <c r="IW53" s="2" t="s">
        <v>9</v>
      </c>
      <c r="IX53" s="2" t="s">
        <v>9</v>
      </c>
      <c r="IY53" s="2">
        <v>9</v>
      </c>
      <c r="IZ53" s="2">
        <v>76</v>
      </c>
      <c r="JA53" s="2" t="s">
        <v>81</v>
      </c>
      <c r="JB53" s="2" t="s">
        <v>173</v>
      </c>
      <c r="JC53" s="2"/>
      <c r="JD53" s="2"/>
      <c r="JE53" s="7">
        <v>0.1</v>
      </c>
      <c r="JF53" s="2"/>
      <c r="JG53" s="7">
        <v>0.9</v>
      </c>
      <c r="JH53" s="7">
        <v>0</v>
      </c>
      <c r="JI53" s="2">
        <v>76</v>
      </c>
      <c r="JJ53" s="7">
        <v>1</v>
      </c>
      <c r="JK53" s="2">
        <v>76</v>
      </c>
      <c r="JL53" s="7">
        <v>1</v>
      </c>
      <c r="JM53" s="2"/>
      <c r="JN53" s="2"/>
      <c r="JO53" s="2"/>
      <c r="JP53" s="2"/>
      <c r="JQ53" s="2"/>
      <c r="JR53" s="2"/>
      <c r="JS53" s="2">
        <v>0</v>
      </c>
      <c r="JT53" s="2">
        <v>0</v>
      </c>
      <c r="JU53" s="2"/>
      <c r="JV53" s="2">
        <v>0</v>
      </c>
      <c r="JW53" s="4">
        <v>0</v>
      </c>
      <c r="JX53" s="2">
        <v>0</v>
      </c>
      <c r="JY53" s="4">
        <v>0</v>
      </c>
      <c r="JZ53" s="2">
        <v>0</v>
      </c>
      <c r="KA53" s="2"/>
      <c r="KB53" s="2"/>
      <c r="KC53" s="2"/>
      <c r="KD53" s="2"/>
      <c r="KE53" s="2"/>
      <c r="KF53" s="2"/>
      <c r="KG53" s="2"/>
      <c r="KH53" s="2">
        <v>24</v>
      </c>
      <c r="KI53" s="2"/>
      <c r="KJ53" s="2"/>
      <c r="KK53" s="2">
        <v>36</v>
      </c>
      <c r="KL53" s="2">
        <v>16</v>
      </c>
      <c r="KM53" s="2"/>
      <c r="KN53" s="2"/>
      <c r="KO53" s="2"/>
      <c r="KP53" s="2"/>
      <c r="KQ53" s="2" t="s">
        <v>83</v>
      </c>
      <c r="KR53" s="2" t="s">
        <v>73</v>
      </c>
      <c r="KS53" s="2"/>
      <c r="KT53" s="2">
        <v>12</v>
      </c>
      <c r="KU53" s="2" t="s">
        <v>84</v>
      </c>
      <c r="KV53" s="2" t="s">
        <v>85</v>
      </c>
      <c r="KW53" s="2" t="s">
        <v>530</v>
      </c>
      <c r="KX53" s="2" t="s">
        <v>17</v>
      </c>
      <c r="KY53" s="2" t="s">
        <v>17</v>
      </c>
      <c r="KZ53" s="2" t="s">
        <v>17</v>
      </c>
      <c r="LA53" s="2" t="s">
        <v>17</v>
      </c>
      <c r="LB53" s="2" t="s">
        <v>17</v>
      </c>
      <c r="LC53" s="2" t="s">
        <v>17</v>
      </c>
      <c r="LD53" s="2" t="s">
        <v>17</v>
      </c>
      <c r="LE53" s="2" t="s">
        <v>17</v>
      </c>
      <c r="LF53" s="2" t="s">
        <v>17</v>
      </c>
      <c r="LG53" s="2" t="s">
        <v>17</v>
      </c>
      <c r="LH53" s="2" t="s">
        <v>17</v>
      </c>
      <c r="LI53" s="2" t="s">
        <v>17</v>
      </c>
      <c r="LJ53" s="2" t="s">
        <v>87</v>
      </c>
      <c r="LK53" s="2" t="s">
        <v>17</v>
      </c>
      <c r="LL53" s="2" t="s">
        <v>17</v>
      </c>
      <c r="LM53" s="2">
        <v>0</v>
      </c>
      <c r="LN53" s="2" t="s">
        <v>17</v>
      </c>
      <c r="LO53" s="2" t="s">
        <v>17</v>
      </c>
      <c r="LP53" s="2" t="s">
        <v>9</v>
      </c>
      <c r="LQ53" s="2" t="s">
        <v>17</v>
      </c>
      <c r="LR53" s="2" t="s">
        <v>9</v>
      </c>
      <c r="LS53" s="2" t="s">
        <v>9</v>
      </c>
      <c r="LT53" s="2" t="s">
        <v>17</v>
      </c>
      <c r="LU53" s="2" t="s">
        <v>17</v>
      </c>
      <c r="LV53" s="2" t="s">
        <v>17</v>
      </c>
      <c r="LW53" s="2" t="s">
        <v>17</v>
      </c>
      <c r="LX53" s="2" t="s">
        <v>17</v>
      </c>
      <c r="LY53" s="5">
        <v>6080000</v>
      </c>
      <c r="LZ53" s="5">
        <v>0</v>
      </c>
      <c r="MA53" s="5">
        <v>7200000</v>
      </c>
      <c r="MB53" s="5">
        <v>0</v>
      </c>
      <c r="MC53" s="5">
        <v>0</v>
      </c>
      <c r="MD53" s="5">
        <v>0</v>
      </c>
      <c r="ME53" s="5">
        <v>7980000</v>
      </c>
      <c r="MF53" s="5">
        <v>0</v>
      </c>
      <c r="MG53" s="5">
        <v>0</v>
      </c>
      <c r="MH53" s="5">
        <v>0</v>
      </c>
      <c r="MI53" s="5">
        <v>0</v>
      </c>
      <c r="MJ53" s="5">
        <v>0</v>
      </c>
      <c r="MK53" s="5">
        <v>0</v>
      </c>
      <c r="ML53" s="2">
        <v>0</v>
      </c>
      <c r="MM53" s="5">
        <v>0</v>
      </c>
      <c r="MN53" s="5">
        <v>0</v>
      </c>
      <c r="MO53" s="2">
        <v>0</v>
      </c>
      <c r="MP53" s="2">
        <v>0</v>
      </c>
      <c r="MQ53" s="2">
        <v>0</v>
      </c>
      <c r="MR53" s="5">
        <v>2950000</v>
      </c>
      <c r="MS53" s="5">
        <v>0</v>
      </c>
      <c r="MT53" s="5">
        <v>4600000</v>
      </c>
      <c r="MU53" s="5">
        <v>0</v>
      </c>
      <c r="MV53" s="5">
        <v>0</v>
      </c>
      <c r="MW53" s="5">
        <v>0</v>
      </c>
      <c r="MX53" s="5">
        <v>0</v>
      </c>
      <c r="MY53" s="5">
        <v>2500000</v>
      </c>
      <c r="MZ53" s="5">
        <v>0</v>
      </c>
      <c r="NA53" s="5">
        <v>5000000</v>
      </c>
      <c r="NB53" s="5">
        <v>0</v>
      </c>
      <c r="NC53" s="5">
        <v>0</v>
      </c>
      <c r="ND53" s="5">
        <v>0</v>
      </c>
      <c r="NE53" s="5">
        <v>0</v>
      </c>
      <c r="NF53" s="5">
        <v>0</v>
      </c>
      <c r="NG53" s="5">
        <v>2142000</v>
      </c>
      <c r="NH53" s="5">
        <v>2140000</v>
      </c>
      <c r="NI53" s="5">
        <v>2140000</v>
      </c>
      <c r="NJ53" s="5">
        <v>0</v>
      </c>
      <c r="NK53" s="5"/>
      <c r="NL53" s="2" t="s">
        <v>17</v>
      </c>
      <c r="NM53" s="2" t="s">
        <v>17</v>
      </c>
      <c r="NN53" s="2"/>
      <c r="NO53" s="2" t="s">
        <v>17</v>
      </c>
      <c r="NP53" s="2"/>
      <c r="NQ53" s="2"/>
      <c r="NR53" s="2" t="s">
        <v>17</v>
      </c>
      <c r="NS53" s="2"/>
      <c r="NT53" s="2" t="s">
        <v>17</v>
      </c>
      <c r="NU53" s="2"/>
      <c r="NV53" s="2"/>
      <c r="NW53" s="2"/>
      <c r="NX53" s="2" t="s">
        <v>9</v>
      </c>
      <c r="NY53" s="2" t="s">
        <v>88</v>
      </c>
      <c r="NZ53" s="2">
        <v>407.02</v>
      </c>
      <c r="OA53" s="2" t="s">
        <v>781</v>
      </c>
      <c r="OB53" s="2" t="s">
        <v>782</v>
      </c>
      <c r="OC53" s="2" t="s">
        <v>782</v>
      </c>
      <c r="OD53" s="2" t="s">
        <v>17</v>
      </c>
      <c r="OE53" s="2"/>
      <c r="OF53" s="2" t="s">
        <v>17</v>
      </c>
      <c r="OG53" s="2" t="s">
        <v>9</v>
      </c>
      <c r="OH53" s="2" t="s">
        <v>92</v>
      </c>
      <c r="OI53" s="2"/>
      <c r="OJ53" s="2"/>
      <c r="OK53" s="2" t="s">
        <v>17</v>
      </c>
      <c r="OL53" s="2" t="s">
        <v>17</v>
      </c>
      <c r="OM53" s="2" t="s">
        <v>85</v>
      </c>
      <c r="ON53" s="6">
        <v>0</v>
      </c>
      <c r="OO53" s="6">
        <v>0</v>
      </c>
      <c r="OP53" s="2" t="s">
        <v>93</v>
      </c>
      <c r="OQ53" s="2" t="s">
        <v>93</v>
      </c>
      <c r="OR53" s="6">
        <v>0</v>
      </c>
      <c r="OS53" s="4">
        <v>0</v>
      </c>
      <c r="OT53" s="2" t="s">
        <v>17</v>
      </c>
      <c r="OU53" s="2" t="s">
        <v>17</v>
      </c>
      <c r="OV53" s="2"/>
      <c r="OW53" s="2"/>
      <c r="OX53" s="5">
        <v>16756200</v>
      </c>
      <c r="OY53" s="6">
        <v>220476.32</v>
      </c>
      <c r="OZ53" s="2"/>
      <c r="PA53" s="2"/>
      <c r="PB53" s="8">
        <v>12281803</v>
      </c>
      <c r="PC53" s="2"/>
      <c r="PD53" s="8">
        <v>12281803</v>
      </c>
      <c r="PE53" s="8">
        <v>900000</v>
      </c>
      <c r="PF53" s="8">
        <v>100000</v>
      </c>
      <c r="PG53" s="8">
        <v>1000000</v>
      </c>
      <c r="PH53" s="2"/>
      <c r="PI53" s="2"/>
      <c r="PJ53" s="2"/>
      <c r="PK53" s="8">
        <v>13181803</v>
      </c>
      <c r="PL53" s="8">
        <v>100000</v>
      </c>
      <c r="PM53" s="8">
        <v>13281803</v>
      </c>
      <c r="PN53" s="8">
        <v>1771389</v>
      </c>
      <c r="PO53" s="2"/>
      <c r="PP53" s="8">
        <v>1771389</v>
      </c>
      <c r="PQ53" s="6">
        <v>1859452</v>
      </c>
      <c r="PR53" s="8">
        <v>14953192</v>
      </c>
      <c r="PS53" s="8">
        <v>100000</v>
      </c>
      <c r="PT53" s="8">
        <v>15053192</v>
      </c>
      <c r="PU53" s="8">
        <v>721210</v>
      </c>
      <c r="PV53" s="2"/>
      <c r="PW53" s="8">
        <v>721210</v>
      </c>
      <c r="PX53" s="6">
        <v>752659.6</v>
      </c>
      <c r="PY53" s="8">
        <v>706612</v>
      </c>
      <c r="PZ53" s="8">
        <v>30000</v>
      </c>
      <c r="QA53" s="8">
        <v>736612</v>
      </c>
      <c r="QB53" s="8">
        <v>114547</v>
      </c>
      <c r="QC53" s="8">
        <v>38576</v>
      </c>
      <c r="QD53" s="8">
        <v>153123</v>
      </c>
      <c r="QE53" s="8">
        <v>745426</v>
      </c>
      <c r="QF53" s="2"/>
      <c r="QG53" s="8">
        <v>745426</v>
      </c>
      <c r="QH53" s="2"/>
      <c r="QI53" s="8">
        <v>361775</v>
      </c>
      <c r="QJ53" s="8">
        <v>361775</v>
      </c>
      <c r="QK53" s="2"/>
      <c r="QL53" s="2"/>
      <c r="QM53" s="2"/>
      <c r="QN53" s="2"/>
      <c r="QO53" s="2"/>
      <c r="QP53" s="2"/>
      <c r="QQ53" s="8">
        <v>1566585</v>
      </c>
      <c r="QR53" s="8">
        <v>430351</v>
      </c>
      <c r="QS53" s="8">
        <v>1996936</v>
      </c>
      <c r="QT53" s="8">
        <v>96965</v>
      </c>
      <c r="QU53" s="2"/>
      <c r="QV53" s="8">
        <v>96965</v>
      </c>
      <c r="QW53" s="6">
        <v>99846.8</v>
      </c>
      <c r="QX53" s="8">
        <v>952309</v>
      </c>
      <c r="QY53" s="2"/>
      <c r="QZ53" s="8">
        <v>952309</v>
      </c>
      <c r="RA53" s="8">
        <v>70703</v>
      </c>
      <c r="RB53" s="8">
        <v>70703</v>
      </c>
      <c r="RC53" s="2"/>
      <c r="RD53" s="2"/>
      <c r="RE53" s="2"/>
      <c r="RF53" s="8">
        <v>952309</v>
      </c>
      <c r="RG53" s="8">
        <v>70703</v>
      </c>
      <c r="RH53" s="8">
        <v>1023012</v>
      </c>
      <c r="RI53" s="2"/>
      <c r="RJ53" s="2"/>
      <c r="RK53" s="2"/>
      <c r="RL53" s="2"/>
      <c r="RM53" s="8">
        <v>18290261</v>
      </c>
      <c r="RN53" s="8">
        <v>601054</v>
      </c>
      <c r="RO53" s="8">
        <v>18891315</v>
      </c>
      <c r="RP53" s="2"/>
      <c r="RQ53" s="2"/>
      <c r="RR53" s="2">
        <v>0</v>
      </c>
      <c r="RS53" s="6">
        <v>0</v>
      </c>
      <c r="RT53" s="8">
        <v>2965330</v>
      </c>
      <c r="RU53" s="2"/>
      <c r="RV53" s="8">
        <v>2965330</v>
      </c>
      <c r="RW53" s="6">
        <v>3022610</v>
      </c>
      <c r="RX53" s="6">
        <v>0</v>
      </c>
      <c r="RY53" s="8">
        <v>2965330</v>
      </c>
      <c r="RZ53" s="2"/>
      <c r="SA53" s="8">
        <v>2965330</v>
      </c>
      <c r="SB53" s="6">
        <v>3022610</v>
      </c>
      <c r="SC53" s="2"/>
      <c r="SD53" s="2"/>
      <c r="SE53" s="6">
        <v>266000</v>
      </c>
      <c r="SF53" s="8">
        <v>2800000</v>
      </c>
      <c r="SG53" s="8">
        <v>2800000</v>
      </c>
      <c r="SH53" s="8">
        <v>21255591</v>
      </c>
      <c r="SI53" s="8">
        <v>3401054</v>
      </c>
      <c r="SJ53" s="8">
        <v>24656645</v>
      </c>
      <c r="SK53" s="2" t="s">
        <v>840</v>
      </c>
      <c r="SL53" s="2"/>
      <c r="SM53" s="2"/>
      <c r="SN53" s="2"/>
      <c r="SO53" s="2"/>
      <c r="SP53" s="8">
        <v>11786965</v>
      </c>
      <c r="SQ53" s="2" t="s">
        <v>95</v>
      </c>
      <c r="SR53" s="2"/>
      <c r="SS53" s="2"/>
      <c r="ST53" s="2"/>
      <c r="SU53" s="2"/>
      <c r="SV53" s="2"/>
      <c r="SW53" s="2"/>
      <c r="SX53" s="2" t="s">
        <v>96</v>
      </c>
      <c r="SY53" s="2" t="s">
        <v>96</v>
      </c>
      <c r="SZ53" s="2" t="s">
        <v>96</v>
      </c>
      <c r="TA53" s="2" t="s">
        <v>96</v>
      </c>
      <c r="TB53" s="8">
        <v>10904349</v>
      </c>
      <c r="TC53" s="2"/>
      <c r="TD53" s="2"/>
      <c r="TE53" s="2"/>
      <c r="TF53" s="2"/>
      <c r="TG53" s="2"/>
      <c r="TH53" s="2"/>
      <c r="TI53" s="8">
        <v>1965331</v>
      </c>
      <c r="TJ53" s="8">
        <v>24656645</v>
      </c>
      <c r="TK53" s="2">
        <v>0</v>
      </c>
      <c r="TL53" s="2" t="s">
        <v>9</v>
      </c>
      <c r="TM53" s="8">
        <v>3338525</v>
      </c>
      <c r="TN53" s="2" t="s">
        <v>95</v>
      </c>
      <c r="TO53" s="2"/>
      <c r="TP53" s="2"/>
      <c r="TQ53" s="2"/>
      <c r="TR53" s="2"/>
      <c r="TS53" s="2"/>
      <c r="TT53" s="2"/>
      <c r="TU53" s="2" t="s">
        <v>96</v>
      </c>
      <c r="TV53" s="8">
        <v>19472053</v>
      </c>
      <c r="TW53" s="2"/>
      <c r="TX53" s="2"/>
      <c r="TY53" s="2"/>
      <c r="TZ53" s="2"/>
      <c r="UA53" s="2"/>
      <c r="UB53" s="2"/>
      <c r="UC53" s="8">
        <v>1846067</v>
      </c>
      <c r="UD53" s="8">
        <v>24656645</v>
      </c>
      <c r="UE53" s="6">
        <v>3338525</v>
      </c>
      <c r="UF53" s="2">
        <v>0</v>
      </c>
      <c r="UG53" s="2" t="s">
        <v>9</v>
      </c>
      <c r="UH53" s="2">
        <v>76</v>
      </c>
      <c r="UI53" s="5">
        <v>240000</v>
      </c>
      <c r="UJ53" s="6">
        <v>320000</v>
      </c>
      <c r="UK53" s="6">
        <v>320000</v>
      </c>
      <c r="UL53" s="6">
        <v>339200</v>
      </c>
      <c r="UM53" s="6">
        <v>25779200</v>
      </c>
      <c r="UN53" s="6">
        <v>4124672</v>
      </c>
      <c r="UO53" s="6">
        <v>4124672</v>
      </c>
      <c r="UP53" s="6">
        <v>29903872</v>
      </c>
      <c r="UQ53" s="6">
        <v>21856645</v>
      </c>
      <c r="UR53" s="2"/>
      <c r="US53" s="2"/>
      <c r="UT53" s="6">
        <v>0</v>
      </c>
      <c r="UU53" s="2"/>
      <c r="UV53" s="6">
        <v>0</v>
      </c>
      <c r="UW53" s="6">
        <v>0</v>
      </c>
      <c r="UX53" s="6">
        <v>0</v>
      </c>
      <c r="UY53" s="6">
        <v>0</v>
      </c>
      <c r="UZ53" s="2"/>
      <c r="VA53" s="2"/>
      <c r="VB53" s="2"/>
      <c r="VC53" s="2"/>
      <c r="VD53" s="2"/>
      <c r="VE53" s="2" t="s">
        <v>17</v>
      </c>
      <c r="VF53" s="2"/>
      <c r="VG53" s="2" t="s">
        <v>17</v>
      </c>
      <c r="VH53" s="2"/>
      <c r="VI53" s="388" t="s">
        <v>650</v>
      </c>
      <c r="VJ53" s="2" t="s">
        <v>98</v>
      </c>
      <c r="VK53" s="2" t="s">
        <v>685</v>
      </c>
      <c r="VL53" s="23">
        <f t="shared" si="21"/>
        <v>144</v>
      </c>
      <c r="VM53" s="17">
        <f t="shared" si="22"/>
        <v>1.8947368421052631</v>
      </c>
      <c r="VN53" s="17" t="str">
        <f t="shared" si="12"/>
        <v>NC-OT-F</v>
      </c>
      <c r="VO53" s="17" t="str">
        <f t="shared" si="13"/>
        <v>NC-OT-F-ESS</v>
      </c>
      <c r="VP53" s="12">
        <v>9</v>
      </c>
      <c r="VQ53" s="57">
        <v>1</v>
      </c>
      <c r="VR53" s="57">
        <f t="shared" si="23"/>
        <v>1</v>
      </c>
      <c r="VS53" s="14">
        <f t="shared" si="24"/>
        <v>1</v>
      </c>
      <c r="VT53" s="12">
        <f t="shared" si="25"/>
        <v>0.93</v>
      </c>
      <c r="VU53" s="16">
        <f t="shared" si="26"/>
        <v>17911800</v>
      </c>
      <c r="VV53" s="16">
        <f t="shared" si="27"/>
        <v>235681.57894736843</v>
      </c>
      <c r="VW53" s="12" t="str">
        <f t="shared" si="14"/>
        <v>A</v>
      </c>
      <c r="VX53" s="12" t="str">
        <f t="shared" si="15"/>
        <v>NC-OT-ESS</v>
      </c>
      <c r="VY53" s="351">
        <f t="shared" si="16"/>
        <v>4</v>
      </c>
      <c r="WA53" s="12">
        <f t="shared" si="17"/>
        <v>0</v>
      </c>
      <c r="WB53" s="12">
        <f t="shared" si="18"/>
        <v>0</v>
      </c>
      <c r="WC53" s="12">
        <f t="shared" si="18"/>
        <v>0</v>
      </c>
      <c r="WD53" s="12">
        <f t="shared" si="18"/>
        <v>0</v>
      </c>
      <c r="WE53" s="12">
        <f t="shared" si="19"/>
        <v>1</v>
      </c>
      <c r="WF53" s="12">
        <f t="shared" si="28"/>
        <v>0</v>
      </c>
      <c r="WG53" s="12">
        <f t="shared" si="29"/>
        <v>0</v>
      </c>
      <c r="WH53" s="12">
        <f t="shared" si="30"/>
        <v>0</v>
      </c>
      <c r="WI53" s="22">
        <f t="shared" si="31"/>
        <v>1</v>
      </c>
      <c r="WJ53" s="2"/>
      <c r="WK53" s="444" t="str">
        <f t="shared" si="20"/>
        <v>NC-OT-ESS-BBN-BRN-NPH-F</v>
      </c>
      <c r="WL53" s="444"/>
      <c r="WM53" s="444"/>
    </row>
    <row r="54" spans="1:611" x14ac:dyDescent="0.25">
      <c r="A54" s="2">
        <v>9385</v>
      </c>
      <c r="B54" s="2" t="s">
        <v>433</v>
      </c>
      <c r="C54" s="2" t="s">
        <v>8</v>
      </c>
      <c r="D54" s="3">
        <v>45135</v>
      </c>
      <c r="E54" s="2" t="s">
        <v>9</v>
      </c>
      <c r="F54" s="2">
        <v>3</v>
      </c>
      <c r="G54" s="2" t="s">
        <v>9</v>
      </c>
      <c r="H54" s="2">
        <v>3</v>
      </c>
      <c r="I54" s="2" t="s">
        <v>9</v>
      </c>
      <c r="J54" s="2">
        <v>3</v>
      </c>
      <c r="K54" s="2" t="s">
        <v>9</v>
      </c>
      <c r="L54" s="2">
        <v>3</v>
      </c>
      <c r="M54" s="2" t="s">
        <v>10</v>
      </c>
      <c r="N54" s="2">
        <v>0</v>
      </c>
      <c r="O54" s="2" t="s">
        <v>10</v>
      </c>
      <c r="P54" s="2">
        <v>0</v>
      </c>
      <c r="Q54" s="2" t="s">
        <v>11</v>
      </c>
      <c r="R54" s="2">
        <v>0</v>
      </c>
      <c r="S54" s="2" t="s">
        <v>9</v>
      </c>
      <c r="T54" s="2">
        <v>2</v>
      </c>
      <c r="U54" s="2" t="s">
        <v>9</v>
      </c>
      <c r="V54" s="2">
        <v>2</v>
      </c>
      <c r="W54" s="2" t="s">
        <v>9</v>
      </c>
      <c r="X54" s="2">
        <v>2</v>
      </c>
      <c r="Y54" s="2" t="s">
        <v>12</v>
      </c>
      <c r="Z54" s="2" t="s">
        <v>434</v>
      </c>
      <c r="AA54" s="2" t="s">
        <v>435</v>
      </c>
      <c r="AB54" s="2" t="s">
        <v>434</v>
      </c>
      <c r="AC54" s="2" t="s">
        <v>15</v>
      </c>
      <c r="AD54" s="2" t="s">
        <v>15</v>
      </c>
      <c r="AE54" s="2" t="s">
        <v>15</v>
      </c>
      <c r="AF54" s="2">
        <v>3</v>
      </c>
      <c r="AG54" s="2" t="s">
        <v>436</v>
      </c>
      <c r="AH54" s="2" t="s">
        <v>17</v>
      </c>
      <c r="AI54" s="4">
        <v>0.1</v>
      </c>
      <c r="AJ54" s="2" t="s">
        <v>17</v>
      </c>
      <c r="AK54" s="2" t="s">
        <v>9</v>
      </c>
      <c r="AL54" s="2" t="s">
        <v>17</v>
      </c>
      <c r="AM54" s="2" t="s">
        <v>17</v>
      </c>
      <c r="AN54" s="2" t="s">
        <v>17</v>
      </c>
      <c r="AO54" s="2" t="s">
        <v>9</v>
      </c>
      <c r="AP54" s="2" t="s">
        <v>17</v>
      </c>
      <c r="AQ54" s="2" t="s">
        <v>17</v>
      </c>
      <c r="AR54" s="2" t="s">
        <v>17</v>
      </c>
      <c r="AS54" s="2" t="s">
        <v>17</v>
      </c>
      <c r="AT54" s="2">
        <v>0</v>
      </c>
      <c r="AU54" s="5">
        <v>20000</v>
      </c>
      <c r="AV54" s="5">
        <v>340000</v>
      </c>
      <c r="AW54" s="2">
        <v>0</v>
      </c>
      <c r="AX54" s="2">
        <v>7</v>
      </c>
      <c r="AY54" s="2">
        <v>0</v>
      </c>
      <c r="AZ54" s="2">
        <v>18</v>
      </c>
      <c r="BA54" s="2">
        <v>0</v>
      </c>
      <c r="BB54" s="2">
        <v>1</v>
      </c>
      <c r="BC54" s="2">
        <v>0</v>
      </c>
      <c r="BD54" s="2">
        <v>0</v>
      </c>
      <c r="BE54" s="2">
        <v>0</v>
      </c>
      <c r="BF54" s="2">
        <v>1</v>
      </c>
      <c r="BG54" s="2">
        <v>0</v>
      </c>
      <c r="BH54" s="2">
        <v>0</v>
      </c>
      <c r="BI54" s="2">
        <v>13</v>
      </c>
      <c r="BJ54" s="2">
        <v>1</v>
      </c>
      <c r="BK54" s="2">
        <v>0</v>
      </c>
      <c r="BL54" s="2">
        <v>2</v>
      </c>
      <c r="BM54" s="2">
        <v>2</v>
      </c>
      <c r="BN54" s="2">
        <v>13</v>
      </c>
      <c r="BO54" s="2">
        <v>11</v>
      </c>
      <c r="BP54" s="2">
        <v>0</v>
      </c>
      <c r="BQ54" s="2">
        <v>10</v>
      </c>
      <c r="BR54" s="2">
        <v>12.08</v>
      </c>
      <c r="BS54" s="2">
        <v>0</v>
      </c>
      <c r="BT54" s="4">
        <v>0.06</v>
      </c>
      <c r="BU54" s="2" t="s">
        <v>9</v>
      </c>
      <c r="BV54" s="6">
        <v>224293.67</v>
      </c>
      <c r="BW54" s="2" t="s">
        <v>126</v>
      </c>
      <c r="BX54" s="2" t="s">
        <v>17</v>
      </c>
      <c r="BY54" s="2" t="s">
        <v>17</v>
      </c>
      <c r="BZ54" s="2" t="s">
        <v>17</v>
      </c>
      <c r="CA54" s="2" t="s">
        <v>17</v>
      </c>
      <c r="CB54" s="2" t="s">
        <v>17</v>
      </c>
      <c r="CC54" s="2" t="s">
        <v>17</v>
      </c>
      <c r="CD54" s="2" t="s">
        <v>17</v>
      </c>
      <c r="CE54" s="2" t="s">
        <v>437</v>
      </c>
      <c r="CF54" s="2" t="s">
        <v>17</v>
      </c>
      <c r="CG54" s="2" t="s">
        <v>438</v>
      </c>
      <c r="CH54" s="2"/>
      <c r="CI54" s="2"/>
      <c r="CJ54" s="2" t="s">
        <v>9</v>
      </c>
      <c r="CK54" s="2" t="s">
        <v>286</v>
      </c>
      <c r="CL54" s="2" t="s">
        <v>438</v>
      </c>
      <c r="CM54" s="2" t="s">
        <v>287</v>
      </c>
      <c r="CN54" s="2" t="s">
        <v>288</v>
      </c>
      <c r="CO54" s="2" t="s">
        <v>24</v>
      </c>
      <c r="CP54" s="2"/>
      <c r="CQ54" s="2">
        <v>100</v>
      </c>
      <c r="CR54" s="2" t="s">
        <v>439</v>
      </c>
      <c r="CS54" s="2">
        <v>2021</v>
      </c>
      <c r="CT54" s="2" t="s">
        <v>26</v>
      </c>
      <c r="CU54" s="2" t="s">
        <v>27</v>
      </c>
      <c r="CV54" s="2" t="s">
        <v>290</v>
      </c>
      <c r="CW54" s="2" t="s">
        <v>291</v>
      </c>
      <c r="CX54" s="2" t="s">
        <v>24</v>
      </c>
      <c r="CY54" s="2"/>
      <c r="CZ54" s="2">
        <v>110</v>
      </c>
      <c r="DA54" s="2" t="s">
        <v>439</v>
      </c>
      <c r="DB54" s="2">
        <v>2021</v>
      </c>
      <c r="DC54" s="2" t="s">
        <v>30</v>
      </c>
      <c r="DD54" s="2" t="s">
        <v>27</v>
      </c>
      <c r="DE54" s="2" t="s">
        <v>292</v>
      </c>
      <c r="DF54" s="2" t="s">
        <v>293</v>
      </c>
      <c r="DG54" s="2" t="s">
        <v>24</v>
      </c>
      <c r="DH54" s="2"/>
      <c r="DI54" s="2">
        <v>132</v>
      </c>
      <c r="DJ54" s="2" t="s">
        <v>439</v>
      </c>
      <c r="DK54" s="2">
        <v>2020</v>
      </c>
      <c r="DL54" s="2" t="s">
        <v>30</v>
      </c>
      <c r="DM54" s="2" t="s">
        <v>27</v>
      </c>
      <c r="DN54" s="2" t="s">
        <v>33</v>
      </c>
      <c r="DO54" s="2" t="s">
        <v>294</v>
      </c>
      <c r="DP54" s="2" t="s">
        <v>295</v>
      </c>
      <c r="DQ54" s="2" t="s">
        <v>296</v>
      </c>
      <c r="DR54" s="2" t="s">
        <v>297</v>
      </c>
      <c r="DS54" s="2">
        <v>1</v>
      </c>
      <c r="DT54" s="2" t="s">
        <v>298</v>
      </c>
      <c r="DU54" s="2" t="s">
        <v>299</v>
      </c>
      <c r="DV54" s="2" t="s">
        <v>39</v>
      </c>
      <c r="DW54" s="2">
        <v>33133</v>
      </c>
      <c r="DX54" s="2" t="s">
        <v>300</v>
      </c>
      <c r="DY54" s="2">
        <v>125</v>
      </c>
      <c r="DZ54" s="2" t="s">
        <v>301</v>
      </c>
      <c r="EA54" s="2" t="s">
        <v>297</v>
      </c>
      <c r="EB54" s="2" t="s">
        <v>302</v>
      </c>
      <c r="EC54" s="2" t="s">
        <v>291</v>
      </c>
      <c r="ED54" s="2" t="s">
        <v>44</v>
      </c>
      <c r="EE54" s="2">
        <v>144</v>
      </c>
      <c r="EF54" s="2" t="s">
        <v>440</v>
      </c>
      <c r="EG54" s="2">
        <v>7</v>
      </c>
      <c r="EH54" s="2" t="s">
        <v>46</v>
      </c>
      <c r="EI54" s="2" t="s">
        <v>47</v>
      </c>
      <c r="EJ54" s="2" t="s">
        <v>304</v>
      </c>
      <c r="EK54" s="2" t="s">
        <v>305</v>
      </c>
      <c r="EL54" s="2" t="s">
        <v>44</v>
      </c>
      <c r="EM54" s="2">
        <v>150</v>
      </c>
      <c r="EN54" s="2" t="s">
        <v>440</v>
      </c>
      <c r="EO54" s="2">
        <v>5</v>
      </c>
      <c r="EP54" s="2" t="s">
        <v>46</v>
      </c>
      <c r="EQ54" s="2" t="s">
        <v>47</v>
      </c>
      <c r="ER54" s="2" t="s">
        <v>294</v>
      </c>
      <c r="ES54" s="2" t="s">
        <v>295</v>
      </c>
      <c r="ET54" s="2" t="s">
        <v>296</v>
      </c>
      <c r="EU54" s="2" t="s">
        <v>437</v>
      </c>
      <c r="EV54" s="2" t="s">
        <v>298</v>
      </c>
      <c r="EW54" s="2" t="s">
        <v>299</v>
      </c>
      <c r="EX54" s="2" t="s">
        <v>39</v>
      </c>
      <c r="EY54" s="2">
        <v>33133</v>
      </c>
      <c r="EZ54" s="2" t="s">
        <v>300</v>
      </c>
      <c r="FA54" s="2">
        <v>125</v>
      </c>
      <c r="FB54" s="2" t="s">
        <v>301</v>
      </c>
      <c r="FC54" s="2" t="s">
        <v>307</v>
      </c>
      <c r="FD54" s="2"/>
      <c r="FE54" s="2" t="s">
        <v>308</v>
      </c>
      <c r="FF54" s="2" t="s">
        <v>309</v>
      </c>
      <c r="FG54" s="2" t="s">
        <v>298</v>
      </c>
      <c r="FH54" s="2" t="s">
        <v>299</v>
      </c>
      <c r="FI54" s="2" t="s">
        <v>39</v>
      </c>
      <c r="FJ54" s="2">
        <v>33133</v>
      </c>
      <c r="FK54" s="2" t="s">
        <v>310</v>
      </c>
      <c r="FL54" s="2"/>
      <c r="FM54" s="2" t="s">
        <v>311</v>
      </c>
      <c r="FN54" s="2" t="s">
        <v>441</v>
      </c>
      <c r="FO54" s="2" t="s">
        <v>63</v>
      </c>
      <c r="FP54" s="2" t="s">
        <v>64</v>
      </c>
      <c r="FQ54" s="2" t="s">
        <v>9</v>
      </c>
      <c r="FR54" s="2" t="s">
        <v>17</v>
      </c>
      <c r="FS54" s="2" t="s">
        <v>17</v>
      </c>
      <c r="FT54" s="2" t="s">
        <v>9</v>
      </c>
      <c r="FU54" s="2">
        <v>0</v>
      </c>
      <c r="FV54" s="2">
        <v>0</v>
      </c>
      <c r="FW54" s="4">
        <v>0</v>
      </c>
      <c r="FX54" s="4">
        <v>0</v>
      </c>
      <c r="FY54" s="2" t="s">
        <v>65</v>
      </c>
      <c r="FZ54" s="2" t="s">
        <v>66</v>
      </c>
      <c r="GA54" s="2" t="s">
        <v>67</v>
      </c>
      <c r="GB54" s="2"/>
      <c r="GC54" s="2"/>
      <c r="GD54" s="2"/>
      <c r="GE54" s="2" t="s">
        <v>68</v>
      </c>
      <c r="GF54" s="2"/>
      <c r="GG54" s="2"/>
      <c r="GH54" s="2">
        <v>79</v>
      </c>
      <c r="GI54" s="2"/>
      <c r="GJ54" s="2"/>
      <c r="GK54" s="2"/>
      <c r="GL54" s="2"/>
      <c r="GM54" s="2"/>
      <c r="GN54" s="2"/>
      <c r="GO54" s="2"/>
      <c r="GP54" s="2"/>
      <c r="GQ54" s="2">
        <v>79</v>
      </c>
      <c r="GR54" s="2" t="s">
        <v>442</v>
      </c>
      <c r="GS54" s="2" t="s">
        <v>70</v>
      </c>
      <c r="GT54" s="2" t="s">
        <v>443</v>
      </c>
      <c r="GU54" s="2" t="s">
        <v>444</v>
      </c>
      <c r="GV54" s="2" t="s">
        <v>17</v>
      </c>
      <c r="GW54" s="2">
        <v>27.672464000000002</v>
      </c>
      <c r="GX54" s="2">
        <v>-80.424672000000001</v>
      </c>
      <c r="GY54" s="2"/>
      <c r="GZ54" s="2" t="s">
        <v>17</v>
      </c>
      <c r="HA54" s="2" t="s">
        <v>17</v>
      </c>
      <c r="HB54" s="2">
        <v>0</v>
      </c>
      <c r="HC54" s="2" t="s">
        <v>17</v>
      </c>
      <c r="HD54" s="2" t="s">
        <v>17</v>
      </c>
      <c r="HE54" s="2">
        <v>0</v>
      </c>
      <c r="HF54" s="2">
        <v>27.671225</v>
      </c>
      <c r="HG54" s="2">
        <v>-80.423658000000003</v>
      </c>
      <c r="HH54" s="2">
        <v>0.11</v>
      </c>
      <c r="HI54" s="2">
        <v>6</v>
      </c>
      <c r="HJ54" s="2">
        <v>27.673036</v>
      </c>
      <c r="HK54" s="2">
        <v>-80.421110999999996</v>
      </c>
      <c r="HL54" s="2">
        <v>0.23</v>
      </c>
      <c r="HM54" s="2">
        <v>27.671253</v>
      </c>
      <c r="HN54" s="2">
        <v>-80.423544000000007</v>
      </c>
      <c r="HO54" s="2">
        <v>0.11</v>
      </c>
      <c r="HP54" s="2"/>
      <c r="HQ54" s="2"/>
      <c r="HR54" s="2"/>
      <c r="HS54" s="2"/>
      <c r="HT54" s="2"/>
      <c r="HU54" s="2"/>
      <c r="HV54" s="2"/>
      <c r="HW54" s="2"/>
      <c r="HX54" s="2" t="s">
        <v>73</v>
      </c>
      <c r="HY54" s="2" t="s">
        <v>17</v>
      </c>
      <c r="HZ54" s="2"/>
      <c r="IA54" s="2" t="s">
        <v>445</v>
      </c>
      <c r="IB54" s="2" t="s">
        <v>446</v>
      </c>
      <c r="IC54" s="2">
        <v>1.41</v>
      </c>
      <c r="ID54" s="2">
        <v>1.5</v>
      </c>
      <c r="IE54" s="2"/>
      <c r="IF54" s="2"/>
      <c r="IG54" s="2"/>
      <c r="IH54" s="2" t="s">
        <v>447</v>
      </c>
      <c r="II54" s="2">
        <v>1.41</v>
      </c>
      <c r="IJ54" s="2">
        <v>1.5</v>
      </c>
      <c r="IK54" s="2" t="s">
        <v>448</v>
      </c>
      <c r="IL54" s="2" t="s">
        <v>449</v>
      </c>
      <c r="IM54" s="2">
        <v>0.24</v>
      </c>
      <c r="IN54" s="2">
        <v>4</v>
      </c>
      <c r="IO54" s="2" t="s">
        <v>9</v>
      </c>
      <c r="IP54" s="2">
        <v>6</v>
      </c>
      <c r="IQ54" s="2">
        <v>7</v>
      </c>
      <c r="IR54" s="2">
        <v>0</v>
      </c>
      <c r="IS54" s="2">
        <v>13</v>
      </c>
      <c r="IT54" s="2" t="s">
        <v>9</v>
      </c>
      <c r="IU54" s="2" t="s">
        <v>17</v>
      </c>
      <c r="IV54" s="2" t="s">
        <v>17</v>
      </c>
      <c r="IW54" s="2" t="s">
        <v>9</v>
      </c>
      <c r="IX54" s="2" t="s">
        <v>9</v>
      </c>
      <c r="IY54" s="2">
        <v>13</v>
      </c>
      <c r="IZ54" s="2">
        <v>79</v>
      </c>
      <c r="JA54" s="2" t="s">
        <v>172</v>
      </c>
      <c r="JB54" s="2" t="s">
        <v>173</v>
      </c>
      <c r="JC54" s="2"/>
      <c r="JD54" s="2"/>
      <c r="JE54" s="7">
        <v>0.1</v>
      </c>
      <c r="JF54" s="2"/>
      <c r="JG54" s="7">
        <v>0.9</v>
      </c>
      <c r="JH54" s="7">
        <v>0</v>
      </c>
      <c r="JI54" s="2">
        <v>79</v>
      </c>
      <c r="JJ54" s="7">
        <v>1</v>
      </c>
      <c r="JK54" s="2">
        <v>79</v>
      </c>
      <c r="JL54" s="7">
        <v>1</v>
      </c>
      <c r="JM54" s="2"/>
      <c r="JN54" s="2"/>
      <c r="JO54" s="2"/>
      <c r="JP54" s="2"/>
      <c r="JQ54" s="2"/>
      <c r="JR54" s="2"/>
      <c r="JS54" s="2">
        <v>0</v>
      </c>
      <c r="JT54" s="2">
        <v>0</v>
      </c>
      <c r="JU54" s="2"/>
      <c r="JV54" s="2">
        <v>0</v>
      </c>
      <c r="JW54" s="4">
        <v>0</v>
      </c>
      <c r="JX54" s="2">
        <v>0</v>
      </c>
      <c r="JY54" s="4">
        <v>0</v>
      </c>
      <c r="JZ54" s="2">
        <v>0</v>
      </c>
      <c r="KA54" s="2"/>
      <c r="KB54" s="2"/>
      <c r="KC54" s="2"/>
      <c r="KD54" s="2"/>
      <c r="KE54" s="2"/>
      <c r="KF54" s="2"/>
      <c r="KG54" s="2"/>
      <c r="KH54" s="2">
        <v>40</v>
      </c>
      <c r="KI54" s="2"/>
      <c r="KJ54" s="2"/>
      <c r="KK54" s="2">
        <v>39</v>
      </c>
      <c r="KL54" s="2"/>
      <c r="KM54" s="2"/>
      <c r="KN54" s="2"/>
      <c r="KO54" s="2"/>
      <c r="KP54" s="2"/>
      <c r="KQ54" s="2" t="s">
        <v>83</v>
      </c>
      <c r="KR54" s="2"/>
      <c r="KS54" s="2" t="s">
        <v>73</v>
      </c>
      <c r="KT54" s="2">
        <v>1</v>
      </c>
      <c r="KU54" s="2" t="s">
        <v>84</v>
      </c>
      <c r="KV54" s="2" t="s">
        <v>85</v>
      </c>
      <c r="KW54" s="2" t="s">
        <v>86</v>
      </c>
      <c r="KX54" s="2" t="s">
        <v>17</v>
      </c>
      <c r="KY54" s="2" t="s">
        <v>17</v>
      </c>
      <c r="KZ54" s="2" t="s">
        <v>17</v>
      </c>
      <c r="LA54" s="2" t="s">
        <v>17</v>
      </c>
      <c r="LB54" s="2" t="s">
        <v>17</v>
      </c>
      <c r="LC54" s="2" t="s">
        <v>17</v>
      </c>
      <c r="LD54" s="2" t="s">
        <v>17</v>
      </c>
      <c r="LE54" s="2" t="s">
        <v>17</v>
      </c>
      <c r="LF54" s="2" t="s">
        <v>17</v>
      </c>
      <c r="LG54" s="2" t="s">
        <v>17</v>
      </c>
      <c r="LH54" s="2" t="s">
        <v>17</v>
      </c>
      <c r="LI54" s="2" t="s">
        <v>17</v>
      </c>
      <c r="LJ54" s="2" t="s">
        <v>87</v>
      </c>
      <c r="LK54" s="2" t="s">
        <v>17</v>
      </c>
      <c r="LL54" s="2" t="s">
        <v>17</v>
      </c>
      <c r="LM54" s="2">
        <v>0</v>
      </c>
      <c r="LN54" s="2" t="s">
        <v>17</v>
      </c>
      <c r="LO54" s="2" t="s">
        <v>17</v>
      </c>
      <c r="LP54" s="2" t="s">
        <v>17</v>
      </c>
      <c r="LQ54" s="2" t="s">
        <v>17</v>
      </c>
      <c r="LR54" s="2" t="s">
        <v>17</v>
      </c>
      <c r="LS54" s="2" t="s">
        <v>17</v>
      </c>
      <c r="LT54" s="2" t="s">
        <v>17</v>
      </c>
      <c r="LU54" s="2" t="s">
        <v>17</v>
      </c>
      <c r="LV54" s="2" t="s">
        <v>9</v>
      </c>
      <c r="LW54" s="2" t="s">
        <v>9</v>
      </c>
      <c r="LX54" s="2" t="s">
        <v>9</v>
      </c>
      <c r="LY54" s="5">
        <v>6320000</v>
      </c>
      <c r="LZ54" s="5">
        <v>0</v>
      </c>
      <c r="MA54" s="5">
        <v>7200000</v>
      </c>
      <c r="MB54" s="5">
        <v>0</v>
      </c>
      <c r="MC54" s="5">
        <v>0</v>
      </c>
      <c r="MD54" s="5">
        <v>0</v>
      </c>
      <c r="ME54" s="5">
        <v>8295000</v>
      </c>
      <c r="MF54" s="5">
        <v>0</v>
      </c>
      <c r="MG54" s="5">
        <v>0</v>
      </c>
      <c r="MH54" s="5">
        <v>0</v>
      </c>
      <c r="MI54" s="5">
        <v>0</v>
      </c>
      <c r="MJ54" s="5">
        <v>0</v>
      </c>
      <c r="MK54" s="5">
        <v>0</v>
      </c>
      <c r="ML54" s="2">
        <v>0</v>
      </c>
      <c r="MM54" s="5">
        <v>0</v>
      </c>
      <c r="MN54" s="5">
        <v>0</v>
      </c>
      <c r="MO54" s="2">
        <v>0</v>
      </c>
      <c r="MP54" s="2">
        <v>0</v>
      </c>
      <c r="MQ54" s="2">
        <v>0</v>
      </c>
      <c r="MR54" s="5">
        <v>2950000</v>
      </c>
      <c r="MS54" s="5">
        <v>0</v>
      </c>
      <c r="MT54" s="5">
        <v>4600000</v>
      </c>
      <c r="MU54" s="5">
        <v>0</v>
      </c>
      <c r="MV54" s="5">
        <v>0</v>
      </c>
      <c r="MW54" s="5">
        <v>0</v>
      </c>
      <c r="MX54" s="5">
        <v>0</v>
      </c>
      <c r="MY54" s="5">
        <v>2500000</v>
      </c>
      <c r="MZ54" s="5">
        <v>0</v>
      </c>
      <c r="NA54" s="5">
        <v>5000000</v>
      </c>
      <c r="NB54" s="5">
        <v>0</v>
      </c>
      <c r="NC54" s="5">
        <v>0</v>
      </c>
      <c r="ND54" s="5">
        <v>0</v>
      </c>
      <c r="NE54" s="5">
        <v>0</v>
      </c>
      <c r="NF54" s="5">
        <v>0</v>
      </c>
      <c r="NG54" s="5">
        <v>2142000</v>
      </c>
      <c r="NH54" s="5">
        <v>2140000</v>
      </c>
      <c r="NI54" s="5">
        <v>2140000</v>
      </c>
      <c r="NJ54" s="5">
        <v>0</v>
      </c>
      <c r="NK54" s="5"/>
      <c r="NL54" s="2" t="s">
        <v>9</v>
      </c>
      <c r="NM54" s="2" t="s">
        <v>17</v>
      </c>
      <c r="NN54" s="2"/>
      <c r="NO54" s="2" t="s">
        <v>17</v>
      </c>
      <c r="NP54" s="2"/>
      <c r="NQ54" s="2"/>
      <c r="NR54" s="2" t="s">
        <v>17</v>
      </c>
      <c r="NS54" s="2"/>
      <c r="NT54" s="2" t="s">
        <v>9</v>
      </c>
      <c r="NU54" s="2" t="s">
        <v>450</v>
      </c>
      <c r="NV54" s="2">
        <v>503.04</v>
      </c>
      <c r="NW54" s="2" t="s">
        <v>451</v>
      </c>
      <c r="NX54" s="2"/>
      <c r="NY54" s="2"/>
      <c r="NZ54" s="2"/>
      <c r="OA54" s="2" t="s">
        <v>118</v>
      </c>
      <c r="OB54" s="2" t="s">
        <v>118</v>
      </c>
      <c r="OC54" s="2" t="s">
        <v>118</v>
      </c>
      <c r="OD54" s="2" t="s">
        <v>17</v>
      </c>
      <c r="OE54" s="2" t="s">
        <v>119</v>
      </c>
      <c r="OF54" s="2"/>
      <c r="OG54" s="2" t="s">
        <v>17</v>
      </c>
      <c r="OH54" s="2"/>
      <c r="OI54" s="2"/>
      <c r="OJ54" s="2"/>
      <c r="OK54" s="2" t="s">
        <v>17</v>
      </c>
      <c r="OL54" s="2" t="s">
        <v>17</v>
      </c>
      <c r="OM54" s="2" t="s">
        <v>85</v>
      </c>
      <c r="ON54" s="6">
        <v>0</v>
      </c>
      <c r="OO54" s="6">
        <v>0</v>
      </c>
      <c r="OP54" s="2" t="s">
        <v>93</v>
      </c>
      <c r="OQ54" s="2" t="s">
        <v>93</v>
      </c>
      <c r="OR54" s="6">
        <v>0</v>
      </c>
      <c r="OS54" s="4">
        <v>0</v>
      </c>
      <c r="OT54" s="2" t="s">
        <v>17</v>
      </c>
      <c r="OU54" s="2" t="s">
        <v>17</v>
      </c>
      <c r="OV54" s="2"/>
      <c r="OW54" s="2"/>
      <c r="OX54" s="5">
        <v>17719200</v>
      </c>
      <c r="OY54" s="6">
        <v>224293.67</v>
      </c>
      <c r="OZ54" s="2"/>
      <c r="PA54" s="2"/>
      <c r="PB54" s="8">
        <v>11714438</v>
      </c>
      <c r="PC54" s="2"/>
      <c r="PD54" s="8">
        <v>11714438</v>
      </c>
      <c r="PE54" s="2"/>
      <c r="PF54" s="2"/>
      <c r="PG54" s="2"/>
      <c r="PH54" s="2"/>
      <c r="PI54" s="2"/>
      <c r="PJ54" s="2"/>
      <c r="PK54" s="8">
        <v>11714438</v>
      </c>
      <c r="PL54" s="2"/>
      <c r="PM54" s="8">
        <v>11714438</v>
      </c>
      <c r="PN54" s="8">
        <v>1640021</v>
      </c>
      <c r="PO54" s="2"/>
      <c r="PP54" s="8">
        <v>1640021</v>
      </c>
      <c r="PQ54" s="6">
        <v>1640021</v>
      </c>
      <c r="PR54" s="8">
        <v>13354459</v>
      </c>
      <c r="PS54" s="2"/>
      <c r="PT54" s="8">
        <v>13354459</v>
      </c>
      <c r="PU54" s="8">
        <v>667722</v>
      </c>
      <c r="PV54" s="2"/>
      <c r="PW54" s="8">
        <v>667722</v>
      </c>
      <c r="PX54" s="6">
        <v>667722.94999999995</v>
      </c>
      <c r="PY54" s="8">
        <v>761938</v>
      </c>
      <c r="PZ54" s="8">
        <v>80577</v>
      </c>
      <c r="QA54" s="8">
        <v>842515</v>
      </c>
      <c r="QB54" s="8">
        <v>301496</v>
      </c>
      <c r="QC54" s="2"/>
      <c r="QD54" s="8">
        <v>301496</v>
      </c>
      <c r="QE54" s="8">
        <v>726850</v>
      </c>
      <c r="QF54" s="2"/>
      <c r="QG54" s="8">
        <v>726850</v>
      </c>
      <c r="QH54" s="2"/>
      <c r="QI54" s="8">
        <v>421323</v>
      </c>
      <c r="QJ54" s="8">
        <v>421323</v>
      </c>
      <c r="QK54" s="2"/>
      <c r="QL54" s="2"/>
      <c r="QM54" s="2"/>
      <c r="QN54" s="2"/>
      <c r="QO54" s="2"/>
      <c r="QP54" s="2"/>
      <c r="QQ54" s="8">
        <v>1790284</v>
      </c>
      <c r="QR54" s="8">
        <v>501900</v>
      </c>
      <c r="QS54" s="8">
        <v>2292184</v>
      </c>
      <c r="QT54" s="8">
        <v>103859</v>
      </c>
      <c r="QU54" s="2"/>
      <c r="QV54" s="8">
        <v>103859</v>
      </c>
      <c r="QW54" s="6">
        <v>114609.2</v>
      </c>
      <c r="QX54" s="8">
        <v>745506</v>
      </c>
      <c r="QY54" s="8">
        <v>859671</v>
      </c>
      <c r="QZ54" s="8">
        <v>1605177</v>
      </c>
      <c r="RA54" s="8">
        <v>95000</v>
      </c>
      <c r="RB54" s="8">
        <v>95000</v>
      </c>
      <c r="RC54" s="2"/>
      <c r="RD54" s="2"/>
      <c r="RE54" s="2"/>
      <c r="RF54" s="8">
        <v>745506</v>
      </c>
      <c r="RG54" s="8">
        <v>954671</v>
      </c>
      <c r="RH54" s="8">
        <v>1700177</v>
      </c>
      <c r="RI54" s="2"/>
      <c r="RJ54" s="2"/>
      <c r="RK54" s="2"/>
      <c r="RL54" s="2"/>
      <c r="RM54" s="8">
        <v>16661830</v>
      </c>
      <c r="RN54" s="8">
        <v>1456571</v>
      </c>
      <c r="RO54" s="8">
        <v>18118401</v>
      </c>
      <c r="RP54" s="2"/>
      <c r="RQ54" s="2"/>
      <c r="RR54" s="2">
        <v>0</v>
      </c>
      <c r="RS54" s="6">
        <v>0</v>
      </c>
      <c r="RT54" s="8">
        <v>2898944</v>
      </c>
      <c r="RU54" s="2"/>
      <c r="RV54" s="8">
        <v>2898944</v>
      </c>
      <c r="RW54" s="6">
        <v>2898944</v>
      </c>
      <c r="RX54" s="6">
        <v>0</v>
      </c>
      <c r="RY54" s="8">
        <v>2898944</v>
      </c>
      <c r="RZ54" s="2"/>
      <c r="SA54" s="8">
        <v>2898944</v>
      </c>
      <c r="SB54" s="6">
        <v>2898944</v>
      </c>
      <c r="SC54" s="8">
        <v>276500</v>
      </c>
      <c r="SD54" s="8">
        <v>276500</v>
      </c>
      <c r="SE54" s="6">
        <v>276500</v>
      </c>
      <c r="SF54" s="8">
        <v>1500000</v>
      </c>
      <c r="SG54" s="8">
        <v>1500000</v>
      </c>
      <c r="SH54" s="8">
        <v>19560774</v>
      </c>
      <c r="SI54" s="8">
        <v>3233071</v>
      </c>
      <c r="SJ54" s="8">
        <v>22793845</v>
      </c>
      <c r="SK54" s="2"/>
      <c r="SL54" s="2"/>
      <c r="SM54" s="2"/>
      <c r="SN54" s="2"/>
      <c r="SO54" s="2"/>
      <c r="SP54" s="8">
        <v>18000000</v>
      </c>
      <c r="SQ54" s="2" t="s">
        <v>95</v>
      </c>
      <c r="SR54" s="2"/>
      <c r="SS54" s="2"/>
      <c r="ST54" s="2"/>
      <c r="SU54" s="2"/>
      <c r="SV54" s="2"/>
      <c r="SW54" s="2"/>
      <c r="SX54" s="2" t="s">
        <v>96</v>
      </c>
      <c r="SY54" s="2" t="s">
        <v>96</v>
      </c>
      <c r="SZ54" s="2" t="s">
        <v>96</v>
      </c>
      <c r="TA54" s="2" t="s">
        <v>96</v>
      </c>
      <c r="TB54" s="8">
        <v>9629050</v>
      </c>
      <c r="TC54" s="2" t="s">
        <v>452</v>
      </c>
      <c r="TD54" s="8">
        <v>340000</v>
      </c>
      <c r="TE54" s="2" t="s">
        <v>453</v>
      </c>
      <c r="TF54" s="2"/>
      <c r="TG54" s="2"/>
      <c r="TH54" s="2"/>
      <c r="TI54" s="2">
        <v>0</v>
      </c>
      <c r="TJ54" s="8">
        <v>27969050</v>
      </c>
      <c r="TK54" s="8">
        <v>5175205</v>
      </c>
      <c r="TL54" s="2" t="s">
        <v>9</v>
      </c>
      <c r="TM54" s="8">
        <v>4000000</v>
      </c>
      <c r="TN54" s="2" t="s">
        <v>95</v>
      </c>
      <c r="TO54" s="2"/>
      <c r="TP54" s="2"/>
      <c r="TQ54" s="2"/>
      <c r="TR54" s="2"/>
      <c r="TS54" s="2"/>
      <c r="TT54" s="2"/>
      <c r="TU54" s="2" t="s">
        <v>96</v>
      </c>
      <c r="TV54" s="8">
        <v>19258100</v>
      </c>
      <c r="TW54" s="2" t="s">
        <v>452</v>
      </c>
      <c r="TX54" s="8">
        <v>340000</v>
      </c>
      <c r="TY54" s="2" t="s">
        <v>453</v>
      </c>
      <c r="TZ54" s="2"/>
      <c r="UA54" s="2"/>
      <c r="UB54" s="2"/>
      <c r="UC54" s="2">
        <v>0</v>
      </c>
      <c r="UD54" s="8">
        <v>23598100</v>
      </c>
      <c r="UE54" s="6">
        <v>4340000</v>
      </c>
      <c r="UF54" s="8">
        <v>804255</v>
      </c>
      <c r="UG54" s="2" t="s">
        <v>9</v>
      </c>
      <c r="UH54" s="2">
        <v>79</v>
      </c>
      <c r="UI54" s="5">
        <v>220000</v>
      </c>
      <c r="UJ54" s="6">
        <v>293333.33</v>
      </c>
      <c r="UK54" s="6">
        <v>293333.33</v>
      </c>
      <c r="UL54" s="6">
        <v>310933.33</v>
      </c>
      <c r="UM54" s="6">
        <v>24563733.329999998</v>
      </c>
      <c r="UN54" s="6">
        <v>3930197</v>
      </c>
      <c r="UO54" s="6">
        <v>3930197</v>
      </c>
      <c r="UP54" s="6">
        <v>28493930.329999998</v>
      </c>
      <c r="UQ54" s="6">
        <v>21017345</v>
      </c>
      <c r="UR54" s="2"/>
      <c r="US54" s="2"/>
      <c r="UT54" s="6">
        <v>0</v>
      </c>
      <c r="UU54" s="6">
        <v>340000</v>
      </c>
      <c r="UV54" s="6">
        <v>340000</v>
      </c>
      <c r="UW54" s="6">
        <v>340000</v>
      </c>
      <c r="UX54" s="6">
        <v>0</v>
      </c>
      <c r="UY54" s="6">
        <v>340000</v>
      </c>
      <c r="UZ54" s="2" t="s">
        <v>452</v>
      </c>
      <c r="VA54" s="2" t="s">
        <v>453</v>
      </c>
      <c r="VB54" s="2"/>
      <c r="VC54" s="2"/>
      <c r="VD54" s="2" t="s">
        <v>9</v>
      </c>
      <c r="VE54" s="2" t="s">
        <v>17</v>
      </c>
      <c r="VF54" s="2"/>
      <c r="VG54" s="2" t="s">
        <v>9</v>
      </c>
      <c r="VH54" s="2" t="s">
        <v>454</v>
      </c>
      <c r="VI54" s="388" t="s">
        <v>286</v>
      </c>
      <c r="VJ54" s="2" t="s">
        <v>98</v>
      </c>
      <c r="VK54" s="2" t="s">
        <v>324</v>
      </c>
      <c r="VL54" s="23">
        <f t="shared" si="21"/>
        <v>118</v>
      </c>
      <c r="VM54" s="17">
        <f t="shared" si="22"/>
        <v>1.4936708860759493</v>
      </c>
      <c r="VN54" s="17" t="str">
        <f t="shared" si="12"/>
        <v>NC-GA-E</v>
      </c>
      <c r="VO54" s="17" t="str">
        <f t="shared" si="13"/>
        <v>NC-GA-E-Non</v>
      </c>
      <c r="VP54" s="12">
        <v>9</v>
      </c>
      <c r="VQ54" s="57">
        <v>1</v>
      </c>
      <c r="VR54" s="57">
        <f t="shared" si="23"/>
        <v>1</v>
      </c>
      <c r="VS54" s="14">
        <f t="shared" si="24"/>
        <v>1</v>
      </c>
      <c r="VT54" s="12">
        <f t="shared" si="25"/>
        <v>1</v>
      </c>
      <c r="VU54" s="16">
        <f t="shared" si="26"/>
        <v>19260000</v>
      </c>
      <c r="VV54" s="16">
        <f t="shared" si="27"/>
        <v>243797.46835443037</v>
      </c>
      <c r="VW54" s="12" t="str">
        <f t="shared" si="14"/>
        <v>A</v>
      </c>
      <c r="VX54" s="12" t="str">
        <f t="shared" si="15"/>
        <v>NC-GA-Non</v>
      </c>
      <c r="VY54" s="351">
        <f t="shared" si="16"/>
        <v>4</v>
      </c>
      <c r="WA54" s="12">
        <f t="shared" si="17"/>
        <v>1</v>
      </c>
      <c r="WB54" s="12">
        <f t="shared" si="18"/>
        <v>0</v>
      </c>
      <c r="WC54" s="12">
        <f t="shared" si="18"/>
        <v>0</v>
      </c>
      <c r="WD54" s="12">
        <f t="shared" si="18"/>
        <v>0</v>
      </c>
      <c r="WE54" s="12">
        <f t="shared" si="19"/>
        <v>0</v>
      </c>
      <c r="WF54" s="12">
        <f t="shared" si="28"/>
        <v>1</v>
      </c>
      <c r="WG54" s="12">
        <f t="shared" si="29"/>
        <v>0</v>
      </c>
      <c r="WH54" s="12">
        <f t="shared" si="30"/>
        <v>0</v>
      </c>
      <c r="WI54" s="22">
        <f t="shared" si="31"/>
        <v>2</v>
      </c>
      <c r="WJ54" s="2"/>
      <c r="WK54" s="444" t="str">
        <f t="shared" si="20"/>
        <v>NC-GA-Non-BBN-BRN-NPH-E</v>
      </c>
      <c r="WL54" s="444"/>
      <c r="WM54" s="444"/>
    </row>
    <row r="55" spans="1:611" x14ac:dyDescent="0.25">
      <c r="A55" s="2">
        <v>9500</v>
      </c>
      <c r="B55" s="2" t="s">
        <v>1127</v>
      </c>
      <c r="C55" s="2" t="s">
        <v>8</v>
      </c>
      <c r="D55" s="3">
        <v>45153</v>
      </c>
      <c r="E55" s="2" t="s">
        <v>9</v>
      </c>
      <c r="F55" s="2">
        <v>3</v>
      </c>
      <c r="G55" s="2" t="s">
        <v>9</v>
      </c>
      <c r="H55" s="2">
        <v>3</v>
      </c>
      <c r="I55" s="2" t="s">
        <v>9</v>
      </c>
      <c r="J55" s="2">
        <v>3</v>
      </c>
      <c r="K55" s="2" t="s">
        <v>9</v>
      </c>
      <c r="L55" s="2">
        <v>3</v>
      </c>
      <c r="M55" s="2" t="s">
        <v>10</v>
      </c>
      <c r="N55" s="2">
        <v>0</v>
      </c>
      <c r="O55" s="2" t="s">
        <v>10</v>
      </c>
      <c r="P55" s="2">
        <v>0</v>
      </c>
      <c r="Q55" s="2" t="s">
        <v>11</v>
      </c>
      <c r="R55" s="2">
        <v>0</v>
      </c>
      <c r="S55" s="2" t="s">
        <v>9</v>
      </c>
      <c r="T55" s="2">
        <v>2</v>
      </c>
      <c r="U55" s="2" t="s">
        <v>9</v>
      </c>
      <c r="V55" s="2">
        <v>2</v>
      </c>
      <c r="W55" s="2" t="s">
        <v>9</v>
      </c>
      <c r="X55" s="2">
        <v>2</v>
      </c>
      <c r="Y55" s="2" t="s">
        <v>12</v>
      </c>
      <c r="Z55" s="2" t="s">
        <v>1128</v>
      </c>
      <c r="AA55" s="2" t="s">
        <v>124</v>
      </c>
      <c r="AB55" s="2" t="s">
        <v>124</v>
      </c>
      <c r="AC55" s="2" t="s">
        <v>15</v>
      </c>
      <c r="AD55" s="2" t="s">
        <v>15</v>
      </c>
      <c r="AE55" s="2" t="s">
        <v>15</v>
      </c>
      <c r="AF55" s="2">
        <v>3</v>
      </c>
      <c r="AG55" s="2" t="s">
        <v>1129</v>
      </c>
      <c r="AH55" s="2" t="s">
        <v>17</v>
      </c>
      <c r="AI55" s="4">
        <v>0.16175999999999999</v>
      </c>
      <c r="AJ55" s="2" t="s">
        <v>17</v>
      </c>
      <c r="AK55" s="2" t="s">
        <v>9</v>
      </c>
      <c r="AL55" s="2" t="s">
        <v>17</v>
      </c>
      <c r="AM55" s="2" t="s">
        <v>17</v>
      </c>
      <c r="AN55" s="2" t="s">
        <v>17</v>
      </c>
      <c r="AO55" s="2" t="s">
        <v>9</v>
      </c>
      <c r="AP55" s="2" t="s">
        <v>17</v>
      </c>
      <c r="AQ55" s="2" t="s">
        <v>17</v>
      </c>
      <c r="AR55" s="2" t="s">
        <v>17</v>
      </c>
      <c r="AS55" s="2" t="s">
        <v>17</v>
      </c>
      <c r="AT55" s="2">
        <v>0</v>
      </c>
      <c r="AU55" s="5">
        <v>20000</v>
      </c>
      <c r="AV55" s="5">
        <v>460000</v>
      </c>
      <c r="AW55" s="2">
        <v>0</v>
      </c>
      <c r="AX55" s="2">
        <v>11</v>
      </c>
      <c r="AY55" s="2">
        <v>0</v>
      </c>
      <c r="AZ55" s="2">
        <v>18</v>
      </c>
      <c r="BA55" s="2">
        <v>0</v>
      </c>
      <c r="BB55" s="2">
        <v>1</v>
      </c>
      <c r="BC55" s="2">
        <v>0</v>
      </c>
      <c r="BD55" s="2">
        <v>0</v>
      </c>
      <c r="BE55" s="2">
        <v>0</v>
      </c>
      <c r="BF55" s="2">
        <v>1</v>
      </c>
      <c r="BG55" s="2">
        <v>0</v>
      </c>
      <c r="BH55" s="2">
        <v>0</v>
      </c>
      <c r="BI55" s="2">
        <v>13</v>
      </c>
      <c r="BJ55" s="2">
        <v>1</v>
      </c>
      <c r="BK55" s="2">
        <v>0</v>
      </c>
      <c r="BL55" s="2">
        <v>3</v>
      </c>
      <c r="BM55" s="2">
        <v>0</v>
      </c>
      <c r="BN55" s="2">
        <v>10</v>
      </c>
      <c r="BO55" s="2">
        <v>11</v>
      </c>
      <c r="BP55" s="2">
        <v>0</v>
      </c>
      <c r="BQ55" s="2">
        <v>10</v>
      </c>
      <c r="BR55" s="2">
        <v>10.38</v>
      </c>
      <c r="BS55" s="2">
        <v>0</v>
      </c>
      <c r="BT55" s="4">
        <v>0.06</v>
      </c>
      <c r="BU55" s="2" t="s">
        <v>9</v>
      </c>
      <c r="BV55" s="6">
        <v>226913.4</v>
      </c>
      <c r="BW55" s="2" t="s">
        <v>18</v>
      </c>
      <c r="BX55" s="2" t="s">
        <v>17</v>
      </c>
      <c r="BY55" s="2" t="s">
        <v>17</v>
      </c>
      <c r="BZ55" s="2" t="s">
        <v>17</v>
      </c>
      <c r="CA55" s="2" t="s">
        <v>17</v>
      </c>
      <c r="CB55" s="2" t="s">
        <v>17</v>
      </c>
      <c r="CC55" s="2" t="s">
        <v>17</v>
      </c>
      <c r="CD55" s="2" t="s">
        <v>17</v>
      </c>
      <c r="CE55" s="2" t="s">
        <v>1130</v>
      </c>
      <c r="CF55" s="2" t="s">
        <v>17</v>
      </c>
      <c r="CG55" s="2" t="s">
        <v>1131</v>
      </c>
      <c r="CH55" s="2"/>
      <c r="CI55" s="2"/>
      <c r="CJ55" s="2" t="s">
        <v>9</v>
      </c>
      <c r="CK55" s="2" t="s">
        <v>1132</v>
      </c>
      <c r="CL55" s="2" t="s">
        <v>1131</v>
      </c>
      <c r="CM55" s="2" t="s">
        <v>1133</v>
      </c>
      <c r="CN55" s="2" t="s">
        <v>1134</v>
      </c>
      <c r="CO55" s="2" t="s">
        <v>24</v>
      </c>
      <c r="CP55" s="2"/>
      <c r="CQ55" s="2">
        <v>144</v>
      </c>
      <c r="CR55" s="2" t="s">
        <v>1135</v>
      </c>
      <c r="CS55" s="2">
        <v>2020</v>
      </c>
      <c r="CT55" s="2" t="s">
        <v>26</v>
      </c>
      <c r="CU55" s="2" t="s">
        <v>27</v>
      </c>
      <c r="CV55" s="2" t="s">
        <v>1136</v>
      </c>
      <c r="CW55" s="2" t="s">
        <v>1137</v>
      </c>
      <c r="CX55" s="2" t="s">
        <v>24</v>
      </c>
      <c r="CY55" s="2"/>
      <c r="CZ55" s="2">
        <v>120</v>
      </c>
      <c r="DA55" s="2" t="s">
        <v>1135</v>
      </c>
      <c r="DB55" s="2">
        <v>2017</v>
      </c>
      <c r="DC55" s="2" t="s">
        <v>30</v>
      </c>
      <c r="DD55" s="2" t="s">
        <v>27</v>
      </c>
      <c r="DE55" s="2" t="s">
        <v>1138</v>
      </c>
      <c r="DF55" s="2" t="s">
        <v>1139</v>
      </c>
      <c r="DG55" s="2" t="s">
        <v>24</v>
      </c>
      <c r="DH55" s="2"/>
      <c r="DI55" s="2">
        <v>92</v>
      </c>
      <c r="DJ55" s="2" t="s">
        <v>1135</v>
      </c>
      <c r="DK55" s="2">
        <v>2021</v>
      </c>
      <c r="DL55" s="2" t="s">
        <v>30</v>
      </c>
      <c r="DM55" s="2" t="s">
        <v>27</v>
      </c>
      <c r="DN55" s="2" t="s">
        <v>33</v>
      </c>
      <c r="DO55" s="2" t="s">
        <v>1140</v>
      </c>
      <c r="DP55" s="2"/>
      <c r="DQ55" s="2" t="s">
        <v>1141</v>
      </c>
      <c r="DR55" s="2" t="s">
        <v>1142</v>
      </c>
      <c r="DS55" s="2">
        <v>1</v>
      </c>
      <c r="DT55" s="2" t="s">
        <v>1143</v>
      </c>
      <c r="DU55" s="2" t="s">
        <v>1144</v>
      </c>
      <c r="DV55" s="2" t="s">
        <v>39</v>
      </c>
      <c r="DW55" s="2">
        <v>33716</v>
      </c>
      <c r="DX55" s="2" t="s">
        <v>1145</v>
      </c>
      <c r="DY55" s="2"/>
      <c r="DZ55" s="2" t="s">
        <v>1146</v>
      </c>
      <c r="EA55" s="2" t="s">
        <v>1142</v>
      </c>
      <c r="EB55" s="2" t="s">
        <v>1136</v>
      </c>
      <c r="EC55" s="2" t="s">
        <v>1137</v>
      </c>
      <c r="ED55" s="2" t="s">
        <v>44</v>
      </c>
      <c r="EE55" s="2">
        <v>120</v>
      </c>
      <c r="EF55" s="2" t="s">
        <v>1147</v>
      </c>
      <c r="EG55" s="2">
        <v>6</v>
      </c>
      <c r="EH55" s="2" t="s">
        <v>46</v>
      </c>
      <c r="EI55" s="2" t="s">
        <v>47</v>
      </c>
      <c r="EJ55" s="2" t="s">
        <v>1148</v>
      </c>
      <c r="EK55" s="2" t="s">
        <v>333</v>
      </c>
      <c r="EL55" s="2" t="s">
        <v>44</v>
      </c>
      <c r="EM55" s="2">
        <v>88</v>
      </c>
      <c r="EN55" s="2" t="s">
        <v>1147</v>
      </c>
      <c r="EO55" s="2">
        <v>8</v>
      </c>
      <c r="EP55" s="2" t="s">
        <v>46</v>
      </c>
      <c r="EQ55" s="2" t="s">
        <v>47</v>
      </c>
      <c r="ER55" s="2" t="s">
        <v>1149</v>
      </c>
      <c r="ES55" s="2"/>
      <c r="ET55" s="2" t="s">
        <v>247</v>
      </c>
      <c r="EU55" s="2" t="s">
        <v>1130</v>
      </c>
      <c r="EV55" s="2" t="s">
        <v>1143</v>
      </c>
      <c r="EW55" s="2" t="s">
        <v>1144</v>
      </c>
      <c r="EX55" s="2" t="s">
        <v>39</v>
      </c>
      <c r="EY55" s="2">
        <v>33716</v>
      </c>
      <c r="EZ55" s="2" t="s">
        <v>1150</v>
      </c>
      <c r="FA55" s="2"/>
      <c r="FB55" s="2" t="s">
        <v>1151</v>
      </c>
      <c r="FC55" s="2" t="s">
        <v>1024</v>
      </c>
      <c r="FD55" s="2"/>
      <c r="FE55" s="2" t="s">
        <v>1141</v>
      </c>
      <c r="FF55" s="2" t="s">
        <v>1152</v>
      </c>
      <c r="FG55" s="2" t="s">
        <v>1143</v>
      </c>
      <c r="FH55" s="2" t="s">
        <v>1144</v>
      </c>
      <c r="FI55" s="2" t="s">
        <v>39</v>
      </c>
      <c r="FJ55" s="2">
        <v>33716</v>
      </c>
      <c r="FK55" s="2" t="s">
        <v>1153</v>
      </c>
      <c r="FL55" s="2"/>
      <c r="FM55" s="2" t="s">
        <v>1154</v>
      </c>
      <c r="FN55" s="2" t="s">
        <v>1155</v>
      </c>
      <c r="FO55" s="2" t="s">
        <v>63</v>
      </c>
      <c r="FP55" s="2" t="s">
        <v>64</v>
      </c>
      <c r="FQ55" s="2" t="s">
        <v>9</v>
      </c>
      <c r="FR55" s="2" t="s">
        <v>17</v>
      </c>
      <c r="FS55" s="2" t="s">
        <v>17</v>
      </c>
      <c r="FT55" s="2" t="s">
        <v>9</v>
      </c>
      <c r="FU55" s="2">
        <v>0</v>
      </c>
      <c r="FV55" s="2">
        <v>0</v>
      </c>
      <c r="FW55" s="4">
        <v>0</v>
      </c>
      <c r="FX55" s="4">
        <v>0</v>
      </c>
      <c r="FY55" s="2" t="s">
        <v>65</v>
      </c>
      <c r="FZ55" s="2" t="s">
        <v>66</v>
      </c>
      <c r="GA55" s="2" t="s">
        <v>67</v>
      </c>
      <c r="GB55" s="2"/>
      <c r="GC55" s="2"/>
      <c r="GD55" s="2"/>
      <c r="GE55" s="2" t="s">
        <v>68</v>
      </c>
      <c r="GF55" s="2">
        <v>68</v>
      </c>
      <c r="GG55" s="2">
        <v>68</v>
      </c>
      <c r="GH55" s="2"/>
      <c r="GI55" s="2"/>
      <c r="GJ55" s="2"/>
      <c r="GK55" s="2"/>
      <c r="GL55" s="2"/>
      <c r="GM55" s="2"/>
      <c r="GN55" s="2"/>
      <c r="GO55" s="2"/>
      <c r="GP55" s="2"/>
      <c r="GQ55" s="2">
        <v>68</v>
      </c>
      <c r="GR55" s="2" t="s">
        <v>1156</v>
      </c>
      <c r="GS55" s="2" t="s">
        <v>70</v>
      </c>
      <c r="GT55" s="2" t="s">
        <v>1157</v>
      </c>
      <c r="GU55" s="2" t="s">
        <v>1158</v>
      </c>
      <c r="GV55" s="2" t="s">
        <v>17</v>
      </c>
      <c r="GW55" s="2">
        <v>27.434687</v>
      </c>
      <c r="GX55" s="2">
        <v>-80.355975999999998</v>
      </c>
      <c r="GY55" s="2"/>
      <c r="GZ55" s="2" t="s">
        <v>17</v>
      </c>
      <c r="HA55" s="2" t="s">
        <v>17</v>
      </c>
      <c r="HB55" s="2">
        <v>0</v>
      </c>
      <c r="HC55" s="2" t="s">
        <v>17</v>
      </c>
      <c r="HD55" s="2"/>
      <c r="HE55" s="2">
        <v>0</v>
      </c>
      <c r="HF55" s="2">
        <v>27.431443000000002</v>
      </c>
      <c r="HG55" s="2">
        <v>-80.358406000000002</v>
      </c>
      <c r="HH55" s="2">
        <v>0.27</v>
      </c>
      <c r="HI55" s="2">
        <v>5.5</v>
      </c>
      <c r="HJ55" s="2">
        <v>27.438797999999998</v>
      </c>
      <c r="HK55" s="2">
        <v>-80.349913999999998</v>
      </c>
      <c r="HL55" s="2">
        <v>0.47</v>
      </c>
      <c r="HM55" s="2">
        <v>27.439062</v>
      </c>
      <c r="HN55" s="2">
        <v>-80.350076999999999</v>
      </c>
      <c r="HO55" s="2">
        <v>0.48</v>
      </c>
      <c r="HP55" s="2"/>
      <c r="HQ55" s="2"/>
      <c r="HR55" s="2"/>
      <c r="HS55" s="2"/>
      <c r="HT55" s="2"/>
      <c r="HU55" s="2"/>
      <c r="HV55" s="2"/>
      <c r="HW55" s="2"/>
      <c r="HX55" s="2" t="s">
        <v>73</v>
      </c>
      <c r="HY55" s="2" t="s">
        <v>17</v>
      </c>
      <c r="HZ55" s="2"/>
      <c r="IA55" s="2"/>
      <c r="IB55" s="2"/>
      <c r="IC55" s="2"/>
      <c r="ID55" s="2"/>
      <c r="IE55" s="2" t="s">
        <v>1159</v>
      </c>
      <c r="IF55" s="2">
        <v>0.67</v>
      </c>
      <c r="IG55" s="2">
        <v>3</v>
      </c>
      <c r="IH55" s="2" t="s">
        <v>1118</v>
      </c>
      <c r="II55" s="2">
        <v>0.73</v>
      </c>
      <c r="IJ55" s="2">
        <v>3</v>
      </c>
      <c r="IK55" s="2" t="s">
        <v>1160</v>
      </c>
      <c r="IL55" s="2" t="s">
        <v>1161</v>
      </c>
      <c r="IM55" s="2">
        <v>0.67</v>
      </c>
      <c r="IN55" s="2">
        <v>3.5</v>
      </c>
      <c r="IO55" s="2" t="s">
        <v>9</v>
      </c>
      <c r="IP55" s="2">
        <v>5.5</v>
      </c>
      <c r="IQ55" s="2">
        <v>9.5</v>
      </c>
      <c r="IR55" s="2">
        <v>0</v>
      </c>
      <c r="IS55" s="2">
        <v>15</v>
      </c>
      <c r="IT55" s="2" t="s">
        <v>9</v>
      </c>
      <c r="IU55" s="2" t="s">
        <v>17</v>
      </c>
      <c r="IV55" s="2" t="s">
        <v>17</v>
      </c>
      <c r="IW55" s="2" t="s">
        <v>9</v>
      </c>
      <c r="IX55" s="2" t="s">
        <v>9</v>
      </c>
      <c r="IY55" s="2">
        <v>15</v>
      </c>
      <c r="IZ55" s="2">
        <v>68</v>
      </c>
      <c r="JA55" s="2" t="s">
        <v>81</v>
      </c>
      <c r="JB55" s="2" t="s">
        <v>82</v>
      </c>
      <c r="JC55" s="2"/>
      <c r="JD55" s="2"/>
      <c r="JE55" s="2"/>
      <c r="JF55" s="2"/>
      <c r="JG55" s="2"/>
      <c r="JH55" s="7">
        <v>0</v>
      </c>
      <c r="JI55" s="2">
        <v>0</v>
      </c>
      <c r="JJ55" s="7">
        <v>0</v>
      </c>
      <c r="JK55" s="2">
        <v>0</v>
      </c>
      <c r="JL55" s="7">
        <v>0</v>
      </c>
      <c r="JM55" s="2">
        <v>11</v>
      </c>
      <c r="JN55" s="2"/>
      <c r="JO55" s="2"/>
      <c r="JP55" s="2">
        <v>43</v>
      </c>
      <c r="JQ55" s="2"/>
      <c r="JR55" s="2">
        <v>14</v>
      </c>
      <c r="JS55" s="2">
        <v>0</v>
      </c>
      <c r="JT55" s="2">
        <v>0</v>
      </c>
      <c r="JU55" s="2"/>
      <c r="JV55" s="2">
        <v>68</v>
      </c>
      <c r="JW55" s="4">
        <v>1</v>
      </c>
      <c r="JX55" s="2">
        <v>68</v>
      </c>
      <c r="JY55" s="4">
        <v>0.59265000000000001</v>
      </c>
      <c r="JZ55" s="2">
        <v>0</v>
      </c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>
        <v>34</v>
      </c>
      <c r="KL55" s="2">
        <v>34</v>
      </c>
      <c r="KM55" s="2"/>
      <c r="KN55" s="2"/>
      <c r="KO55" s="2"/>
      <c r="KP55" s="2"/>
      <c r="KQ55" s="2" t="s">
        <v>83</v>
      </c>
      <c r="KR55" s="2" t="s">
        <v>73</v>
      </c>
      <c r="KS55" s="2"/>
      <c r="KT55" s="2">
        <v>3</v>
      </c>
      <c r="KU55" s="2" t="s">
        <v>84</v>
      </c>
      <c r="KV55" s="2" t="s">
        <v>85</v>
      </c>
      <c r="KW55" s="2" t="s">
        <v>86</v>
      </c>
      <c r="KX55" s="2" t="s">
        <v>17</v>
      </c>
      <c r="KY55" s="2" t="s">
        <v>17</v>
      </c>
      <c r="KZ55" s="2" t="s">
        <v>17</v>
      </c>
      <c r="LA55" s="2" t="s">
        <v>17</v>
      </c>
      <c r="LB55" s="2" t="s">
        <v>17</v>
      </c>
      <c r="LC55" s="2" t="s">
        <v>17</v>
      </c>
      <c r="LD55" s="2" t="s">
        <v>17</v>
      </c>
      <c r="LE55" s="2" t="s">
        <v>17</v>
      </c>
      <c r="LF55" s="2" t="s">
        <v>17</v>
      </c>
      <c r="LG55" s="2" t="s">
        <v>17</v>
      </c>
      <c r="LH55" s="2" t="s">
        <v>17</v>
      </c>
      <c r="LI55" s="2" t="s">
        <v>17</v>
      </c>
      <c r="LJ55" s="2" t="s">
        <v>87</v>
      </c>
      <c r="LK55" s="2" t="s">
        <v>17</v>
      </c>
      <c r="LL55" s="2" t="s">
        <v>17</v>
      </c>
      <c r="LM55" s="2">
        <v>0</v>
      </c>
      <c r="LN55" s="2" t="s">
        <v>17</v>
      </c>
      <c r="LO55" s="2" t="s">
        <v>9</v>
      </c>
      <c r="LP55" s="2" t="s">
        <v>9</v>
      </c>
      <c r="LQ55" s="2" t="s">
        <v>17</v>
      </c>
      <c r="LR55" s="2" t="s">
        <v>9</v>
      </c>
      <c r="LS55" s="2" t="s">
        <v>17</v>
      </c>
      <c r="LT55" s="2" t="s">
        <v>17</v>
      </c>
      <c r="LU55" s="2" t="s">
        <v>17</v>
      </c>
      <c r="LV55" s="2" t="s">
        <v>17</v>
      </c>
      <c r="LW55" s="2" t="s">
        <v>17</v>
      </c>
      <c r="LX55" s="2" t="s">
        <v>17</v>
      </c>
      <c r="LY55" s="5">
        <v>5440000</v>
      </c>
      <c r="LZ55" s="5">
        <v>0</v>
      </c>
      <c r="MA55" s="5">
        <v>6800000</v>
      </c>
      <c r="MB55" s="5">
        <v>0</v>
      </c>
      <c r="MC55" s="5">
        <v>0</v>
      </c>
      <c r="MD55" s="5">
        <v>0</v>
      </c>
      <c r="ME55" s="5">
        <v>7140000</v>
      </c>
      <c r="MF55" s="5">
        <v>0</v>
      </c>
      <c r="MG55" s="5">
        <v>0</v>
      </c>
      <c r="MH55" s="5">
        <v>0</v>
      </c>
      <c r="MI55" s="5">
        <v>0</v>
      </c>
      <c r="MJ55" s="5">
        <v>0</v>
      </c>
      <c r="MK55" s="5">
        <v>0</v>
      </c>
      <c r="ML55" s="2">
        <v>0</v>
      </c>
      <c r="MM55" s="5">
        <v>0</v>
      </c>
      <c r="MN55" s="5">
        <v>0</v>
      </c>
      <c r="MO55" s="2">
        <v>0</v>
      </c>
      <c r="MP55" s="2">
        <v>0</v>
      </c>
      <c r="MQ55" s="2">
        <v>0</v>
      </c>
      <c r="MR55" s="5">
        <v>2950000</v>
      </c>
      <c r="MS55" s="5">
        <v>0</v>
      </c>
      <c r="MT55" s="5">
        <v>4600000</v>
      </c>
      <c r="MU55" s="5">
        <v>0</v>
      </c>
      <c r="MV55" s="5">
        <v>0</v>
      </c>
      <c r="MW55" s="5">
        <v>0</v>
      </c>
      <c r="MX55" s="5">
        <v>0</v>
      </c>
      <c r="MY55" s="5">
        <v>2500000</v>
      </c>
      <c r="MZ55" s="5">
        <v>0</v>
      </c>
      <c r="NA55" s="5">
        <v>5000000</v>
      </c>
      <c r="NB55" s="5">
        <v>0</v>
      </c>
      <c r="NC55" s="5">
        <v>0</v>
      </c>
      <c r="ND55" s="5">
        <v>0</v>
      </c>
      <c r="NE55" s="5">
        <v>0</v>
      </c>
      <c r="NF55" s="5">
        <v>0</v>
      </c>
      <c r="NG55" s="5">
        <v>2142000</v>
      </c>
      <c r="NH55" s="5">
        <v>2142000</v>
      </c>
      <c r="NI55" s="5">
        <v>2142000</v>
      </c>
      <c r="NJ55" s="5">
        <v>0</v>
      </c>
      <c r="NK55" s="5"/>
      <c r="NL55" s="2" t="s">
        <v>9</v>
      </c>
      <c r="NM55" s="2" t="s">
        <v>17</v>
      </c>
      <c r="NN55" s="2"/>
      <c r="NO55" s="2" t="s">
        <v>17</v>
      </c>
      <c r="NP55" s="2"/>
      <c r="NQ55" s="2"/>
      <c r="NR55" s="2" t="s">
        <v>17</v>
      </c>
      <c r="NS55" s="2"/>
      <c r="NT55" s="2" t="s">
        <v>9</v>
      </c>
      <c r="NU55" s="2" t="s">
        <v>450</v>
      </c>
      <c r="NV55" s="2">
        <v>3804</v>
      </c>
      <c r="NW55" s="2" t="s">
        <v>1162</v>
      </c>
      <c r="NX55" s="2" t="s">
        <v>17</v>
      </c>
      <c r="NY55" s="2"/>
      <c r="NZ55" s="2"/>
      <c r="OA55" s="2" t="s">
        <v>118</v>
      </c>
      <c r="OB55" s="2" t="s">
        <v>118</v>
      </c>
      <c r="OC55" s="2" t="s">
        <v>118</v>
      </c>
      <c r="OD55" s="2" t="s">
        <v>17</v>
      </c>
      <c r="OE55" s="2" t="s">
        <v>119</v>
      </c>
      <c r="OF55" s="2" t="s">
        <v>17</v>
      </c>
      <c r="OG55" s="2" t="s">
        <v>17</v>
      </c>
      <c r="OH55" s="2"/>
      <c r="OI55" s="2"/>
      <c r="OJ55" s="2"/>
      <c r="OK55" s="2" t="s">
        <v>17</v>
      </c>
      <c r="OL55" s="2" t="s">
        <v>17</v>
      </c>
      <c r="OM55" s="2" t="s">
        <v>85</v>
      </c>
      <c r="ON55" s="6">
        <v>0</v>
      </c>
      <c r="OO55" s="6">
        <v>0</v>
      </c>
      <c r="OP55" s="2" t="s">
        <v>93</v>
      </c>
      <c r="OQ55" s="2" t="s">
        <v>93</v>
      </c>
      <c r="OR55" s="6">
        <v>0</v>
      </c>
      <c r="OS55" s="4">
        <v>0</v>
      </c>
      <c r="OT55" s="2" t="s">
        <v>17</v>
      </c>
      <c r="OU55" s="2" t="s">
        <v>17</v>
      </c>
      <c r="OV55" s="2"/>
      <c r="OW55" s="2"/>
      <c r="OX55" s="5">
        <v>15430111</v>
      </c>
      <c r="OY55" s="6">
        <v>226913.4</v>
      </c>
      <c r="OZ55" s="2"/>
      <c r="PA55" s="2"/>
      <c r="PB55" s="8">
        <v>13019168</v>
      </c>
      <c r="PC55" s="8">
        <v>72082</v>
      </c>
      <c r="PD55" s="8">
        <v>13091250</v>
      </c>
      <c r="PE55" s="2"/>
      <c r="PF55" s="2"/>
      <c r="PG55" s="2"/>
      <c r="PH55" s="2"/>
      <c r="PI55" s="2"/>
      <c r="PJ55" s="2"/>
      <c r="PK55" s="8">
        <v>13019168</v>
      </c>
      <c r="PL55" s="8">
        <v>72082</v>
      </c>
      <c r="PM55" s="8">
        <v>13091250</v>
      </c>
      <c r="PN55" s="8">
        <v>1832775</v>
      </c>
      <c r="PO55" s="2"/>
      <c r="PP55" s="8">
        <v>1832775</v>
      </c>
      <c r="PQ55" s="6">
        <v>1832775</v>
      </c>
      <c r="PR55" s="8">
        <v>14851943</v>
      </c>
      <c r="PS55" s="8">
        <v>72082</v>
      </c>
      <c r="PT55" s="8">
        <v>14924025</v>
      </c>
      <c r="PU55" s="8">
        <v>746201</v>
      </c>
      <c r="PV55" s="2"/>
      <c r="PW55" s="8">
        <v>746201</v>
      </c>
      <c r="PX55" s="6">
        <v>746201.25</v>
      </c>
      <c r="PY55" s="8">
        <v>1142008</v>
      </c>
      <c r="PZ55" s="8">
        <v>175750</v>
      </c>
      <c r="QA55" s="8">
        <v>1317758</v>
      </c>
      <c r="QB55" s="8">
        <v>228000</v>
      </c>
      <c r="QC55" s="8">
        <v>152000</v>
      </c>
      <c r="QD55" s="8">
        <v>380000</v>
      </c>
      <c r="QE55" s="8">
        <v>1005134</v>
      </c>
      <c r="QF55" s="8">
        <v>27258</v>
      </c>
      <c r="QG55" s="8">
        <v>1032392</v>
      </c>
      <c r="QH55" s="2"/>
      <c r="QI55" s="8">
        <v>449457</v>
      </c>
      <c r="QJ55" s="8">
        <v>449457</v>
      </c>
      <c r="QK55" s="2">
        <v>0</v>
      </c>
      <c r="QL55" s="2"/>
      <c r="QM55" s="2"/>
      <c r="QN55" s="8">
        <v>190400</v>
      </c>
      <c r="QO55" s="8">
        <v>15000</v>
      </c>
      <c r="QP55" s="8">
        <v>205400</v>
      </c>
      <c r="QQ55" s="8">
        <v>2565542</v>
      </c>
      <c r="QR55" s="8">
        <v>819465</v>
      </c>
      <c r="QS55" s="8">
        <v>3385007</v>
      </c>
      <c r="QT55" s="8">
        <v>169250</v>
      </c>
      <c r="QU55" s="2"/>
      <c r="QV55" s="8">
        <v>169250</v>
      </c>
      <c r="QW55" s="6">
        <v>169250.35</v>
      </c>
      <c r="QX55" s="8">
        <v>968050</v>
      </c>
      <c r="QY55" s="8">
        <v>518700</v>
      </c>
      <c r="QZ55" s="8">
        <v>1486750</v>
      </c>
      <c r="RA55" s="8">
        <v>23925</v>
      </c>
      <c r="RB55" s="8">
        <v>23925</v>
      </c>
      <c r="RC55" s="8">
        <v>21000</v>
      </c>
      <c r="RD55" s="8">
        <v>39000</v>
      </c>
      <c r="RE55" s="8">
        <v>60000</v>
      </c>
      <c r="RF55" s="8">
        <v>989050</v>
      </c>
      <c r="RG55" s="8">
        <v>581625</v>
      </c>
      <c r="RH55" s="8">
        <v>1570675</v>
      </c>
      <c r="RI55" s="2"/>
      <c r="RJ55" s="2"/>
      <c r="RK55" s="2"/>
      <c r="RL55" s="2"/>
      <c r="RM55" s="8">
        <v>19321986</v>
      </c>
      <c r="RN55" s="8">
        <v>1473172</v>
      </c>
      <c r="RO55" s="8">
        <v>20795158</v>
      </c>
      <c r="RP55" s="2"/>
      <c r="RQ55" s="2"/>
      <c r="RR55" s="2">
        <v>0</v>
      </c>
      <c r="RS55" s="6">
        <v>0</v>
      </c>
      <c r="RT55" s="8">
        <v>3327225</v>
      </c>
      <c r="RU55" s="2"/>
      <c r="RV55" s="8">
        <v>3327225</v>
      </c>
      <c r="RW55" s="6">
        <v>3327225</v>
      </c>
      <c r="RX55" s="6">
        <v>0</v>
      </c>
      <c r="RY55" s="8">
        <v>3327225</v>
      </c>
      <c r="RZ55" s="2"/>
      <c r="SA55" s="8">
        <v>3327225</v>
      </c>
      <c r="SB55" s="6">
        <v>3327225</v>
      </c>
      <c r="SC55" s="8">
        <v>209350</v>
      </c>
      <c r="SD55" s="8">
        <v>209350</v>
      </c>
      <c r="SE55" s="6">
        <v>238000</v>
      </c>
      <c r="SF55" s="8">
        <v>2200000</v>
      </c>
      <c r="SG55" s="8">
        <v>2200000</v>
      </c>
      <c r="SH55" s="8">
        <v>22649211</v>
      </c>
      <c r="SI55" s="8">
        <v>3882522</v>
      </c>
      <c r="SJ55" s="8">
        <v>26531733</v>
      </c>
      <c r="SK55" s="2"/>
      <c r="SL55" s="2"/>
      <c r="SM55" s="2" t="s">
        <v>1163</v>
      </c>
      <c r="SN55" s="2" t="s">
        <v>1164</v>
      </c>
      <c r="SO55" s="2"/>
      <c r="SP55" s="8">
        <v>19000000</v>
      </c>
      <c r="SQ55" s="2" t="s">
        <v>95</v>
      </c>
      <c r="SR55" s="8">
        <v>460000</v>
      </c>
      <c r="SS55" s="2" t="s">
        <v>180</v>
      </c>
      <c r="ST55" s="8">
        <v>460000</v>
      </c>
      <c r="SU55" s="2" t="s">
        <v>180</v>
      </c>
      <c r="SV55" s="2"/>
      <c r="SW55" s="2"/>
      <c r="SX55" s="2" t="s">
        <v>96</v>
      </c>
      <c r="SY55" s="2" t="s">
        <v>96</v>
      </c>
      <c r="SZ55" s="2" t="s">
        <v>96</v>
      </c>
      <c r="TA55" s="2" t="s">
        <v>96</v>
      </c>
      <c r="TB55" s="8">
        <v>5033198</v>
      </c>
      <c r="TC55" s="2"/>
      <c r="TD55" s="2"/>
      <c r="TE55" s="2"/>
      <c r="TF55" s="2"/>
      <c r="TG55" s="2"/>
      <c r="TH55" s="2"/>
      <c r="TI55" s="8">
        <v>1578535</v>
      </c>
      <c r="TJ55" s="8">
        <v>26531733</v>
      </c>
      <c r="TK55" s="2">
        <v>0</v>
      </c>
      <c r="TL55" s="2" t="s">
        <v>9</v>
      </c>
      <c r="TM55" s="8">
        <v>3190000</v>
      </c>
      <c r="TN55" s="2" t="s">
        <v>95</v>
      </c>
      <c r="TO55" s="8">
        <v>460000</v>
      </c>
      <c r="TP55" s="2" t="s">
        <v>180</v>
      </c>
      <c r="TQ55" s="8">
        <v>460000</v>
      </c>
      <c r="TR55" s="2" t="s">
        <v>180</v>
      </c>
      <c r="TS55" s="2"/>
      <c r="TT55" s="2"/>
      <c r="TU55" s="2" t="s">
        <v>96</v>
      </c>
      <c r="TV55" s="8">
        <v>20132787</v>
      </c>
      <c r="TW55" s="2"/>
      <c r="TX55" s="2"/>
      <c r="TY55" s="2"/>
      <c r="TZ55" s="2"/>
      <c r="UA55" s="2"/>
      <c r="UB55" s="2"/>
      <c r="UC55" s="8">
        <v>2288946</v>
      </c>
      <c r="UD55" s="8">
        <v>26531733</v>
      </c>
      <c r="UE55" s="6">
        <v>4110000</v>
      </c>
      <c r="UF55" s="2">
        <v>0</v>
      </c>
      <c r="UG55" s="2" t="s">
        <v>9</v>
      </c>
      <c r="UH55" s="2">
        <v>68</v>
      </c>
      <c r="UI55" s="5">
        <v>240000</v>
      </c>
      <c r="UJ55" s="6">
        <v>320000</v>
      </c>
      <c r="UK55" s="6">
        <v>320000</v>
      </c>
      <c r="UL55" s="6">
        <v>339200</v>
      </c>
      <c r="UM55" s="6">
        <v>23065600</v>
      </c>
      <c r="UN55" s="6">
        <v>3690496</v>
      </c>
      <c r="UO55" s="6">
        <v>3690496</v>
      </c>
      <c r="UP55" s="6">
        <v>26756096</v>
      </c>
      <c r="UQ55" s="6">
        <v>24122383</v>
      </c>
      <c r="UR55" s="6">
        <v>920000</v>
      </c>
      <c r="US55" s="2"/>
      <c r="UT55" s="6">
        <v>920000</v>
      </c>
      <c r="UU55" s="6">
        <v>0</v>
      </c>
      <c r="UV55" s="6">
        <v>0</v>
      </c>
      <c r="UW55" s="6">
        <v>920000</v>
      </c>
      <c r="UX55" s="6">
        <v>0</v>
      </c>
      <c r="UY55" s="6">
        <v>920000</v>
      </c>
      <c r="UZ55" s="2" t="s">
        <v>1165</v>
      </c>
      <c r="VA55" s="2" t="s">
        <v>182</v>
      </c>
      <c r="VB55" s="2" t="s">
        <v>1166</v>
      </c>
      <c r="VC55" s="2" t="s">
        <v>182</v>
      </c>
      <c r="VD55" s="2" t="s">
        <v>9</v>
      </c>
      <c r="VE55" s="2" t="s">
        <v>17</v>
      </c>
      <c r="VF55" s="2"/>
      <c r="VG55" s="2" t="s">
        <v>9</v>
      </c>
      <c r="VH55" s="2" t="s">
        <v>1167</v>
      </c>
      <c r="VI55" s="388" t="s">
        <v>1132</v>
      </c>
      <c r="VJ55" s="2" t="s">
        <v>98</v>
      </c>
      <c r="VK55" s="2" t="s">
        <v>1168</v>
      </c>
      <c r="VL55" s="23">
        <f t="shared" si="21"/>
        <v>170</v>
      </c>
      <c r="VM55" s="17">
        <f t="shared" si="22"/>
        <v>2.5</v>
      </c>
      <c r="VN55" s="17" t="str">
        <f t="shared" si="12"/>
        <v>NC-GA-F</v>
      </c>
      <c r="VO55" s="17" t="str">
        <f t="shared" si="13"/>
        <v>NC-GA-F-ESS</v>
      </c>
      <c r="VP55" s="12">
        <v>9</v>
      </c>
      <c r="VQ55" s="57">
        <v>1</v>
      </c>
      <c r="VR55" s="57">
        <f t="shared" si="23"/>
        <v>1</v>
      </c>
      <c r="VS55" s="14">
        <f t="shared" si="24"/>
        <v>1</v>
      </c>
      <c r="VT55" s="12">
        <f t="shared" si="25"/>
        <v>0.93</v>
      </c>
      <c r="VU55" s="16">
        <f t="shared" si="26"/>
        <v>17928540</v>
      </c>
      <c r="VV55" s="16">
        <f t="shared" si="27"/>
        <v>263655</v>
      </c>
      <c r="VW55" s="12" t="str">
        <f t="shared" si="14"/>
        <v>B</v>
      </c>
      <c r="VX55" s="12" t="str">
        <f t="shared" si="15"/>
        <v>NC-GA-ESS</v>
      </c>
      <c r="VY55" s="351">
        <f t="shared" si="16"/>
        <v>5</v>
      </c>
      <c r="WA55" s="12">
        <f t="shared" si="17"/>
        <v>0</v>
      </c>
      <c r="WB55" s="12">
        <f t="shared" si="18"/>
        <v>0</v>
      </c>
      <c r="WC55" s="12">
        <f t="shared" si="18"/>
        <v>0</v>
      </c>
      <c r="WD55" s="12">
        <f t="shared" si="18"/>
        <v>0</v>
      </c>
      <c r="WE55" s="12">
        <f t="shared" si="19"/>
        <v>1</v>
      </c>
      <c r="WF55" s="12">
        <f t="shared" si="28"/>
        <v>1</v>
      </c>
      <c r="WG55" s="12">
        <f t="shared" si="29"/>
        <v>0</v>
      </c>
      <c r="WH55" s="12">
        <f t="shared" si="30"/>
        <v>0</v>
      </c>
      <c r="WI55" s="22">
        <f t="shared" si="31"/>
        <v>2</v>
      </c>
      <c r="WJ55" s="2"/>
      <c r="WK55" s="443" t="str">
        <f t="shared" si="20"/>
        <v>NC-GA-ESS-BBN-BRN-NPH-F</v>
      </c>
      <c r="WL55" s="443"/>
      <c r="WM55" s="443"/>
    </row>
    <row r="56" spans="1:611" x14ac:dyDescent="0.25">
      <c r="A56" s="2">
        <v>9526</v>
      </c>
      <c r="B56" s="2" t="s">
        <v>1482</v>
      </c>
      <c r="C56" s="2" t="s">
        <v>8</v>
      </c>
      <c r="D56" s="3">
        <v>45153</v>
      </c>
      <c r="E56" s="2" t="s">
        <v>9</v>
      </c>
      <c r="F56" s="2">
        <v>3</v>
      </c>
      <c r="G56" s="2" t="s">
        <v>9</v>
      </c>
      <c r="H56" s="2">
        <v>3</v>
      </c>
      <c r="I56" s="2" t="s">
        <v>9</v>
      </c>
      <c r="J56" s="2">
        <v>1</v>
      </c>
      <c r="K56" s="2" t="s">
        <v>9</v>
      </c>
      <c r="L56" s="2">
        <v>3</v>
      </c>
      <c r="M56" s="2" t="s">
        <v>10</v>
      </c>
      <c r="N56" s="2">
        <v>0</v>
      </c>
      <c r="O56" s="2" t="s">
        <v>10</v>
      </c>
      <c r="P56" s="2">
        <v>0</v>
      </c>
      <c r="Q56" s="2" t="s">
        <v>11</v>
      </c>
      <c r="R56" s="2">
        <v>0</v>
      </c>
      <c r="S56" s="2" t="s">
        <v>9</v>
      </c>
      <c r="T56" s="2">
        <v>2</v>
      </c>
      <c r="U56" s="2" t="s">
        <v>9</v>
      </c>
      <c r="V56" s="2">
        <v>2</v>
      </c>
      <c r="W56" s="2" t="s">
        <v>9</v>
      </c>
      <c r="X56" s="2">
        <v>2</v>
      </c>
      <c r="Y56" s="2" t="s">
        <v>12</v>
      </c>
      <c r="Z56" s="2" t="s">
        <v>187</v>
      </c>
      <c r="AA56" s="2" t="s">
        <v>188</v>
      </c>
      <c r="AB56" s="2" t="s">
        <v>15</v>
      </c>
      <c r="AC56" s="2" t="s">
        <v>15</v>
      </c>
      <c r="AD56" s="2" t="s">
        <v>15</v>
      </c>
      <c r="AE56" s="2" t="s">
        <v>15</v>
      </c>
      <c r="AF56" s="2">
        <v>2</v>
      </c>
      <c r="AG56" s="2" t="s">
        <v>1483</v>
      </c>
      <c r="AH56" s="2" t="s">
        <v>17</v>
      </c>
      <c r="AI56" s="4">
        <v>0.1</v>
      </c>
      <c r="AJ56" s="2" t="s">
        <v>17</v>
      </c>
      <c r="AK56" s="2" t="s">
        <v>9</v>
      </c>
      <c r="AL56" s="2" t="s">
        <v>17</v>
      </c>
      <c r="AM56" s="2" t="s">
        <v>17</v>
      </c>
      <c r="AN56" s="2" t="s">
        <v>17</v>
      </c>
      <c r="AO56" s="2" t="s">
        <v>17</v>
      </c>
      <c r="AP56" s="2" t="s">
        <v>9</v>
      </c>
      <c r="AQ56" s="2" t="s">
        <v>17</v>
      </c>
      <c r="AR56" s="2" t="s">
        <v>17</v>
      </c>
      <c r="AS56" s="2" t="s">
        <v>17</v>
      </c>
      <c r="AT56" s="2">
        <v>0</v>
      </c>
      <c r="AU56" s="5">
        <v>50000</v>
      </c>
      <c r="AV56" s="5">
        <v>460000</v>
      </c>
      <c r="AW56" s="2">
        <v>0</v>
      </c>
      <c r="AX56" s="2">
        <v>7</v>
      </c>
      <c r="AY56" s="2">
        <v>0</v>
      </c>
      <c r="AZ56" s="2">
        <v>18</v>
      </c>
      <c r="BA56" s="2">
        <v>0</v>
      </c>
      <c r="BB56" s="2">
        <v>1</v>
      </c>
      <c r="BC56" s="2">
        <v>0</v>
      </c>
      <c r="BD56" s="2">
        <v>0</v>
      </c>
      <c r="BE56" s="2">
        <v>0</v>
      </c>
      <c r="BF56" s="2">
        <v>1</v>
      </c>
      <c r="BG56" s="2">
        <v>0</v>
      </c>
      <c r="BH56" s="2">
        <v>0</v>
      </c>
      <c r="BI56" s="2">
        <v>13</v>
      </c>
      <c r="BJ56" s="2">
        <v>1</v>
      </c>
      <c r="BK56" s="2">
        <v>0</v>
      </c>
      <c r="BL56" s="2">
        <v>3</v>
      </c>
      <c r="BM56" s="2">
        <v>0</v>
      </c>
      <c r="BN56" s="2">
        <v>12</v>
      </c>
      <c r="BO56" s="2">
        <v>11</v>
      </c>
      <c r="BP56" s="2">
        <v>0</v>
      </c>
      <c r="BQ56" s="2">
        <v>10</v>
      </c>
      <c r="BR56" s="2">
        <v>10.33</v>
      </c>
      <c r="BS56" s="2">
        <v>0</v>
      </c>
      <c r="BT56" s="4">
        <v>0.06</v>
      </c>
      <c r="BU56" s="2" t="s">
        <v>9</v>
      </c>
      <c r="BV56" s="6">
        <v>228114</v>
      </c>
      <c r="BW56" s="2" t="s">
        <v>18</v>
      </c>
      <c r="BX56" s="2" t="s">
        <v>17</v>
      </c>
      <c r="BY56" s="2" t="s">
        <v>17</v>
      </c>
      <c r="BZ56" s="2" t="s">
        <v>17</v>
      </c>
      <c r="CA56" s="2" t="s">
        <v>17</v>
      </c>
      <c r="CB56" s="2" t="s">
        <v>17</v>
      </c>
      <c r="CC56" s="2" t="s">
        <v>17</v>
      </c>
      <c r="CD56" s="2" t="s">
        <v>17</v>
      </c>
      <c r="CE56" s="2" t="s">
        <v>1484</v>
      </c>
      <c r="CF56" s="2" t="s">
        <v>17</v>
      </c>
      <c r="CG56" s="2" t="s">
        <v>1446</v>
      </c>
      <c r="CH56" s="2" t="s">
        <v>1485</v>
      </c>
      <c r="CI56" s="2"/>
      <c r="CJ56" s="2" t="s">
        <v>9</v>
      </c>
      <c r="CK56" s="2" t="s">
        <v>1447</v>
      </c>
      <c r="CL56" s="2" t="s">
        <v>1446</v>
      </c>
      <c r="CM56" s="2" t="s">
        <v>1448</v>
      </c>
      <c r="CN56" s="2" t="s">
        <v>1449</v>
      </c>
      <c r="CO56" s="2" t="s">
        <v>24</v>
      </c>
      <c r="CP56" s="2"/>
      <c r="CQ56" s="2">
        <v>40</v>
      </c>
      <c r="CR56" s="2" t="s">
        <v>965</v>
      </c>
      <c r="CS56" s="2">
        <v>2015</v>
      </c>
      <c r="CT56" s="2" t="s">
        <v>26</v>
      </c>
      <c r="CU56" s="2" t="s">
        <v>27</v>
      </c>
      <c r="CV56" s="2" t="s">
        <v>1451</v>
      </c>
      <c r="CW56" s="2" t="s">
        <v>1449</v>
      </c>
      <c r="CX56" s="2" t="s">
        <v>24</v>
      </c>
      <c r="CY56" s="2"/>
      <c r="CZ56" s="2">
        <v>80</v>
      </c>
      <c r="DA56" s="2" t="s">
        <v>965</v>
      </c>
      <c r="DB56" s="2">
        <v>2009</v>
      </c>
      <c r="DC56" s="2" t="s">
        <v>243</v>
      </c>
      <c r="DD56" s="2" t="s">
        <v>27</v>
      </c>
      <c r="DE56" s="2" t="s">
        <v>1452</v>
      </c>
      <c r="DF56" s="2" t="s">
        <v>1453</v>
      </c>
      <c r="DG56" s="2" t="s">
        <v>24</v>
      </c>
      <c r="DH56" s="2"/>
      <c r="DI56" s="2">
        <v>60</v>
      </c>
      <c r="DJ56" s="2" t="s">
        <v>965</v>
      </c>
      <c r="DK56" s="2">
        <v>2010</v>
      </c>
      <c r="DL56" s="2" t="s">
        <v>243</v>
      </c>
      <c r="DM56" s="2" t="s">
        <v>27</v>
      </c>
      <c r="DN56" s="2" t="s">
        <v>33</v>
      </c>
      <c r="DO56" s="2" t="s">
        <v>399</v>
      </c>
      <c r="DP56" s="2"/>
      <c r="DQ56" s="2" t="s">
        <v>1454</v>
      </c>
      <c r="DR56" s="2" t="s">
        <v>1455</v>
      </c>
      <c r="DS56" s="2">
        <v>1</v>
      </c>
      <c r="DT56" s="2" t="s">
        <v>1456</v>
      </c>
      <c r="DU56" s="2" t="s">
        <v>1457</v>
      </c>
      <c r="DV56" s="2" t="s">
        <v>39</v>
      </c>
      <c r="DW56" s="2">
        <v>34205</v>
      </c>
      <c r="DX56" s="2" t="s">
        <v>1458</v>
      </c>
      <c r="DY56" s="2">
        <v>126</v>
      </c>
      <c r="DZ56" s="2" t="s">
        <v>1459</v>
      </c>
      <c r="EA56" s="2" t="s">
        <v>1455</v>
      </c>
      <c r="EB56" s="2" t="s">
        <v>1460</v>
      </c>
      <c r="EC56" s="2" t="s">
        <v>1461</v>
      </c>
      <c r="ED56" s="2" t="s">
        <v>44</v>
      </c>
      <c r="EE56" s="2">
        <v>80</v>
      </c>
      <c r="EF56" s="2" t="s">
        <v>966</v>
      </c>
      <c r="EG56" s="2">
        <v>22</v>
      </c>
      <c r="EH56" s="2" t="s">
        <v>46</v>
      </c>
      <c r="EI56" s="2" t="s">
        <v>47</v>
      </c>
      <c r="EJ56" s="2" t="s">
        <v>1463</v>
      </c>
      <c r="EK56" s="2" t="s">
        <v>1464</v>
      </c>
      <c r="EL56" s="2" t="s">
        <v>44</v>
      </c>
      <c r="EM56" s="2">
        <v>53</v>
      </c>
      <c r="EN56" s="2" t="s">
        <v>966</v>
      </c>
      <c r="EO56" s="2">
        <v>7</v>
      </c>
      <c r="EP56" s="2" t="s">
        <v>46</v>
      </c>
      <c r="EQ56" s="2" t="s">
        <v>47</v>
      </c>
      <c r="ER56" s="2" t="s">
        <v>1465</v>
      </c>
      <c r="ES56" s="2" t="s">
        <v>1466</v>
      </c>
      <c r="ET56" s="2" t="s">
        <v>1467</v>
      </c>
      <c r="EU56" s="2" t="s">
        <v>1484</v>
      </c>
      <c r="EV56" s="2" t="s">
        <v>1468</v>
      </c>
      <c r="EW56" s="2" t="s">
        <v>1469</v>
      </c>
      <c r="EX56" s="2" t="s">
        <v>39</v>
      </c>
      <c r="EY56" s="2">
        <v>33907</v>
      </c>
      <c r="EZ56" s="2" t="s">
        <v>1470</v>
      </c>
      <c r="FA56" s="2"/>
      <c r="FB56" s="2" t="s">
        <v>1471</v>
      </c>
      <c r="FC56" s="2" t="s">
        <v>294</v>
      </c>
      <c r="FD56" s="2" t="s">
        <v>1472</v>
      </c>
      <c r="FE56" s="2" t="s">
        <v>1467</v>
      </c>
      <c r="FF56" s="2" t="s">
        <v>1446</v>
      </c>
      <c r="FG56" s="2" t="s">
        <v>1468</v>
      </c>
      <c r="FH56" s="2" t="s">
        <v>1469</v>
      </c>
      <c r="FI56" s="2" t="s">
        <v>39</v>
      </c>
      <c r="FJ56" s="2">
        <v>33907</v>
      </c>
      <c r="FK56" s="2" t="s">
        <v>1473</v>
      </c>
      <c r="FL56" s="2"/>
      <c r="FM56" s="2" t="s">
        <v>1474</v>
      </c>
      <c r="FN56" s="2" t="s">
        <v>1486</v>
      </c>
      <c r="FO56" s="2" t="s">
        <v>63</v>
      </c>
      <c r="FP56" s="2" t="s">
        <v>64</v>
      </c>
      <c r="FQ56" s="2" t="s">
        <v>9</v>
      </c>
      <c r="FR56" s="2" t="s">
        <v>17</v>
      </c>
      <c r="FS56" s="2" t="s">
        <v>17</v>
      </c>
      <c r="FT56" s="2" t="s">
        <v>9</v>
      </c>
      <c r="FU56" s="2">
        <v>0</v>
      </c>
      <c r="FV56" s="2">
        <v>0</v>
      </c>
      <c r="FW56" s="4">
        <v>0</v>
      </c>
      <c r="FX56" s="4">
        <v>0</v>
      </c>
      <c r="FY56" s="2" t="s">
        <v>65</v>
      </c>
      <c r="FZ56" s="2" t="s">
        <v>66</v>
      </c>
      <c r="GA56" s="2" t="s">
        <v>67</v>
      </c>
      <c r="GB56" s="2"/>
      <c r="GC56" s="2"/>
      <c r="GD56" s="2"/>
      <c r="GE56" s="2" t="s">
        <v>68</v>
      </c>
      <c r="GF56" s="2">
        <v>60</v>
      </c>
      <c r="GG56" s="2">
        <v>60</v>
      </c>
      <c r="GH56" s="2"/>
      <c r="GI56" s="2"/>
      <c r="GJ56" s="2"/>
      <c r="GK56" s="2"/>
      <c r="GL56" s="2"/>
      <c r="GM56" s="2"/>
      <c r="GN56" s="2"/>
      <c r="GO56" s="2"/>
      <c r="GP56" s="2"/>
      <c r="GQ56" s="2">
        <v>60</v>
      </c>
      <c r="GR56" s="2" t="s">
        <v>1197</v>
      </c>
      <c r="GS56" s="2" t="s">
        <v>70</v>
      </c>
      <c r="GT56" s="2" t="s">
        <v>1487</v>
      </c>
      <c r="GU56" s="2" t="s">
        <v>1488</v>
      </c>
      <c r="GV56" s="2" t="s">
        <v>17</v>
      </c>
      <c r="GW56" s="2">
        <v>26.617132000000002</v>
      </c>
      <c r="GX56" s="2">
        <v>-81.663481000000004</v>
      </c>
      <c r="GY56" s="2"/>
      <c r="GZ56" s="2" t="s">
        <v>17</v>
      </c>
      <c r="HA56" s="2" t="s">
        <v>17</v>
      </c>
      <c r="HB56" s="2">
        <v>0</v>
      </c>
      <c r="HC56" s="2" t="s">
        <v>17</v>
      </c>
      <c r="HD56" s="2"/>
      <c r="HE56" s="2">
        <v>0</v>
      </c>
      <c r="HF56" s="2">
        <v>26.616005999999999</v>
      </c>
      <c r="HG56" s="2">
        <v>-81.665503000000001</v>
      </c>
      <c r="HH56" s="2">
        <v>0.15</v>
      </c>
      <c r="HI56" s="2">
        <v>4</v>
      </c>
      <c r="HJ56" s="2">
        <v>26.615172999999999</v>
      </c>
      <c r="HK56" s="2">
        <v>-81.664803000000006</v>
      </c>
      <c r="HL56" s="2">
        <v>0.16</v>
      </c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 t="s">
        <v>73</v>
      </c>
      <c r="HY56" s="2" t="s">
        <v>17</v>
      </c>
      <c r="HZ56" s="2"/>
      <c r="IA56" s="2" t="s">
        <v>74</v>
      </c>
      <c r="IB56" s="2" t="s">
        <v>1489</v>
      </c>
      <c r="IC56" s="2">
        <v>0.25</v>
      </c>
      <c r="ID56" s="2">
        <v>4</v>
      </c>
      <c r="IE56" s="2" t="s">
        <v>1490</v>
      </c>
      <c r="IF56" s="2">
        <v>0.27</v>
      </c>
      <c r="IG56" s="2">
        <v>4</v>
      </c>
      <c r="IH56" s="2" t="s">
        <v>74</v>
      </c>
      <c r="II56" s="2">
        <v>0.25</v>
      </c>
      <c r="IJ56" s="2">
        <v>4</v>
      </c>
      <c r="IK56" s="2"/>
      <c r="IL56" s="2"/>
      <c r="IM56" s="2"/>
      <c r="IN56" s="2"/>
      <c r="IO56" s="2" t="s">
        <v>17</v>
      </c>
      <c r="IP56" s="2">
        <v>4</v>
      </c>
      <c r="IQ56" s="2">
        <v>12</v>
      </c>
      <c r="IR56" s="2">
        <v>0</v>
      </c>
      <c r="IS56" s="2">
        <v>16</v>
      </c>
      <c r="IT56" s="2" t="s">
        <v>17</v>
      </c>
      <c r="IU56" s="2" t="s">
        <v>17</v>
      </c>
      <c r="IV56" s="2" t="s">
        <v>17</v>
      </c>
      <c r="IW56" s="2" t="s">
        <v>9</v>
      </c>
      <c r="IX56" s="2" t="s">
        <v>9</v>
      </c>
      <c r="IY56" s="2">
        <v>16</v>
      </c>
      <c r="IZ56" s="2">
        <v>60</v>
      </c>
      <c r="JA56" s="2" t="s">
        <v>81</v>
      </c>
      <c r="JB56" s="2" t="s">
        <v>173</v>
      </c>
      <c r="JC56" s="2"/>
      <c r="JD56" s="2"/>
      <c r="JE56" s="7">
        <v>0.1</v>
      </c>
      <c r="JF56" s="2"/>
      <c r="JG56" s="7">
        <v>0.9</v>
      </c>
      <c r="JH56" s="7">
        <v>0</v>
      </c>
      <c r="JI56" s="2">
        <v>60</v>
      </c>
      <c r="JJ56" s="7">
        <v>1</v>
      </c>
      <c r="JK56" s="2">
        <v>60</v>
      </c>
      <c r="JL56" s="7">
        <v>1</v>
      </c>
      <c r="JM56" s="2"/>
      <c r="JN56" s="2"/>
      <c r="JO56" s="2"/>
      <c r="JP56" s="2"/>
      <c r="JQ56" s="2"/>
      <c r="JR56" s="2"/>
      <c r="JS56" s="2">
        <v>0</v>
      </c>
      <c r="JT56" s="2">
        <v>0</v>
      </c>
      <c r="JU56" s="2"/>
      <c r="JV56" s="2">
        <v>0</v>
      </c>
      <c r="JW56" s="4">
        <v>0</v>
      </c>
      <c r="JX56" s="2">
        <v>0</v>
      </c>
      <c r="JY56" s="4">
        <v>0</v>
      </c>
      <c r="JZ56" s="2">
        <v>0</v>
      </c>
      <c r="KA56" s="2"/>
      <c r="KB56" s="2"/>
      <c r="KC56" s="2"/>
      <c r="KD56" s="2"/>
      <c r="KE56" s="2"/>
      <c r="KF56" s="2"/>
      <c r="KG56" s="2"/>
      <c r="KH56" s="2">
        <v>9</v>
      </c>
      <c r="KI56" s="2"/>
      <c r="KJ56" s="2"/>
      <c r="KK56" s="2">
        <v>33</v>
      </c>
      <c r="KL56" s="2">
        <v>18</v>
      </c>
      <c r="KM56" s="2"/>
      <c r="KN56" s="2"/>
      <c r="KO56" s="2"/>
      <c r="KP56" s="2"/>
      <c r="KQ56" s="2" t="s">
        <v>83</v>
      </c>
      <c r="KR56" s="2" t="s">
        <v>73</v>
      </c>
      <c r="KS56" s="2"/>
      <c r="KT56" s="2">
        <v>2</v>
      </c>
      <c r="KU56" s="2" t="s">
        <v>84</v>
      </c>
      <c r="KV56" s="2" t="s">
        <v>85</v>
      </c>
      <c r="KW56" s="2" t="s">
        <v>86</v>
      </c>
      <c r="KX56" s="2" t="s">
        <v>17</v>
      </c>
      <c r="KY56" s="2" t="s">
        <v>17</v>
      </c>
      <c r="KZ56" s="2" t="s">
        <v>17</v>
      </c>
      <c r="LA56" s="2" t="s">
        <v>17</v>
      </c>
      <c r="LB56" s="2" t="s">
        <v>17</v>
      </c>
      <c r="LC56" s="2" t="s">
        <v>17</v>
      </c>
      <c r="LD56" s="2" t="s">
        <v>17</v>
      </c>
      <c r="LE56" s="2" t="s">
        <v>17</v>
      </c>
      <c r="LF56" s="2" t="s">
        <v>17</v>
      </c>
      <c r="LG56" s="2" t="s">
        <v>17</v>
      </c>
      <c r="LH56" s="2" t="s">
        <v>17</v>
      </c>
      <c r="LI56" s="2" t="s">
        <v>17</v>
      </c>
      <c r="LJ56" s="2" t="s">
        <v>87</v>
      </c>
      <c r="LK56" s="2" t="s">
        <v>17</v>
      </c>
      <c r="LL56" s="2" t="s">
        <v>17</v>
      </c>
      <c r="LM56" s="2">
        <v>0</v>
      </c>
      <c r="LN56" s="2" t="s">
        <v>17</v>
      </c>
      <c r="LO56" s="2" t="s">
        <v>17</v>
      </c>
      <c r="LP56" s="2" t="s">
        <v>9</v>
      </c>
      <c r="LQ56" s="2" t="s">
        <v>17</v>
      </c>
      <c r="LR56" s="2" t="s">
        <v>9</v>
      </c>
      <c r="LS56" s="2" t="s">
        <v>9</v>
      </c>
      <c r="LT56" s="2" t="s">
        <v>17</v>
      </c>
      <c r="LU56" s="2" t="s">
        <v>17</v>
      </c>
      <c r="LV56" s="2" t="s">
        <v>17</v>
      </c>
      <c r="LW56" s="2" t="s">
        <v>17</v>
      </c>
      <c r="LX56" s="2" t="s">
        <v>17</v>
      </c>
      <c r="LY56" s="5">
        <v>4800000</v>
      </c>
      <c r="LZ56" s="5">
        <v>0</v>
      </c>
      <c r="MA56" s="5">
        <v>6000000</v>
      </c>
      <c r="MB56" s="5">
        <v>0</v>
      </c>
      <c r="MC56" s="5">
        <v>0</v>
      </c>
      <c r="MD56" s="5">
        <v>0</v>
      </c>
      <c r="ME56" s="5">
        <v>6300000</v>
      </c>
      <c r="MF56" s="5">
        <v>0</v>
      </c>
      <c r="MG56" s="5">
        <v>0</v>
      </c>
      <c r="MH56" s="5">
        <v>0</v>
      </c>
      <c r="MI56" s="5">
        <v>0</v>
      </c>
      <c r="MJ56" s="5">
        <v>0</v>
      </c>
      <c r="MK56" s="5">
        <v>0</v>
      </c>
      <c r="ML56" s="2">
        <v>0</v>
      </c>
      <c r="MM56" s="5">
        <v>0</v>
      </c>
      <c r="MN56" s="5">
        <v>0</v>
      </c>
      <c r="MO56" s="2">
        <v>0</v>
      </c>
      <c r="MP56" s="2">
        <v>0</v>
      </c>
      <c r="MQ56" s="2">
        <v>0</v>
      </c>
      <c r="MR56" s="5">
        <v>2950000</v>
      </c>
      <c r="MS56" s="5">
        <v>0</v>
      </c>
      <c r="MT56" s="5">
        <v>4600000</v>
      </c>
      <c r="MU56" s="5">
        <v>0</v>
      </c>
      <c r="MV56" s="5">
        <v>0</v>
      </c>
      <c r="MW56" s="5">
        <v>0</v>
      </c>
      <c r="MX56" s="5">
        <v>0</v>
      </c>
      <c r="MY56" s="5">
        <v>2500000</v>
      </c>
      <c r="MZ56" s="5">
        <v>0</v>
      </c>
      <c r="NA56" s="5">
        <v>5000000</v>
      </c>
      <c r="NB56" s="5">
        <v>0</v>
      </c>
      <c r="NC56" s="5">
        <v>0</v>
      </c>
      <c r="ND56" s="5">
        <v>0</v>
      </c>
      <c r="NE56" s="5">
        <v>0</v>
      </c>
      <c r="NF56" s="5">
        <v>0</v>
      </c>
      <c r="NG56" s="5">
        <v>2142000</v>
      </c>
      <c r="NH56" s="5">
        <v>1900000</v>
      </c>
      <c r="NI56" s="5">
        <v>1900000</v>
      </c>
      <c r="NJ56" s="5">
        <v>0</v>
      </c>
      <c r="NK56" s="5"/>
      <c r="NL56" s="2" t="s">
        <v>9</v>
      </c>
      <c r="NM56" s="2" t="s">
        <v>17</v>
      </c>
      <c r="NN56" s="2"/>
      <c r="NO56" s="2" t="s">
        <v>17</v>
      </c>
      <c r="NP56" s="2"/>
      <c r="NQ56" s="2"/>
      <c r="NR56" s="2" t="s">
        <v>17</v>
      </c>
      <c r="NS56" s="2"/>
      <c r="NT56" s="2" t="s">
        <v>17</v>
      </c>
      <c r="NU56" s="2"/>
      <c r="NV56" s="2"/>
      <c r="NW56" s="2"/>
      <c r="NX56" s="2" t="s">
        <v>9</v>
      </c>
      <c r="NY56" s="2" t="s">
        <v>88</v>
      </c>
      <c r="NZ56" s="2">
        <v>401.25</v>
      </c>
      <c r="OA56" s="2" t="s">
        <v>1204</v>
      </c>
      <c r="OB56" s="2" t="s">
        <v>1205</v>
      </c>
      <c r="OC56" s="2" t="s">
        <v>1205</v>
      </c>
      <c r="OD56" s="2" t="s">
        <v>17</v>
      </c>
      <c r="OE56" s="2" t="s">
        <v>91</v>
      </c>
      <c r="OF56" s="2" t="s">
        <v>17</v>
      </c>
      <c r="OG56" s="2" t="s">
        <v>9</v>
      </c>
      <c r="OH56" s="2" t="s">
        <v>92</v>
      </c>
      <c r="OI56" s="2"/>
      <c r="OJ56" s="2"/>
      <c r="OK56" s="2" t="s">
        <v>17</v>
      </c>
      <c r="OL56" s="2" t="s">
        <v>17</v>
      </c>
      <c r="OM56" s="2" t="s">
        <v>85</v>
      </c>
      <c r="ON56" s="6">
        <v>0</v>
      </c>
      <c r="OO56" s="6">
        <v>0</v>
      </c>
      <c r="OP56" s="2" t="s">
        <v>93</v>
      </c>
      <c r="OQ56" s="2" t="s">
        <v>93</v>
      </c>
      <c r="OR56" s="6">
        <v>0</v>
      </c>
      <c r="OS56" s="4">
        <v>0</v>
      </c>
      <c r="OT56" s="2" t="s">
        <v>17</v>
      </c>
      <c r="OU56" s="2" t="s">
        <v>17</v>
      </c>
      <c r="OV56" s="2"/>
      <c r="OW56" s="2"/>
      <c r="OX56" s="5">
        <v>13686840</v>
      </c>
      <c r="OY56" s="6">
        <v>228114</v>
      </c>
      <c r="OZ56" s="2"/>
      <c r="PA56" s="2"/>
      <c r="PB56" s="8">
        <v>11250000</v>
      </c>
      <c r="PC56" s="2"/>
      <c r="PD56" s="8">
        <v>11250000</v>
      </c>
      <c r="PE56" s="2"/>
      <c r="PF56" s="2"/>
      <c r="PG56" s="2"/>
      <c r="PH56" s="2"/>
      <c r="PI56" s="2"/>
      <c r="PJ56" s="2"/>
      <c r="PK56" s="8">
        <v>11250000</v>
      </c>
      <c r="PL56" s="2"/>
      <c r="PM56" s="8">
        <v>11250000</v>
      </c>
      <c r="PN56" s="8">
        <v>1575000</v>
      </c>
      <c r="PO56" s="2"/>
      <c r="PP56" s="8">
        <v>1575000</v>
      </c>
      <c r="PQ56" s="6">
        <v>1575000</v>
      </c>
      <c r="PR56" s="8">
        <v>12825000</v>
      </c>
      <c r="PS56" s="2"/>
      <c r="PT56" s="8">
        <v>12825000</v>
      </c>
      <c r="PU56" s="8">
        <v>640000</v>
      </c>
      <c r="PV56" s="2"/>
      <c r="PW56" s="8">
        <v>640000</v>
      </c>
      <c r="PX56" s="6">
        <v>641250</v>
      </c>
      <c r="PY56" s="8">
        <v>1078000</v>
      </c>
      <c r="PZ56" s="8">
        <v>357000</v>
      </c>
      <c r="QA56" s="8">
        <v>1435000</v>
      </c>
      <c r="QB56" s="8">
        <v>185000</v>
      </c>
      <c r="QC56" s="2"/>
      <c r="QD56" s="8">
        <v>185000</v>
      </c>
      <c r="QE56" s="8">
        <v>854000</v>
      </c>
      <c r="QF56" s="2"/>
      <c r="QG56" s="8">
        <v>854000</v>
      </c>
      <c r="QH56" s="8">
        <v>360538</v>
      </c>
      <c r="QI56" s="2"/>
      <c r="QJ56" s="8">
        <v>360538</v>
      </c>
      <c r="QK56" s="2"/>
      <c r="QL56" s="2"/>
      <c r="QM56" s="2"/>
      <c r="QN56" s="2"/>
      <c r="QO56" s="2"/>
      <c r="QP56" s="2"/>
      <c r="QQ56" s="8">
        <v>2477538</v>
      </c>
      <c r="QR56" s="8">
        <v>357000</v>
      </c>
      <c r="QS56" s="8">
        <v>2834538</v>
      </c>
      <c r="QT56" s="8">
        <v>141000</v>
      </c>
      <c r="QU56" s="2"/>
      <c r="QV56" s="8">
        <v>141000</v>
      </c>
      <c r="QW56" s="6">
        <v>141726.9</v>
      </c>
      <c r="QX56" s="8">
        <v>900000</v>
      </c>
      <c r="QY56" s="8">
        <v>160000</v>
      </c>
      <c r="QZ56" s="8">
        <v>1060000</v>
      </c>
      <c r="RA56" s="8">
        <v>156250</v>
      </c>
      <c r="RB56" s="8">
        <v>156250</v>
      </c>
      <c r="RC56" s="2"/>
      <c r="RD56" s="2"/>
      <c r="RE56" s="2"/>
      <c r="RF56" s="8">
        <v>900000</v>
      </c>
      <c r="RG56" s="8">
        <v>316250</v>
      </c>
      <c r="RH56" s="8">
        <v>1216250</v>
      </c>
      <c r="RI56" s="2"/>
      <c r="RJ56" s="2"/>
      <c r="RK56" s="2"/>
      <c r="RL56" s="2"/>
      <c r="RM56" s="8">
        <v>16983538</v>
      </c>
      <c r="RN56" s="8">
        <v>673250</v>
      </c>
      <c r="RO56" s="8">
        <v>17656788</v>
      </c>
      <c r="RP56" s="2"/>
      <c r="RQ56" s="2"/>
      <c r="RR56" s="2">
        <v>0</v>
      </c>
      <c r="RS56" s="6">
        <v>0</v>
      </c>
      <c r="RT56" s="8">
        <v>2825000</v>
      </c>
      <c r="RU56" s="2"/>
      <c r="RV56" s="8">
        <v>2825000</v>
      </c>
      <c r="RW56" s="6">
        <v>2825086</v>
      </c>
      <c r="RX56" s="6">
        <v>0</v>
      </c>
      <c r="RY56" s="8">
        <v>2825000</v>
      </c>
      <c r="RZ56" s="2"/>
      <c r="SA56" s="8">
        <v>2825000</v>
      </c>
      <c r="SB56" s="6">
        <v>2825086</v>
      </c>
      <c r="SC56" s="2"/>
      <c r="SD56" s="2"/>
      <c r="SE56" s="6">
        <v>210000</v>
      </c>
      <c r="SF56" s="8">
        <v>660000</v>
      </c>
      <c r="SG56" s="8">
        <v>660000</v>
      </c>
      <c r="SH56" s="8">
        <v>19808538</v>
      </c>
      <c r="SI56" s="8">
        <v>1333250</v>
      </c>
      <c r="SJ56" s="8">
        <v>21141788</v>
      </c>
      <c r="SK56" s="2" t="s">
        <v>85</v>
      </c>
      <c r="SL56" s="2"/>
      <c r="SM56" s="2"/>
      <c r="SN56" s="2"/>
      <c r="SO56" s="2"/>
      <c r="SP56" s="8">
        <v>12500000</v>
      </c>
      <c r="SQ56" s="2" t="s">
        <v>95</v>
      </c>
      <c r="SR56" s="2"/>
      <c r="SS56" s="2"/>
      <c r="ST56" s="2"/>
      <c r="SU56" s="2"/>
      <c r="SV56" s="2"/>
      <c r="SW56" s="2"/>
      <c r="SX56" s="2" t="s">
        <v>96</v>
      </c>
      <c r="SY56" s="2" t="s">
        <v>96</v>
      </c>
      <c r="SZ56" s="2" t="s">
        <v>96</v>
      </c>
      <c r="TA56" s="2" t="s">
        <v>96</v>
      </c>
      <c r="TB56" s="8">
        <v>13526647</v>
      </c>
      <c r="TC56" s="2"/>
      <c r="TD56" s="2"/>
      <c r="TE56" s="2"/>
      <c r="TF56" s="2"/>
      <c r="TG56" s="2"/>
      <c r="TH56" s="2"/>
      <c r="TI56" s="2">
        <v>0</v>
      </c>
      <c r="TJ56" s="8">
        <v>26026647</v>
      </c>
      <c r="TK56" s="8">
        <v>4884859</v>
      </c>
      <c r="TL56" s="2" t="s">
        <v>9</v>
      </c>
      <c r="TM56" s="8">
        <v>2900000</v>
      </c>
      <c r="TN56" s="2" t="s">
        <v>95</v>
      </c>
      <c r="TO56" s="2"/>
      <c r="TP56" s="2"/>
      <c r="TQ56" s="2"/>
      <c r="TR56" s="2"/>
      <c r="TS56" s="2"/>
      <c r="TT56" s="2"/>
      <c r="TU56" s="2" t="s">
        <v>96</v>
      </c>
      <c r="TV56" s="8">
        <v>16908309</v>
      </c>
      <c r="TW56" s="2"/>
      <c r="TX56" s="2"/>
      <c r="TY56" s="2"/>
      <c r="TZ56" s="2"/>
      <c r="UA56" s="2"/>
      <c r="UB56" s="2"/>
      <c r="UC56" s="8">
        <v>1333479</v>
      </c>
      <c r="UD56" s="8">
        <v>21141788</v>
      </c>
      <c r="UE56" s="6">
        <v>2900000</v>
      </c>
      <c r="UF56" s="2">
        <v>0</v>
      </c>
      <c r="UG56" s="2" t="s">
        <v>9</v>
      </c>
      <c r="UH56" s="2">
        <v>60</v>
      </c>
      <c r="UI56" s="5">
        <v>240000</v>
      </c>
      <c r="UJ56" s="6">
        <v>320000</v>
      </c>
      <c r="UK56" s="6">
        <v>320000</v>
      </c>
      <c r="UL56" s="6">
        <v>339200</v>
      </c>
      <c r="UM56" s="6">
        <v>20352000</v>
      </c>
      <c r="UN56" s="6">
        <v>3256320</v>
      </c>
      <c r="UO56" s="6">
        <v>3256320</v>
      </c>
      <c r="UP56" s="6">
        <v>23608320</v>
      </c>
      <c r="UQ56" s="6">
        <v>20481788</v>
      </c>
      <c r="UR56" s="2"/>
      <c r="US56" s="2"/>
      <c r="UT56" s="6">
        <v>0</v>
      </c>
      <c r="UU56" s="2"/>
      <c r="UV56" s="6">
        <v>0</v>
      </c>
      <c r="UW56" s="6">
        <v>0</v>
      </c>
      <c r="UX56" s="6">
        <v>0</v>
      </c>
      <c r="UY56" s="6">
        <v>0</v>
      </c>
      <c r="UZ56" s="2"/>
      <c r="VA56" s="2"/>
      <c r="VB56" s="2"/>
      <c r="VC56" s="2"/>
      <c r="VD56" s="2" t="s">
        <v>17</v>
      </c>
      <c r="VE56" s="2" t="s">
        <v>17</v>
      </c>
      <c r="VF56" s="2"/>
      <c r="VG56" s="2" t="s">
        <v>17</v>
      </c>
      <c r="VH56" s="2"/>
      <c r="VI56" s="388" t="s">
        <v>1447</v>
      </c>
      <c r="VJ56" s="2" t="s">
        <v>98</v>
      </c>
      <c r="VK56" s="2" t="s">
        <v>232</v>
      </c>
      <c r="VL56" s="23">
        <f t="shared" si="21"/>
        <v>129</v>
      </c>
      <c r="VM56" s="17">
        <f t="shared" si="22"/>
        <v>2.15</v>
      </c>
      <c r="VN56" s="17" t="str">
        <f t="shared" si="12"/>
        <v>NC-GA-F</v>
      </c>
      <c r="VO56" s="17" t="str">
        <f t="shared" si="13"/>
        <v>NC-GA-F-ESS</v>
      </c>
      <c r="VP56" s="12">
        <v>9</v>
      </c>
      <c r="VQ56" s="57">
        <v>1</v>
      </c>
      <c r="VR56" s="57">
        <f t="shared" si="23"/>
        <v>1</v>
      </c>
      <c r="VS56" s="14">
        <f t="shared" si="24"/>
        <v>1</v>
      </c>
      <c r="VT56" s="12">
        <f t="shared" si="25"/>
        <v>0.93</v>
      </c>
      <c r="VU56" s="16">
        <f t="shared" si="26"/>
        <v>15903000</v>
      </c>
      <c r="VV56" s="16">
        <f t="shared" si="27"/>
        <v>265050</v>
      </c>
      <c r="VW56" s="12" t="str">
        <f t="shared" si="14"/>
        <v>B</v>
      </c>
      <c r="VX56" s="12" t="str">
        <f t="shared" si="15"/>
        <v>NC-GA-ESS</v>
      </c>
      <c r="VY56" s="351">
        <f t="shared" si="16"/>
        <v>5</v>
      </c>
      <c r="WA56" s="12">
        <f t="shared" si="17"/>
        <v>0</v>
      </c>
      <c r="WB56" s="12">
        <f t="shared" si="18"/>
        <v>0</v>
      </c>
      <c r="WC56" s="12">
        <f t="shared" si="18"/>
        <v>0</v>
      </c>
      <c r="WD56" s="12">
        <f t="shared" si="18"/>
        <v>0</v>
      </c>
      <c r="WE56" s="12">
        <f t="shared" si="19"/>
        <v>1</v>
      </c>
      <c r="WF56" s="12">
        <f t="shared" si="28"/>
        <v>1</v>
      </c>
      <c r="WG56" s="12">
        <f t="shared" si="29"/>
        <v>0</v>
      </c>
      <c r="WH56" s="12">
        <f t="shared" si="30"/>
        <v>0</v>
      </c>
      <c r="WI56" s="22">
        <f t="shared" si="31"/>
        <v>2</v>
      </c>
      <c r="WJ56" s="2"/>
      <c r="WK56" s="443" t="str">
        <f t="shared" si="20"/>
        <v>NC-GA-ESS-BBN-BRN-NPH-F</v>
      </c>
      <c r="WL56" s="443"/>
      <c r="WM56" s="443"/>
    </row>
    <row r="57" spans="1:611" x14ac:dyDescent="0.25">
      <c r="A57" s="2">
        <v>9374</v>
      </c>
      <c r="B57" s="2" t="s">
        <v>325</v>
      </c>
      <c r="C57" s="2" t="s">
        <v>8</v>
      </c>
      <c r="D57" s="3">
        <v>45153</v>
      </c>
      <c r="E57" s="2" t="s">
        <v>9</v>
      </c>
      <c r="F57" s="2">
        <v>3</v>
      </c>
      <c r="G57" s="2" t="s">
        <v>9</v>
      </c>
      <c r="H57" s="2">
        <v>3</v>
      </c>
      <c r="I57" s="2" t="s">
        <v>9</v>
      </c>
      <c r="J57" s="2">
        <v>2</v>
      </c>
      <c r="K57" s="2" t="s">
        <v>9</v>
      </c>
      <c r="L57" s="2">
        <v>3</v>
      </c>
      <c r="M57" s="2" t="s">
        <v>10</v>
      </c>
      <c r="N57" s="2">
        <v>0</v>
      </c>
      <c r="O57" s="2" t="s">
        <v>10</v>
      </c>
      <c r="P57" s="2">
        <v>0</v>
      </c>
      <c r="Q57" s="2" t="s">
        <v>11</v>
      </c>
      <c r="R57" s="2">
        <v>0</v>
      </c>
      <c r="S57" s="2" t="s">
        <v>9</v>
      </c>
      <c r="T57" s="2">
        <v>2</v>
      </c>
      <c r="U57" s="2" t="s">
        <v>9</v>
      </c>
      <c r="V57" s="2">
        <v>2</v>
      </c>
      <c r="W57" s="2" t="s">
        <v>9</v>
      </c>
      <c r="X57" s="2">
        <v>2</v>
      </c>
      <c r="Y57" s="2" t="s">
        <v>12</v>
      </c>
      <c r="Z57" s="2" t="s">
        <v>15</v>
      </c>
      <c r="AA57" s="2" t="s">
        <v>15</v>
      </c>
      <c r="AB57" s="2" t="s">
        <v>15</v>
      </c>
      <c r="AC57" s="2" t="s">
        <v>15</v>
      </c>
      <c r="AD57" s="2" t="s">
        <v>15</v>
      </c>
      <c r="AE57" s="2" t="s">
        <v>15</v>
      </c>
      <c r="AF57" s="2">
        <v>0</v>
      </c>
      <c r="AG57" s="2" t="s">
        <v>234</v>
      </c>
      <c r="AH57" s="2" t="s">
        <v>17</v>
      </c>
      <c r="AI57" s="4">
        <v>0.15789</v>
      </c>
      <c r="AJ57" s="2" t="s">
        <v>17</v>
      </c>
      <c r="AK57" s="2" t="s">
        <v>9</v>
      </c>
      <c r="AL57" s="2" t="s">
        <v>17</v>
      </c>
      <c r="AM57" s="2" t="s">
        <v>17</v>
      </c>
      <c r="AN57" s="2" t="s">
        <v>17</v>
      </c>
      <c r="AO57" s="2" t="s">
        <v>17</v>
      </c>
      <c r="AP57" s="2" t="s">
        <v>17</v>
      </c>
      <c r="AQ57" s="2" t="s">
        <v>17</v>
      </c>
      <c r="AR57" s="2" t="s">
        <v>9</v>
      </c>
      <c r="AS57" s="2" t="s">
        <v>17</v>
      </c>
      <c r="AT57" s="2">
        <v>0</v>
      </c>
      <c r="AU57" s="5">
        <v>20000</v>
      </c>
      <c r="AV57" s="5">
        <v>340000</v>
      </c>
      <c r="AW57" s="2">
        <v>0</v>
      </c>
      <c r="AX57" s="2">
        <v>7</v>
      </c>
      <c r="AY57" s="2">
        <v>0</v>
      </c>
      <c r="AZ57" s="2">
        <v>18</v>
      </c>
      <c r="BA57" s="2">
        <v>0</v>
      </c>
      <c r="BB57" s="2">
        <v>1</v>
      </c>
      <c r="BC57" s="2">
        <v>0</v>
      </c>
      <c r="BD57" s="2">
        <v>0</v>
      </c>
      <c r="BE57" s="2">
        <v>0</v>
      </c>
      <c r="BF57" s="2">
        <v>1</v>
      </c>
      <c r="BG57" s="2">
        <v>0</v>
      </c>
      <c r="BH57" s="2">
        <v>0</v>
      </c>
      <c r="BI57" s="2">
        <v>13</v>
      </c>
      <c r="BJ57" s="2">
        <v>1</v>
      </c>
      <c r="BK57" s="2">
        <v>0</v>
      </c>
      <c r="BL57" s="2">
        <v>2</v>
      </c>
      <c r="BM57" s="2">
        <v>0</v>
      </c>
      <c r="BN57" s="2">
        <v>11</v>
      </c>
      <c r="BO57" s="2">
        <v>11</v>
      </c>
      <c r="BP57" s="2">
        <v>0</v>
      </c>
      <c r="BQ57" s="2">
        <v>10</v>
      </c>
      <c r="BR57" s="2">
        <v>11.61</v>
      </c>
      <c r="BS57" s="2">
        <v>0</v>
      </c>
      <c r="BT57" s="4">
        <v>0.06</v>
      </c>
      <c r="BU57" s="2" t="s">
        <v>9</v>
      </c>
      <c r="BV57" s="6">
        <v>233343.47</v>
      </c>
      <c r="BW57" s="2" t="s">
        <v>126</v>
      </c>
      <c r="BX57" s="2" t="s">
        <v>17</v>
      </c>
      <c r="BY57" s="2" t="s">
        <v>17</v>
      </c>
      <c r="BZ57" s="2" t="s">
        <v>17</v>
      </c>
      <c r="CA57" s="2" t="s">
        <v>17</v>
      </c>
      <c r="CB57" s="2" t="s">
        <v>17</v>
      </c>
      <c r="CC57" s="2" t="s">
        <v>17</v>
      </c>
      <c r="CD57" s="2" t="s">
        <v>17</v>
      </c>
      <c r="CE57" s="2" t="s">
        <v>326</v>
      </c>
      <c r="CF57" s="2" t="s">
        <v>17</v>
      </c>
      <c r="CG57" s="2" t="s">
        <v>327</v>
      </c>
      <c r="CH57" s="2"/>
      <c r="CI57" s="2"/>
      <c r="CJ57" s="2" t="s">
        <v>9</v>
      </c>
      <c r="CK57" s="2" t="s">
        <v>328</v>
      </c>
      <c r="CL57" s="2" t="s">
        <v>327</v>
      </c>
      <c r="CM57" s="2" t="s">
        <v>329</v>
      </c>
      <c r="CN57" s="2" t="s">
        <v>330</v>
      </c>
      <c r="CO57" s="2" t="s">
        <v>24</v>
      </c>
      <c r="CP57" s="2" t="s">
        <v>229</v>
      </c>
      <c r="CQ57" s="2">
        <v>90</v>
      </c>
      <c r="CR57" s="2" t="s">
        <v>331</v>
      </c>
      <c r="CS57" s="2">
        <v>2020</v>
      </c>
      <c r="CT57" s="2" t="s">
        <v>26</v>
      </c>
      <c r="CU57" s="2" t="s">
        <v>27</v>
      </c>
      <c r="CV57" s="2" t="s">
        <v>332</v>
      </c>
      <c r="CW57" s="2" t="s">
        <v>333</v>
      </c>
      <c r="CX57" s="2" t="s">
        <v>24</v>
      </c>
      <c r="CY57" s="2" t="s">
        <v>229</v>
      </c>
      <c r="CZ57" s="2">
        <v>86</v>
      </c>
      <c r="DA57" s="2" t="s">
        <v>331</v>
      </c>
      <c r="DB57" s="2">
        <v>2018</v>
      </c>
      <c r="DC57" s="2" t="s">
        <v>30</v>
      </c>
      <c r="DD57" s="2" t="s">
        <v>27</v>
      </c>
      <c r="DE57" s="2" t="s">
        <v>334</v>
      </c>
      <c r="DF57" s="2" t="s">
        <v>335</v>
      </c>
      <c r="DG57" s="2" t="s">
        <v>24</v>
      </c>
      <c r="DH57" s="2" t="s">
        <v>229</v>
      </c>
      <c r="DI57" s="2">
        <v>96</v>
      </c>
      <c r="DJ57" s="2" t="s">
        <v>331</v>
      </c>
      <c r="DK57" s="2">
        <v>2017</v>
      </c>
      <c r="DL57" s="2" t="s">
        <v>30</v>
      </c>
      <c r="DM57" s="2" t="s">
        <v>27</v>
      </c>
      <c r="DN57" s="2" t="s">
        <v>33</v>
      </c>
      <c r="DO57" s="2" t="s">
        <v>336</v>
      </c>
      <c r="DP57" s="2" t="s">
        <v>337</v>
      </c>
      <c r="DQ57" s="2" t="s">
        <v>338</v>
      </c>
      <c r="DR57" s="2" t="s">
        <v>36</v>
      </c>
      <c r="DS57" s="2">
        <v>1</v>
      </c>
      <c r="DT57" s="2" t="s">
        <v>339</v>
      </c>
      <c r="DU57" s="2" t="s">
        <v>38</v>
      </c>
      <c r="DV57" s="2" t="s">
        <v>39</v>
      </c>
      <c r="DW57" s="2">
        <v>32405</v>
      </c>
      <c r="DX57" s="2" t="s">
        <v>340</v>
      </c>
      <c r="DY57" s="2"/>
      <c r="DZ57" s="2" t="s">
        <v>341</v>
      </c>
      <c r="EA57" s="2" t="s">
        <v>36</v>
      </c>
      <c r="EB57" s="2" t="s">
        <v>329</v>
      </c>
      <c r="EC57" s="2" t="s">
        <v>330</v>
      </c>
      <c r="ED57" s="2" t="s">
        <v>44</v>
      </c>
      <c r="EE57" s="2">
        <v>90</v>
      </c>
      <c r="EF57" s="2" t="s">
        <v>342</v>
      </c>
      <c r="EG57" s="2">
        <v>3</v>
      </c>
      <c r="EH57" s="2" t="s">
        <v>46</v>
      </c>
      <c r="EI57" s="2" t="s">
        <v>47</v>
      </c>
      <c r="EJ57" s="2" t="s">
        <v>332</v>
      </c>
      <c r="EK57" s="2" t="s">
        <v>333</v>
      </c>
      <c r="EL57" s="2" t="s">
        <v>44</v>
      </c>
      <c r="EM57" s="2">
        <v>86</v>
      </c>
      <c r="EN57" s="2" t="s">
        <v>342</v>
      </c>
      <c r="EO57" s="2">
        <v>4</v>
      </c>
      <c r="EP57" s="2" t="s">
        <v>46</v>
      </c>
      <c r="EQ57" s="2" t="s">
        <v>47</v>
      </c>
      <c r="ER57" s="2" t="s">
        <v>343</v>
      </c>
      <c r="ES57" s="2"/>
      <c r="ET57" s="2" t="s">
        <v>344</v>
      </c>
      <c r="EU57" s="2" t="s">
        <v>345</v>
      </c>
      <c r="EV57" s="2" t="s">
        <v>346</v>
      </c>
      <c r="EW57" s="2" t="s">
        <v>347</v>
      </c>
      <c r="EX57" s="2" t="s">
        <v>39</v>
      </c>
      <c r="EY57" s="2">
        <v>33309</v>
      </c>
      <c r="EZ57" s="2" t="s">
        <v>348</v>
      </c>
      <c r="FA57" s="2"/>
      <c r="FB57" s="2" t="s">
        <v>349</v>
      </c>
      <c r="FC57" s="2" t="s">
        <v>350</v>
      </c>
      <c r="FD57" s="2"/>
      <c r="FE57" s="2" t="s">
        <v>351</v>
      </c>
      <c r="FF57" s="2" t="s">
        <v>345</v>
      </c>
      <c r="FG57" s="2" t="s">
        <v>352</v>
      </c>
      <c r="FH57" s="2" t="s">
        <v>347</v>
      </c>
      <c r="FI57" s="2" t="s">
        <v>39</v>
      </c>
      <c r="FJ57" s="2">
        <v>33309</v>
      </c>
      <c r="FK57" s="2" t="s">
        <v>353</v>
      </c>
      <c r="FL57" s="2"/>
      <c r="FM57" s="2" t="s">
        <v>354</v>
      </c>
      <c r="FN57" s="2" t="s">
        <v>355</v>
      </c>
      <c r="FO57" s="2" t="s">
        <v>63</v>
      </c>
      <c r="FP57" s="2" t="s">
        <v>64</v>
      </c>
      <c r="FQ57" s="2" t="s">
        <v>9</v>
      </c>
      <c r="FR57" s="2" t="s">
        <v>17</v>
      </c>
      <c r="FS57" s="2" t="s">
        <v>17</v>
      </c>
      <c r="FT57" s="2" t="s">
        <v>9</v>
      </c>
      <c r="FU57" s="2">
        <v>0</v>
      </c>
      <c r="FV57" s="2">
        <v>0</v>
      </c>
      <c r="FW57" s="4">
        <v>0</v>
      </c>
      <c r="FX57" s="4">
        <v>0</v>
      </c>
      <c r="FY57" s="2" t="s">
        <v>65</v>
      </c>
      <c r="FZ57" s="2" t="s">
        <v>66</v>
      </c>
      <c r="GA57" s="2" t="s">
        <v>67</v>
      </c>
      <c r="GB57" s="2"/>
      <c r="GC57" s="2"/>
      <c r="GD57" s="2"/>
      <c r="GE57" s="2" t="s">
        <v>68</v>
      </c>
      <c r="GF57" s="2"/>
      <c r="GG57" s="2"/>
      <c r="GH57" s="2">
        <v>76</v>
      </c>
      <c r="GI57" s="2"/>
      <c r="GJ57" s="2"/>
      <c r="GK57" s="2"/>
      <c r="GL57" s="2"/>
      <c r="GM57" s="2"/>
      <c r="GN57" s="2"/>
      <c r="GO57" s="2"/>
      <c r="GP57" s="2"/>
      <c r="GQ57" s="2">
        <v>76</v>
      </c>
      <c r="GR57" s="2" t="s">
        <v>356</v>
      </c>
      <c r="GS57" s="2" t="s">
        <v>70</v>
      </c>
      <c r="GT57" s="2" t="s">
        <v>357</v>
      </c>
      <c r="GU57" s="2" t="s">
        <v>358</v>
      </c>
      <c r="GV57" s="2" t="s">
        <v>17</v>
      </c>
      <c r="GW57" s="2">
        <v>28.844643000000001</v>
      </c>
      <c r="GX57" s="2">
        <v>-82.356516999999997</v>
      </c>
      <c r="GY57" s="2"/>
      <c r="GZ57" s="2" t="s">
        <v>17</v>
      </c>
      <c r="HA57" s="2" t="s">
        <v>17</v>
      </c>
      <c r="HB57" s="2">
        <v>0</v>
      </c>
      <c r="HC57" s="2" t="s">
        <v>17</v>
      </c>
      <c r="HD57" s="2" t="s">
        <v>9</v>
      </c>
      <c r="HE57" s="2">
        <v>2</v>
      </c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 t="s">
        <v>73</v>
      </c>
      <c r="HY57" s="2" t="s">
        <v>17</v>
      </c>
      <c r="HZ57" s="2"/>
      <c r="IA57" s="2" t="s">
        <v>359</v>
      </c>
      <c r="IB57" s="2" t="s">
        <v>360</v>
      </c>
      <c r="IC57" s="2">
        <v>0.85</v>
      </c>
      <c r="ID57" s="2">
        <v>2.5</v>
      </c>
      <c r="IE57" s="2"/>
      <c r="IF57" s="2"/>
      <c r="IG57" s="2"/>
      <c r="IH57" s="2" t="s">
        <v>115</v>
      </c>
      <c r="II57" s="2">
        <v>0.95</v>
      </c>
      <c r="IJ57" s="2">
        <v>2.5</v>
      </c>
      <c r="IK57" s="2" t="s">
        <v>361</v>
      </c>
      <c r="IL57" s="2" t="s">
        <v>362</v>
      </c>
      <c r="IM57" s="2">
        <v>0.87</v>
      </c>
      <c r="IN57" s="2">
        <v>3</v>
      </c>
      <c r="IO57" s="2" t="s">
        <v>9</v>
      </c>
      <c r="IP57" s="2">
        <v>2</v>
      </c>
      <c r="IQ57" s="2">
        <v>8</v>
      </c>
      <c r="IR57" s="2">
        <v>0</v>
      </c>
      <c r="IS57" s="2">
        <v>10</v>
      </c>
      <c r="IT57" s="2" t="s">
        <v>9</v>
      </c>
      <c r="IU57" s="2" t="s">
        <v>17</v>
      </c>
      <c r="IV57" s="2" t="s">
        <v>17</v>
      </c>
      <c r="IW57" s="2" t="s">
        <v>9</v>
      </c>
      <c r="IX57" s="2" t="s">
        <v>9</v>
      </c>
      <c r="IY57" s="2">
        <v>10</v>
      </c>
      <c r="IZ57" s="2">
        <v>76</v>
      </c>
      <c r="JA57" s="2" t="s">
        <v>172</v>
      </c>
      <c r="JB57" s="2" t="s">
        <v>82</v>
      </c>
      <c r="JC57" s="2"/>
      <c r="JD57" s="2"/>
      <c r="JE57" s="2"/>
      <c r="JF57" s="2"/>
      <c r="JG57" s="2"/>
      <c r="JH57" s="7">
        <v>0</v>
      </c>
      <c r="JI57" s="2">
        <v>0</v>
      </c>
      <c r="JJ57" s="7">
        <v>0</v>
      </c>
      <c r="JK57" s="2">
        <v>0</v>
      </c>
      <c r="JL57" s="7">
        <v>0</v>
      </c>
      <c r="JM57" s="2">
        <v>12</v>
      </c>
      <c r="JN57" s="2"/>
      <c r="JO57" s="2"/>
      <c r="JP57" s="2">
        <v>28</v>
      </c>
      <c r="JQ57" s="2">
        <v>36</v>
      </c>
      <c r="JR57" s="2"/>
      <c r="JS57" s="2">
        <v>0</v>
      </c>
      <c r="JT57" s="2">
        <v>0</v>
      </c>
      <c r="JU57" s="2"/>
      <c r="JV57" s="2">
        <v>76</v>
      </c>
      <c r="JW57" s="4">
        <v>1</v>
      </c>
      <c r="JX57" s="2">
        <v>76</v>
      </c>
      <c r="JY57" s="4">
        <v>0.6</v>
      </c>
      <c r="JZ57" s="2">
        <v>0</v>
      </c>
      <c r="KA57" s="2"/>
      <c r="KB57" s="2"/>
      <c r="KC57" s="2"/>
      <c r="KD57" s="2"/>
      <c r="KE57" s="2"/>
      <c r="KF57" s="2"/>
      <c r="KG57" s="2"/>
      <c r="KH57" s="2">
        <v>76</v>
      </c>
      <c r="KI57" s="2"/>
      <c r="KJ57" s="2"/>
      <c r="KK57" s="2"/>
      <c r="KL57" s="2"/>
      <c r="KM57" s="2"/>
      <c r="KN57" s="2"/>
      <c r="KO57" s="2"/>
      <c r="KP57" s="2"/>
      <c r="KQ57" s="2" t="s">
        <v>83</v>
      </c>
      <c r="KR57" s="2"/>
      <c r="KS57" s="2" t="s">
        <v>73</v>
      </c>
      <c r="KT57" s="2">
        <v>1</v>
      </c>
      <c r="KU57" s="2" t="s">
        <v>84</v>
      </c>
      <c r="KV57" s="2" t="s">
        <v>85</v>
      </c>
      <c r="KW57" s="2" t="s">
        <v>86</v>
      </c>
      <c r="KX57" s="2" t="s">
        <v>17</v>
      </c>
      <c r="KY57" s="2" t="s">
        <v>17</v>
      </c>
      <c r="KZ57" s="2" t="s">
        <v>17</v>
      </c>
      <c r="LA57" s="2" t="s">
        <v>17</v>
      </c>
      <c r="LB57" s="2" t="s">
        <v>17</v>
      </c>
      <c r="LC57" s="2" t="s">
        <v>17</v>
      </c>
      <c r="LD57" s="2" t="s">
        <v>17</v>
      </c>
      <c r="LE57" s="2" t="s">
        <v>17</v>
      </c>
      <c r="LF57" s="2" t="s">
        <v>17</v>
      </c>
      <c r="LG57" s="2" t="s">
        <v>17</v>
      </c>
      <c r="LH57" s="2" t="s">
        <v>17</v>
      </c>
      <c r="LI57" s="2" t="s">
        <v>17</v>
      </c>
      <c r="LJ57" s="2" t="s">
        <v>87</v>
      </c>
      <c r="LK57" s="2" t="s">
        <v>17</v>
      </c>
      <c r="LL57" s="2" t="s">
        <v>17</v>
      </c>
      <c r="LM57" s="2">
        <v>0</v>
      </c>
      <c r="LN57" s="2" t="s">
        <v>17</v>
      </c>
      <c r="LO57" s="2" t="s">
        <v>17</v>
      </c>
      <c r="LP57" s="2" t="s">
        <v>17</v>
      </c>
      <c r="LQ57" s="2" t="s">
        <v>17</v>
      </c>
      <c r="LR57" s="2" t="s">
        <v>17</v>
      </c>
      <c r="LS57" s="2" t="s">
        <v>17</v>
      </c>
      <c r="LT57" s="2" t="s">
        <v>9</v>
      </c>
      <c r="LU57" s="2" t="s">
        <v>9</v>
      </c>
      <c r="LV57" s="2" t="s">
        <v>9</v>
      </c>
      <c r="LW57" s="2" t="s">
        <v>17</v>
      </c>
      <c r="LX57" s="2" t="s">
        <v>17</v>
      </c>
      <c r="LY57" s="5">
        <v>6080000</v>
      </c>
      <c r="LZ57" s="5">
        <v>0</v>
      </c>
      <c r="MA57" s="5">
        <v>7200000</v>
      </c>
      <c r="MB57" s="5">
        <v>0</v>
      </c>
      <c r="MC57" s="5">
        <v>0</v>
      </c>
      <c r="MD57" s="5">
        <v>0</v>
      </c>
      <c r="ME57" s="5">
        <v>7980000</v>
      </c>
      <c r="MF57" s="5">
        <v>0</v>
      </c>
      <c r="MG57" s="5">
        <v>0</v>
      </c>
      <c r="MH57" s="5">
        <v>0</v>
      </c>
      <c r="MI57" s="5">
        <v>0</v>
      </c>
      <c r="MJ57" s="5">
        <v>0</v>
      </c>
      <c r="MK57" s="5">
        <v>0</v>
      </c>
      <c r="ML57" s="2">
        <v>0</v>
      </c>
      <c r="MM57" s="5">
        <v>0</v>
      </c>
      <c r="MN57" s="5">
        <v>0</v>
      </c>
      <c r="MO57" s="2">
        <v>0</v>
      </c>
      <c r="MP57" s="2">
        <v>0</v>
      </c>
      <c r="MQ57" s="2">
        <v>0</v>
      </c>
      <c r="MR57" s="5">
        <v>2950000</v>
      </c>
      <c r="MS57" s="5">
        <v>0</v>
      </c>
      <c r="MT57" s="5">
        <v>4600000</v>
      </c>
      <c r="MU57" s="5">
        <v>0</v>
      </c>
      <c r="MV57" s="5">
        <v>0</v>
      </c>
      <c r="MW57" s="5">
        <v>0</v>
      </c>
      <c r="MX57" s="5">
        <v>0</v>
      </c>
      <c r="MY57" s="5">
        <v>2500000</v>
      </c>
      <c r="MZ57" s="5">
        <v>0</v>
      </c>
      <c r="NA57" s="5">
        <v>5000000</v>
      </c>
      <c r="NB57" s="5">
        <v>0</v>
      </c>
      <c r="NC57" s="5">
        <v>0</v>
      </c>
      <c r="ND57" s="5">
        <v>0</v>
      </c>
      <c r="NE57" s="5">
        <v>0</v>
      </c>
      <c r="NF57" s="5">
        <v>0</v>
      </c>
      <c r="NG57" s="5">
        <v>2142000</v>
      </c>
      <c r="NH57" s="5">
        <v>2141800</v>
      </c>
      <c r="NI57" s="5">
        <v>2141800</v>
      </c>
      <c r="NJ57" s="5">
        <v>0</v>
      </c>
      <c r="NK57" s="5"/>
      <c r="NL57" s="2" t="s">
        <v>17</v>
      </c>
      <c r="NM57" s="2" t="s">
        <v>17</v>
      </c>
      <c r="NN57" s="2"/>
      <c r="NO57" s="2" t="s">
        <v>17</v>
      </c>
      <c r="NP57" s="2"/>
      <c r="NQ57" s="2"/>
      <c r="NR57" s="2" t="s">
        <v>17</v>
      </c>
      <c r="NS57" s="2"/>
      <c r="NT57" s="2" t="s">
        <v>17</v>
      </c>
      <c r="NU57" s="2"/>
      <c r="NV57" s="2"/>
      <c r="NW57" s="2"/>
      <c r="NX57" s="2" t="s">
        <v>17</v>
      </c>
      <c r="NY57" s="2"/>
      <c r="NZ57" s="2"/>
      <c r="OA57" s="2" t="s">
        <v>118</v>
      </c>
      <c r="OB57" s="2" t="s">
        <v>118</v>
      </c>
      <c r="OC57" s="2" t="s">
        <v>118</v>
      </c>
      <c r="OD57" s="2" t="s">
        <v>9</v>
      </c>
      <c r="OE57" s="2" t="s">
        <v>320</v>
      </c>
      <c r="OF57" s="2" t="s">
        <v>17</v>
      </c>
      <c r="OG57" s="2" t="s">
        <v>17</v>
      </c>
      <c r="OH57" s="2"/>
      <c r="OI57" s="2"/>
      <c r="OJ57" s="2"/>
      <c r="OK57" s="2" t="s">
        <v>17</v>
      </c>
      <c r="OL57" s="2" t="s">
        <v>17</v>
      </c>
      <c r="OM57" s="2" t="s">
        <v>85</v>
      </c>
      <c r="ON57" s="6">
        <v>0</v>
      </c>
      <c r="OO57" s="6">
        <v>0</v>
      </c>
      <c r="OP57" s="2" t="s">
        <v>93</v>
      </c>
      <c r="OQ57" s="2" t="s">
        <v>93</v>
      </c>
      <c r="OR57" s="6">
        <v>0</v>
      </c>
      <c r="OS57" s="4">
        <v>0</v>
      </c>
      <c r="OT57" s="2" t="s">
        <v>17</v>
      </c>
      <c r="OU57" s="2" t="s">
        <v>17</v>
      </c>
      <c r="OV57" s="2"/>
      <c r="OW57" s="2"/>
      <c r="OX57" s="5">
        <v>17734104</v>
      </c>
      <c r="OY57" s="6">
        <v>233343.47</v>
      </c>
      <c r="OZ57" s="2"/>
      <c r="PA57" s="2"/>
      <c r="PB57" s="8">
        <v>10936608</v>
      </c>
      <c r="PC57" s="8">
        <v>329633</v>
      </c>
      <c r="PD57" s="8">
        <v>11266241</v>
      </c>
      <c r="PE57" s="2"/>
      <c r="PF57" s="8">
        <v>300000</v>
      </c>
      <c r="PG57" s="8">
        <v>300000</v>
      </c>
      <c r="PH57" s="8">
        <v>306907</v>
      </c>
      <c r="PI57" s="2"/>
      <c r="PJ57" s="8">
        <v>306907</v>
      </c>
      <c r="PK57" s="8">
        <v>11243515</v>
      </c>
      <c r="PL57" s="8">
        <v>629633</v>
      </c>
      <c r="PM57" s="8">
        <v>11873148</v>
      </c>
      <c r="PN57" s="8">
        <v>1619066</v>
      </c>
      <c r="PO57" s="2"/>
      <c r="PP57" s="8">
        <v>1619066</v>
      </c>
      <c r="PQ57" s="6">
        <v>1662240</v>
      </c>
      <c r="PR57" s="8">
        <v>12862581</v>
      </c>
      <c r="PS57" s="8">
        <v>629633</v>
      </c>
      <c r="PT57" s="8">
        <v>13492214</v>
      </c>
      <c r="PU57" s="8">
        <v>593339</v>
      </c>
      <c r="PV57" s="8">
        <v>65927</v>
      </c>
      <c r="PW57" s="8">
        <v>659266</v>
      </c>
      <c r="PX57" s="6">
        <v>674610.7</v>
      </c>
      <c r="PY57" s="8">
        <v>891700</v>
      </c>
      <c r="PZ57" s="8">
        <v>372500</v>
      </c>
      <c r="QA57" s="8">
        <v>1264200</v>
      </c>
      <c r="QB57" s="8">
        <v>220000</v>
      </c>
      <c r="QC57" s="2"/>
      <c r="QD57" s="8">
        <v>220000</v>
      </c>
      <c r="QE57" s="8">
        <v>582136</v>
      </c>
      <c r="QF57" s="8">
        <v>20000</v>
      </c>
      <c r="QG57" s="8">
        <v>602136</v>
      </c>
      <c r="QH57" s="2"/>
      <c r="QI57" s="8">
        <v>440718</v>
      </c>
      <c r="QJ57" s="8">
        <v>440718</v>
      </c>
      <c r="QK57" s="2"/>
      <c r="QL57" s="2"/>
      <c r="QM57" s="2"/>
      <c r="QN57" s="2"/>
      <c r="QO57" s="2"/>
      <c r="QP57" s="2"/>
      <c r="QQ57" s="8">
        <v>1693836</v>
      </c>
      <c r="QR57" s="8">
        <v>833218</v>
      </c>
      <c r="QS57" s="8">
        <v>2527054</v>
      </c>
      <c r="QT57" s="8">
        <v>40000</v>
      </c>
      <c r="QU57" s="8">
        <v>40000</v>
      </c>
      <c r="QV57" s="8">
        <v>80000</v>
      </c>
      <c r="QW57" s="6">
        <v>126352.7</v>
      </c>
      <c r="QX57" s="8">
        <v>828000</v>
      </c>
      <c r="QY57" s="8">
        <v>334500</v>
      </c>
      <c r="QZ57" s="8">
        <v>1162500</v>
      </c>
      <c r="RA57" s="8">
        <v>51500</v>
      </c>
      <c r="RB57" s="8">
        <v>51500</v>
      </c>
      <c r="RC57" s="2"/>
      <c r="RD57" s="2"/>
      <c r="RE57" s="2"/>
      <c r="RF57" s="8">
        <v>828000</v>
      </c>
      <c r="RG57" s="8">
        <v>386000</v>
      </c>
      <c r="RH57" s="8">
        <v>1214000</v>
      </c>
      <c r="RI57" s="2"/>
      <c r="RJ57" s="2"/>
      <c r="RK57" s="2"/>
      <c r="RL57" s="2"/>
      <c r="RM57" s="8">
        <v>16017756</v>
      </c>
      <c r="RN57" s="8">
        <v>1954778</v>
      </c>
      <c r="RO57" s="8">
        <v>17972534</v>
      </c>
      <c r="RP57" s="2"/>
      <c r="RQ57" s="2"/>
      <c r="RR57" s="2">
        <v>0</v>
      </c>
      <c r="RS57" s="6">
        <v>0</v>
      </c>
      <c r="RT57" s="8">
        <v>2874506</v>
      </c>
      <c r="RU57" s="2"/>
      <c r="RV57" s="8">
        <v>2874506</v>
      </c>
      <c r="RW57" s="6">
        <v>2875605</v>
      </c>
      <c r="RX57" s="6">
        <v>0</v>
      </c>
      <c r="RY57" s="8">
        <v>2874506</v>
      </c>
      <c r="RZ57" s="2"/>
      <c r="SA57" s="8">
        <v>2874506</v>
      </c>
      <c r="SB57" s="6">
        <v>2875605</v>
      </c>
      <c r="SC57" s="8">
        <v>266000</v>
      </c>
      <c r="SD57" s="8">
        <v>266000</v>
      </c>
      <c r="SE57" s="6">
        <v>266000</v>
      </c>
      <c r="SF57" s="8">
        <v>1060000</v>
      </c>
      <c r="SG57" s="8">
        <v>1060000</v>
      </c>
      <c r="SH57" s="8">
        <v>18892262</v>
      </c>
      <c r="SI57" s="8">
        <v>3280778</v>
      </c>
      <c r="SJ57" s="8">
        <v>22173040</v>
      </c>
      <c r="SK57" s="2" t="s">
        <v>229</v>
      </c>
      <c r="SL57" s="2" t="s">
        <v>363</v>
      </c>
      <c r="SM57" s="2"/>
      <c r="SN57" s="2"/>
      <c r="SO57" s="2"/>
      <c r="SP57" s="8">
        <v>14400000</v>
      </c>
      <c r="SQ57" s="2" t="s">
        <v>95</v>
      </c>
      <c r="SR57" s="8">
        <v>340000</v>
      </c>
      <c r="SS57" s="2" t="s">
        <v>180</v>
      </c>
      <c r="ST57" s="2"/>
      <c r="SU57" s="2"/>
      <c r="SV57" s="2"/>
      <c r="SW57" s="2"/>
      <c r="SX57" s="2" t="s">
        <v>96</v>
      </c>
      <c r="SY57" s="2" t="s">
        <v>96</v>
      </c>
      <c r="SZ57" s="2" t="s">
        <v>96</v>
      </c>
      <c r="TA57" s="2" t="s">
        <v>96</v>
      </c>
      <c r="TB57" s="8">
        <v>11307573</v>
      </c>
      <c r="TC57" s="2"/>
      <c r="TD57" s="2"/>
      <c r="TE57" s="2"/>
      <c r="TF57" s="2"/>
      <c r="TG57" s="2"/>
      <c r="TH57" s="2"/>
      <c r="TI57" s="2">
        <v>0</v>
      </c>
      <c r="TJ57" s="8">
        <v>26047573</v>
      </c>
      <c r="TK57" s="8">
        <v>3874533</v>
      </c>
      <c r="TL57" s="2" t="s">
        <v>9</v>
      </c>
      <c r="TM57" s="8">
        <v>1400000</v>
      </c>
      <c r="TN57" s="2" t="s">
        <v>95</v>
      </c>
      <c r="TO57" s="8">
        <v>340000</v>
      </c>
      <c r="TP57" s="2" t="s">
        <v>180</v>
      </c>
      <c r="TQ57" s="2"/>
      <c r="TR57" s="2"/>
      <c r="TS57" s="2"/>
      <c r="TT57" s="2"/>
      <c r="TU57" s="2" t="s">
        <v>96</v>
      </c>
      <c r="TV57" s="8">
        <v>18845956</v>
      </c>
      <c r="TW57" s="2"/>
      <c r="TX57" s="2"/>
      <c r="TY57" s="2"/>
      <c r="TZ57" s="2"/>
      <c r="UA57" s="2"/>
      <c r="UB57" s="2"/>
      <c r="UC57" s="8">
        <v>1587084</v>
      </c>
      <c r="UD57" s="8">
        <v>22173040</v>
      </c>
      <c r="UE57" s="6">
        <v>1740000</v>
      </c>
      <c r="UF57" s="2">
        <v>0</v>
      </c>
      <c r="UG57" s="2" t="s">
        <v>9</v>
      </c>
      <c r="UH57" s="2">
        <v>76</v>
      </c>
      <c r="UI57" s="5">
        <v>220000</v>
      </c>
      <c r="UJ57" s="6">
        <v>293333.33</v>
      </c>
      <c r="UK57" s="6">
        <v>293333.33</v>
      </c>
      <c r="UL57" s="6">
        <v>310933.33</v>
      </c>
      <c r="UM57" s="6">
        <v>23630933.329999998</v>
      </c>
      <c r="UN57" s="6">
        <v>3780949</v>
      </c>
      <c r="UO57" s="6">
        <v>3780949</v>
      </c>
      <c r="UP57" s="6">
        <v>27411882.329999998</v>
      </c>
      <c r="UQ57" s="6">
        <v>20847040</v>
      </c>
      <c r="UR57" s="6">
        <v>340000</v>
      </c>
      <c r="US57" s="2"/>
      <c r="UT57" s="6">
        <v>340000</v>
      </c>
      <c r="UU57" s="2"/>
      <c r="UV57" s="6">
        <v>0</v>
      </c>
      <c r="UW57" s="6">
        <v>340000</v>
      </c>
      <c r="UX57" s="6">
        <v>0</v>
      </c>
      <c r="UY57" s="6">
        <v>340000</v>
      </c>
      <c r="UZ57" s="2" t="s">
        <v>364</v>
      </c>
      <c r="VA57" s="2" t="s">
        <v>182</v>
      </c>
      <c r="VB57" s="2"/>
      <c r="VC57" s="2"/>
      <c r="VD57" s="2" t="s">
        <v>9</v>
      </c>
      <c r="VE57" s="2" t="s">
        <v>17</v>
      </c>
      <c r="VF57" s="2"/>
      <c r="VG57" s="2" t="s">
        <v>9</v>
      </c>
      <c r="VH57" s="2" t="s">
        <v>365</v>
      </c>
      <c r="VI57" s="388" t="s">
        <v>328</v>
      </c>
      <c r="VJ57" s="2" t="s">
        <v>98</v>
      </c>
      <c r="VK57" s="2" t="s">
        <v>366</v>
      </c>
      <c r="VL57" s="23">
        <f t="shared" si="21"/>
        <v>76</v>
      </c>
      <c r="VM57" s="17">
        <f t="shared" si="22"/>
        <v>1</v>
      </c>
      <c r="VN57" s="17" t="str">
        <f t="shared" si="12"/>
        <v>NC-GA-E</v>
      </c>
      <c r="VO57" s="17" t="str">
        <f t="shared" si="13"/>
        <v>NC-GA-E-Non</v>
      </c>
      <c r="VP57" s="12">
        <v>9</v>
      </c>
      <c r="VQ57" s="57">
        <v>1</v>
      </c>
      <c r="VR57" s="57">
        <f t="shared" si="23"/>
        <v>1</v>
      </c>
      <c r="VS57" s="14">
        <f t="shared" si="24"/>
        <v>1</v>
      </c>
      <c r="VT57" s="12">
        <f t="shared" si="25"/>
        <v>1</v>
      </c>
      <c r="VU57" s="16">
        <f t="shared" si="26"/>
        <v>19276200</v>
      </c>
      <c r="VV57" s="16">
        <f t="shared" si="27"/>
        <v>253634.21052631579</v>
      </c>
      <c r="VW57" s="12" t="str">
        <f t="shared" si="14"/>
        <v>A</v>
      </c>
      <c r="VX57" s="12" t="str">
        <f t="shared" si="15"/>
        <v>NC-GA-Non</v>
      </c>
      <c r="VY57" s="351">
        <f t="shared" si="16"/>
        <v>5</v>
      </c>
      <c r="WA57" s="12">
        <f t="shared" si="17"/>
        <v>1</v>
      </c>
      <c r="WB57" s="12">
        <f t="shared" si="18"/>
        <v>0</v>
      </c>
      <c r="WC57" s="12">
        <f t="shared" si="18"/>
        <v>0</v>
      </c>
      <c r="WD57" s="12">
        <f t="shared" si="18"/>
        <v>0</v>
      </c>
      <c r="WE57" s="12">
        <f t="shared" si="19"/>
        <v>0</v>
      </c>
      <c r="WF57" s="12">
        <f t="shared" si="28"/>
        <v>1</v>
      </c>
      <c r="WG57" s="12">
        <f t="shared" si="29"/>
        <v>0</v>
      </c>
      <c r="WH57" s="12">
        <f t="shared" si="30"/>
        <v>0</v>
      </c>
      <c r="WI57" s="22">
        <f t="shared" si="31"/>
        <v>2</v>
      </c>
      <c r="WJ57" s="2"/>
      <c r="WK57" s="444" t="str">
        <f t="shared" si="20"/>
        <v>NC-GA-Non-BBN-BRN-NPH-E</v>
      </c>
      <c r="WL57" s="444"/>
      <c r="WM57" s="444"/>
    </row>
    <row r="58" spans="1:611" x14ac:dyDescent="0.25">
      <c r="A58" s="2">
        <v>9544</v>
      </c>
      <c r="B58" s="2" t="s">
        <v>1653</v>
      </c>
      <c r="C58" s="2" t="s">
        <v>8</v>
      </c>
      <c r="D58" s="3">
        <v>45153</v>
      </c>
      <c r="E58" s="2" t="s">
        <v>9</v>
      </c>
      <c r="F58" s="2">
        <v>3</v>
      </c>
      <c r="G58" s="2" t="s">
        <v>9</v>
      </c>
      <c r="H58" s="2">
        <v>3</v>
      </c>
      <c r="I58" s="2" t="s">
        <v>9</v>
      </c>
      <c r="J58" s="2">
        <v>2</v>
      </c>
      <c r="K58" s="2" t="s">
        <v>9</v>
      </c>
      <c r="L58" s="2">
        <v>3</v>
      </c>
      <c r="M58" s="2" t="s">
        <v>10</v>
      </c>
      <c r="N58" s="2">
        <v>0</v>
      </c>
      <c r="O58" s="2" t="s">
        <v>10</v>
      </c>
      <c r="P58" s="2">
        <v>0</v>
      </c>
      <c r="Q58" s="2" t="s">
        <v>11</v>
      </c>
      <c r="R58" s="2">
        <v>0</v>
      </c>
      <c r="S58" s="2" t="s">
        <v>9</v>
      </c>
      <c r="T58" s="2">
        <v>2</v>
      </c>
      <c r="U58" s="2" t="s">
        <v>9</v>
      </c>
      <c r="V58" s="2">
        <v>2</v>
      </c>
      <c r="W58" s="2" t="s">
        <v>9</v>
      </c>
      <c r="X58" s="2">
        <v>2</v>
      </c>
      <c r="Y58" s="2" t="s">
        <v>12</v>
      </c>
      <c r="Z58" s="2" t="s">
        <v>15</v>
      </c>
      <c r="AA58" s="2" t="s">
        <v>15</v>
      </c>
      <c r="AB58" s="2" t="s">
        <v>15</v>
      </c>
      <c r="AC58" s="2" t="s">
        <v>15</v>
      </c>
      <c r="AD58" s="2" t="s">
        <v>15</v>
      </c>
      <c r="AE58" s="2" t="s">
        <v>189</v>
      </c>
      <c r="AF58" s="2">
        <v>0</v>
      </c>
      <c r="AG58" s="2" t="s">
        <v>234</v>
      </c>
      <c r="AH58" s="2" t="s">
        <v>17</v>
      </c>
      <c r="AI58" s="4">
        <v>0.15714</v>
      </c>
      <c r="AJ58" s="2" t="s">
        <v>17</v>
      </c>
      <c r="AK58" s="2" t="s">
        <v>9</v>
      </c>
      <c r="AL58" s="2" t="s">
        <v>9</v>
      </c>
      <c r="AM58" s="2" t="s">
        <v>9</v>
      </c>
      <c r="AN58" s="2" t="s">
        <v>17</v>
      </c>
      <c r="AO58" s="2" t="s">
        <v>17</v>
      </c>
      <c r="AP58" s="2" t="s">
        <v>17</v>
      </c>
      <c r="AQ58" s="2" t="s">
        <v>17</v>
      </c>
      <c r="AR58" s="2" t="s">
        <v>17</v>
      </c>
      <c r="AS58" s="2" t="s">
        <v>17</v>
      </c>
      <c r="AT58" s="2">
        <v>0</v>
      </c>
      <c r="AU58" s="5">
        <v>20000</v>
      </c>
      <c r="AV58" s="5">
        <v>460000</v>
      </c>
      <c r="AW58" s="2">
        <v>0</v>
      </c>
      <c r="AX58" s="2">
        <v>6</v>
      </c>
      <c r="AY58" s="2">
        <v>0</v>
      </c>
      <c r="AZ58" s="2">
        <v>18</v>
      </c>
      <c r="BA58" s="2">
        <v>0</v>
      </c>
      <c r="BB58" s="2">
        <v>1</v>
      </c>
      <c r="BC58" s="2">
        <v>2</v>
      </c>
      <c r="BD58" s="2">
        <v>0</v>
      </c>
      <c r="BE58" s="2">
        <v>0</v>
      </c>
      <c r="BF58" s="2">
        <v>1</v>
      </c>
      <c r="BG58" s="2">
        <v>0</v>
      </c>
      <c r="BH58" s="2">
        <v>0</v>
      </c>
      <c r="BI58" s="2">
        <v>13</v>
      </c>
      <c r="BJ58" s="2">
        <v>1</v>
      </c>
      <c r="BK58" s="2">
        <v>0</v>
      </c>
      <c r="BL58" s="2">
        <v>2</v>
      </c>
      <c r="BM58" s="2">
        <v>0</v>
      </c>
      <c r="BN58" s="2">
        <v>11</v>
      </c>
      <c r="BO58" s="2">
        <v>11</v>
      </c>
      <c r="BP58" s="2">
        <v>0</v>
      </c>
      <c r="BQ58" s="2">
        <v>10</v>
      </c>
      <c r="BR58" s="2">
        <v>10.72</v>
      </c>
      <c r="BS58" s="2">
        <v>0</v>
      </c>
      <c r="BT58" s="4">
        <v>0.06</v>
      </c>
      <c r="BU58" s="2" t="s">
        <v>9</v>
      </c>
      <c r="BV58" s="6">
        <v>233346.86</v>
      </c>
      <c r="BW58" s="2" t="s">
        <v>126</v>
      </c>
      <c r="BX58" s="2" t="s">
        <v>17</v>
      </c>
      <c r="BY58" s="2" t="s">
        <v>17</v>
      </c>
      <c r="BZ58" s="2" t="s">
        <v>17</v>
      </c>
      <c r="CA58" s="2" t="s">
        <v>17</v>
      </c>
      <c r="CB58" s="2" t="s">
        <v>17</v>
      </c>
      <c r="CC58" s="2" t="s">
        <v>17</v>
      </c>
      <c r="CD58" s="2" t="s">
        <v>17</v>
      </c>
      <c r="CE58" s="2" t="s">
        <v>1654</v>
      </c>
      <c r="CF58" s="2" t="s">
        <v>17</v>
      </c>
      <c r="CG58" s="2" t="s">
        <v>1655</v>
      </c>
      <c r="CH58" s="2"/>
      <c r="CI58" s="2"/>
      <c r="CJ58" s="2" t="s">
        <v>9</v>
      </c>
      <c r="CK58" s="2" t="s">
        <v>328</v>
      </c>
      <c r="CL58" s="2" t="s">
        <v>1655</v>
      </c>
      <c r="CM58" s="2" t="s">
        <v>329</v>
      </c>
      <c r="CN58" s="2" t="s">
        <v>330</v>
      </c>
      <c r="CO58" s="2" t="s">
        <v>24</v>
      </c>
      <c r="CP58" s="2" t="s">
        <v>229</v>
      </c>
      <c r="CQ58" s="2">
        <v>90</v>
      </c>
      <c r="CR58" s="2" t="s">
        <v>105</v>
      </c>
      <c r="CS58" s="2">
        <v>2020</v>
      </c>
      <c r="CT58" s="2" t="s">
        <v>26</v>
      </c>
      <c r="CU58" s="2" t="s">
        <v>27</v>
      </c>
      <c r="CV58" s="2" t="s">
        <v>332</v>
      </c>
      <c r="CW58" s="2" t="s">
        <v>333</v>
      </c>
      <c r="CX58" s="2" t="s">
        <v>24</v>
      </c>
      <c r="CY58" s="2" t="s">
        <v>229</v>
      </c>
      <c r="CZ58" s="2">
        <v>86</v>
      </c>
      <c r="DA58" s="2" t="s">
        <v>105</v>
      </c>
      <c r="DB58" s="2">
        <v>2018</v>
      </c>
      <c r="DC58" s="2" t="s">
        <v>30</v>
      </c>
      <c r="DD58" s="2" t="s">
        <v>27</v>
      </c>
      <c r="DE58" s="2" t="s">
        <v>1656</v>
      </c>
      <c r="DF58" s="2" t="s">
        <v>358</v>
      </c>
      <c r="DG58" s="2" t="s">
        <v>24</v>
      </c>
      <c r="DH58" s="2" t="s">
        <v>229</v>
      </c>
      <c r="DI58" s="2">
        <v>106</v>
      </c>
      <c r="DJ58" s="2" t="s">
        <v>105</v>
      </c>
      <c r="DK58" s="2">
        <v>2021</v>
      </c>
      <c r="DL58" s="2" t="s">
        <v>30</v>
      </c>
      <c r="DM58" s="2" t="s">
        <v>27</v>
      </c>
      <c r="DN58" s="2" t="s">
        <v>1657</v>
      </c>
      <c r="DO58" s="2" t="s">
        <v>336</v>
      </c>
      <c r="DP58" s="2" t="s">
        <v>337</v>
      </c>
      <c r="DQ58" s="2" t="s">
        <v>338</v>
      </c>
      <c r="DR58" s="2" t="s">
        <v>508</v>
      </c>
      <c r="DS58" s="2">
        <v>1</v>
      </c>
      <c r="DT58" s="2" t="s">
        <v>1658</v>
      </c>
      <c r="DU58" s="2" t="s">
        <v>38</v>
      </c>
      <c r="DV58" s="2" t="s">
        <v>39</v>
      </c>
      <c r="DW58" s="2">
        <v>32405</v>
      </c>
      <c r="DX58" s="2" t="s">
        <v>340</v>
      </c>
      <c r="DY58" s="2"/>
      <c r="DZ58" s="2" t="s">
        <v>341</v>
      </c>
      <c r="EA58" s="2" t="s">
        <v>36</v>
      </c>
      <c r="EB58" s="2" t="s">
        <v>329</v>
      </c>
      <c r="EC58" s="2" t="s">
        <v>330</v>
      </c>
      <c r="ED58" s="2" t="s">
        <v>44</v>
      </c>
      <c r="EE58" s="2">
        <v>90</v>
      </c>
      <c r="EF58" s="2" t="s">
        <v>106</v>
      </c>
      <c r="EG58" s="2">
        <v>3</v>
      </c>
      <c r="EH58" s="2" t="s">
        <v>46</v>
      </c>
      <c r="EI58" s="2" t="s">
        <v>47</v>
      </c>
      <c r="EJ58" s="2" t="s">
        <v>332</v>
      </c>
      <c r="EK58" s="2" t="s">
        <v>333</v>
      </c>
      <c r="EL58" s="2" t="s">
        <v>44</v>
      </c>
      <c r="EM58" s="2">
        <v>86</v>
      </c>
      <c r="EN58" s="2" t="s">
        <v>106</v>
      </c>
      <c r="EO58" s="2">
        <v>4</v>
      </c>
      <c r="EP58" s="2" t="s">
        <v>46</v>
      </c>
      <c r="EQ58" s="2" t="s">
        <v>47</v>
      </c>
      <c r="ER58" s="2" t="s">
        <v>343</v>
      </c>
      <c r="ES58" s="2"/>
      <c r="ET58" s="2" t="s">
        <v>344</v>
      </c>
      <c r="EU58" s="2" t="s">
        <v>345</v>
      </c>
      <c r="EV58" s="2" t="s">
        <v>352</v>
      </c>
      <c r="EW58" s="2" t="s">
        <v>347</v>
      </c>
      <c r="EX58" s="2" t="s">
        <v>39</v>
      </c>
      <c r="EY58" s="2">
        <v>33309</v>
      </c>
      <c r="EZ58" s="2" t="s">
        <v>348</v>
      </c>
      <c r="FA58" s="2"/>
      <c r="FB58" s="2" t="s">
        <v>1659</v>
      </c>
      <c r="FC58" s="2" t="s">
        <v>350</v>
      </c>
      <c r="FD58" s="2" t="s">
        <v>1660</v>
      </c>
      <c r="FE58" s="2" t="s">
        <v>351</v>
      </c>
      <c r="FF58" s="2" t="s">
        <v>345</v>
      </c>
      <c r="FG58" s="2" t="s">
        <v>352</v>
      </c>
      <c r="FH58" s="2" t="s">
        <v>347</v>
      </c>
      <c r="FI58" s="2" t="s">
        <v>39</v>
      </c>
      <c r="FJ58" s="2">
        <v>33309</v>
      </c>
      <c r="FK58" s="2" t="s">
        <v>353</v>
      </c>
      <c r="FL58" s="2"/>
      <c r="FM58" s="2" t="s">
        <v>354</v>
      </c>
      <c r="FN58" s="2" t="s">
        <v>1661</v>
      </c>
      <c r="FO58" s="2" t="s">
        <v>63</v>
      </c>
      <c r="FP58" s="2" t="s">
        <v>64</v>
      </c>
      <c r="FQ58" s="2" t="s">
        <v>9</v>
      </c>
      <c r="FR58" s="2" t="s">
        <v>17</v>
      </c>
      <c r="FS58" s="2" t="s">
        <v>17</v>
      </c>
      <c r="FT58" s="2" t="s">
        <v>9</v>
      </c>
      <c r="FU58" s="2">
        <v>0</v>
      </c>
      <c r="FV58" s="2">
        <v>0</v>
      </c>
      <c r="FW58" s="4">
        <v>0</v>
      </c>
      <c r="FX58" s="4">
        <v>0</v>
      </c>
      <c r="FY58" s="2" t="s">
        <v>65</v>
      </c>
      <c r="FZ58" s="2" t="s">
        <v>66</v>
      </c>
      <c r="GA58" s="2" t="s">
        <v>67</v>
      </c>
      <c r="GB58" s="2"/>
      <c r="GC58" s="2"/>
      <c r="GD58" s="2"/>
      <c r="GE58" s="2" t="s">
        <v>1612</v>
      </c>
      <c r="GF58" s="2"/>
      <c r="GG58" s="2"/>
      <c r="GH58" s="2"/>
      <c r="GI58" s="2"/>
      <c r="GJ58" s="2">
        <v>70</v>
      </c>
      <c r="GK58" s="2"/>
      <c r="GL58" s="2"/>
      <c r="GM58" s="2"/>
      <c r="GN58" s="2"/>
      <c r="GO58" s="2"/>
      <c r="GP58" s="2"/>
      <c r="GQ58" s="2">
        <v>70</v>
      </c>
      <c r="GR58" s="2" t="s">
        <v>109</v>
      </c>
      <c r="GS58" s="2" t="s">
        <v>70</v>
      </c>
      <c r="GT58" s="2" t="s">
        <v>1662</v>
      </c>
      <c r="GU58" s="2" t="s">
        <v>111</v>
      </c>
      <c r="GV58" s="2" t="s">
        <v>17</v>
      </c>
      <c r="GW58" s="2">
        <v>28.2563037</v>
      </c>
      <c r="GX58" s="2">
        <v>-81.481339899999995</v>
      </c>
      <c r="GY58" s="2"/>
      <c r="GZ58" s="2" t="s">
        <v>17</v>
      </c>
      <c r="HA58" s="2" t="s">
        <v>17</v>
      </c>
      <c r="HB58" s="2">
        <v>0</v>
      </c>
      <c r="HC58" s="2" t="s">
        <v>17</v>
      </c>
      <c r="HD58" s="2" t="s">
        <v>17</v>
      </c>
      <c r="HE58" s="2">
        <v>0</v>
      </c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>
        <v>28.258904000000001</v>
      </c>
      <c r="HU58" s="2">
        <v>-81.484347999999997</v>
      </c>
      <c r="HV58" s="2">
        <v>0.25</v>
      </c>
      <c r="HW58" s="2">
        <v>6</v>
      </c>
      <c r="HX58" s="2" t="s">
        <v>73</v>
      </c>
      <c r="HY58" s="2" t="s">
        <v>9</v>
      </c>
      <c r="HZ58" s="2" t="s">
        <v>1039</v>
      </c>
      <c r="IA58" s="2"/>
      <c r="IB58" s="2"/>
      <c r="IC58" s="2"/>
      <c r="ID58" s="2"/>
      <c r="IE58" s="2" t="s">
        <v>1042</v>
      </c>
      <c r="IF58" s="2">
        <v>0.15</v>
      </c>
      <c r="IG58" s="2">
        <v>4</v>
      </c>
      <c r="IH58" s="2"/>
      <c r="II58" s="2"/>
      <c r="IJ58" s="2"/>
      <c r="IK58" s="2" t="s">
        <v>1043</v>
      </c>
      <c r="IL58" s="2" t="s">
        <v>1044</v>
      </c>
      <c r="IM58" s="2">
        <v>1.37</v>
      </c>
      <c r="IN58" s="2">
        <v>2</v>
      </c>
      <c r="IO58" s="2" t="s">
        <v>9</v>
      </c>
      <c r="IP58" s="2">
        <v>6</v>
      </c>
      <c r="IQ58" s="2">
        <v>6</v>
      </c>
      <c r="IR58" s="2">
        <v>0</v>
      </c>
      <c r="IS58" s="2">
        <v>12</v>
      </c>
      <c r="IT58" s="2" t="s">
        <v>17</v>
      </c>
      <c r="IU58" s="2" t="s">
        <v>9</v>
      </c>
      <c r="IV58" s="2" t="s">
        <v>17</v>
      </c>
      <c r="IW58" s="2" t="s">
        <v>9</v>
      </c>
      <c r="IX58" s="2" t="s">
        <v>9</v>
      </c>
      <c r="IY58" s="2">
        <v>12</v>
      </c>
      <c r="IZ58" s="2">
        <v>70</v>
      </c>
      <c r="JA58" s="2" t="s">
        <v>172</v>
      </c>
      <c r="JB58" s="2" t="s">
        <v>82</v>
      </c>
      <c r="JC58" s="2"/>
      <c r="JD58" s="2"/>
      <c r="JE58" s="2"/>
      <c r="JF58" s="2"/>
      <c r="JG58" s="2"/>
      <c r="JH58" s="7">
        <v>0</v>
      </c>
      <c r="JI58" s="2">
        <v>0</v>
      </c>
      <c r="JJ58" s="7">
        <v>0</v>
      </c>
      <c r="JK58" s="2">
        <v>0</v>
      </c>
      <c r="JL58" s="7">
        <v>0</v>
      </c>
      <c r="JM58" s="2">
        <v>11</v>
      </c>
      <c r="JN58" s="2"/>
      <c r="JO58" s="2"/>
      <c r="JP58" s="2">
        <v>26</v>
      </c>
      <c r="JQ58" s="2">
        <v>33</v>
      </c>
      <c r="JR58" s="2"/>
      <c r="JS58" s="2">
        <v>0</v>
      </c>
      <c r="JT58" s="2">
        <v>0</v>
      </c>
      <c r="JU58" s="2"/>
      <c r="JV58" s="2">
        <v>70</v>
      </c>
      <c r="JW58" s="4">
        <v>1</v>
      </c>
      <c r="JX58" s="2">
        <v>70</v>
      </c>
      <c r="JY58" s="4">
        <v>0.6</v>
      </c>
      <c r="JZ58" s="2">
        <v>0</v>
      </c>
      <c r="KA58" s="2"/>
      <c r="KB58" s="2"/>
      <c r="KC58" s="2"/>
      <c r="KD58" s="2"/>
      <c r="KE58" s="2"/>
      <c r="KF58" s="2"/>
      <c r="KG58" s="2"/>
      <c r="KH58" s="2">
        <v>70</v>
      </c>
      <c r="KI58" s="2"/>
      <c r="KJ58" s="2"/>
      <c r="KK58" s="2"/>
      <c r="KL58" s="2"/>
      <c r="KM58" s="2"/>
      <c r="KN58" s="2"/>
      <c r="KO58" s="2"/>
      <c r="KP58" s="2"/>
      <c r="KQ58" s="2" t="s">
        <v>83</v>
      </c>
      <c r="KR58" s="2"/>
      <c r="KS58" s="2" t="s">
        <v>73</v>
      </c>
      <c r="KT58" s="2">
        <v>1</v>
      </c>
      <c r="KU58" s="2" t="s">
        <v>84</v>
      </c>
      <c r="KV58" s="2" t="s">
        <v>85</v>
      </c>
      <c r="KW58" s="2" t="s">
        <v>86</v>
      </c>
      <c r="KX58" s="2" t="s">
        <v>17</v>
      </c>
      <c r="KY58" s="2" t="s">
        <v>17</v>
      </c>
      <c r="KZ58" s="2" t="s">
        <v>17</v>
      </c>
      <c r="LA58" s="2" t="s">
        <v>17</v>
      </c>
      <c r="LB58" s="2" t="s">
        <v>17</v>
      </c>
      <c r="LC58" s="2" t="s">
        <v>17</v>
      </c>
      <c r="LD58" s="2" t="s">
        <v>17</v>
      </c>
      <c r="LE58" s="2" t="s">
        <v>17</v>
      </c>
      <c r="LF58" s="2" t="s">
        <v>17</v>
      </c>
      <c r="LG58" s="2" t="s">
        <v>17</v>
      </c>
      <c r="LH58" s="2" t="s">
        <v>17</v>
      </c>
      <c r="LI58" s="2" t="s">
        <v>17</v>
      </c>
      <c r="LJ58" s="2" t="s">
        <v>87</v>
      </c>
      <c r="LK58" s="2" t="s">
        <v>17</v>
      </c>
      <c r="LL58" s="2" t="s">
        <v>17</v>
      </c>
      <c r="LM58" s="2">
        <v>0</v>
      </c>
      <c r="LN58" s="2" t="s">
        <v>17</v>
      </c>
      <c r="LO58" s="2" t="s">
        <v>17</v>
      </c>
      <c r="LP58" s="2" t="s">
        <v>17</v>
      </c>
      <c r="LQ58" s="2" t="s">
        <v>17</v>
      </c>
      <c r="LR58" s="2" t="s">
        <v>17</v>
      </c>
      <c r="LS58" s="2" t="s">
        <v>17</v>
      </c>
      <c r="LT58" s="2" t="s">
        <v>9</v>
      </c>
      <c r="LU58" s="2" t="s">
        <v>9</v>
      </c>
      <c r="LV58" s="2" t="s">
        <v>9</v>
      </c>
      <c r="LW58" s="2" t="s">
        <v>17</v>
      </c>
      <c r="LX58" s="2" t="s">
        <v>17</v>
      </c>
      <c r="LY58" s="5">
        <v>5600000</v>
      </c>
      <c r="LZ58" s="5">
        <v>0</v>
      </c>
      <c r="MA58" s="5">
        <v>7000000</v>
      </c>
      <c r="MB58" s="5">
        <v>0</v>
      </c>
      <c r="MC58" s="5">
        <v>0</v>
      </c>
      <c r="MD58" s="5">
        <v>0</v>
      </c>
      <c r="ME58" s="5">
        <v>7350000</v>
      </c>
      <c r="MF58" s="5">
        <v>0</v>
      </c>
      <c r="MG58" s="5">
        <v>0</v>
      </c>
      <c r="MH58" s="5">
        <v>0</v>
      </c>
      <c r="MI58" s="5">
        <v>0</v>
      </c>
      <c r="MJ58" s="5">
        <v>0</v>
      </c>
      <c r="MK58" s="5">
        <v>0</v>
      </c>
      <c r="ML58" s="2">
        <v>0</v>
      </c>
      <c r="MM58" s="5">
        <v>0</v>
      </c>
      <c r="MN58" s="5">
        <v>0</v>
      </c>
      <c r="MO58" s="2">
        <v>0</v>
      </c>
      <c r="MP58" s="2">
        <v>0</v>
      </c>
      <c r="MQ58" s="2">
        <v>0</v>
      </c>
      <c r="MR58" s="5">
        <v>2950000</v>
      </c>
      <c r="MS58" s="5">
        <v>0</v>
      </c>
      <c r="MT58" s="5">
        <v>4600000</v>
      </c>
      <c r="MU58" s="5">
        <v>0</v>
      </c>
      <c r="MV58" s="5">
        <v>0</v>
      </c>
      <c r="MW58" s="5">
        <v>0</v>
      </c>
      <c r="MX58" s="5">
        <v>0</v>
      </c>
      <c r="MY58" s="5">
        <v>2500000</v>
      </c>
      <c r="MZ58" s="5">
        <v>0</v>
      </c>
      <c r="NA58" s="5">
        <v>5000000</v>
      </c>
      <c r="NB58" s="5">
        <v>0</v>
      </c>
      <c r="NC58" s="5">
        <v>0</v>
      </c>
      <c r="ND58" s="5">
        <v>0</v>
      </c>
      <c r="NE58" s="5">
        <v>0</v>
      </c>
      <c r="NF58" s="5">
        <v>0</v>
      </c>
      <c r="NG58" s="5">
        <v>2142000</v>
      </c>
      <c r="NH58" s="5">
        <v>2135200</v>
      </c>
      <c r="NI58" s="5">
        <v>2135200</v>
      </c>
      <c r="NJ58" s="5">
        <v>0</v>
      </c>
      <c r="NK58" s="5"/>
      <c r="NL58" s="2" t="s">
        <v>17</v>
      </c>
      <c r="NM58" s="2" t="s">
        <v>9</v>
      </c>
      <c r="NN58" s="2" t="s">
        <v>1663</v>
      </c>
      <c r="NO58" s="2" t="s">
        <v>9</v>
      </c>
      <c r="NP58" s="2">
        <v>34758</v>
      </c>
      <c r="NQ58" s="2" t="s">
        <v>117</v>
      </c>
      <c r="NR58" s="2" t="s">
        <v>17</v>
      </c>
      <c r="NS58" s="2"/>
      <c r="NT58" s="2" t="s">
        <v>17</v>
      </c>
      <c r="NU58" s="2"/>
      <c r="NV58" s="2"/>
      <c r="NW58" s="2"/>
      <c r="NX58" s="2" t="s">
        <v>9</v>
      </c>
      <c r="NY58" s="2" t="s">
        <v>119</v>
      </c>
      <c r="NZ58" s="2">
        <v>410.03</v>
      </c>
      <c r="OA58" s="2" t="s">
        <v>1045</v>
      </c>
      <c r="OB58" s="2" t="s">
        <v>1046</v>
      </c>
      <c r="OC58" s="2" t="s">
        <v>1046</v>
      </c>
      <c r="OD58" s="2" t="s">
        <v>17</v>
      </c>
      <c r="OE58" s="2" t="s">
        <v>119</v>
      </c>
      <c r="OF58" s="2" t="s">
        <v>17</v>
      </c>
      <c r="OG58" s="2" t="s">
        <v>17</v>
      </c>
      <c r="OH58" s="2"/>
      <c r="OI58" s="2"/>
      <c r="OJ58" s="2"/>
      <c r="OK58" s="2" t="s">
        <v>17</v>
      </c>
      <c r="OL58" s="2" t="s">
        <v>17</v>
      </c>
      <c r="OM58" s="2" t="s">
        <v>85</v>
      </c>
      <c r="ON58" s="6">
        <v>0</v>
      </c>
      <c r="OO58" s="6">
        <v>0</v>
      </c>
      <c r="OP58" s="2" t="s">
        <v>93</v>
      </c>
      <c r="OQ58" s="2" t="s">
        <v>93</v>
      </c>
      <c r="OR58" s="6">
        <v>0</v>
      </c>
      <c r="OS58" s="4">
        <v>0</v>
      </c>
      <c r="OT58" s="2" t="s">
        <v>17</v>
      </c>
      <c r="OU58" s="2" t="s">
        <v>17</v>
      </c>
      <c r="OV58" s="2"/>
      <c r="OW58" s="2"/>
      <c r="OX58" s="5">
        <v>16334280</v>
      </c>
      <c r="OY58" s="6">
        <v>233346.86</v>
      </c>
      <c r="OZ58" s="2"/>
      <c r="PA58" s="2"/>
      <c r="PB58" s="8">
        <v>11950421</v>
      </c>
      <c r="PC58" s="8">
        <v>209539</v>
      </c>
      <c r="PD58" s="8">
        <v>12159960</v>
      </c>
      <c r="PE58" s="2"/>
      <c r="PF58" s="8">
        <v>100000</v>
      </c>
      <c r="PG58" s="8">
        <v>100000</v>
      </c>
      <c r="PH58" s="8">
        <v>275000</v>
      </c>
      <c r="PI58" s="2"/>
      <c r="PJ58" s="8">
        <v>275000</v>
      </c>
      <c r="PK58" s="8">
        <v>12225421</v>
      </c>
      <c r="PL58" s="8">
        <v>309539</v>
      </c>
      <c r="PM58" s="8">
        <v>12534960</v>
      </c>
      <c r="PN58" s="8">
        <v>1709313</v>
      </c>
      <c r="PO58" s="2"/>
      <c r="PP58" s="8">
        <v>1709313</v>
      </c>
      <c r="PQ58" s="6">
        <v>1754894</v>
      </c>
      <c r="PR58" s="8">
        <v>13934734</v>
      </c>
      <c r="PS58" s="8">
        <v>309539</v>
      </c>
      <c r="PT58" s="8">
        <v>14244273</v>
      </c>
      <c r="PU58" s="8">
        <v>628617</v>
      </c>
      <c r="PV58" s="8">
        <v>69846</v>
      </c>
      <c r="PW58" s="8">
        <v>698463</v>
      </c>
      <c r="PX58" s="6">
        <v>712213.65</v>
      </c>
      <c r="PY58" s="8">
        <v>858738</v>
      </c>
      <c r="PZ58" s="8">
        <v>351738</v>
      </c>
      <c r="QA58" s="8">
        <v>1210476</v>
      </c>
      <c r="QB58" s="8">
        <v>205000</v>
      </c>
      <c r="QC58" s="2"/>
      <c r="QD58" s="8">
        <v>205000</v>
      </c>
      <c r="QE58" s="8">
        <v>617216</v>
      </c>
      <c r="QF58" s="8">
        <v>20000</v>
      </c>
      <c r="QG58" s="8">
        <v>637216</v>
      </c>
      <c r="QH58" s="2"/>
      <c r="QI58" s="8">
        <v>325568</v>
      </c>
      <c r="QJ58" s="8">
        <v>325568</v>
      </c>
      <c r="QK58" s="2"/>
      <c r="QL58" s="2"/>
      <c r="QM58" s="2"/>
      <c r="QN58" s="2"/>
      <c r="QO58" s="2"/>
      <c r="QP58" s="2"/>
      <c r="QQ58" s="8">
        <v>1680954</v>
      </c>
      <c r="QR58" s="8">
        <v>697306</v>
      </c>
      <c r="QS58" s="8">
        <v>2378260</v>
      </c>
      <c r="QT58" s="8">
        <v>52000</v>
      </c>
      <c r="QU58" s="8">
        <v>28000</v>
      </c>
      <c r="QV58" s="8">
        <v>80000</v>
      </c>
      <c r="QW58" s="6">
        <v>118913</v>
      </c>
      <c r="QX58" s="8">
        <v>668000</v>
      </c>
      <c r="QY58" s="8">
        <v>452000</v>
      </c>
      <c r="QZ58" s="8">
        <v>1120000</v>
      </c>
      <c r="RA58" s="8">
        <v>56000</v>
      </c>
      <c r="RB58" s="8">
        <v>56000</v>
      </c>
      <c r="RC58" s="2"/>
      <c r="RD58" s="2"/>
      <c r="RE58" s="2"/>
      <c r="RF58" s="8">
        <v>668000</v>
      </c>
      <c r="RG58" s="8">
        <v>508000</v>
      </c>
      <c r="RH58" s="8">
        <v>1176000</v>
      </c>
      <c r="RI58" s="2"/>
      <c r="RJ58" s="2"/>
      <c r="RK58" s="2"/>
      <c r="RL58" s="2"/>
      <c r="RM58" s="8">
        <v>16964305</v>
      </c>
      <c r="RN58" s="8">
        <v>1612691</v>
      </c>
      <c r="RO58" s="8">
        <v>18576996</v>
      </c>
      <c r="RP58" s="2"/>
      <c r="RQ58" s="2"/>
      <c r="RR58" s="2">
        <v>0</v>
      </c>
      <c r="RS58" s="6">
        <v>0</v>
      </c>
      <c r="RT58" s="8">
        <v>2970461</v>
      </c>
      <c r="RU58" s="2"/>
      <c r="RV58" s="8">
        <v>2970461</v>
      </c>
      <c r="RW58" s="6">
        <v>2972319</v>
      </c>
      <c r="RX58" s="6">
        <v>0</v>
      </c>
      <c r="RY58" s="8">
        <v>2970461</v>
      </c>
      <c r="RZ58" s="2"/>
      <c r="SA58" s="8">
        <v>2970461</v>
      </c>
      <c r="SB58" s="6">
        <v>2972319</v>
      </c>
      <c r="SC58" s="8">
        <v>231894</v>
      </c>
      <c r="SD58" s="8">
        <v>231894</v>
      </c>
      <c r="SE58" s="6">
        <v>245000</v>
      </c>
      <c r="SF58" s="8">
        <v>840000</v>
      </c>
      <c r="SG58" s="8">
        <v>840000</v>
      </c>
      <c r="SH58" s="8">
        <v>19934766</v>
      </c>
      <c r="SI58" s="8">
        <v>2684585</v>
      </c>
      <c r="SJ58" s="8">
        <v>22619351</v>
      </c>
      <c r="SK58" s="2" t="s">
        <v>229</v>
      </c>
      <c r="SL58" s="2" t="s">
        <v>1664</v>
      </c>
      <c r="SM58" s="2"/>
      <c r="SN58" s="2"/>
      <c r="SO58" s="2"/>
      <c r="SP58" s="8">
        <v>16000000</v>
      </c>
      <c r="SQ58" s="2" t="s">
        <v>95</v>
      </c>
      <c r="SR58" s="2"/>
      <c r="SS58" s="2"/>
      <c r="ST58" s="2"/>
      <c r="SU58" s="2"/>
      <c r="SV58" s="2"/>
      <c r="SW58" s="2"/>
      <c r="SX58" s="2" t="s">
        <v>96</v>
      </c>
      <c r="SY58" s="2" t="s">
        <v>96</v>
      </c>
      <c r="SZ58" s="2" t="s">
        <v>96</v>
      </c>
      <c r="TA58" s="2" t="s">
        <v>96</v>
      </c>
      <c r="TB58" s="8">
        <v>11272728</v>
      </c>
      <c r="TC58" s="2"/>
      <c r="TD58" s="2"/>
      <c r="TE58" s="2"/>
      <c r="TF58" s="2"/>
      <c r="TG58" s="2"/>
      <c r="TH58" s="2"/>
      <c r="TI58" s="2">
        <v>0</v>
      </c>
      <c r="TJ58" s="8">
        <v>27272728</v>
      </c>
      <c r="TK58" s="8">
        <v>4653377</v>
      </c>
      <c r="TL58" s="2" t="s">
        <v>9</v>
      </c>
      <c r="TM58" s="8">
        <v>2800000</v>
      </c>
      <c r="TN58" s="2" t="s">
        <v>95</v>
      </c>
      <c r="TO58" s="2"/>
      <c r="TP58" s="2"/>
      <c r="TQ58" s="2"/>
      <c r="TR58" s="2"/>
      <c r="TS58" s="2"/>
      <c r="TT58" s="2"/>
      <c r="TU58" s="2" t="s">
        <v>96</v>
      </c>
      <c r="TV58" s="8">
        <v>18787879.940000001</v>
      </c>
      <c r="TW58" s="2"/>
      <c r="TX58" s="2"/>
      <c r="TY58" s="2"/>
      <c r="TZ58" s="2"/>
      <c r="UA58" s="2"/>
      <c r="UB58" s="2"/>
      <c r="UC58" s="8">
        <v>1031471.06</v>
      </c>
      <c r="UD58" s="8">
        <v>22619351</v>
      </c>
      <c r="UE58" s="6">
        <v>2800000</v>
      </c>
      <c r="UF58" s="2">
        <v>0</v>
      </c>
      <c r="UG58" s="2" t="s">
        <v>9</v>
      </c>
      <c r="UH58" s="2">
        <v>70</v>
      </c>
      <c r="UI58" s="5">
        <v>240000</v>
      </c>
      <c r="UJ58" s="6">
        <v>320000</v>
      </c>
      <c r="UK58" s="6">
        <v>320000</v>
      </c>
      <c r="UL58" s="6">
        <v>339200</v>
      </c>
      <c r="UM58" s="6">
        <v>23744000</v>
      </c>
      <c r="UN58" s="6">
        <v>3799040</v>
      </c>
      <c r="UO58" s="6">
        <v>3799040</v>
      </c>
      <c r="UP58" s="6">
        <v>27543040</v>
      </c>
      <c r="UQ58" s="6">
        <v>21547457</v>
      </c>
      <c r="UR58" s="2"/>
      <c r="US58" s="2"/>
      <c r="UT58" s="6">
        <v>0</v>
      </c>
      <c r="UU58" s="2"/>
      <c r="UV58" s="6">
        <v>0</v>
      </c>
      <c r="UW58" s="6">
        <v>0</v>
      </c>
      <c r="UX58" s="6">
        <v>0</v>
      </c>
      <c r="UY58" s="6">
        <v>0</v>
      </c>
      <c r="UZ58" s="2"/>
      <c r="VA58" s="2"/>
      <c r="VB58" s="2"/>
      <c r="VC58" s="2"/>
      <c r="VD58" s="2" t="s">
        <v>17</v>
      </c>
      <c r="VE58" s="2" t="s">
        <v>17</v>
      </c>
      <c r="VF58" s="2"/>
      <c r="VG58" s="2" t="s">
        <v>17</v>
      </c>
      <c r="VH58" s="2"/>
      <c r="VI58" s="388" t="s">
        <v>328</v>
      </c>
      <c r="VJ58" s="2" t="s">
        <v>98</v>
      </c>
      <c r="VK58" s="2" t="s">
        <v>366</v>
      </c>
      <c r="VL58" s="23">
        <f t="shared" si="21"/>
        <v>70</v>
      </c>
      <c r="VM58" s="17">
        <f t="shared" si="22"/>
        <v>1</v>
      </c>
      <c r="VN58" s="17" t="str">
        <f t="shared" si="12"/>
        <v>NC-MR-E</v>
      </c>
      <c r="VO58" s="17" t="str">
        <f t="shared" si="13"/>
        <v>NC-MR-E-Non</v>
      </c>
      <c r="VP58" s="12">
        <v>9</v>
      </c>
      <c r="VQ58" s="57">
        <v>1</v>
      </c>
      <c r="VR58" s="57">
        <f t="shared" si="23"/>
        <v>1</v>
      </c>
      <c r="VS58" s="14">
        <f t="shared" si="24"/>
        <v>1</v>
      </c>
      <c r="VT58" s="12">
        <f t="shared" si="25"/>
        <v>0.96999999999999986</v>
      </c>
      <c r="VU58" s="16">
        <f t="shared" si="26"/>
        <v>18640295.999999996</v>
      </c>
      <c r="VV58" s="16">
        <f t="shared" si="27"/>
        <v>266289.94285714283</v>
      </c>
      <c r="VW58" s="12" t="str">
        <f t="shared" si="14"/>
        <v>B</v>
      </c>
      <c r="VX58" s="12" t="str">
        <f t="shared" si="15"/>
        <v>NC-MR-Non</v>
      </c>
      <c r="VY58" s="351">
        <f t="shared" si="16"/>
        <v>5</v>
      </c>
      <c r="WA58" s="12">
        <f t="shared" si="17"/>
        <v>1</v>
      </c>
      <c r="WB58" s="12">
        <f t="shared" si="18"/>
        <v>0</v>
      </c>
      <c r="WC58" s="12">
        <f t="shared" si="18"/>
        <v>0</v>
      </c>
      <c r="WD58" s="12">
        <f t="shared" si="18"/>
        <v>0</v>
      </c>
      <c r="WE58" s="12">
        <f t="shared" si="19"/>
        <v>0</v>
      </c>
      <c r="WF58" s="12">
        <f t="shared" si="28"/>
        <v>0</v>
      </c>
      <c r="WG58" s="12">
        <f t="shared" si="29"/>
        <v>1</v>
      </c>
      <c r="WH58" s="12">
        <f t="shared" si="30"/>
        <v>0</v>
      </c>
      <c r="WI58" s="22">
        <f t="shared" si="31"/>
        <v>2</v>
      </c>
      <c r="WJ58" s="2"/>
      <c r="WK58" s="445" t="str">
        <f t="shared" si="20"/>
        <v>NC-MR-Non-BBN-BRN-NPH-E</v>
      </c>
      <c r="WL58" s="445"/>
      <c r="WM58" s="445"/>
    </row>
    <row r="59" spans="1:611" x14ac:dyDescent="0.25">
      <c r="A59" s="2">
        <v>9562</v>
      </c>
      <c r="B59" s="2" t="s">
        <v>1878</v>
      </c>
      <c r="C59" s="2" t="s">
        <v>8</v>
      </c>
      <c r="D59" s="3">
        <v>45153</v>
      </c>
      <c r="E59" s="2" t="s">
        <v>9</v>
      </c>
      <c r="F59" s="2">
        <v>3</v>
      </c>
      <c r="G59" s="2" t="s">
        <v>9</v>
      </c>
      <c r="H59" s="2">
        <v>3</v>
      </c>
      <c r="I59" s="2" t="s">
        <v>9</v>
      </c>
      <c r="J59" s="2">
        <v>2</v>
      </c>
      <c r="K59" s="2" t="s">
        <v>9</v>
      </c>
      <c r="L59" s="2">
        <v>3</v>
      </c>
      <c r="M59" s="2" t="s">
        <v>10</v>
      </c>
      <c r="N59" s="2">
        <v>0</v>
      </c>
      <c r="O59" s="2" t="s">
        <v>10</v>
      </c>
      <c r="P59" s="2">
        <v>0</v>
      </c>
      <c r="Q59" s="2" t="s">
        <v>11</v>
      </c>
      <c r="R59" s="2">
        <v>0</v>
      </c>
      <c r="S59" s="2" t="s">
        <v>9</v>
      </c>
      <c r="T59" s="2">
        <v>2</v>
      </c>
      <c r="U59" s="2" t="s">
        <v>9</v>
      </c>
      <c r="V59" s="2">
        <v>2</v>
      </c>
      <c r="W59" s="2" t="s">
        <v>9</v>
      </c>
      <c r="X59" s="2">
        <v>2</v>
      </c>
      <c r="Y59" s="2" t="s">
        <v>12</v>
      </c>
      <c r="Z59" s="2" t="s">
        <v>15</v>
      </c>
      <c r="AA59" s="2" t="s">
        <v>15</v>
      </c>
      <c r="AB59" s="2" t="s">
        <v>15</v>
      </c>
      <c r="AC59" s="2" t="s">
        <v>15</v>
      </c>
      <c r="AD59" s="2" t="s">
        <v>15</v>
      </c>
      <c r="AE59" s="2" t="s">
        <v>15</v>
      </c>
      <c r="AF59" s="2">
        <v>0</v>
      </c>
      <c r="AG59" s="2" t="s">
        <v>234</v>
      </c>
      <c r="AH59" s="2" t="s">
        <v>17</v>
      </c>
      <c r="AI59" s="4">
        <v>0.15789</v>
      </c>
      <c r="AJ59" s="2" t="s">
        <v>17</v>
      </c>
      <c r="AK59" s="2" t="s">
        <v>9</v>
      </c>
      <c r="AL59" s="2" t="s">
        <v>17</v>
      </c>
      <c r="AM59" s="2" t="s">
        <v>17</v>
      </c>
      <c r="AN59" s="2" t="s">
        <v>17</v>
      </c>
      <c r="AO59" s="2" t="s">
        <v>9</v>
      </c>
      <c r="AP59" s="2" t="s">
        <v>17</v>
      </c>
      <c r="AQ59" s="2" t="s">
        <v>17</v>
      </c>
      <c r="AR59" s="2" t="s">
        <v>17</v>
      </c>
      <c r="AS59" s="2" t="s">
        <v>17</v>
      </c>
      <c r="AT59" s="2">
        <v>0</v>
      </c>
      <c r="AU59" s="5">
        <v>50000</v>
      </c>
      <c r="AV59" s="5">
        <v>460000</v>
      </c>
      <c r="AW59" s="2">
        <v>0</v>
      </c>
      <c r="AX59" s="2">
        <v>5</v>
      </c>
      <c r="AY59" s="2">
        <v>0</v>
      </c>
      <c r="AZ59" s="2">
        <v>18</v>
      </c>
      <c r="BA59" s="2">
        <v>0</v>
      </c>
      <c r="BB59" s="2">
        <v>1</v>
      </c>
      <c r="BC59" s="2">
        <v>0</v>
      </c>
      <c r="BD59" s="2">
        <v>0</v>
      </c>
      <c r="BE59" s="2">
        <v>0</v>
      </c>
      <c r="BF59" s="2">
        <v>1</v>
      </c>
      <c r="BG59" s="2">
        <v>0</v>
      </c>
      <c r="BH59" s="2">
        <v>0</v>
      </c>
      <c r="BI59" s="2">
        <v>13</v>
      </c>
      <c r="BJ59" s="2">
        <v>1</v>
      </c>
      <c r="BK59" s="2">
        <v>0</v>
      </c>
      <c r="BL59" s="2">
        <v>2</v>
      </c>
      <c r="BM59" s="2">
        <v>2</v>
      </c>
      <c r="BN59" s="2">
        <v>13</v>
      </c>
      <c r="BO59" s="2">
        <v>11</v>
      </c>
      <c r="BP59" s="2">
        <v>0</v>
      </c>
      <c r="BQ59" s="2">
        <v>10</v>
      </c>
      <c r="BR59" s="2">
        <v>11.61</v>
      </c>
      <c r="BS59" s="2">
        <v>0</v>
      </c>
      <c r="BT59" s="4">
        <v>0.06</v>
      </c>
      <c r="BU59" s="2" t="s">
        <v>9</v>
      </c>
      <c r="BV59" s="6">
        <v>233365.26</v>
      </c>
      <c r="BW59" s="2" t="s">
        <v>126</v>
      </c>
      <c r="BX59" s="2" t="s">
        <v>17</v>
      </c>
      <c r="BY59" s="2" t="s">
        <v>17</v>
      </c>
      <c r="BZ59" s="2" t="s">
        <v>17</v>
      </c>
      <c r="CA59" s="2" t="s">
        <v>17</v>
      </c>
      <c r="CB59" s="2" t="s">
        <v>17</v>
      </c>
      <c r="CC59" s="2" t="s">
        <v>17</v>
      </c>
      <c r="CD59" s="2" t="s">
        <v>17</v>
      </c>
      <c r="CE59" s="2" t="s">
        <v>1879</v>
      </c>
      <c r="CF59" s="2" t="s">
        <v>9</v>
      </c>
      <c r="CG59" s="2" t="s">
        <v>1880</v>
      </c>
      <c r="CH59" s="2" t="s">
        <v>1881</v>
      </c>
      <c r="CI59" s="2"/>
      <c r="CJ59" s="2" t="s">
        <v>9</v>
      </c>
      <c r="CK59" s="2" t="s">
        <v>328</v>
      </c>
      <c r="CL59" s="2" t="s">
        <v>1881</v>
      </c>
      <c r="CM59" s="2" t="s">
        <v>329</v>
      </c>
      <c r="CN59" s="2" t="s">
        <v>330</v>
      </c>
      <c r="CO59" s="2" t="s">
        <v>24</v>
      </c>
      <c r="CP59" s="2" t="s">
        <v>229</v>
      </c>
      <c r="CQ59" s="2">
        <v>90</v>
      </c>
      <c r="CR59" s="2" t="s">
        <v>331</v>
      </c>
      <c r="CS59" s="2">
        <v>2020</v>
      </c>
      <c r="CT59" s="2" t="s">
        <v>26</v>
      </c>
      <c r="CU59" s="2" t="s">
        <v>27</v>
      </c>
      <c r="CV59" s="2" t="s">
        <v>332</v>
      </c>
      <c r="CW59" s="2" t="s">
        <v>333</v>
      </c>
      <c r="CX59" s="2" t="s">
        <v>24</v>
      </c>
      <c r="CY59" s="2" t="s">
        <v>229</v>
      </c>
      <c r="CZ59" s="2">
        <v>86</v>
      </c>
      <c r="DA59" s="2" t="s">
        <v>331</v>
      </c>
      <c r="DB59" s="2">
        <v>2018</v>
      </c>
      <c r="DC59" s="2" t="s">
        <v>30</v>
      </c>
      <c r="DD59" s="2" t="s">
        <v>27</v>
      </c>
      <c r="DE59" s="2" t="s">
        <v>1656</v>
      </c>
      <c r="DF59" s="2" t="s">
        <v>358</v>
      </c>
      <c r="DG59" s="2" t="s">
        <v>24</v>
      </c>
      <c r="DH59" s="2" t="s">
        <v>229</v>
      </c>
      <c r="DI59" s="2">
        <v>106</v>
      </c>
      <c r="DJ59" s="2" t="s">
        <v>331</v>
      </c>
      <c r="DK59" s="2">
        <v>2021</v>
      </c>
      <c r="DL59" s="2" t="s">
        <v>30</v>
      </c>
      <c r="DM59" s="2" t="s">
        <v>27</v>
      </c>
      <c r="DN59" s="2" t="s">
        <v>33</v>
      </c>
      <c r="DO59" s="2" t="s">
        <v>1882</v>
      </c>
      <c r="DP59" s="2" t="s">
        <v>337</v>
      </c>
      <c r="DQ59" s="2" t="s">
        <v>338</v>
      </c>
      <c r="DR59" s="2" t="s">
        <v>508</v>
      </c>
      <c r="DS59" s="2">
        <v>1</v>
      </c>
      <c r="DT59" s="2" t="s">
        <v>1658</v>
      </c>
      <c r="DU59" s="2" t="s">
        <v>38</v>
      </c>
      <c r="DV59" s="2" t="s">
        <v>39</v>
      </c>
      <c r="DW59" s="2">
        <v>32405</v>
      </c>
      <c r="DX59" s="2" t="s">
        <v>340</v>
      </c>
      <c r="DY59" s="2"/>
      <c r="DZ59" s="2" t="s">
        <v>341</v>
      </c>
      <c r="EA59" s="2" t="s">
        <v>508</v>
      </c>
      <c r="EB59" s="2" t="s">
        <v>329</v>
      </c>
      <c r="EC59" s="2" t="s">
        <v>330</v>
      </c>
      <c r="ED59" s="2" t="s">
        <v>44</v>
      </c>
      <c r="EE59" s="2">
        <v>90</v>
      </c>
      <c r="EF59" s="2" t="s">
        <v>342</v>
      </c>
      <c r="EG59" s="2">
        <v>3</v>
      </c>
      <c r="EH59" s="2" t="s">
        <v>46</v>
      </c>
      <c r="EI59" s="2" t="s">
        <v>47</v>
      </c>
      <c r="EJ59" s="2" t="s">
        <v>332</v>
      </c>
      <c r="EK59" s="2" t="s">
        <v>333</v>
      </c>
      <c r="EL59" s="2" t="s">
        <v>44</v>
      </c>
      <c r="EM59" s="2">
        <v>86</v>
      </c>
      <c r="EN59" s="2" t="s">
        <v>342</v>
      </c>
      <c r="EO59" s="2">
        <v>4</v>
      </c>
      <c r="EP59" s="2" t="s">
        <v>46</v>
      </c>
      <c r="EQ59" s="2" t="s">
        <v>47</v>
      </c>
      <c r="ER59" s="2" t="s">
        <v>1883</v>
      </c>
      <c r="ES59" s="2" t="s">
        <v>400</v>
      </c>
      <c r="ET59" s="2" t="s">
        <v>1884</v>
      </c>
      <c r="EU59" s="2" t="s">
        <v>1885</v>
      </c>
      <c r="EV59" s="2" t="s">
        <v>1886</v>
      </c>
      <c r="EW59" s="2" t="s">
        <v>1887</v>
      </c>
      <c r="EX59" s="2" t="s">
        <v>39</v>
      </c>
      <c r="EY59" s="2">
        <v>33844</v>
      </c>
      <c r="EZ59" s="2" t="s">
        <v>1888</v>
      </c>
      <c r="FA59" s="2"/>
      <c r="FB59" s="2" t="s">
        <v>1889</v>
      </c>
      <c r="FC59" s="2" t="s">
        <v>343</v>
      </c>
      <c r="FD59" s="2"/>
      <c r="FE59" s="2" t="s">
        <v>344</v>
      </c>
      <c r="FF59" s="2" t="s">
        <v>345</v>
      </c>
      <c r="FG59" s="2" t="s">
        <v>352</v>
      </c>
      <c r="FH59" s="2" t="s">
        <v>347</v>
      </c>
      <c r="FI59" s="2" t="s">
        <v>39</v>
      </c>
      <c r="FJ59" s="2">
        <v>33309</v>
      </c>
      <c r="FK59" s="2" t="s">
        <v>348</v>
      </c>
      <c r="FL59" s="2"/>
      <c r="FM59" s="2" t="s">
        <v>349</v>
      </c>
      <c r="FN59" s="2" t="s">
        <v>1890</v>
      </c>
      <c r="FO59" s="2" t="s">
        <v>63</v>
      </c>
      <c r="FP59" s="2" t="s">
        <v>64</v>
      </c>
      <c r="FQ59" s="2" t="s">
        <v>9</v>
      </c>
      <c r="FR59" s="2" t="s">
        <v>17</v>
      </c>
      <c r="FS59" s="2" t="s">
        <v>17</v>
      </c>
      <c r="FT59" s="2" t="s">
        <v>9</v>
      </c>
      <c r="FU59" s="2">
        <v>0</v>
      </c>
      <c r="FV59" s="2">
        <v>0</v>
      </c>
      <c r="FW59" s="4">
        <v>0</v>
      </c>
      <c r="FX59" s="4">
        <v>0</v>
      </c>
      <c r="FY59" s="2" t="s">
        <v>65</v>
      </c>
      <c r="FZ59" s="2" t="s">
        <v>66</v>
      </c>
      <c r="GA59" s="2" t="s">
        <v>67</v>
      </c>
      <c r="GB59" s="2"/>
      <c r="GC59" s="2"/>
      <c r="GD59" s="2"/>
      <c r="GE59" s="2" t="s">
        <v>68</v>
      </c>
      <c r="GF59" s="2"/>
      <c r="GG59" s="2"/>
      <c r="GH59" s="2">
        <v>76</v>
      </c>
      <c r="GI59" s="2"/>
      <c r="GJ59" s="2"/>
      <c r="GK59" s="2"/>
      <c r="GL59" s="2"/>
      <c r="GM59" s="2"/>
      <c r="GN59" s="2"/>
      <c r="GO59" s="2"/>
      <c r="GP59" s="2"/>
      <c r="GQ59" s="2">
        <v>76</v>
      </c>
      <c r="GR59" s="2" t="s">
        <v>1065</v>
      </c>
      <c r="GS59" s="2" t="s">
        <v>70</v>
      </c>
      <c r="GT59" s="2" t="s">
        <v>1891</v>
      </c>
      <c r="GU59" s="2" t="s">
        <v>1887</v>
      </c>
      <c r="GV59" s="2" t="s">
        <v>17</v>
      </c>
      <c r="GW59" s="2">
        <v>28.131328</v>
      </c>
      <c r="GX59" s="2">
        <v>-81.622260999999995</v>
      </c>
      <c r="GY59" s="2"/>
      <c r="GZ59" s="2" t="s">
        <v>17</v>
      </c>
      <c r="HA59" s="2" t="s">
        <v>17</v>
      </c>
      <c r="HB59" s="2">
        <v>0</v>
      </c>
      <c r="HC59" s="2" t="s">
        <v>17</v>
      </c>
      <c r="HD59" s="2" t="s">
        <v>9</v>
      </c>
      <c r="HE59" s="2">
        <v>2</v>
      </c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 t="s">
        <v>73</v>
      </c>
      <c r="HY59" s="2" t="s">
        <v>17</v>
      </c>
      <c r="HZ59" s="2"/>
      <c r="IA59" s="2" t="s">
        <v>74</v>
      </c>
      <c r="IB59" s="2" t="s">
        <v>1892</v>
      </c>
      <c r="IC59" s="2">
        <v>1</v>
      </c>
      <c r="ID59" s="2">
        <v>2.5</v>
      </c>
      <c r="IE59" s="2" t="s">
        <v>1893</v>
      </c>
      <c r="IF59" s="2">
        <v>1.04</v>
      </c>
      <c r="IG59" s="2">
        <v>2</v>
      </c>
      <c r="IH59" s="2" t="s">
        <v>76</v>
      </c>
      <c r="II59" s="2">
        <v>1</v>
      </c>
      <c r="IJ59" s="2">
        <v>2.5</v>
      </c>
      <c r="IK59" s="2"/>
      <c r="IL59" s="2"/>
      <c r="IM59" s="2"/>
      <c r="IN59" s="2"/>
      <c r="IO59" s="2" t="s">
        <v>9</v>
      </c>
      <c r="IP59" s="2">
        <v>2</v>
      </c>
      <c r="IQ59" s="2">
        <v>7</v>
      </c>
      <c r="IR59" s="2">
        <v>0</v>
      </c>
      <c r="IS59" s="2">
        <v>9</v>
      </c>
      <c r="IT59" s="2" t="s">
        <v>9</v>
      </c>
      <c r="IU59" s="2" t="s">
        <v>17</v>
      </c>
      <c r="IV59" s="2" t="s">
        <v>17</v>
      </c>
      <c r="IW59" s="2" t="s">
        <v>9</v>
      </c>
      <c r="IX59" s="2" t="s">
        <v>9</v>
      </c>
      <c r="IY59" s="2">
        <v>9</v>
      </c>
      <c r="IZ59" s="2">
        <v>76</v>
      </c>
      <c r="JA59" s="2" t="s">
        <v>172</v>
      </c>
      <c r="JB59" s="2" t="s">
        <v>82</v>
      </c>
      <c r="JC59" s="2"/>
      <c r="JD59" s="2"/>
      <c r="JE59" s="2"/>
      <c r="JF59" s="2"/>
      <c r="JG59" s="2"/>
      <c r="JH59" s="7">
        <v>0</v>
      </c>
      <c r="JI59" s="2">
        <v>0</v>
      </c>
      <c r="JJ59" s="7">
        <v>0</v>
      </c>
      <c r="JK59" s="2">
        <v>0</v>
      </c>
      <c r="JL59" s="7">
        <v>0</v>
      </c>
      <c r="JM59" s="2">
        <v>12</v>
      </c>
      <c r="JN59" s="2"/>
      <c r="JO59" s="2"/>
      <c r="JP59" s="2">
        <v>28</v>
      </c>
      <c r="JQ59" s="2">
        <v>36</v>
      </c>
      <c r="JR59" s="2"/>
      <c r="JS59" s="2">
        <v>0</v>
      </c>
      <c r="JT59" s="2">
        <v>0</v>
      </c>
      <c r="JU59" s="2"/>
      <c r="JV59" s="2">
        <v>76</v>
      </c>
      <c r="JW59" s="4">
        <v>1</v>
      </c>
      <c r="JX59" s="2">
        <v>76</v>
      </c>
      <c r="JY59" s="4">
        <v>0.6</v>
      </c>
      <c r="JZ59" s="2">
        <v>0</v>
      </c>
      <c r="KA59" s="2"/>
      <c r="KB59" s="2"/>
      <c r="KC59" s="2"/>
      <c r="KD59" s="2"/>
      <c r="KE59" s="2"/>
      <c r="KF59" s="2"/>
      <c r="KG59" s="2"/>
      <c r="KH59" s="2">
        <v>76</v>
      </c>
      <c r="KI59" s="2"/>
      <c r="KJ59" s="2"/>
      <c r="KK59" s="2"/>
      <c r="KL59" s="2"/>
      <c r="KM59" s="2"/>
      <c r="KN59" s="2"/>
      <c r="KO59" s="2"/>
      <c r="KP59" s="2"/>
      <c r="KQ59" s="2" t="s">
        <v>83</v>
      </c>
      <c r="KR59" s="2"/>
      <c r="KS59" s="2" t="s">
        <v>73</v>
      </c>
      <c r="KT59" s="2">
        <v>1</v>
      </c>
      <c r="KU59" s="2" t="s">
        <v>84</v>
      </c>
      <c r="KV59" s="2" t="s">
        <v>85</v>
      </c>
      <c r="KW59" s="2" t="s">
        <v>86</v>
      </c>
      <c r="KX59" s="2" t="s">
        <v>17</v>
      </c>
      <c r="KY59" s="2" t="s">
        <v>17</v>
      </c>
      <c r="KZ59" s="2" t="s">
        <v>17</v>
      </c>
      <c r="LA59" s="2" t="s">
        <v>17</v>
      </c>
      <c r="LB59" s="2" t="s">
        <v>17</v>
      </c>
      <c r="LC59" s="2" t="s">
        <v>17</v>
      </c>
      <c r="LD59" s="2" t="s">
        <v>17</v>
      </c>
      <c r="LE59" s="2" t="s">
        <v>17</v>
      </c>
      <c r="LF59" s="2" t="s">
        <v>17</v>
      </c>
      <c r="LG59" s="2" t="s">
        <v>17</v>
      </c>
      <c r="LH59" s="2" t="s">
        <v>17</v>
      </c>
      <c r="LI59" s="2" t="s">
        <v>17</v>
      </c>
      <c r="LJ59" s="2" t="s">
        <v>87</v>
      </c>
      <c r="LK59" s="2" t="s">
        <v>17</v>
      </c>
      <c r="LL59" s="2" t="s">
        <v>17</v>
      </c>
      <c r="LM59" s="2">
        <v>0</v>
      </c>
      <c r="LN59" s="2" t="s">
        <v>17</v>
      </c>
      <c r="LO59" s="2" t="s">
        <v>17</v>
      </c>
      <c r="LP59" s="2" t="s">
        <v>17</v>
      </c>
      <c r="LQ59" s="2" t="s">
        <v>17</v>
      </c>
      <c r="LR59" s="2" t="s">
        <v>17</v>
      </c>
      <c r="LS59" s="2" t="s">
        <v>17</v>
      </c>
      <c r="LT59" s="2" t="s">
        <v>9</v>
      </c>
      <c r="LU59" s="2" t="s">
        <v>9</v>
      </c>
      <c r="LV59" s="2" t="s">
        <v>9</v>
      </c>
      <c r="LW59" s="2" t="s">
        <v>17</v>
      </c>
      <c r="LX59" s="2" t="s">
        <v>17</v>
      </c>
      <c r="LY59" s="5">
        <v>6080000</v>
      </c>
      <c r="LZ59" s="5">
        <v>0</v>
      </c>
      <c r="MA59" s="5">
        <v>7200000</v>
      </c>
      <c r="MB59" s="5">
        <v>0</v>
      </c>
      <c r="MC59" s="5">
        <v>0</v>
      </c>
      <c r="MD59" s="5">
        <v>0</v>
      </c>
      <c r="ME59" s="5">
        <v>7980000</v>
      </c>
      <c r="MF59" s="5">
        <v>0</v>
      </c>
      <c r="MG59" s="5">
        <v>0</v>
      </c>
      <c r="MH59" s="5">
        <v>0</v>
      </c>
      <c r="MI59" s="5">
        <v>0</v>
      </c>
      <c r="MJ59" s="5">
        <v>0</v>
      </c>
      <c r="MK59" s="5">
        <v>0</v>
      </c>
      <c r="ML59" s="2">
        <v>0</v>
      </c>
      <c r="MM59" s="5">
        <v>0</v>
      </c>
      <c r="MN59" s="5">
        <v>0</v>
      </c>
      <c r="MO59" s="2">
        <v>0</v>
      </c>
      <c r="MP59" s="2">
        <v>0</v>
      </c>
      <c r="MQ59" s="2">
        <v>0</v>
      </c>
      <c r="MR59" s="5">
        <v>2950000</v>
      </c>
      <c r="MS59" s="5">
        <v>0</v>
      </c>
      <c r="MT59" s="5">
        <v>4600000</v>
      </c>
      <c r="MU59" s="5">
        <v>0</v>
      </c>
      <c r="MV59" s="5">
        <v>0</v>
      </c>
      <c r="MW59" s="5">
        <v>0</v>
      </c>
      <c r="MX59" s="5">
        <v>0</v>
      </c>
      <c r="MY59" s="5">
        <v>2500000</v>
      </c>
      <c r="MZ59" s="5">
        <v>0</v>
      </c>
      <c r="NA59" s="5">
        <v>5000000</v>
      </c>
      <c r="NB59" s="5">
        <v>0</v>
      </c>
      <c r="NC59" s="5">
        <v>0</v>
      </c>
      <c r="ND59" s="5">
        <v>0</v>
      </c>
      <c r="NE59" s="5">
        <v>0</v>
      </c>
      <c r="NF59" s="5">
        <v>0</v>
      </c>
      <c r="NG59" s="5">
        <v>2142000</v>
      </c>
      <c r="NH59" s="5">
        <v>2142000</v>
      </c>
      <c r="NI59" s="5">
        <v>2142000</v>
      </c>
      <c r="NJ59" s="5">
        <v>0</v>
      </c>
      <c r="NK59" s="5"/>
      <c r="NL59" s="2" t="s">
        <v>17</v>
      </c>
      <c r="NM59" s="2" t="s">
        <v>17</v>
      </c>
      <c r="NN59" s="2"/>
      <c r="NO59" s="2" t="s">
        <v>17</v>
      </c>
      <c r="NP59" s="2"/>
      <c r="NQ59" s="2"/>
      <c r="NR59" s="2" t="s">
        <v>17</v>
      </c>
      <c r="NS59" s="2"/>
      <c r="NT59" s="2" t="s">
        <v>9</v>
      </c>
      <c r="NU59" s="2" t="s">
        <v>450</v>
      </c>
      <c r="NV59" s="2">
        <v>126.01</v>
      </c>
      <c r="NW59" s="2" t="s">
        <v>1550</v>
      </c>
      <c r="NX59" s="2"/>
      <c r="NY59" s="2"/>
      <c r="NZ59" s="2"/>
      <c r="OA59" s="2" t="s">
        <v>118</v>
      </c>
      <c r="OB59" s="2" t="s">
        <v>118</v>
      </c>
      <c r="OC59" s="2" t="s">
        <v>118</v>
      </c>
      <c r="OD59" s="2" t="s">
        <v>17</v>
      </c>
      <c r="OE59" s="2" t="s">
        <v>119</v>
      </c>
      <c r="OF59" s="2"/>
      <c r="OG59" s="2" t="s">
        <v>17</v>
      </c>
      <c r="OH59" s="2"/>
      <c r="OI59" s="2"/>
      <c r="OJ59" s="2"/>
      <c r="OK59" s="2" t="s">
        <v>17</v>
      </c>
      <c r="OL59" s="2" t="s">
        <v>17</v>
      </c>
      <c r="OM59" s="2" t="s">
        <v>85</v>
      </c>
      <c r="ON59" s="6">
        <v>0</v>
      </c>
      <c r="OO59" s="6">
        <v>0</v>
      </c>
      <c r="OP59" s="2" t="s">
        <v>93</v>
      </c>
      <c r="OQ59" s="2" t="s">
        <v>93</v>
      </c>
      <c r="OR59" s="6">
        <v>0</v>
      </c>
      <c r="OS59" s="4">
        <v>0</v>
      </c>
      <c r="OT59" s="2" t="s">
        <v>17</v>
      </c>
      <c r="OU59" s="2" t="s">
        <v>17</v>
      </c>
      <c r="OV59" s="2"/>
      <c r="OW59" s="2"/>
      <c r="OX59" s="5">
        <v>17735760</v>
      </c>
      <c r="OY59" s="6">
        <v>233365.26</v>
      </c>
      <c r="OZ59" s="2"/>
      <c r="PA59" s="2"/>
      <c r="PB59" s="8">
        <v>11066736</v>
      </c>
      <c r="PC59" s="8">
        <v>265129</v>
      </c>
      <c r="PD59" s="8">
        <v>11331865</v>
      </c>
      <c r="PE59" s="2"/>
      <c r="PF59" s="8">
        <v>300000</v>
      </c>
      <c r="PG59" s="8">
        <v>300000</v>
      </c>
      <c r="PH59" s="8">
        <v>281907</v>
      </c>
      <c r="PI59" s="2"/>
      <c r="PJ59" s="8">
        <v>281907</v>
      </c>
      <c r="PK59" s="8">
        <v>11348643</v>
      </c>
      <c r="PL59" s="8">
        <v>565129</v>
      </c>
      <c r="PM59" s="8">
        <v>11913772</v>
      </c>
      <c r="PN59" s="8">
        <v>1624605</v>
      </c>
      <c r="PO59" s="2"/>
      <c r="PP59" s="8">
        <v>1624605</v>
      </c>
      <c r="PQ59" s="6">
        <v>1667928</v>
      </c>
      <c r="PR59" s="8">
        <v>12973248</v>
      </c>
      <c r="PS59" s="8">
        <v>565129</v>
      </c>
      <c r="PT59" s="8">
        <v>13538377</v>
      </c>
      <c r="PU59" s="8">
        <v>596541</v>
      </c>
      <c r="PV59" s="8">
        <v>66282</v>
      </c>
      <c r="PW59" s="8">
        <v>662823</v>
      </c>
      <c r="PX59" s="6">
        <v>676918.85</v>
      </c>
      <c r="PY59" s="8">
        <v>994700</v>
      </c>
      <c r="PZ59" s="8">
        <v>377318</v>
      </c>
      <c r="QA59" s="8">
        <v>1372018</v>
      </c>
      <c r="QB59" s="8">
        <v>220000</v>
      </c>
      <c r="QC59" s="2"/>
      <c r="QD59" s="8">
        <v>220000</v>
      </c>
      <c r="QE59" s="8">
        <v>798919</v>
      </c>
      <c r="QF59" s="8">
        <v>20000</v>
      </c>
      <c r="QG59" s="8">
        <v>818919</v>
      </c>
      <c r="QH59" s="2"/>
      <c r="QI59" s="8">
        <v>436705</v>
      </c>
      <c r="QJ59" s="8">
        <v>436705</v>
      </c>
      <c r="QK59" s="2"/>
      <c r="QL59" s="2"/>
      <c r="QM59" s="2"/>
      <c r="QN59" s="2"/>
      <c r="QO59" s="2"/>
      <c r="QP59" s="2"/>
      <c r="QQ59" s="8">
        <v>2013619</v>
      </c>
      <c r="QR59" s="8">
        <v>834023</v>
      </c>
      <c r="QS59" s="8">
        <v>2847642</v>
      </c>
      <c r="QT59" s="8">
        <v>40000</v>
      </c>
      <c r="QU59" s="8">
        <v>40000</v>
      </c>
      <c r="QV59" s="8">
        <v>80000</v>
      </c>
      <c r="QW59" s="6">
        <v>142382.1</v>
      </c>
      <c r="QX59" s="8">
        <v>825301</v>
      </c>
      <c r="QY59" s="8">
        <v>425000</v>
      </c>
      <c r="QZ59" s="8">
        <v>1250301</v>
      </c>
      <c r="RA59" s="8">
        <v>37800</v>
      </c>
      <c r="RB59" s="8">
        <v>37800</v>
      </c>
      <c r="RC59" s="2"/>
      <c r="RD59" s="2"/>
      <c r="RE59" s="2"/>
      <c r="RF59" s="8">
        <v>825301</v>
      </c>
      <c r="RG59" s="8">
        <v>462800</v>
      </c>
      <c r="RH59" s="8">
        <v>1288101</v>
      </c>
      <c r="RI59" s="2"/>
      <c r="RJ59" s="2"/>
      <c r="RK59" s="2"/>
      <c r="RL59" s="2"/>
      <c r="RM59" s="8">
        <v>16448709</v>
      </c>
      <c r="RN59" s="8">
        <v>1968234</v>
      </c>
      <c r="RO59" s="8">
        <v>18416943</v>
      </c>
      <c r="RP59" s="2"/>
      <c r="RQ59" s="2"/>
      <c r="RR59" s="2">
        <v>0</v>
      </c>
      <c r="RS59" s="6">
        <v>0</v>
      </c>
      <c r="RT59" s="8">
        <v>2945227</v>
      </c>
      <c r="RU59" s="2"/>
      <c r="RV59" s="8">
        <v>2945227</v>
      </c>
      <c r="RW59" s="6">
        <v>2946710</v>
      </c>
      <c r="RX59" s="6">
        <v>0</v>
      </c>
      <c r="RY59" s="8">
        <v>2945227</v>
      </c>
      <c r="RZ59" s="2"/>
      <c r="SA59" s="8">
        <v>2945227</v>
      </c>
      <c r="SB59" s="6">
        <v>2946710</v>
      </c>
      <c r="SC59" s="8">
        <v>266000</v>
      </c>
      <c r="SD59" s="8">
        <v>266000</v>
      </c>
      <c r="SE59" s="6">
        <v>266000</v>
      </c>
      <c r="SF59" s="8">
        <v>760000</v>
      </c>
      <c r="SG59" s="8">
        <v>760000</v>
      </c>
      <c r="SH59" s="8">
        <v>19393936</v>
      </c>
      <c r="SI59" s="8">
        <v>2994234</v>
      </c>
      <c r="SJ59" s="8">
        <v>22388170</v>
      </c>
      <c r="SK59" s="2" t="s">
        <v>229</v>
      </c>
      <c r="SL59" s="2" t="s">
        <v>363</v>
      </c>
      <c r="SM59" s="2"/>
      <c r="SN59" s="2"/>
      <c r="SO59" s="2"/>
      <c r="SP59" s="8">
        <v>15000000</v>
      </c>
      <c r="SQ59" s="2" t="s">
        <v>95</v>
      </c>
      <c r="SR59" s="8">
        <v>460000</v>
      </c>
      <c r="SS59" s="2" t="s">
        <v>180</v>
      </c>
      <c r="ST59" s="2"/>
      <c r="SU59" s="2"/>
      <c r="SV59" s="2"/>
      <c r="SW59" s="2"/>
      <c r="SX59" s="2" t="s">
        <v>96</v>
      </c>
      <c r="SY59" s="2" t="s">
        <v>96</v>
      </c>
      <c r="SZ59" s="2" t="s">
        <v>96</v>
      </c>
      <c r="TA59" s="2" t="s">
        <v>96</v>
      </c>
      <c r="TB59" s="8">
        <v>11308629</v>
      </c>
      <c r="TC59" s="2"/>
      <c r="TD59" s="2"/>
      <c r="TE59" s="2"/>
      <c r="TF59" s="2"/>
      <c r="TG59" s="2"/>
      <c r="TH59" s="2"/>
      <c r="TI59" s="2">
        <v>0</v>
      </c>
      <c r="TJ59" s="8">
        <v>26768629</v>
      </c>
      <c r="TK59" s="8">
        <v>4380459</v>
      </c>
      <c r="TL59" s="2" t="s">
        <v>9</v>
      </c>
      <c r="TM59" s="8">
        <v>1000000</v>
      </c>
      <c r="TN59" s="2" t="s">
        <v>95</v>
      </c>
      <c r="TO59" s="8">
        <v>460000</v>
      </c>
      <c r="TP59" s="2" t="s">
        <v>180</v>
      </c>
      <c r="TQ59" s="2"/>
      <c r="TR59" s="2"/>
      <c r="TS59" s="2"/>
      <c r="TT59" s="2"/>
      <c r="TU59" s="2" t="s">
        <v>96</v>
      </c>
      <c r="TV59" s="8">
        <v>18847716</v>
      </c>
      <c r="TW59" s="2"/>
      <c r="TX59" s="2"/>
      <c r="TY59" s="2"/>
      <c r="TZ59" s="2"/>
      <c r="UA59" s="2"/>
      <c r="UB59" s="2"/>
      <c r="UC59" s="8">
        <v>2080454</v>
      </c>
      <c r="UD59" s="8">
        <v>22388170</v>
      </c>
      <c r="UE59" s="6">
        <v>1460000</v>
      </c>
      <c r="UF59" s="2">
        <v>0</v>
      </c>
      <c r="UG59" s="2" t="s">
        <v>9</v>
      </c>
      <c r="UH59" s="2">
        <v>76</v>
      </c>
      <c r="UI59" s="5">
        <v>220000</v>
      </c>
      <c r="UJ59" s="6">
        <v>293333.33</v>
      </c>
      <c r="UK59" s="6">
        <v>293333.33</v>
      </c>
      <c r="UL59" s="6">
        <v>310933.33</v>
      </c>
      <c r="UM59" s="6">
        <v>23630933.329999998</v>
      </c>
      <c r="UN59" s="6">
        <v>3780949</v>
      </c>
      <c r="UO59" s="6">
        <v>3780949</v>
      </c>
      <c r="UP59" s="6">
        <v>27411882.329999998</v>
      </c>
      <c r="UQ59" s="6">
        <v>21362170</v>
      </c>
      <c r="UR59" s="6">
        <v>460000</v>
      </c>
      <c r="US59" s="2"/>
      <c r="UT59" s="6">
        <v>460000</v>
      </c>
      <c r="UU59" s="2"/>
      <c r="UV59" s="6">
        <v>0</v>
      </c>
      <c r="UW59" s="6">
        <v>460000</v>
      </c>
      <c r="UX59" s="6">
        <v>0</v>
      </c>
      <c r="UY59" s="6">
        <v>460000</v>
      </c>
      <c r="UZ59" s="2" t="s">
        <v>1887</v>
      </c>
      <c r="VA59" s="2" t="s">
        <v>182</v>
      </c>
      <c r="VB59" s="2"/>
      <c r="VC59" s="2"/>
      <c r="VD59" s="2" t="s">
        <v>9</v>
      </c>
      <c r="VE59" s="2" t="s">
        <v>17</v>
      </c>
      <c r="VF59" s="2"/>
      <c r="VG59" s="2" t="s">
        <v>9</v>
      </c>
      <c r="VH59" s="2" t="s">
        <v>1894</v>
      </c>
      <c r="VI59" s="388" t="s">
        <v>1895</v>
      </c>
      <c r="VJ59" s="2" t="s">
        <v>98</v>
      </c>
      <c r="VK59" s="2" t="s">
        <v>1896</v>
      </c>
      <c r="VL59" s="23">
        <f t="shared" si="21"/>
        <v>76</v>
      </c>
      <c r="VM59" s="17">
        <f t="shared" si="22"/>
        <v>1</v>
      </c>
      <c r="VN59" s="17" t="str">
        <f t="shared" si="12"/>
        <v>NC-GA-E</v>
      </c>
      <c r="VO59" s="17" t="str">
        <f t="shared" si="13"/>
        <v>NC-GA-E-Non</v>
      </c>
      <c r="VP59" s="12">
        <v>9</v>
      </c>
      <c r="VQ59" s="57">
        <v>1</v>
      </c>
      <c r="VR59" s="57">
        <f t="shared" si="23"/>
        <v>1</v>
      </c>
      <c r="VS59" s="14">
        <f t="shared" si="24"/>
        <v>1</v>
      </c>
      <c r="VT59" s="12">
        <f t="shared" si="25"/>
        <v>1</v>
      </c>
      <c r="VU59" s="16">
        <f t="shared" si="26"/>
        <v>19278000</v>
      </c>
      <c r="VV59" s="16">
        <f t="shared" si="27"/>
        <v>253657.89473684211</v>
      </c>
      <c r="VW59" s="12" t="str">
        <f t="shared" si="14"/>
        <v>A</v>
      </c>
      <c r="VX59" s="12" t="str">
        <f t="shared" si="15"/>
        <v>NC-GA-Non</v>
      </c>
      <c r="VY59" s="351">
        <f t="shared" si="16"/>
        <v>5</v>
      </c>
      <c r="WA59" s="12">
        <f t="shared" si="17"/>
        <v>1</v>
      </c>
      <c r="WB59" s="12">
        <f t="shared" si="18"/>
        <v>0</v>
      </c>
      <c r="WC59" s="12">
        <f t="shared" si="18"/>
        <v>0</v>
      </c>
      <c r="WD59" s="12">
        <f t="shared" si="18"/>
        <v>0</v>
      </c>
      <c r="WE59" s="12">
        <f t="shared" si="19"/>
        <v>0</v>
      </c>
      <c r="WF59" s="12">
        <f t="shared" si="28"/>
        <v>1</v>
      </c>
      <c r="WG59" s="12">
        <f t="shared" si="29"/>
        <v>0</v>
      </c>
      <c r="WH59" s="12">
        <f t="shared" si="30"/>
        <v>0</v>
      </c>
      <c r="WI59" s="22">
        <f t="shared" si="31"/>
        <v>2</v>
      </c>
      <c r="WJ59" s="2"/>
      <c r="WK59" s="444" t="str">
        <f t="shared" si="20"/>
        <v>NC-GA-Non-BBN-BRN-NPH-E</v>
      </c>
      <c r="WL59" s="444"/>
      <c r="WM59" s="444"/>
    </row>
    <row r="60" spans="1:611" x14ac:dyDescent="0.25">
      <c r="A60" s="2">
        <v>9490</v>
      </c>
      <c r="B60" s="2" t="s">
        <v>963</v>
      </c>
      <c r="C60" s="2" t="s">
        <v>8</v>
      </c>
      <c r="D60" s="3">
        <v>45153</v>
      </c>
      <c r="E60" s="2" t="s">
        <v>9</v>
      </c>
      <c r="F60" s="2">
        <v>3</v>
      </c>
      <c r="G60" s="2" t="s">
        <v>9</v>
      </c>
      <c r="H60" s="2">
        <v>3</v>
      </c>
      <c r="I60" s="2" t="s">
        <v>9</v>
      </c>
      <c r="J60" s="2">
        <v>3</v>
      </c>
      <c r="K60" s="2" t="s">
        <v>9</v>
      </c>
      <c r="L60" s="2">
        <v>3</v>
      </c>
      <c r="M60" s="2" t="s">
        <v>10</v>
      </c>
      <c r="N60" s="2">
        <v>0</v>
      </c>
      <c r="O60" s="2" t="s">
        <v>10</v>
      </c>
      <c r="P60" s="2">
        <v>0</v>
      </c>
      <c r="Q60" s="2" t="s">
        <v>11</v>
      </c>
      <c r="R60" s="2">
        <v>0</v>
      </c>
      <c r="S60" s="2" t="s">
        <v>9</v>
      </c>
      <c r="T60" s="2">
        <v>2</v>
      </c>
      <c r="U60" s="2" t="s">
        <v>9</v>
      </c>
      <c r="V60" s="2">
        <v>2</v>
      </c>
      <c r="W60" s="2" t="s">
        <v>9</v>
      </c>
      <c r="X60" s="2">
        <v>2</v>
      </c>
      <c r="Y60" s="2" t="s">
        <v>12</v>
      </c>
      <c r="Z60" s="2" t="s">
        <v>944</v>
      </c>
      <c r="AA60" s="2" t="s">
        <v>15</v>
      </c>
      <c r="AB60" s="2" t="s">
        <v>15</v>
      </c>
      <c r="AC60" s="2" t="s">
        <v>15</v>
      </c>
      <c r="AD60" s="2" t="s">
        <v>15</v>
      </c>
      <c r="AE60" s="2" t="s">
        <v>15</v>
      </c>
      <c r="AF60" s="2">
        <v>1</v>
      </c>
      <c r="AG60" s="2" t="s">
        <v>606</v>
      </c>
      <c r="AH60" s="2" t="s">
        <v>17</v>
      </c>
      <c r="AI60" s="4">
        <v>0.15</v>
      </c>
      <c r="AJ60" s="2" t="s">
        <v>17</v>
      </c>
      <c r="AK60" s="2" t="s">
        <v>9</v>
      </c>
      <c r="AL60" s="2" t="s">
        <v>17</v>
      </c>
      <c r="AM60" s="2" t="s">
        <v>17</v>
      </c>
      <c r="AN60" s="2" t="s">
        <v>17</v>
      </c>
      <c r="AO60" s="2" t="s">
        <v>17</v>
      </c>
      <c r="AP60" s="2" t="s">
        <v>17</v>
      </c>
      <c r="AQ60" s="2" t="s">
        <v>17</v>
      </c>
      <c r="AR60" s="2" t="s">
        <v>17</v>
      </c>
      <c r="AS60" s="2" t="s">
        <v>17</v>
      </c>
      <c r="AT60" s="2">
        <v>0</v>
      </c>
      <c r="AU60" s="5">
        <v>50000</v>
      </c>
      <c r="AV60" s="5">
        <v>460000</v>
      </c>
      <c r="AW60" s="2">
        <v>0</v>
      </c>
      <c r="AX60" s="2">
        <v>9</v>
      </c>
      <c r="AY60" s="2">
        <v>0</v>
      </c>
      <c r="AZ60" s="2">
        <v>18</v>
      </c>
      <c r="BA60" s="2">
        <v>0</v>
      </c>
      <c r="BB60" s="2">
        <v>1</v>
      </c>
      <c r="BC60" s="2">
        <v>0</v>
      </c>
      <c r="BD60" s="2">
        <v>0</v>
      </c>
      <c r="BE60" s="2">
        <v>0</v>
      </c>
      <c r="BF60" s="2">
        <v>1</v>
      </c>
      <c r="BG60" s="2">
        <v>0</v>
      </c>
      <c r="BH60" s="2">
        <v>0</v>
      </c>
      <c r="BI60" s="2">
        <v>13</v>
      </c>
      <c r="BJ60" s="2">
        <v>1</v>
      </c>
      <c r="BK60" s="2">
        <v>0</v>
      </c>
      <c r="BL60" s="2">
        <v>3</v>
      </c>
      <c r="BM60" s="2">
        <v>0</v>
      </c>
      <c r="BN60" s="2">
        <v>12</v>
      </c>
      <c r="BO60" s="2">
        <v>11</v>
      </c>
      <c r="BP60" s="2">
        <v>0</v>
      </c>
      <c r="BQ60" s="2">
        <v>10</v>
      </c>
      <c r="BR60" s="2">
        <v>9.16</v>
      </c>
      <c r="BS60" s="2">
        <v>0</v>
      </c>
      <c r="BT60" s="4">
        <v>0.06</v>
      </c>
      <c r="BU60" s="2" t="s">
        <v>9</v>
      </c>
      <c r="BV60" s="6">
        <v>237601.35</v>
      </c>
      <c r="BW60" s="2" t="s">
        <v>18</v>
      </c>
      <c r="BX60" s="2" t="s">
        <v>17</v>
      </c>
      <c r="BY60" s="2" t="s">
        <v>17</v>
      </c>
      <c r="BZ60" s="2" t="s">
        <v>17</v>
      </c>
      <c r="CA60" s="2" t="s">
        <v>17</v>
      </c>
      <c r="CB60" s="2" t="s">
        <v>17</v>
      </c>
      <c r="CC60" s="2" t="s">
        <v>17</v>
      </c>
      <c r="CD60" s="2" t="s">
        <v>17</v>
      </c>
      <c r="CE60" s="2" t="s">
        <v>964</v>
      </c>
      <c r="CF60" s="2" t="s">
        <v>9</v>
      </c>
      <c r="CG60" s="2" t="s">
        <v>608</v>
      </c>
      <c r="CH60" s="2" t="s">
        <v>609</v>
      </c>
      <c r="CI60" s="2"/>
      <c r="CJ60" s="2" t="s">
        <v>9</v>
      </c>
      <c r="CK60" s="2" t="s">
        <v>610</v>
      </c>
      <c r="CL60" s="2" t="s">
        <v>608</v>
      </c>
      <c r="CM60" s="2" t="s">
        <v>611</v>
      </c>
      <c r="CN60" s="2" t="s">
        <v>330</v>
      </c>
      <c r="CO60" s="2" t="s">
        <v>24</v>
      </c>
      <c r="CP60" s="2"/>
      <c r="CQ60" s="2">
        <v>94</v>
      </c>
      <c r="CR60" s="2" t="s">
        <v>965</v>
      </c>
      <c r="CS60" s="2">
        <v>2015</v>
      </c>
      <c r="CT60" s="2" t="s">
        <v>26</v>
      </c>
      <c r="CU60" s="2" t="s">
        <v>27</v>
      </c>
      <c r="CV60" s="2" t="s">
        <v>612</v>
      </c>
      <c r="CW60" s="2" t="s">
        <v>613</v>
      </c>
      <c r="CX60" s="2" t="s">
        <v>24</v>
      </c>
      <c r="CY60" s="2"/>
      <c r="CZ60" s="2">
        <v>140</v>
      </c>
      <c r="DA60" s="2" t="s">
        <v>965</v>
      </c>
      <c r="DB60" s="2">
        <v>2018</v>
      </c>
      <c r="DC60" s="2" t="s">
        <v>30</v>
      </c>
      <c r="DD60" s="2" t="s">
        <v>27</v>
      </c>
      <c r="DE60" s="2" t="s">
        <v>614</v>
      </c>
      <c r="DF60" s="2" t="s">
        <v>613</v>
      </c>
      <c r="DG60" s="2" t="s">
        <v>24</v>
      </c>
      <c r="DH60" s="2"/>
      <c r="DI60" s="2">
        <v>174</v>
      </c>
      <c r="DJ60" s="2" t="s">
        <v>965</v>
      </c>
      <c r="DK60" s="2">
        <v>2019</v>
      </c>
      <c r="DL60" s="2" t="s">
        <v>30</v>
      </c>
      <c r="DM60" s="2" t="s">
        <v>27</v>
      </c>
      <c r="DN60" s="2" t="s">
        <v>33</v>
      </c>
      <c r="DO60" s="2" t="s">
        <v>34</v>
      </c>
      <c r="DP60" s="2"/>
      <c r="DQ60" s="2" t="s">
        <v>35</v>
      </c>
      <c r="DR60" s="2" t="s">
        <v>615</v>
      </c>
      <c r="DS60" s="2">
        <v>1</v>
      </c>
      <c r="DT60" s="2" t="s">
        <v>616</v>
      </c>
      <c r="DU60" s="2" t="s">
        <v>38</v>
      </c>
      <c r="DV60" s="2" t="s">
        <v>39</v>
      </c>
      <c r="DW60" s="2">
        <v>32405</v>
      </c>
      <c r="DX60" s="2" t="s">
        <v>617</v>
      </c>
      <c r="DY60" s="2"/>
      <c r="DZ60" s="2" t="s">
        <v>618</v>
      </c>
      <c r="EA60" s="2" t="s">
        <v>615</v>
      </c>
      <c r="EB60" s="2" t="s">
        <v>619</v>
      </c>
      <c r="EC60" s="2" t="s">
        <v>620</v>
      </c>
      <c r="ED60" s="2" t="s">
        <v>44</v>
      </c>
      <c r="EE60" s="2">
        <v>126</v>
      </c>
      <c r="EF60" s="2" t="s">
        <v>966</v>
      </c>
      <c r="EG60" s="2">
        <v>41</v>
      </c>
      <c r="EH60" s="2" t="s">
        <v>46</v>
      </c>
      <c r="EI60" s="2" t="s">
        <v>47</v>
      </c>
      <c r="EJ60" s="2" t="s">
        <v>621</v>
      </c>
      <c r="EK60" s="2" t="s">
        <v>622</v>
      </c>
      <c r="EL60" s="2" t="s">
        <v>44</v>
      </c>
      <c r="EM60" s="2">
        <v>272</v>
      </c>
      <c r="EN60" s="2" t="s">
        <v>966</v>
      </c>
      <c r="EO60" s="2">
        <v>22</v>
      </c>
      <c r="EP60" s="2" t="s">
        <v>46</v>
      </c>
      <c r="EQ60" s="2" t="s">
        <v>47</v>
      </c>
      <c r="ER60" s="2" t="s">
        <v>623</v>
      </c>
      <c r="ES60" s="2"/>
      <c r="ET60" s="2" t="s">
        <v>624</v>
      </c>
      <c r="EU60" s="2" t="s">
        <v>625</v>
      </c>
      <c r="EV60" s="2" t="s">
        <v>626</v>
      </c>
      <c r="EW60" s="2" t="s">
        <v>627</v>
      </c>
      <c r="EX60" s="2" t="s">
        <v>39</v>
      </c>
      <c r="EY60" s="2">
        <v>33407</v>
      </c>
      <c r="EZ60" s="2" t="s">
        <v>628</v>
      </c>
      <c r="FA60" s="2"/>
      <c r="FB60" s="2" t="s">
        <v>629</v>
      </c>
      <c r="FC60" s="2" t="s">
        <v>630</v>
      </c>
      <c r="FD60" s="2" t="s">
        <v>631</v>
      </c>
      <c r="FE60" s="2" t="s">
        <v>632</v>
      </c>
      <c r="FF60" s="2" t="s">
        <v>608</v>
      </c>
      <c r="FG60" s="2" t="s">
        <v>633</v>
      </c>
      <c r="FH60" s="2" t="s">
        <v>634</v>
      </c>
      <c r="FI60" s="2" t="s">
        <v>39</v>
      </c>
      <c r="FJ60" s="2">
        <v>33441</v>
      </c>
      <c r="FK60" s="2" t="s">
        <v>635</v>
      </c>
      <c r="FL60" s="2"/>
      <c r="FM60" s="2" t="s">
        <v>636</v>
      </c>
      <c r="FN60" s="2" t="s">
        <v>967</v>
      </c>
      <c r="FO60" s="2" t="s">
        <v>63</v>
      </c>
      <c r="FP60" s="2" t="s">
        <v>64</v>
      </c>
      <c r="FQ60" s="2" t="s">
        <v>9</v>
      </c>
      <c r="FR60" s="2" t="s">
        <v>17</v>
      </c>
      <c r="FS60" s="2" t="s">
        <v>17</v>
      </c>
      <c r="FT60" s="2" t="s">
        <v>9</v>
      </c>
      <c r="FU60" s="2">
        <v>0</v>
      </c>
      <c r="FV60" s="2">
        <v>0</v>
      </c>
      <c r="FW60" s="4">
        <v>0</v>
      </c>
      <c r="FX60" s="4">
        <v>0</v>
      </c>
      <c r="FY60" s="2" t="s">
        <v>65</v>
      </c>
      <c r="FZ60" s="2" t="s">
        <v>66</v>
      </c>
      <c r="GA60" s="2" t="s">
        <v>67</v>
      </c>
      <c r="GB60" s="2"/>
      <c r="GC60" s="2"/>
      <c r="GD60" s="2"/>
      <c r="GE60" s="2" t="s">
        <v>108</v>
      </c>
      <c r="GF60" s="2"/>
      <c r="GG60" s="2"/>
      <c r="GH60" s="2"/>
      <c r="GI60" s="2">
        <v>60</v>
      </c>
      <c r="GJ60" s="2"/>
      <c r="GK60" s="2"/>
      <c r="GL60" s="2"/>
      <c r="GM60" s="2"/>
      <c r="GN60" s="2"/>
      <c r="GO60" s="2"/>
      <c r="GP60" s="2"/>
      <c r="GQ60" s="2">
        <v>60</v>
      </c>
      <c r="GR60" s="2" t="s">
        <v>968</v>
      </c>
      <c r="GS60" s="2" t="s">
        <v>70</v>
      </c>
      <c r="GT60" s="2" t="s">
        <v>969</v>
      </c>
      <c r="GU60" s="2" t="s">
        <v>970</v>
      </c>
      <c r="GV60" s="2" t="s">
        <v>17</v>
      </c>
      <c r="GW60" s="2">
        <v>29.260258199999999</v>
      </c>
      <c r="GX60" s="2">
        <v>-81.097810300000006</v>
      </c>
      <c r="GY60" s="2"/>
      <c r="GZ60" s="2" t="s">
        <v>17</v>
      </c>
      <c r="HA60" s="2" t="s">
        <v>17</v>
      </c>
      <c r="HB60" s="2">
        <v>0</v>
      </c>
      <c r="HC60" s="2" t="s">
        <v>17</v>
      </c>
      <c r="HD60" s="2"/>
      <c r="HE60" s="2">
        <v>0</v>
      </c>
      <c r="HF60" s="2">
        <v>29.2616756</v>
      </c>
      <c r="HG60" s="2">
        <v>-81.094251400000005</v>
      </c>
      <c r="HH60" s="2">
        <v>0.02</v>
      </c>
      <c r="HI60" s="2">
        <v>2</v>
      </c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 t="s">
        <v>73</v>
      </c>
      <c r="HY60" s="2" t="s">
        <v>17</v>
      </c>
      <c r="HZ60" s="2"/>
      <c r="IA60" s="2" t="s">
        <v>971</v>
      </c>
      <c r="IB60" s="2" t="s">
        <v>972</v>
      </c>
      <c r="IC60" s="2">
        <v>0.97</v>
      </c>
      <c r="ID60" s="2">
        <v>2.5</v>
      </c>
      <c r="IE60" s="2" t="s">
        <v>973</v>
      </c>
      <c r="IF60" s="2">
        <v>0.02</v>
      </c>
      <c r="IG60" s="2">
        <v>4</v>
      </c>
      <c r="IH60" s="2" t="s">
        <v>974</v>
      </c>
      <c r="II60" s="2">
        <v>0.19</v>
      </c>
      <c r="IJ60" s="2">
        <v>4</v>
      </c>
      <c r="IK60" s="2"/>
      <c r="IL60" s="2"/>
      <c r="IM60" s="2"/>
      <c r="IN60" s="2"/>
      <c r="IO60" s="2" t="s">
        <v>17</v>
      </c>
      <c r="IP60" s="2">
        <v>2</v>
      </c>
      <c r="IQ60" s="2">
        <v>10.5</v>
      </c>
      <c r="IR60" s="2">
        <v>0</v>
      </c>
      <c r="IS60" s="2">
        <v>12.5</v>
      </c>
      <c r="IT60" s="2" t="s">
        <v>17</v>
      </c>
      <c r="IU60" s="2" t="s">
        <v>17</v>
      </c>
      <c r="IV60" s="2" t="s">
        <v>17</v>
      </c>
      <c r="IW60" s="2" t="s">
        <v>9</v>
      </c>
      <c r="IX60" s="2" t="s">
        <v>9</v>
      </c>
      <c r="IY60" s="2">
        <v>12.5</v>
      </c>
      <c r="IZ60" s="2">
        <v>60</v>
      </c>
      <c r="JA60" s="2" t="s">
        <v>81</v>
      </c>
      <c r="JB60" s="2" t="s">
        <v>82</v>
      </c>
      <c r="JC60" s="2"/>
      <c r="JD60" s="2"/>
      <c r="JE60" s="2"/>
      <c r="JF60" s="2"/>
      <c r="JG60" s="2"/>
      <c r="JH60" s="7">
        <v>0</v>
      </c>
      <c r="JI60" s="2">
        <v>0</v>
      </c>
      <c r="JJ60" s="7">
        <v>0</v>
      </c>
      <c r="JK60" s="2">
        <v>0</v>
      </c>
      <c r="JL60" s="7">
        <v>0</v>
      </c>
      <c r="JM60" s="2">
        <v>9</v>
      </c>
      <c r="JN60" s="2"/>
      <c r="JO60" s="2"/>
      <c r="JP60" s="2">
        <v>37</v>
      </c>
      <c r="JQ60" s="2">
        <v>9</v>
      </c>
      <c r="JR60" s="2">
        <v>5</v>
      </c>
      <c r="JS60" s="2">
        <v>0</v>
      </c>
      <c r="JT60" s="2">
        <v>0</v>
      </c>
      <c r="JU60" s="2"/>
      <c r="JV60" s="2">
        <v>60</v>
      </c>
      <c r="JW60" s="4">
        <v>1</v>
      </c>
      <c r="JX60" s="2">
        <v>60</v>
      </c>
      <c r="JY60" s="4">
        <v>0.58667000000000002</v>
      </c>
      <c r="JZ60" s="2">
        <v>0</v>
      </c>
      <c r="KA60" s="2"/>
      <c r="KB60" s="2"/>
      <c r="KC60" s="2"/>
      <c r="KD60" s="2"/>
      <c r="KE60" s="2"/>
      <c r="KF60" s="2"/>
      <c r="KG60" s="2"/>
      <c r="KH60" s="2">
        <v>18</v>
      </c>
      <c r="KI60" s="2">
        <v>42</v>
      </c>
      <c r="KJ60" s="2"/>
      <c r="KK60" s="2"/>
      <c r="KL60" s="2"/>
      <c r="KM60" s="2"/>
      <c r="KN60" s="2"/>
      <c r="KO60" s="2"/>
      <c r="KP60" s="2"/>
      <c r="KQ60" s="2" t="s">
        <v>83</v>
      </c>
      <c r="KR60" s="2" t="s">
        <v>73</v>
      </c>
      <c r="KS60" s="2"/>
      <c r="KT60" s="2">
        <v>1</v>
      </c>
      <c r="KU60" s="2" t="s">
        <v>84</v>
      </c>
      <c r="KV60" s="2" t="s">
        <v>85</v>
      </c>
      <c r="KW60" s="2" t="s">
        <v>86</v>
      </c>
      <c r="KX60" s="2" t="s">
        <v>17</v>
      </c>
      <c r="KY60" s="2" t="s">
        <v>17</v>
      </c>
      <c r="KZ60" s="2" t="s">
        <v>17</v>
      </c>
      <c r="LA60" s="2" t="s">
        <v>17</v>
      </c>
      <c r="LB60" s="2" t="s">
        <v>17</v>
      </c>
      <c r="LC60" s="2" t="s">
        <v>17</v>
      </c>
      <c r="LD60" s="2" t="s">
        <v>17</v>
      </c>
      <c r="LE60" s="2" t="s">
        <v>17</v>
      </c>
      <c r="LF60" s="2" t="s">
        <v>17</v>
      </c>
      <c r="LG60" s="2" t="s">
        <v>17</v>
      </c>
      <c r="LH60" s="2" t="s">
        <v>17</v>
      </c>
      <c r="LI60" s="2" t="s">
        <v>17</v>
      </c>
      <c r="LJ60" s="2" t="s">
        <v>87</v>
      </c>
      <c r="LK60" s="2" t="s">
        <v>17</v>
      </c>
      <c r="LL60" s="2" t="s">
        <v>17</v>
      </c>
      <c r="LM60" s="2">
        <v>0</v>
      </c>
      <c r="LN60" s="2" t="s">
        <v>17</v>
      </c>
      <c r="LO60" s="2" t="s">
        <v>9</v>
      </c>
      <c r="LP60" s="2" t="s">
        <v>17</v>
      </c>
      <c r="LQ60" s="2" t="s">
        <v>17</v>
      </c>
      <c r="LR60" s="2" t="s">
        <v>9</v>
      </c>
      <c r="LS60" s="2" t="s">
        <v>9</v>
      </c>
      <c r="LT60" s="2" t="s">
        <v>17</v>
      </c>
      <c r="LU60" s="2" t="s">
        <v>17</v>
      </c>
      <c r="LV60" s="2" t="s">
        <v>17</v>
      </c>
      <c r="LW60" s="2" t="s">
        <v>17</v>
      </c>
      <c r="LX60" s="2" t="s">
        <v>17</v>
      </c>
      <c r="LY60" s="5">
        <v>4800000</v>
      </c>
      <c r="LZ60" s="5">
        <v>0</v>
      </c>
      <c r="MA60" s="5">
        <v>6000000</v>
      </c>
      <c r="MB60" s="5">
        <v>0</v>
      </c>
      <c r="MC60" s="5">
        <v>0</v>
      </c>
      <c r="MD60" s="5">
        <v>0</v>
      </c>
      <c r="ME60" s="5">
        <v>6300000</v>
      </c>
      <c r="MF60" s="5">
        <v>0</v>
      </c>
      <c r="MG60" s="5">
        <v>0</v>
      </c>
      <c r="MH60" s="5">
        <v>0</v>
      </c>
      <c r="MI60" s="5">
        <v>0</v>
      </c>
      <c r="MJ60" s="5">
        <v>0</v>
      </c>
      <c r="MK60" s="5">
        <v>0</v>
      </c>
      <c r="ML60" s="2">
        <v>0</v>
      </c>
      <c r="MM60" s="5">
        <v>0</v>
      </c>
      <c r="MN60" s="5">
        <v>0</v>
      </c>
      <c r="MO60" s="2">
        <v>0</v>
      </c>
      <c r="MP60" s="2">
        <v>0</v>
      </c>
      <c r="MQ60" s="2">
        <v>0</v>
      </c>
      <c r="MR60" s="5">
        <v>2950000</v>
      </c>
      <c r="MS60" s="5">
        <v>0</v>
      </c>
      <c r="MT60" s="5">
        <v>4600000</v>
      </c>
      <c r="MU60" s="5">
        <v>0</v>
      </c>
      <c r="MV60" s="5">
        <v>0</v>
      </c>
      <c r="MW60" s="5">
        <v>0</v>
      </c>
      <c r="MX60" s="5">
        <v>0</v>
      </c>
      <c r="MY60" s="5">
        <v>2500000</v>
      </c>
      <c r="MZ60" s="5">
        <v>0</v>
      </c>
      <c r="NA60" s="5">
        <v>5000000</v>
      </c>
      <c r="NB60" s="5">
        <v>0</v>
      </c>
      <c r="NC60" s="5">
        <v>0</v>
      </c>
      <c r="ND60" s="5">
        <v>0</v>
      </c>
      <c r="NE60" s="5">
        <v>0</v>
      </c>
      <c r="NF60" s="5">
        <v>0</v>
      </c>
      <c r="NG60" s="5">
        <v>2142000</v>
      </c>
      <c r="NH60" s="5">
        <v>2142000</v>
      </c>
      <c r="NI60" s="5">
        <v>2142000</v>
      </c>
      <c r="NJ60" s="5">
        <v>0</v>
      </c>
      <c r="NK60" s="5"/>
      <c r="NL60" s="2" t="s">
        <v>17</v>
      </c>
      <c r="NM60" s="2" t="s">
        <v>17</v>
      </c>
      <c r="NN60" s="2"/>
      <c r="NO60" s="2" t="s">
        <v>17</v>
      </c>
      <c r="NP60" s="2"/>
      <c r="NQ60" s="2"/>
      <c r="NR60" s="2" t="s">
        <v>17</v>
      </c>
      <c r="NS60" s="2"/>
      <c r="NT60" s="2" t="s">
        <v>17</v>
      </c>
      <c r="NU60" s="2"/>
      <c r="NV60" s="2"/>
      <c r="NW60" s="2"/>
      <c r="NX60" s="2" t="s">
        <v>9</v>
      </c>
      <c r="NY60" s="2" t="s">
        <v>762</v>
      </c>
      <c r="NZ60" s="2">
        <v>808.08</v>
      </c>
      <c r="OA60" s="2" t="s">
        <v>975</v>
      </c>
      <c r="OB60" s="2" t="s">
        <v>976</v>
      </c>
      <c r="OC60" s="2" t="s">
        <v>976</v>
      </c>
      <c r="OD60" s="2" t="s">
        <v>17</v>
      </c>
      <c r="OE60" s="2" t="s">
        <v>91</v>
      </c>
      <c r="OF60" s="2" t="s">
        <v>17</v>
      </c>
      <c r="OG60" s="2" t="s">
        <v>9</v>
      </c>
      <c r="OH60" s="2" t="s">
        <v>92</v>
      </c>
      <c r="OI60" s="2"/>
      <c r="OJ60" s="2"/>
      <c r="OK60" s="2" t="s">
        <v>17</v>
      </c>
      <c r="OL60" s="2" t="s">
        <v>17</v>
      </c>
      <c r="OM60" s="2" t="s">
        <v>85</v>
      </c>
      <c r="ON60" s="6">
        <v>0</v>
      </c>
      <c r="OO60" s="6">
        <v>0</v>
      </c>
      <c r="OP60" s="2" t="s">
        <v>93</v>
      </c>
      <c r="OQ60" s="2" t="s">
        <v>93</v>
      </c>
      <c r="OR60" s="6">
        <v>0</v>
      </c>
      <c r="OS60" s="4">
        <v>0</v>
      </c>
      <c r="OT60" s="2" t="s">
        <v>17</v>
      </c>
      <c r="OU60" s="2" t="s">
        <v>17</v>
      </c>
      <c r="OV60" s="2"/>
      <c r="OW60" s="2"/>
      <c r="OX60" s="5">
        <v>14256081</v>
      </c>
      <c r="OY60" s="6">
        <v>237601.35</v>
      </c>
      <c r="OZ60" s="2"/>
      <c r="PA60" s="2"/>
      <c r="PB60" s="8">
        <v>10327719</v>
      </c>
      <c r="PC60" s="2"/>
      <c r="PD60" s="8">
        <v>10327719</v>
      </c>
      <c r="PE60" s="2"/>
      <c r="PF60" s="8">
        <v>500000</v>
      </c>
      <c r="PG60" s="8">
        <v>500000</v>
      </c>
      <c r="PH60" s="2"/>
      <c r="PI60" s="2"/>
      <c r="PJ60" s="2"/>
      <c r="PK60" s="8">
        <v>10327719</v>
      </c>
      <c r="PL60" s="8">
        <v>500000</v>
      </c>
      <c r="PM60" s="8">
        <v>10827719</v>
      </c>
      <c r="PN60" s="8">
        <v>1515880</v>
      </c>
      <c r="PO60" s="2"/>
      <c r="PP60" s="8">
        <v>1515880</v>
      </c>
      <c r="PQ60" s="6">
        <v>1515880</v>
      </c>
      <c r="PR60" s="8">
        <v>11843599</v>
      </c>
      <c r="PS60" s="8">
        <v>500000</v>
      </c>
      <c r="PT60" s="8">
        <v>12343599</v>
      </c>
      <c r="PU60" s="8">
        <v>617179</v>
      </c>
      <c r="PV60" s="2"/>
      <c r="PW60" s="8">
        <v>617179</v>
      </c>
      <c r="PX60" s="6">
        <v>617179.94999999995</v>
      </c>
      <c r="PY60" s="8">
        <v>2033379</v>
      </c>
      <c r="PZ60" s="2"/>
      <c r="QA60" s="8">
        <v>2033379</v>
      </c>
      <c r="QB60" s="8">
        <v>194412</v>
      </c>
      <c r="QC60" s="2"/>
      <c r="QD60" s="8">
        <v>194412</v>
      </c>
      <c r="QE60" s="8">
        <v>623670</v>
      </c>
      <c r="QF60" s="2"/>
      <c r="QG60" s="8">
        <v>623670</v>
      </c>
      <c r="QH60" s="2"/>
      <c r="QI60" s="8">
        <v>152241</v>
      </c>
      <c r="QJ60" s="8">
        <v>152241</v>
      </c>
      <c r="QK60" s="2"/>
      <c r="QL60" s="2"/>
      <c r="QM60" s="2"/>
      <c r="QN60" s="2"/>
      <c r="QO60" s="2"/>
      <c r="QP60" s="2"/>
      <c r="QQ60" s="8">
        <v>2851461</v>
      </c>
      <c r="QR60" s="8">
        <v>152241</v>
      </c>
      <c r="QS60" s="8">
        <v>3003702</v>
      </c>
      <c r="QT60" s="8">
        <v>150185</v>
      </c>
      <c r="QU60" s="2"/>
      <c r="QV60" s="8">
        <v>150185</v>
      </c>
      <c r="QW60" s="6">
        <v>150185.1</v>
      </c>
      <c r="QX60" s="8">
        <v>850305</v>
      </c>
      <c r="QY60" s="8">
        <v>418807</v>
      </c>
      <c r="QZ60" s="8">
        <v>1269112</v>
      </c>
      <c r="RA60" s="8">
        <v>177500</v>
      </c>
      <c r="RB60" s="8">
        <v>177500</v>
      </c>
      <c r="RC60" s="2"/>
      <c r="RD60" s="8">
        <v>109943</v>
      </c>
      <c r="RE60" s="8">
        <v>109943</v>
      </c>
      <c r="RF60" s="8">
        <v>850305</v>
      </c>
      <c r="RG60" s="8">
        <v>706250</v>
      </c>
      <c r="RH60" s="8">
        <v>1556555</v>
      </c>
      <c r="RI60" s="2"/>
      <c r="RJ60" s="2"/>
      <c r="RK60" s="2"/>
      <c r="RL60" s="2"/>
      <c r="RM60" s="8">
        <v>16312729</v>
      </c>
      <c r="RN60" s="8">
        <v>1358491</v>
      </c>
      <c r="RO60" s="8">
        <v>17671220</v>
      </c>
      <c r="RP60" s="2"/>
      <c r="RQ60" s="2"/>
      <c r="RR60" s="2">
        <v>0</v>
      </c>
      <c r="RS60" s="6">
        <v>0</v>
      </c>
      <c r="RT60" s="8">
        <v>2827395</v>
      </c>
      <c r="RU60" s="2"/>
      <c r="RV60" s="8">
        <v>2827395</v>
      </c>
      <c r="RW60" s="6">
        <v>2827395</v>
      </c>
      <c r="RX60" s="6">
        <v>0</v>
      </c>
      <c r="RY60" s="8">
        <v>2827395</v>
      </c>
      <c r="RZ60" s="2"/>
      <c r="SA60" s="8">
        <v>2827395</v>
      </c>
      <c r="SB60" s="6">
        <v>2827395</v>
      </c>
      <c r="SC60" s="8">
        <v>210000</v>
      </c>
      <c r="SD60" s="8">
        <v>210000</v>
      </c>
      <c r="SE60" s="6">
        <v>210000</v>
      </c>
      <c r="SF60" s="8">
        <v>1600000</v>
      </c>
      <c r="SG60" s="8">
        <v>1600000</v>
      </c>
      <c r="SH60" s="8">
        <v>19140124</v>
      </c>
      <c r="SI60" s="8">
        <v>3168491</v>
      </c>
      <c r="SJ60" s="8">
        <v>22308615</v>
      </c>
      <c r="SK60" s="2" t="s">
        <v>644</v>
      </c>
      <c r="SL60" s="2"/>
      <c r="SM60" s="2"/>
      <c r="SN60" s="2" t="s">
        <v>645</v>
      </c>
      <c r="SO60" s="2"/>
      <c r="SP60" s="8">
        <v>13750000</v>
      </c>
      <c r="SQ60" s="2" t="s">
        <v>95</v>
      </c>
      <c r="SR60" s="2"/>
      <c r="SS60" s="2"/>
      <c r="ST60" s="2"/>
      <c r="SU60" s="2"/>
      <c r="SV60" s="2"/>
      <c r="SW60" s="2"/>
      <c r="SX60" s="2" t="s">
        <v>96</v>
      </c>
      <c r="SY60" s="2" t="s">
        <v>96</v>
      </c>
      <c r="SZ60" s="2" t="s">
        <v>96</v>
      </c>
      <c r="TA60" s="2" t="s">
        <v>96</v>
      </c>
      <c r="TB60" s="8">
        <v>7710429</v>
      </c>
      <c r="TC60" s="2"/>
      <c r="TD60" s="2"/>
      <c r="TE60" s="2"/>
      <c r="TF60" s="2"/>
      <c r="TG60" s="2"/>
      <c r="TH60" s="2"/>
      <c r="TI60" s="8">
        <v>848186</v>
      </c>
      <c r="TJ60" s="8">
        <v>22308615</v>
      </c>
      <c r="TK60" s="2">
        <v>0</v>
      </c>
      <c r="TL60" s="2" t="s">
        <v>9</v>
      </c>
      <c r="TM60" s="8">
        <v>2424250</v>
      </c>
      <c r="TN60" s="2" t="s">
        <v>95</v>
      </c>
      <c r="TO60" s="2"/>
      <c r="TP60" s="2"/>
      <c r="TQ60" s="2"/>
      <c r="TR60" s="2"/>
      <c r="TS60" s="2"/>
      <c r="TT60" s="2"/>
      <c r="TU60" s="2" t="s">
        <v>96</v>
      </c>
      <c r="TV60" s="8">
        <v>19276072</v>
      </c>
      <c r="TW60" s="2"/>
      <c r="TX60" s="2"/>
      <c r="TY60" s="2"/>
      <c r="TZ60" s="2"/>
      <c r="UA60" s="2"/>
      <c r="UB60" s="2"/>
      <c r="UC60" s="8">
        <v>608293</v>
      </c>
      <c r="UD60" s="8">
        <v>22308615</v>
      </c>
      <c r="UE60" s="6">
        <v>2424250</v>
      </c>
      <c r="UF60" s="2">
        <v>0</v>
      </c>
      <c r="UG60" s="2" t="s">
        <v>9</v>
      </c>
      <c r="UH60" s="2">
        <v>60</v>
      </c>
      <c r="UI60" s="5">
        <v>270000</v>
      </c>
      <c r="UJ60" s="6">
        <v>360000</v>
      </c>
      <c r="UK60" s="6">
        <v>360000</v>
      </c>
      <c r="UL60" s="6">
        <v>381600</v>
      </c>
      <c r="UM60" s="6">
        <v>22896000</v>
      </c>
      <c r="UN60" s="6">
        <v>3663360</v>
      </c>
      <c r="UO60" s="6">
        <v>3663360</v>
      </c>
      <c r="UP60" s="6">
        <v>26559360</v>
      </c>
      <c r="UQ60" s="6">
        <v>20498615</v>
      </c>
      <c r="UR60" s="2"/>
      <c r="US60" s="2"/>
      <c r="UT60" s="6">
        <v>0</v>
      </c>
      <c r="UU60" s="2"/>
      <c r="UV60" s="6">
        <v>0</v>
      </c>
      <c r="UW60" s="6">
        <v>0</v>
      </c>
      <c r="UX60" s="6">
        <v>0</v>
      </c>
      <c r="UY60" s="6">
        <v>0</v>
      </c>
      <c r="UZ60" s="2"/>
      <c r="VA60" s="2"/>
      <c r="VB60" s="2"/>
      <c r="VC60" s="2"/>
      <c r="VD60" s="2" t="s">
        <v>17</v>
      </c>
      <c r="VE60" s="2" t="s">
        <v>17</v>
      </c>
      <c r="VF60" s="2"/>
      <c r="VG60" s="2" t="s">
        <v>17</v>
      </c>
      <c r="VH60" s="2"/>
      <c r="VI60" s="388" t="s">
        <v>646</v>
      </c>
      <c r="VJ60" s="2" t="s">
        <v>98</v>
      </c>
      <c r="VK60" s="2" t="s">
        <v>185</v>
      </c>
      <c r="VL60" s="23">
        <f t="shared" si="21"/>
        <v>102</v>
      </c>
      <c r="VM60" s="17">
        <f t="shared" si="22"/>
        <v>1.7</v>
      </c>
      <c r="VN60" s="17" t="str">
        <f t="shared" si="12"/>
        <v>NC-MR-F</v>
      </c>
      <c r="VO60" s="17" t="str">
        <f t="shared" si="13"/>
        <v>NC-MR-F-ESS</v>
      </c>
      <c r="VP60" s="12">
        <v>9</v>
      </c>
      <c r="VQ60" s="57">
        <v>1</v>
      </c>
      <c r="VR60" s="57">
        <f t="shared" si="23"/>
        <v>1</v>
      </c>
      <c r="VS60" s="14">
        <f t="shared" si="24"/>
        <v>1</v>
      </c>
      <c r="VT60" s="12">
        <f t="shared" si="25"/>
        <v>0.90210000000000001</v>
      </c>
      <c r="VU60" s="16">
        <f t="shared" si="26"/>
        <v>17390683.800000001</v>
      </c>
      <c r="VV60" s="16">
        <f t="shared" si="27"/>
        <v>289844.73000000004</v>
      </c>
      <c r="VW60" s="12" t="str">
        <f t="shared" si="14"/>
        <v>B</v>
      </c>
      <c r="VX60" s="12" t="str">
        <f t="shared" si="15"/>
        <v>NC-MR-ESS</v>
      </c>
      <c r="VY60" s="351">
        <f t="shared" si="16"/>
        <v>5</v>
      </c>
      <c r="WA60" s="12">
        <f t="shared" si="17"/>
        <v>0</v>
      </c>
      <c r="WB60" s="12">
        <f t="shared" si="18"/>
        <v>0</v>
      </c>
      <c r="WC60" s="12">
        <f t="shared" si="18"/>
        <v>0</v>
      </c>
      <c r="WD60" s="12">
        <f t="shared" si="18"/>
        <v>0</v>
      </c>
      <c r="WE60" s="12">
        <f t="shared" si="19"/>
        <v>1</v>
      </c>
      <c r="WF60" s="12">
        <f t="shared" si="28"/>
        <v>0</v>
      </c>
      <c r="WG60" s="12">
        <f t="shared" si="29"/>
        <v>1</v>
      </c>
      <c r="WH60" s="12">
        <f t="shared" si="30"/>
        <v>0</v>
      </c>
      <c r="WI60" s="22">
        <f t="shared" si="31"/>
        <v>2</v>
      </c>
      <c r="WJ60" s="2"/>
      <c r="WK60" s="446" t="str">
        <f t="shared" si="20"/>
        <v>NC-MR-ESS-BBN-BRN-NPH-F</v>
      </c>
      <c r="WL60" s="446"/>
      <c r="WM60" s="446"/>
    </row>
    <row r="61" spans="1:611" x14ac:dyDescent="0.25">
      <c r="A61" s="2">
        <v>9362</v>
      </c>
      <c r="B61" s="2" t="s">
        <v>186</v>
      </c>
      <c r="C61" s="2" t="s">
        <v>8</v>
      </c>
      <c r="D61" s="3">
        <v>45153</v>
      </c>
      <c r="E61" s="2" t="s">
        <v>9</v>
      </c>
      <c r="F61" s="2">
        <v>3</v>
      </c>
      <c r="G61" s="2" t="s">
        <v>9</v>
      </c>
      <c r="H61" s="2">
        <v>3</v>
      </c>
      <c r="I61" s="2" t="s">
        <v>9</v>
      </c>
      <c r="J61" s="2">
        <v>3</v>
      </c>
      <c r="K61" s="2" t="s">
        <v>9</v>
      </c>
      <c r="L61" s="2">
        <v>3</v>
      </c>
      <c r="M61" s="2" t="s">
        <v>10</v>
      </c>
      <c r="N61" s="2">
        <v>0</v>
      </c>
      <c r="O61" s="2" t="s">
        <v>10</v>
      </c>
      <c r="P61" s="2">
        <v>0</v>
      </c>
      <c r="Q61" s="2" t="s">
        <v>11</v>
      </c>
      <c r="R61" s="2">
        <v>0</v>
      </c>
      <c r="S61" s="2" t="s">
        <v>9</v>
      </c>
      <c r="T61" s="2">
        <v>2</v>
      </c>
      <c r="U61" s="2" t="s">
        <v>9</v>
      </c>
      <c r="V61" s="2">
        <v>2</v>
      </c>
      <c r="W61" s="2" t="s">
        <v>9</v>
      </c>
      <c r="X61" s="2">
        <v>2</v>
      </c>
      <c r="Y61" s="2" t="s">
        <v>12</v>
      </c>
      <c r="Z61" s="2" t="s">
        <v>187</v>
      </c>
      <c r="AA61" s="2" t="s">
        <v>188</v>
      </c>
      <c r="AB61" s="2" t="s">
        <v>189</v>
      </c>
      <c r="AC61" s="2" t="s">
        <v>15</v>
      </c>
      <c r="AD61" s="2" t="s">
        <v>15</v>
      </c>
      <c r="AE61" s="2" t="s">
        <v>15</v>
      </c>
      <c r="AF61" s="2">
        <v>3</v>
      </c>
      <c r="AG61" s="2" t="s">
        <v>190</v>
      </c>
      <c r="AH61" s="2" t="s">
        <v>17</v>
      </c>
      <c r="AI61" s="4">
        <v>0.16216</v>
      </c>
      <c r="AJ61" s="2" t="s">
        <v>17</v>
      </c>
      <c r="AK61" s="2" t="s">
        <v>9</v>
      </c>
      <c r="AL61" s="2" t="s">
        <v>17</v>
      </c>
      <c r="AM61" s="2" t="s">
        <v>17</v>
      </c>
      <c r="AN61" s="2" t="s">
        <v>17</v>
      </c>
      <c r="AO61" s="2" t="s">
        <v>17</v>
      </c>
      <c r="AP61" s="2" t="s">
        <v>9</v>
      </c>
      <c r="AQ61" s="2" t="s">
        <v>17</v>
      </c>
      <c r="AR61" s="2" t="s">
        <v>17</v>
      </c>
      <c r="AS61" s="2" t="s">
        <v>17</v>
      </c>
      <c r="AT61" s="2">
        <v>0</v>
      </c>
      <c r="AU61" s="5">
        <v>37500</v>
      </c>
      <c r="AV61" s="5">
        <v>460000</v>
      </c>
      <c r="AW61" s="2">
        <v>0</v>
      </c>
      <c r="AX61" s="2">
        <v>9</v>
      </c>
      <c r="AY61" s="2">
        <v>0</v>
      </c>
      <c r="AZ61" s="2">
        <v>18</v>
      </c>
      <c r="BA61" s="2">
        <v>0</v>
      </c>
      <c r="BB61" s="2">
        <v>1</v>
      </c>
      <c r="BC61" s="2">
        <v>1</v>
      </c>
      <c r="BD61" s="2">
        <v>0</v>
      </c>
      <c r="BE61" s="2">
        <v>0</v>
      </c>
      <c r="BF61" s="2">
        <v>1</v>
      </c>
      <c r="BG61" s="2">
        <v>0</v>
      </c>
      <c r="BH61" s="2">
        <v>0</v>
      </c>
      <c r="BI61" s="2">
        <v>13</v>
      </c>
      <c r="BJ61" s="2">
        <v>1</v>
      </c>
      <c r="BK61" s="2">
        <v>0</v>
      </c>
      <c r="BL61" s="2">
        <v>3</v>
      </c>
      <c r="BM61" s="2">
        <v>0</v>
      </c>
      <c r="BN61" s="2">
        <v>12</v>
      </c>
      <c r="BO61" s="2">
        <v>11</v>
      </c>
      <c r="BP61" s="2">
        <v>0</v>
      </c>
      <c r="BQ61" s="2">
        <v>10</v>
      </c>
      <c r="BR61" s="2">
        <v>11.3</v>
      </c>
      <c r="BS61" s="2">
        <v>0</v>
      </c>
      <c r="BT61" s="4">
        <v>0.06</v>
      </c>
      <c r="BU61" s="2" t="s">
        <v>9</v>
      </c>
      <c r="BV61" s="6">
        <v>239672.43</v>
      </c>
      <c r="BW61" s="2" t="s">
        <v>18</v>
      </c>
      <c r="BX61" s="2" t="s">
        <v>17</v>
      </c>
      <c r="BY61" s="2" t="s">
        <v>17</v>
      </c>
      <c r="BZ61" s="2" t="s">
        <v>17</v>
      </c>
      <c r="CA61" s="2" t="s">
        <v>17</v>
      </c>
      <c r="CB61" s="2" t="s">
        <v>17</v>
      </c>
      <c r="CC61" s="2" t="s">
        <v>17</v>
      </c>
      <c r="CD61" s="2" t="s">
        <v>17</v>
      </c>
      <c r="CE61" s="2" t="s">
        <v>191</v>
      </c>
      <c r="CF61" s="2" t="s">
        <v>17</v>
      </c>
      <c r="CG61" s="2" t="s">
        <v>192</v>
      </c>
      <c r="CH61" s="2"/>
      <c r="CI61" s="2"/>
      <c r="CJ61" s="2" t="s">
        <v>9</v>
      </c>
      <c r="CK61" s="2" t="s">
        <v>193</v>
      </c>
      <c r="CL61" s="2" t="s">
        <v>192</v>
      </c>
      <c r="CM61" s="2" t="s">
        <v>194</v>
      </c>
      <c r="CN61" s="2" t="s">
        <v>195</v>
      </c>
      <c r="CO61" s="2" t="s">
        <v>24</v>
      </c>
      <c r="CP61" s="2"/>
      <c r="CQ61" s="2">
        <v>280</v>
      </c>
      <c r="CR61" s="2" t="s">
        <v>196</v>
      </c>
      <c r="CS61" s="2">
        <v>2020</v>
      </c>
      <c r="CT61" s="2" t="s">
        <v>26</v>
      </c>
      <c r="CU61" s="2" t="s">
        <v>27</v>
      </c>
      <c r="CV61" s="2" t="s">
        <v>197</v>
      </c>
      <c r="CW61" s="2" t="s">
        <v>198</v>
      </c>
      <c r="CX61" s="2" t="s">
        <v>24</v>
      </c>
      <c r="CY61" s="2"/>
      <c r="CZ61" s="2">
        <v>199</v>
      </c>
      <c r="DA61" s="2" t="s">
        <v>196</v>
      </c>
      <c r="DB61" s="2">
        <v>2019</v>
      </c>
      <c r="DC61" s="2" t="s">
        <v>30</v>
      </c>
      <c r="DD61" s="2" t="s">
        <v>27</v>
      </c>
      <c r="DE61" s="2" t="s">
        <v>199</v>
      </c>
      <c r="DF61" s="2" t="s">
        <v>200</v>
      </c>
      <c r="DG61" s="2" t="s">
        <v>24</v>
      </c>
      <c r="DH61" s="2"/>
      <c r="DI61" s="2">
        <v>194</v>
      </c>
      <c r="DJ61" s="2" t="s">
        <v>196</v>
      </c>
      <c r="DK61" s="2">
        <v>2017</v>
      </c>
      <c r="DL61" s="2" t="s">
        <v>30</v>
      </c>
      <c r="DM61" s="2" t="s">
        <v>27</v>
      </c>
      <c r="DN61" s="2" t="s">
        <v>33</v>
      </c>
      <c r="DO61" s="2" t="s">
        <v>201</v>
      </c>
      <c r="DP61" s="2" t="s">
        <v>202</v>
      </c>
      <c r="DQ61" s="2" t="s">
        <v>203</v>
      </c>
      <c r="DR61" s="2" t="s">
        <v>204</v>
      </c>
      <c r="DS61" s="2">
        <v>1</v>
      </c>
      <c r="DT61" s="2" t="s">
        <v>205</v>
      </c>
      <c r="DU61" s="2" t="s">
        <v>206</v>
      </c>
      <c r="DV61" s="2" t="s">
        <v>207</v>
      </c>
      <c r="DW61" s="2">
        <v>37212</v>
      </c>
      <c r="DX61" s="2" t="s">
        <v>208</v>
      </c>
      <c r="DY61" s="2"/>
      <c r="DZ61" s="2" t="s">
        <v>209</v>
      </c>
      <c r="EA61" s="2" t="s">
        <v>204</v>
      </c>
      <c r="EB61" s="2" t="s">
        <v>210</v>
      </c>
      <c r="EC61" s="2" t="s">
        <v>195</v>
      </c>
      <c r="ED61" s="2" t="s">
        <v>44</v>
      </c>
      <c r="EE61" s="2">
        <v>209</v>
      </c>
      <c r="EF61" s="2" t="s">
        <v>211</v>
      </c>
      <c r="EG61" s="2">
        <v>4</v>
      </c>
      <c r="EH61" s="2" t="s">
        <v>46</v>
      </c>
      <c r="EI61" s="2" t="s">
        <v>47</v>
      </c>
      <c r="EJ61" s="2" t="s">
        <v>212</v>
      </c>
      <c r="EK61" s="2" t="s">
        <v>198</v>
      </c>
      <c r="EL61" s="2" t="s">
        <v>44</v>
      </c>
      <c r="EM61" s="2">
        <v>221</v>
      </c>
      <c r="EN61" s="2" t="s">
        <v>211</v>
      </c>
      <c r="EO61" s="2">
        <v>5</v>
      </c>
      <c r="EP61" s="2" t="s">
        <v>46</v>
      </c>
      <c r="EQ61" s="2" t="s">
        <v>47</v>
      </c>
      <c r="ER61" s="2" t="s">
        <v>201</v>
      </c>
      <c r="ES61" s="2" t="s">
        <v>202</v>
      </c>
      <c r="ET61" s="2" t="s">
        <v>203</v>
      </c>
      <c r="EU61" s="2" t="s">
        <v>191</v>
      </c>
      <c r="EV61" s="2" t="s">
        <v>213</v>
      </c>
      <c r="EW61" s="2" t="s">
        <v>214</v>
      </c>
      <c r="EX61" s="2" t="s">
        <v>207</v>
      </c>
      <c r="EY61" s="2">
        <v>37212</v>
      </c>
      <c r="EZ61" s="2" t="s">
        <v>208</v>
      </c>
      <c r="FA61" s="2"/>
      <c r="FB61" s="2" t="s">
        <v>209</v>
      </c>
      <c r="FC61" s="2" t="s">
        <v>215</v>
      </c>
      <c r="FD61" s="2"/>
      <c r="FE61" s="2" t="s">
        <v>216</v>
      </c>
      <c r="FF61" s="2" t="s">
        <v>191</v>
      </c>
      <c r="FG61" s="2" t="s">
        <v>213</v>
      </c>
      <c r="FH61" s="2" t="s">
        <v>214</v>
      </c>
      <c r="FI61" s="2" t="s">
        <v>207</v>
      </c>
      <c r="FJ61" s="2">
        <v>37212</v>
      </c>
      <c r="FK61" s="2" t="s">
        <v>208</v>
      </c>
      <c r="FL61" s="2"/>
      <c r="FM61" s="2" t="s">
        <v>217</v>
      </c>
      <c r="FN61" s="2" t="s">
        <v>218</v>
      </c>
      <c r="FO61" s="2" t="s">
        <v>63</v>
      </c>
      <c r="FP61" s="2" t="s">
        <v>64</v>
      </c>
      <c r="FQ61" s="2" t="s">
        <v>9</v>
      </c>
      <c r="FR61" s="2" t="s">
        <v>17</v>
      </c>
      <c r="FS61" s="2" t="s">
        <v>17</v>
      </c>
      <c r="FT61" s="2" t="s">
        <v>9</v>
      </c>
      <c r="FU61" s="2">
        <v>0</v>
      </c>
      <c r="FV61" s="2">
        <v>0</v>
      </c>
      <c r="FW61" s="4">
        <v>0</v>
      </c>
      <c r="FX61" s="4">
        <v>0</v>
      </c>
      <c r="FY61" s="2" t="s">
        <v>65</v>
      </c>
      <c r="FZ61" s="2" t="s">
        <v>66</v>
      </c>
      <c r="GA61" s="2" t="s">
        <v>67</v>
      </c>
      <c r="GB61" s="2"/>
      <c r="GC61" s="2"/>
      <c r="GD61" s="2"/>
      <c r="GE61" s="2" t="s">
        <v>68</v>
      </c>
      <c r="GF61" s="2"/>
      <c r="GG61" s="2"/>
      <c r="GH61" s="2">
        <v>74</v>
      </c>
      <c r="GI61" s="2"/>
      <c r="GJ61" s="2"/>
      <c r="GK61" s="2"/>
      <c r="GL61" s="2"/>
      <c r="GM61" s="2"/>
      <c r="GN61" s="2"/>
      <c r="GO61" s="2"/>
      <c r="GP61" s="2"/>
      <c r="GQ61" s="2">
        <v>74</v>
      </c>
      <c r="GR61" s="2" t="s">
        <v>219</v>
      </c>
      <c r="GS61" s="2" t="s">
        <v>70</v>
      </c>
      <c r="GT61" s="2" t="s">
        <v>220</v>
      </c>
      <c r="GU61" s="2" t="s">
        <v>221</v>
      </c>
      <c r="GV61" s="2" t="s">
        <v>17</v>
      </c>
      <c r="GW61" s="2">
        <v>30.499375000000001</v>
      </c>
      <c r="GX61" s="2">
        <v>-84.332425999999998</v>
      </c>
      <c r="GY61" s="2"/>
      <c r="GZ61" s="2" t="s">
        <v>17</v>
      </c>
      <c r="HA61" s="2" t="s">
        <v>17</v>
      </c>
      <c r="HB61" s="2">
        <v>0</v>
      </c>
      <c r="HC61" s="2" t="s">
        <v>17</v>
      </c>
      <c r="HD61" s="2"/>
      <c r="HE61" s="2">
        <v>0</v>
      </c>
      <c r="HF61" s="2">
        <v>30.499244999999998</v>
      </c>
      <c r="HG61" s="2">
        <v>-84.334984000000006</v>
      </c>
      <c r="HH61" s="2">
        <v>0.15</v>
      </c>
      <c r="HI61" s="2">
        <v>6</v>
      </c>
      <c r="HJ61" s="2">
        <v>30.498901</v>
      </c>
      <c r="HK61" s="2">
        <v>-84.335020999999998</v>
      </c>
      <c r="HL61" s="2">
        <v>0.16</v>
      </c>
      <c r="HM61" s="2">
        <v>30.501594999999998</v>
      </c>
      <c r="HN61" s="2">
        <v>-84.328980999999999</v>
      </c>
      <c r="HO61" s="2">
        <v>0.26</v>
      </c>
      <c r="HP61" s="2"/>
      <c r="HQ61" s="2"/>
      <c r="HR61" s="2"/>
      <c r="HS61" s="2"/>
      <c r="HT61" s="2"/>
      <c r="HU61" s="2"/>
      <c r="HV61" s="2"/>
      <c r="HW61" s="2"/>
      <c r="HX61" s="2" t="s">
        <v>73</v>
      </c>
      <c r="HY61" s="2" t="s">
        <v>17</v>
      </c>
      <c r="HZ61" s="2"/>
      <c r="IA61" s="2" t="s">
        <v>222</v>
      </c>
      <c r="IB61" s="2" t="s">
        <v>223</v>
      </c>
      <c r="IC61" s="2">
        <v>0.46</v>
      </c>
      <c r="ID61" s="2">
        <v>3.5</v>
      </c>
      <c r="IE61" s="2"/>
      <c r="IF61" s="2"/>
      <c r="IG61" s="2"/>
      <c r="IH61" s="2" t="s">
        <v>224</v>
      </c>
      <c r="II61" s="2">
        <v>0.25</v>
      </c>
      <c r="IJ61" s="2">
        <v>4</v>
      </c>
      <c r="IK61" s="2" t="s">
        <v>225</v>
      </c>
      <c r="IL61" s="2" t="s">
        <v>226</v>
      </c>
      <c r="IM61" s="2">
        <v>0.62</v>
      </c>
      <c r="IN61" s="2">
        <v>3.5</v>
      </c>
      <c r="IO61" s="2" t="s">
        <v>17</v>
      </c>
      <c r="IP61" s="2">
        <v>6</v>
      </c>
      <c r="IQ61" s="2">
        <v>11</v>
      </c>
      <c r="IR61" s="2">
        <v>0</v>
      </c>
      <c r="IS61" s="2">
        <v>17</v>
      </c>
      <c r="IT61" s="2" t="s">
        <v>17</v>
      </c>
      <c r="IU61" s="2" t="s">
        <v>17</v>
      </c>
      <c r="IV61" s="2" t="s">
        <v>17</v>
      </c>
      <c r="IW61" s="2" t="s">
        <v>9</v>
      </c>
      <c r="IX61" s="2" t="s">
        <v>9</v>
      </c>
      <c r="IY61" s="2">
        <v>17</v>
      </c>
      <c r="IZ61" s="2">
        <v>74</v>
      </c>
      <c r="JA61" s="2" t="s">
        <v>81</v>
      </c>
      <c r="JB61" s="2" t="s">
        <v>82</v>
      </c>
      <c r="JC61" s="2"/>
      <c r="JD61" s="2"/>
      <c r="JE61" s="2"/>
      <c r="JF61" s="2"/>
      <c r="JG61" s="2"/>
      <c r="JH61" s="7">
        <v>0</v>
      </c>
      <c r="JI61" s="2">
        <v>0</v>
      </c>
      <c r="JJ61" s="7">
        <v>0</v>
      </c>
      <c r="JK61" s="2">
        <v>0</v>
      </c>
      <c r="JL61" s="7">
        <v>0</v>
      </c>
      <c r="JM61" s="2">
        <v>12</v>
      </c>
      <c r="JN61" s="2"/>
      <c r="JO61" s="2"/>
      <c r="JP61" s="2">
        <v>26</v>
      </c>
      <c r="JQ61" s="2">
        <v>36</v>
      </c>
      <c r="JR61" s="2"/>
      <c r="JS61" s="2">
        <v>0</v>
      </c>
      <c r="JT61" s="2">
        <v>0</v>
      </c>
      <c r="JU61" s="2"/>
      <c r="JV61" s="2">
        <v>74</v>
      </c>
      <c r="JW61" s="4">
        <v>1</v>
      </c>
      <c r="JX61" s="2">
        <v>74</v>
      </c>
      <c r="JY61" s="4">
        <v>0.6</v>
      </c>
      <c r="JZ61" s="2">
        <v>0</v>
      </c>
      <c r="KA61" s="2"/>
      <c r="KB61" s="2"/>
      <c r="KC61" s="2"/>
      <c r="KD61" s="2"/>
      <c r="KE61" s="2"/>
      <c r="KF61" s="2"/>
      <c r="KG61" s="2"/>
      <c r="KH61" s="2"/>
      <c r="KI61" s="2">
        <v>44</v>
      </c>
      <c r="KJ61" s="2"/>
      <c r="KK61" s="2"/>
      <c r="KL61" s="2">
        <v>30</v>
      </c>
      <c r="KM61" s="2"/>
      <c r="KN61" s="2"/>
      <c r="KO61" s="2"/>
      <c r="KP61" s="2"/>
      <c r="KQ61" s="2" t="s">
        <v>83</v>
      </c>
      <c r="KR61" s="2" t="s">
        <v>73</v>
      </c>
      <c r="KS61" s="2"/>
      <c r="KT61" s="2">
        <v>3</v>
      </c>
      <c r="KU61" s="2" t="s">
        <v>84</v>
      </c>
      <c r="KV61" s="2" t="s">
        <v>85</v>
      </c>
      <c r="KW61" s="2" t="s">
        <v>86</v>
      </c>
      <c r="KX61" s="2" t="s">
        <v>17</v>
      </c>
      <c r="KY61" s="2" t="s">
        <v>17</v>
      </c>
      <c r="KZ61" s="2" t="s">
        <v>17</v>
      </c>
      <c r="LA61" s="2" t="s">
        <v>17</v>
      </c>
      <c r="LB61" s="2" t="s">
        <v>17</v>
      </c>
      <c r="LC61" s="2" t="s">
        <v>17</v>
      </c>
      <c r="LD61" s="2" t="s">
        <v>17</v>
      </c>
      <c r="LE61" s="2" t="s">
        <v>17</v>
      </c>
      <c r="LF61" s="2" t="s">
        <v>17</v>
      </c>
      <c r="LG61" s="2" t="s">
        <v>17</v>
      </c>
      <c r="LH61" s="2" t="s">
        <v>17</v>
      </c>
      <c r="LI61" s="2" t="s">
        <v>17</v>
      </c>
      <c r="LJ61" s="2" t="s">
        <v>87</v>
      </c>
      <c r="LK61" s="2" t="s">
        <v>17</v>
      </c>
      <c r="LL61" s="2" t="s">
        <v>17</v>
      </c>
      <c r="LM61" s="2">
        <v>0</v>
      </c>
      <c r="LN61" s="2" t="s">
        <v>17</v>
      </c>
      <c r="LO61" s="2" t="s">
        <v>17</v>
      </c>
      <c r="LP61" s="2" t="s">
        <v>9</v>
      </c>
      <c r="LQ61" s="2" t="s">
        <v>17</v>
      </c>
      <c r="LR61" s="2" t="s">
        <v>9</v>
      </c>
      <c r="LS61" s="2" t="s">
        <v>9</v>
      </c>
      <c r="LT61" s="2" t="s">
        <v>17</v>
      </c>
      <c r="LU61" s="2" t="s">
        <v>17</v>
      </c>
      <c r="LV61" s="2" t="s">
        <v>17</v>
      </c>
      <c r="LW61" s="2" t="s">
        <v>17</v>
      </c>
      <c r="LX61" s="2" t="s">
        <v>17</v>
      </c>
      <c r="LY61" s="5">
        <v>5920000</v>
      </c>
      <c r="LZ61" s="5">
        <v>0</v>
      </c>
      <c r="MA61" s="5">
        <v>7200000</v>
      </c>
      <c r="MB61" s="5">
        <v>0</v>
      </c>
      <c r="MC61" s="5">
        <v>0</v>
      </c>
      <c r="MD61" s="5">
        <v>0</v>
      </c>
      <c r="ME61" s="5">
        <v>7770000</v>
      </c>
      <c r="MF61" s="5">
        <v>0</v>
      </c>
      <c r="MG61" s="5">
        <v>0</v>
      </c>
      <c r="MH61" s="5">
        <v>0</v>
      </c>
      <c r="MI61" s="5">
        <v>0</v>
      </c>
      <c r="MJ61" s="5">
        <v>0</v>
      </c>
      <c r="MK61" s="5">
        <v>0</v>
      </c>
      <c r="ML61" s="2">
        <v>0</v>
      </c>
      <c r="MM61" s="5">
        <v>0</v>
      </c>
      <c r="MN61" s="5">
        <v>0</v>
      </c>
      <c r="MO61" s="2">
        <v>0</v>
      </c>
      <c r="MP61" s="2">
        <v>0</v>
      </c>
      <c r="MQ61" s="2">
        <v>0</v>
      </c>
      <c r="MR61" s="5">
        <v>2950000</v>
      </c>
      <c r="MS61" s="5">
        <v>0</v>
      </c>
      <c r="MT61" s="5">
        <v>4600000</v>
      </c>
      <c r="MU61" s="5">
        <v>0</v>
      </c>
      <c r="MV61" s="5">
        <v>0</v>
      </c>
      <c r="MW61" s="5">
        <v>0</v>
      </c>
      <c r="MX61" s="5">
        <v>0</v>
      </c>
      <c r="MY61" s="5">
        <v>2500000</v>
      </c>
      <c r="MZ61" s="5">
        <v>0</v>
      </c>
      <c r="NA61" s="5">
        <v>5000000</v>
      </c>
      <c r="NB61" s="5">
        <v>0</v>
      </c>
      <c r="NC61" s="5">
        <v>0</v>
      </c>
      <c r="ND61" s="5">
        <v>0</v>
      </c>
      <c r="NE61" s="5">
        <v>0</v>
      </c>
      <c r="NF61" s="5">
        <v>0</v>
      </c>
      <c r="NG61" s="5">
        <v>2142000</v>
      </c>
      <c r="NH61" s="5">
        <v>2142000</v>
      </c>
      <c r="NI61" s="5">
        <v>2142000</v>
      </c>
      <c r="NJ61" s="5">
        <v>0</v>
      </c>
      <c r="NK61" s="5"/>
      <c r="NL61" s="2" t="s">
        <v>17</v>
      </c>
      <c r="NM61" s="2" t="s">
        <v>17</v>
      </c>
      <c r="NN61" s="2"/>
      <c r="NO61" s="2" t="s">
        <v>17</v>
      </c>
      <c r="NP61" s="2"/>
      <c r="NQ61" s="2"/>
      <c r="NR61" s="2" t="s">
        <v>17</v>
      </c>
      <c r="NS61" s="2"/>
      <c r="NT61" s="2" t="s">
        <v>17</v>
      </c>
      <c r="NU61" s="2"/>
      <c r="NV61" s="2"/>
      <c r="NW61" s="2"/>
      <c r="NX61" s="2" t="s">
        <v>9</v>
      </c>
      <c r="NY61" s="2" t="s">
        <v>88</v>
      </c>
      <c r="NZ61" s="2">
        <v>22.07</v>
      </c>
      <c r="OA61" s="2" t="s">
        <v>227</v>
      </c>
      <c r="OB61" s="2" t="s">
        <v>228</v>
      </c>
      <c r="OC61" s="2" t="s">
        <v>228</v>
      </c>
      <c r="OD61" s="2" t="s">
        <v>17</v>
      </c>
      <c r="OE61" s="2" t="s">
        <v>91</v>
      </c>
      <c r="OF61" s="2" t="s">
        <v>17</v>
      </c>
      <c r="OG61" s="2" t="s">
        <v>9</v>
      </c>
      <c r="OH61" s="2" t="s">
        <v>92</v>
      </c>
      <c r="OI61" s="2"/>
      <c r="OJ61" s="2"/>
      <c r="OK61" s="2" t="s">
        <v>17</v>
      </c>
      <c r="OL61" s="2" t="s">
        <v>17</v>
      </c>
      <c r="OM61" s="2" t="s">
        <v>85</v>
      </c>
      <c r="ON61" s="6">
        <v>0</v>
      </c>
      <c r="OO61" s="6">
        <v>0</v>
      </c>
      <c r="OP61" s="2" t="s">
        <v>93</v>
      </c>
      <c r="OQ61" s="2" t="s">
        <v>93</v>
      </c>
      <c r="OR61" s="6">
        <v>0</v>
      </c>
      <c r="OS61" s="4">
        <v>0</v>
      </c>
      <c r="OT61" s="2" t="s">
        <v>17</v>
      </c>
      <c r="OU61" s="2" t="s">
        <v>17</v>
      </c>
      <c r="OV61" s="2"/>
      <c r="OW61" s="2"/>
      <c r="OX61" s="5">
        <v>17735760</v>
      </c>
      <c r="OY61" s="6">
        <v>239672.43</v>
      </c>
      <c r="OZ61" s="2"/>
      <c r="PA61" s="2"/>
      <c r="PB61" s="8">
        <v>14390000</v>
      </c>
      <c r="PC61" s="2"/>
      <c r="PD61" s="8">
        <v>14390000</v>
      </c>
      <c r="PE61" s="8">
        <v>900000</v>
      </c>
      <c r="PF61" s="8">
        <v>100000</v>
      </c>
      <c r="PG61" s="8">
        <v>1000000</v>
      </c>
      <c r="PH61" s="2"/>
      <c r="PI61" s="2"/>
      <c r="PJ61" s="2"/>
      <c r="PK61" s="8">
        <v>15290000</v>
      </c>
      <c r="PL61" s="8">
        <v>100000</v>
      </c>
      <c r="PM61" s="8">
        <v>15390000</v>
      </c>
      <c r="PN61" s="8">
        <v>2000000</v>
      </c>
      <c r="PO61" s="2"/>
      <c r="PP61" s="8">
        <v>2000000</v>
      </c>
      <c r="PQ61" s="6">
        <v>2154600</v>
      </c>
      <c r="PR61" s="8">
        <v>17290000</v>
      </c>
      <c r="PS61" s="8">
        <v>100000</v>
      </c>
      <c r="PT61" s="8">
        <v>17390000</v>
      </c>
      <c r="PU61" s="8">
        <v>869500</v>
      </c>
      <c r="PV61" s="2"/>
      <c r="PW61" s="8">
        <v>869500</v>
      </c>
      <c r="PX61" s="6">
        <v>869500</v>
      </c>
      <c r="PY61" s="8">
        <v>967250</v>
      </c>
      <c r="PZ61" s="8">
        <v>230000</v>
      </c>
      <c r="QA61" s="8">
        <v>1197250</v>
      </c>
      <c r="QB61" s="8">
        <v>270000</v>
      </c>
      <c r="QC61" s="2"/>
      <c r="QD61" s="8">
        <v>270000</v>
      </c>
      <c r="QE61" s="8">
        <v>40000</v>
      </c>
      <c r="QF61" s="8">
        <v>65000</v>
      </c>
      <c r="QG61" s="8">
        <v>105000</v>
      </c>
      <c r="QH61" s="2"/>
      <c r="QI61" s="8">
        <v>434197</v>
      </c>
      <c r="QJ61" s="8">
        <v>434197</v>
      </c>
      <c r="QK61" s="2"/>
      <c r="QL61" s="2"/>
      <c r="QM61" s="2"/>
      <c r="QN61" s="8">
        <v>445000</v>
      </c>
      <c r="QO61" s="8">
        <v>80000</v>
      </c>
      <c r="QP61" s="8">
        <v>525000</v>
      </c>
      <c r="QQ61" s="8">
        <v>1722250</v>
      </c>
      <c r="QR61" s="8">
        <v>809197</v>
      </c>
      <c r="QS61" s="8">
        <v>2531447</v>
      </c>
      <c r="QT61" s="8">
        <v>75000</v>
      </c>
      <c r="QU61" s="8">
        <v>25000</v>
      </c>
      <c r="QV61" s="8">
        <v>100000</v>
      </c>
      <c r="QW61" s="6">
        <v>126572.35</v>
      </c>
      <c r="QX61" s="8">
        <v>1482500</v>
      </c>
      <c r="QY61" s="8">
        <v>412500</v>
      </c>
      <c r="QZ61" s="8">
        <v>1895000</v>
      </c>
      <c r="RA61" s="8">
        <v>87350</v>
      </c>
      <c r="RB61" s="8">
        <v>87350</v>
      </c>
      <c r="RC61" s="8">
        <v>40000</v>
      </c>
      <c r="RD61" s="8">
        <v>25000</v>
      </c>
      <c r="RE61" s="8">
        <v>65000</v>
      </c>
      <c r="RF61" s="8">
        <v>1522500</v>
      </c>
      <c r="RG61" s="8">
        <v>524850</v>
      </c>
      <c r="RH61" s="8">
        <v>2047350</v>
      </c>
      <c r="RI61" s="2"/>
      <c r="RJ61" s="2"/>
      <c r="RK61" s="2"/>
      <c r="RL61" s="2"/>
      <c r="RM61" s="8">
        <v>21479250</v>
      </c>
      <c r="RN61" s="8">
        <v>1459047</v>
      </c>
      <c r="RO61" s="8">
        <v>22938297</v>
      </c>
      <c r="RP61" s="2"/>
      <c r="RQ61" s="2"/>
      <c r="RR61" s="2">
        <v>0</v>
      </c>
      <c r="RS61" s="6">
        <v>0</v>
      </c>
      <c r="RT61" s="8">
        <v>3200000</v>
      </c>
      <c r="RU61" s="2"/>
      <c r="RV61" s="8">
        <v>3200000</v>
      </c>
      <c r="RW61" s="6">
        <v>3670127</v>
      </c>
      <c r="RX61" s="6">
        <v>0</v>
      </c>
      <c r="RY61" s="8">
        <v>3200000</v>
      </c>
      <c r="RZ61" s="2"/>
      <c r="SA61" s="8">
        <v>3200000</v>
      </c>
      <c r="SB61" s="6">
        <v>3670127</v>
      </c>
      <c r="SC61" s="8">
        <v>259000</v>
      </c>
      <c r="SD61" s="8">
        <v>259000</v>
      </c>
      <c r="SE61" s="6">
        <v>259000</v>
      </c>
      <c r="SF61" s="8">
        <v>1250000</v>
      </c>
      <c r="SG61" s="8">
        <v>1250000</v>
      </c>
      <c r="SH61" s="8">
        <v>24679250</v>
      </c>
      <c r="SI61" s="8">
        <v>2968047</v>
      </c>
      <c r="SJ61" s="8">
        <v>27647297</v>
      </c>
      <c r="SK61" s="2" t="s">
        <v>229</v>
      </c>
      <c r="SL61" s="2"/>
      <c r="SM61" s="2" t="s">
        <v>230</v>
      </c>
      <c r="SN61" s="2" t="s">
        <v>231</v>
      </c>
      <c r="SO61" s="2"/>
      <c r="SP61" s="8">
        <v>22000000</v>
      </c>
      <c r="SQ61" s="2" t="s">
        <v>95</v>
      </c>
      <c r="SR61" s="2"/>
      <c r="SS61" s="2"/>
      <c r="ST61" s="2"/>
      <c r="SU61" s="2"/>
      <c r="SV61" s="2"/>
      <c r="SW61" s="2"/>
      <c r="SX61" s="2" t="s">
        <v>96</v>
      </c>
      <c r="SY61" s="2" t="s">
        <v>96</v>
      </c>
      <c r="SZ61" s="2" t="s">
        <v>96</v>
      </c>
      <c r="TA61" s="2" t="s">
        <v>96</v>
      </c>
      <c r="TB61" s="8">
        <v>7539086</v>
      </c>
      <c r="TC61" s="2"/>
      <c r="TD61" s="2"/>
      <c r="TE61" s="2"/>
      <c r="TF61" s="2"/>
      <c r="TG61" s="2"/>
      <c r="TH61" s="2"/>
      <c r="TI61" s="2">
        <v>0</v>
      </c>
      <c r="TJ61" s="8">
        <v>29539086</v>
      </c>
      <c r="TK61" s="8">
        <v>1891789</v>
      </c>
      <c r="TL61" s="2" t="s">
        <v>9</v>
      </c>
      <c r="TM61" s="8">
        <v>6235000</v>
      </c>
      <c r="TN61" s="2" t="s">
        <v>95</v>
      </c>
      <c r="TO61" s="2"/>
      <c r="TP61" s="2"/>
      <c r="TQ61" s="2"/>
      <c r="TR61" s="2"/>
      <c r="TS61" s="2"/>
      <c r="TT61" s="2"/>
      <c r="TU61" s="2" t="s">
        <v>96</v>
      </c>
      <c r="TV61" s="8">
        <v>18847715</v>
      </c>
      <c r="TW61" s="2"/>
      <c r="TX61" s="2"/>
      <c r="TY61" s="2"/>
      <c r="TZ61" s="2"/>
      <c r="UA61" s="2"/>
      <c r="UB61" s="2"/>
      <c r="UC61" s="8">
        <v>2564582</v>
      </c>
      <c r="UD61" s="8">
        <v>27647297</v>
      </c>
      <c r="UE61" s="6">
        <v>6235000</v>
      </c>
      <c r="UF61" s="2">
        <v>0</v>
      </c>
      <c r="UG61" s="2" t="s">
        <v>9</v>
      </c>
      <c r="UH61" s="2">
        <v>74</v>
      </c>
      <c r="UI61" s="5">
        <v>220000</v>
      </c>
      <c r="UJ61" s="6">
        <v>293333.33</v>
      </c>
      <c r="UK61" s="6">
        <v>293333.33</v>
      </c>
      <c r="UL61" s="6">
        <v>310933.33</v>
      </c>
      <c r="UM61" s="6">
        <v>23009066.670000002</v>
      </c>
      <c r="UN61" s="6">
        <v>3681450</v>
      </c>
      <c r="UO61" s="6">
        <v>3681450</v>
      </c>
      <c r="UP61" s="6">
        <v>26690516.670000002</v>
      </c>
      <c r="UQ61" s="6">
        <v>26138297</v>
      </c>
      <c r="UR61" s="2"/>
      <c r="US61" s="2"/>
      <c r="UT61" s="6">
        <v>0</v>
      </c>
      <c r="UU61" s="2"/>
      <c r="UV61" s="6">
        <v>0</v>
      </c>
      <c r="UW61" s="6">
        <v>0</v>
      </c>
      <c r="UX61" s="6">
        <v>0</v>
      </c>
      <c r="UY61" s="6">
        <v>0</v>
      </c>
      <c r="UZ61" s="2"/>
      <c r="VA61" s="2"/>
      <c r="VB61" s="2"/>
      <c r="VC61" s="2"/>
      <c r="VD61" s="2" t="s">
        <v>17</v>
      </c>
      <c r="VE61" s="2" t="s">
        <v>17</v>
      </c>
      <c r="VF61" s="2"/>
      <c r="VG61" s="2" t="s">
        <v>17</v>
      </c>
      <c r="VH61" s="2"/>
      <c r="VI61" s="388" t="s">
        <v>193</v>
      </c>
      <c r="VJ61" s="2" t="s">
        <v>98</v>
      </c>
      <c r="VK61" s="2" t="s">
        <v>232</v>
      </c>
      <c r="VL61" s="23">
        <f t="shared" si="21"/>
        <v>178</v>
      </c>
      <c r="VM61" s="17">
        <f t="shared" si="22"/>
        <v>2.4054054054054053</v>
      </c>
      <c r="VN61" s="17" t="str">
        <f t="shared" si="12"/>
        <v>NC-GA-F</v>
      </c>
      <c r="VO61" s="17" t="str">
        <f t="shared" si="13"/>
        <v>NC-GA-F-Non</v>
      </c>
      <c r="VP61" s="12">
        <v>9</v>
      </c>
      <c r="VQ61" s="57">
        <v>1</v>
      </c>
      <c r="VR61" s="57">
        <f t="shared" si="23"/>
        <v>1</v>
      </c>
      <c r="VS61" s="14">
        <f t="shared" si="24"/>
        <v>1</v>
      </c>
      <c r="VT61" s="12">
        <f t="shared" si="25"/>
        <v>1</v>
      </c>
      <c r="VU61" s="16">
        <f t="shared" si="26"/>
        <v>19278000</v>
      </c>
      <c r="VV61" s="16">
        <f t="shared" si="27"/>
        <v>260513.51351351352</v>
      </c>
      <c r="VW61" s="12" t="str">
        <f t="shared" si="14"/>
        <v>B</v>
      </c>
      <c r="VX61" s="12" t="str">
        <f t="shared" si="15"/>
        <v>NC-GA-Non</v>
      </c>
      <c r="VY61" s="351">
        <f t="shared" si="16"/>
        <v>5</v>
      </c>
      <c r="WA61" s="12">
        <f t="shared" si="17"/>
        <v>0</v>
      </c>
      <c r="WB61" s="12">
        <f t="shared" si="18"/>
        <v>0</v>
      </c>
      <c r="WC61" s="12">
        <f t="shared" si="18"/>
        <v>0</v>
      </c>
      <c r="WD61" s="12">
        <f t="shared" si="18"/>
        <v>0</v>
      </c>
      <c r="WE61" s="12">
        <f t="shared" si="19"/>
        <v>0</v>
      </c>
      <c r="WF61" s="12">
        <f t="shared" si="28"/>
        <v>1</v>
      </c>
      <c r="WG61" s="12">
        <f t="shared" si="29"/>
        <v>0</v>
      </c>
      <c r="WH61" s="12">
        <f t="shared" si="30"/>
        <v>0</v>
      </c>
      <c r="WI61" s="22">
        <f t="shared" si="31"/>
        <v>1</v>
      </c>
      <c r="WJ61" s="2"/>
      <c r="WK61" s="443" t="str">
        <f t="shared" si="20"/>
        <v>NC-GA-Non-BBN-BRN-NPH-F</v>
      </c>
      <c r="WL61" s="443"/>
      <c r="WM61" s="443"/>
    </row>
    <row r="62" spans="1:611" x14ac:dyDescent="0.25">
      <c r="A62" s="2">
        <v>9539</v>
      </c>
      <c r="B62" s="2" t="s">
        <v>1569</v>
      </c>
      <c r="C62" s="2" t="s">
        <v>8</v>
      </c>
      <c r="D62" s="3">
        <v>45153</v>
      </c>
      <c r="E62" s="2" t="s">
        <v>9</v>
      </c>
      <c r="F62" s="2">
        <v>3</v>
      </c>
      <c r="G62" s="2" t="s">
        <v>9</v>
      </c>
      <c r="H62" s="2">
        <v>3</v>
      </c>
      <c r="I62" s="2" t="s">
        <v>9</v>
      </c>
      <c r="J62" s="2">
        <v>3</v>
      </c>
      <c r="K62" s="2" t="s">
        <v>9</v>
      </c>
      <c r="L62" s="2">
        <v>3</v>
      </c>
      <c r="M62" s="2" t="s">
        <v>10</v>
      </c>
      <c r="N62" s="2">
        <v>0</v>
      </c>
      <c r="O62" s="2" t="s">
        <v>10</v>
      </c>
      <c r="P62" s="2">
        <v>0</v>
      </c>
      <c r="Q62" s="2" t="s">
        <v>11</v>
      </c>
      <c r="R62" s="2">
        <v>0</v>
      </c>
      <c r="S62" s="2" t="s">
        <v>9</v>
      </c>
      <c r="T62" s="2">
        <v>2</v>
      </c>
      <c r="U62" s="2" t="s">
        <v>9</v>
      </c>
      <c r="V62" s="2">
        <v>2</v>
      </c>
      <c r="W62" s="2" t="s">
        <v>9</v>
      </c>
      <c r="X62" s="2">
        <v>2</v>
      </c>
      <c r="Y62" s="2" t="s">
        <v>12</v>
      </c>
      <c r="Z62" s="2" t="s">
        <v>15</v>
      </c>
      <c r="AA62" s="2" t="s">
        <v>15</v>
      </c>
      <c r="AB62" s="2" t="s">
        <v>15</v>
      </c>
      <c r="AC62" s="2" t="s">
        <v>1570</v>
      </c>
      <c r="AD62" s="2" t="s">
        <v>15</v>
      </c>
      <c r="AE62" s="2" t="s">
        <v>15</v>
      </c>
      <c r="AF62" s="2">
        <v>0</v>
      </c>
      <c r="AG62" s="2" t="s">
        <v>234</v>
      </c>
      <c r="AH62" s="2" t="s">
        <v>17</v>
      </c>
      <c r="AI62" s="4">
        <v>0.1</v>
      </c>
      <c r="AJ62" s="2" t="s">
        <v>17</v>
      </c>
      <c r="AK62" s="2" t="s">
        <v>9</v>
      </c>
      <c r="AL62" s="2" t="s">
        <v>17</v>
      </c>
      <c r="AM62" s="2" t="s">
        <v>9</v>
      </c>
      <c r="AN62" s="2" t="s">
        <v>17</v>
      </c>
      <c r="AO62" s="2" t="s">
        <v>17</v>
      </c>
      <c r="AP62" s="2" t="s">
        <v>17</v>
      </c>
      <c r="AQ62" s="2" t="s">
        <v>17</v>
      </c>
      <c r="AR62" s="2" t="s">
        <v>17</v>
      </c>
      <c r="AS62" s="2" t="s">
        <v>17</v>
      </c>
      <c r="AT62" s="2">
        <v>0</v>
      </c>
      <c r="AU62" s="5">
        <v>50000</v>
      </c>
      <c r="AV62" s="5">
        <v>460000</v>
      </c>
      <c r="AW62" s="2">
        <v>0</v>
      </c>
      <c r="AX62" s="2">
        <v>9</v>
      </c>
      <c r="AY62" s="2">
        <v>0</v>
      </c>
      <c r="AZ62" s="2">
        <v>18</v>
      </c>
      <c r="BA62" s="2">
        <v>0</v>
      </c>
      <c r="BB62" s="2">
        <v>1</v>
      </c>
      <c r="BC62" s="2">
        <v>1</v>
      </c>
      <c r="BD62" s="2">
        <v>0</v>
      </c>
      <c r="BE62" s="2">
        <v>0</v>
      </c>
      <c r="BF62" s="2">
        <v>1</v>
      </c>
      <c r="BG62" s="2">
        <v>0</v>
      </c>
      <c r="BH62" s="2">
        <v>0</v>
      </c>
      <c r="BI62" s="2">
        <v>13</v>
      </c>
      <c r="BJ62" s="2">
        <v>1</v>
      </c>
      <c r="BK62" s="2">
        <v>0</v>
      </c>
      <c r="BL62" s="2">
        <v>3</v>
      </c>
      <c r="BM62" s="2">
        <v>2</v>
      </c>
      <c r="BN62" s="2">
        <v>9</v>
      </c>
      <c r="BO62" s="2">
        <v>11</v>
      </c>
      <c r="BP62" s="2">
        <v>0</v>
      </c>
      <c r="BQ62" s="2">
        <v>10</v>
      </c>
      <c r="BR62" s="2">
        <v>11.3</v>
      </c>
      <c r="BS62" s="2">
        <v>0</v>
      </c>
      <c r="BT62" s="4">
        <v>0.06</v>
      </c>
      <c r="BU62" s="2" t="s">
        <v>9</v>
      </c>
      <c r="BV62" s="6">
        <v>239775</v>
      </c>
      <c r="BW62" s="2" t="s">
        <v>18</v>
      </c>
      <c r="BX62" s="2" t="s">
        <v>17</v>
      </c>
      <c r="BY62" s="2" t="s">
        <v>17</v>
      </c>
      <c r="BZ62" s="2" t="s">
        <v>17</v>
      </c>
      <c r="CA62" s="2" t="s">
        <v>17</v>
      </c>
      <c r="CB62" s="2" t="s">
        <v>17</v>
      </c>
      <c r="CC62" s="2" t="s">
        <v>17</v>
      </c>
      <c r="CD62" s="2" t="s">
        <v>17</v>
      </c>
      <c r="CE62" s="2" t="s">
        <v>1571</v>
      </c>
      <c r="CF62" s="2" t="s">
        <v>17</v>
      </c>
      <c r="CG62" s="2" t="s">
        <v>1572</v>
      </c>
      <c r="CH62" s="2" t="s">
        <v>1573</v>
      </c>
      <c r="CI62" s="2"/>
      <c r="CJ62" s="2" t="s">
        <v>9</v>
      </c>
      <c r="CK62" s="2" t="s">
        <v>1574</v>
      </c>
      <c r="CL62" s="2" t="s">
        <v>1575</v>
      </c>
      <c r="CM62" s="2" t="s">
        <v>1576</v>
      </c>
      <c r="CN62" s="2" t="s">
        <v>1577</v>
      </c>
      <c r="CO62" s="2" t="s">
        <v>24</v>
      </c>
      <c r="CP62" s="2"/>
      <c r="CQ62" s="2">
        <v>40</v>
      </c>
      <c r="CR62" s="2" t="s">
        <v>1234</v>
      </c>
      <c r="CS62" s="2">
        <v>2018</v>
      </c>
      <c r="CT62" s="2" t="s">
        <v>26</v>
      </c>
      <c r="CU62" s="2" t="s">
        <v>27</v>
      </c>
      <c r="CV62" s="2" t="s">
        <v>1578</v>
      </c>
      <c r="CW62" s="2" t="s">
        <v>1579</v>
      </c>
      <c r="CX62" s="2" t="s">
        <v>24</v>
      </c>
      <c r="CY62" s="2"/>
      <c r="CZ62" s="2">
        <v>40</v>
      </c>
      <c r="DA62" s="2" t="s">
        <v>1234</v>
      </c>
      <c r="DB62" s="2">
        <v>2015</v>
      </c>
      <c r="DC62" s="2" t="s">
        <v>30</v>
      </c>
      <c r="DD62" s="2" t="s">
        <v>27</v>
      </c>
      <c r="DE62" s="2" t="s">
        <v>1580</v>
      </c>
      <c r="DF62" s="2" t="s">
        <v>1581</v>
      </c>
      <c r="DG62" s="2" t="s">
        <v>24</v>
      </c>
      <c r="DH62" s="2"/>
      <c r="DI62" s="2">
        <v>60</v>
      </c>
      <c r="DJ62" s="2" t="s">
        <v>1234</v>
      </c>
      <c r="DK62" s="2">
        <v>2013</v>
      </c>
      <c r="DL62" s="2" t="s">
        <v>30</v>
      </c>
      <c r="DM62" s="2" t="s">
        <v>27</v>
      </c>
      <c r="DN62" s="2" t="s">
        <v>33</v>
      </c>
      <c r="DO62" s="2" t="s">
        <v>1582</v>
      </c>
      <c r="DP62" s="2"/>
      <c r="DQ62" s="2" t="s">
        <v>1583</v>
      </c>
      <c r="DR62" s="2" t="s">
        <v>1584</v>
      </c>
      <c r="DS62" s="2">
        <v>1</v>
      </c>
      <c r="DT62" s="2" t="s">
        <v>1585</v>
      </c>
      <c r="DU62" s="2" t="s">
        <v>1586</v>
      </c>
      <c r="DV62" s="2" t="s">
        <v>260</v>
      </c>
      <c r="DW62" s="2">
        <v>76034</v>
      </c>
      <c r="DX62" s="2" t="s">
        <v>1587</v>
      </c>
      <c r="DY62" s="2"/>
      <c r="DZ62" s="2" t="s">
        <v>1588</v>
      </c>
      <c r="EA62" s="2" t="s">
        <v>1589</v>
      </c>
      <c r="EB62" s="2" t="s">
        <v>1580</v>
      </c>
      <c r="EC62" s="2" t="s">
        <v>1581</v>
      </c>
      <c r="ED62" s="2" t="s">
        <v>44</v>
      </c>
      <c r="EE62" s="2">
        <v>60</v>
      </c>
      <c r="EF62" s="2" t="s">
        <v>1244</v>
      </c>
      <c r="EG62" s="2">
        <v>10</v>
      </c>
      <c r="EH62" s="2" t="s">
        <v>46</v>
      </c>
      <c r="EI62" s="2" t="s">
        <v>47</v>
      </c>
      <c r="EJ62" s="2" t="s">
        <v>1590</v>
      </c>
      <c r="EK62" s="2" t="s">
        <v>1577</v>
      </c>
      <c r="EL62" s="2" t="s">
        <v>44</v>
      </c>
      <c r="EM62" s="2">
        <v>40</v>
      </c>
      <c r="EN62" s="2" t="s">
        <v>1244</v>
      </c>
      <c r="EO62" s="2">
        <v>5</v>
      </c>
      <c r="EP62" s="2" t="s">
        <v>46</v>
      </c>
      <c r="EQ62" s="2" t="s">
        <v>47</v>
      </c>
      <c r="ER62" s="2" t="s">
        <v>1591</v>
      </c>
      <c r="ES62" s="2" t="s">
        <v>1429</v>
      </c>
      <c r="ET62" s="2" t="s">
        <v>308</v>
      </c>
      <c r="EU62" s="2" t="s">
        <v>1575</v>
      </c>
      <c r="EV62" s="2" t="s">
        <v>1592</v>
      </c>
      <c r="EW62" s="2" t="s">
        <v>1095</v>
      </c>
      <c r="EX62" s="2" t="s">
        <v>260</v>
      </c>
      <c r="EY62" s="2">
        <v>77081</v>
      </c>
      <c r="EZ62" s="2" t="s">
        <v>1593</v>
      </c>
      <c r="FA62" s="2"/>
      <c r="FB62" s="2" t="s">
        <v>1594</v>
      </c>
      <c r="FC62" s="2" t="s">
        <v>1595</v>
      </c>
      <c r="FD62" s="2"/>
      <c r="FE62" s="2" t="s">
        <v>1596</v>
      </c>
      <c r="FF62" s="2" t="s">
        <v>1573</v>
      </c>
      <c r="FG62" s="2" t="s">
        <v>1592</v>
      </c>
      <c r="FH62" s="2" t="s">
        <v>1095</v>
      </c>
      <c r="FI62" s="2" t="s">
        <v>260</v>
      </c>
      <c r="FJ62" s="2">
        <v>77081</v>
      </c>
      <c r="FK62" s="2" t="s">
        <v>1597</v>
      </c>
      <c r="FL62" s="2"/>
      <c r="FM62" s="2" t="s">
        <v>1598</v>
      </c>
      <c r="FN62" s="2" t="s">
        <v>1599</v>
      </c>
      <c r="FO62" s="2" t="s">
        <v>63</v>
      </c>
      <c r="FP62" s="2" t="s">
        <v>64</v>
      </c>
      <c r="FQ62" s="2" t="s">
        <v>9</v>
      </c>
      <c r="FR62" s="2" t="s">
        <v>17</v>
      </c>
      <c r="FS62" s="2" t="s">
        <v>17</v>
      </c>
      <c r="FT62" s="2" t="s">
        <v>9</v>
      </c>
      <c r="FU62" s="2">
        <v>0</v>
      </c>
      <c r="FV62" s="2">
        <v>0</v>
      </c>
      <c r="FW62" s="4">
        <v>0</v>
      </c>
      <c r="FX62" s="4">
        <v>0</v>
      </c>
      <c r="FY62" s="2" t="s">
        <v>65</v>
      </c>
      <c r="FZ62" s="2" t="s">
        <v>66</v>
      </c>
      <c r="GA62" s="2" t="s">
        <v>67</v>
      </c>
      <c r="GB62" s="2"/>
      <c r="GC62" s="2"/>
      <c r="GD62" s="2"/>
      <c r="GE62" s="2" t="s">
        <v>68</v>
      </c>
      <c r="GF62" s="2"/>
      <c r="GG62" s="2"/>
      <c r="GH62" s="2">
        <v>72</v>
      </c>
      <c r="GI62" s="2"/>
      <c r="GJ62" s="2"/>
      <c r="GK62" s="2"/>
      <c r="GL62" s="2"/>
      <c r="GM62" s="2"/>
      <c r="GN62" s="2"/>
      <c r="GO62" s="2"/>
      <c r="GP62" s="2"/>
      <c r="GQ62" s="2">
        <v>72</v>
      </c>
      <c r="GR62" s="2" t="s">
        <v>313</v>
      </c>
      <c r="GS62" s="2" t="s">
        <v>70</v>
      </c>
      <c r="GT62" s="2" t="s">
        <v>1600</v>
      </c>
      <c r="GU62" s="2" t="s">
        <v>1601</v>
      </c>
      <c r="GV62" s="2" t="s">
        <v>17</v>
      </c>
      <c r="GW62" s="2">
        <v>28.044276</v>
      </c>
      <c r="GX62" s="2">
        <v>-80.672432000000001</v>
      </c>
      <c r="GY62" s="2"/>
      <c r="GZ62" s="2" t="s">
        <v>17</v>
      </c>
      <c r="HA62" s="2" t="s">
        <v>17</v>
      </c>
      <c r="HB62" s="2">
        <v>0</v>
      </c>
      <c r="HC62" s="2" t="s">
        <v>17</v>
      </c>
      <c r="HD62" s="2"/>
      <c r="HE62" s="2">
        <v>0</v>
      </c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>
        <v>28.036871999999999</v>
      </c>
      <c r="HQ62" s="2">
        <v>-80.663309999999996</v>
      </c>
      <c r="HR62" s="2">
        <v>0.76</v>
      </c>
      <c r="HS62" s="2">
        <v>4.5</v>
      </c>
      <c r="HT62" s="2"/>
      <c r="HU62" s="2"/>
      <c r="HV62" s="2"/>
      <c r="HW62" s="2"/>
      <c r="HX62" s="2" t="s">
        <v>73</v>
      </c>
      <c r="HY62" s="2" t="s">
        <v>17</v>
      </c>
      <c r="HZ62" s="2"/>
      <c r="IA62" s="2" t="s">
        <v>549</v>
      </c>
      <c r="IB62" s="2" t="s">
        <v>1602</v>
      </c>
      <c r="IC62" s="2">
        <v>0.51</v>
      </c>
      <c r="ID62" s="2">
        <v>3</v>
      </c>
      <c r="IE62" s="2"/>
      <c r="IF62" s="2"/>
      <c r="IG62" s="2"/>
      <c r="IH62" s="2" t="s">
        <v>115</v>
      </c>
      <c r="II62" s="2">
        <v>0.51</v>
      </c>
      <c r="IJ62" s="2">
        <v>3</v>
      </c>
      <c r="IK62" s="2" t="s">
        <v>1603</v>
      </c>
      <c r="IL62" s="2" t="s">
        <v>1604</v>
      </c>
      <c r="IM62" s="2">
        <v>1.22</v>
      </c>
      <c r="IN62" s="2">
        <v>2.5</v>
      </c>
      <c r="IO62" s="2" t="s">
        <v>17</v>
      </c>
      <c r="IP62" s="2">
        <v>4.5</v>
      </c>
      <c r="IQ62" s="2">
        <v>8.5</v>
      </c>
      <c r="IR62" s="2">
        <v>0</v>
      </c>
      <c r="IS62" s="2">
        <v>13</v>
      </c>
      <c r="IT62" s="2" t="s">
        <v>17</v>
      </c>
      <c r="IU62" s="2" t="s">
        <v>17</v>
      </c>
      <c r="IV62" s="2" t="s">
        <v>17</v>
      </c>
      <c r="IW62" s="2" t="s">
        <v>9</v>
      </c>
      <c r="IX62" s="2" t="s">
        <v>9</v>
      </c>
      <c r="IY62" s="2">
        <v>13</v>
      </c>
      <c r="IZ62" s="2">
        <v>72</v>
      </c>
      <c r="JA62" s="2" t="s">
        <v>81</v>
      </c>
      <c r="JB62" s="2" t="s">
        <v>173</v>
      </c>
      <c r="JC62" s="2"/>
      <c r="JD62" s="2"/>
      <c r="JE62" s="7">
        <v>0.1</v>
      </c>
      <c r="JF62" s="2"/>
      <c r="JG62" s="7">
        <v>0.9</v>
      </c>
      <c r="JH62" s="7">
        <v>0</v>
      </c>
      <c r="JI62" s="2">
        <v>72</v>
      </c>
      <c r="JJ62" s="7">
        <v>1</v>
      </c>
      <c r="JK62" s="2">
        <v>72</v>
      </c>
      <c r="JL62" s="7">
        <v>1</v>
      </c>
      <c r="JM62" s="2"/>
      <c r="JN62" s="2"/>
      <c r="JO62" s="2"/>
      <c r="JP62" s="2"/>
      <c r="JQ62" s="2"/>
      <c r="JR62" s="2"/>
      <c r="JS62" s="2">
        <v>0</v>
      </c>
      <c r="JT62" s="2">
        <v>0</v>
      </c>
      <c r="JU62" s="2"/>
      <c r="JV62" s="2">
        <v>0</v>
      </c>
      <c r="JW62" s="4">
        <v>0</v>
      </c>
      <c r="JX62" s="2">
        <v>0</v>
      </c>
      <c r="JY62" s="4">
        <v>0</v>
      </c>
      <c r="JZ62" s="2">
        <v>0</v>
      </c>
      <c r="KA62" s="2"/>
      <c r="KB62" s="2"/>
      <c r="KC62" s="2"/>
      <c r="KD62" s="2"/>
      <c r="KE62" s="2"/>
      <c r="KF62" s="2"/>
      <c r="KG62" s="2"/>
      <c r="KH62" s="2">
        <v>30</v>
      </c>
      <c r="KI62" s="2"/>
      <c r="KJ62" s="2"/>
      <c r="KK62" s="2">
        <v>30</v>
      </c>
      <c r="KL62" s="2">
        <v>12</v>
      </c>
      <c r="KM62" s="2"/>
      <c r="KN62" s="2"/>
      <c r="KO62" s="2"/>
      <c r="KP62" s="2"/>
      <c r="KQ62" s="2" t="s">
        <v>83</v>
      </c>
      <c r="KR62" s="2" t="s">
        <v>73</v>
      </c>
      <c r="KS62" s="2"/>
      <c r="KT62" s="2">
        <v>3</v>
      </c>
      <c r="KU62" s="2" t="s">
        <v>84</v>
      </c>
      <c r="KV62" s="2" t="s">
        <v>85</v>
      </c>
      <c r="KW62" s="2" t="s">
        <v>86</v>
      </c>
      <c r="KX62" s="2" t="s">
        <v>17</v>
      </c>
      <c r="KY62" s="2" t="s">
        <v>17</v>
      </c>
      <c r="KZ62" s="2" t="s">
        <v>17</v>
      </c>
      <c r="LA62" s="2" t="s">
        <v>17</v>
      </c>
      <c r="LB62" s="2" t="s">
        <v>17</v>
      </c>
      <c r="LC62" s="2" t="s">
        <v>17</v>
      </c>
      <c r="LD62" s="2" t="s">
        <v>17</v>
      </c>
      <c r="LE62" s="2" t="s">
        <v>17</v>
      </c>
      <c r="LF62" s="2" t="s">
        <v>17</v>
      </c>
      <c r="LG62" s="2" t="s">
        <v>17</v>
      </c>
      <c r="LH62" s="2" t="s">
        <v>17</v>
      </c>
      <c r="LI62" s="2" t="s">
        <v>17</v>
      </c>
      <c r="LJ62" s="2" t="s">
        <v>87</v>
      </c>
      <c r="LK62" s="2" t="s">
        <v>17</v>
      </c>
      <c r="LL62" s="2" t="s">
        <v>17</v>
      </c>
      <c r="LM62" s="2">
        <v>0</v>
      </c>
      <c r="LN62" s="2" t="s">
        <v>17</v>
      </c>
      <c r="LO62" s="2" t="s">
        <v>17</v>
      </c>
      <c r="LP62" s="2" t="s">
        <v>9</v>
      </c>
      <c r="LQ62" s="2" t="s">
        <v>9</v>
      </c>
      <c r="LR62" s="2" t="s">
        <v>9</v>
      </c>
      <c r="LS62" s="2" t="s">
        <v>17</v>
      </c>
      <c r="LT62" s="2" t="s">
        <v>17</v>
      </c>
      <c r="LU62" s="2" t="s">
        <v>17</v>
      </c>
      <c r="LV62" s="2" t="s">
        <v>17</v>
      </c>
      <c r="LW62" s="2" t="s">
        <v>17</v>
      </c>
      <c r="LX62" s="2" t="s">
        <v>17</v>
      </c>
      <c r="LY62" s="5">
        <v>5760000</v>
      </c>
      <c r="LZ62" s="5">
        <v>0</v>
      </c>
      <c r="MA62" s="5">
        <v>7200000</v>
      </c>
      <c r="MB62" s="5">
        <v>0</v>
      </c>
      <c r="MC62" s="5">
        <v>0</v>
      </c>
      <c r="MD62" s="5">
        <v>0</v>
      </c>
      <c r="ME62" s="5">
        <v>7560000</v>
      </c>
      <c r="MF62" s="5">
        <v>0</v>
      </c>
      <c r="MG62" s="5">
        <v>0</v>
      </c>
      <c r="MH62" s="5">
        <v>0</v>
      </c>
      <c r="MI62" s="5">
        <v>0</v>
      </c>
      <c r="MJ62" s="5">
        <v>0</v>
      </c>
      <c r="MK62" s="5">
        <v>0</v>
      </c>
      <c r="ML62" s="2">
        <v>0</v>
      </c>
      <c r="MM62" s="5">
        <v>0</v>
      </c>
      <c r="MN62" s="5">
        <v>0</v>
      </c>
      <c r="MO62" s="2">
        <v>0</v>
      </c>
      <c r="MP62" s="2">
        <v>0</v>
      </c>
      <c r="MQ62" s="2">
        <v>0</v>
      </c>
      <c r="MR62" s="5">
        <v>2950000</v>
      </c>
      <c r="MS62" s="5">
        <v>0</v>
      </c>
      <c r="MT62" s="5">
        <v>4600000</v>
      </c>
      <c r="MU62" s="5">
        <v>0</v>
      </c>
      <c r="MV62" s="5">
        <v>0</v>
      </c>
      <c r="MW62" s="5">
        <v>0</v>
      </c>
      <c r="MX62" s="5">
        <v>0</v>
      </c>
      <c r="MY62" s="5">
        <v>2500000</v>
      </c>
      <c r="MZ62" s="5">
        <v>0</v>
      </c>
      <c r="NA62" s="5">
        <v>5000000</v>
      </c>
      <c r="NB62" s="5">
        <v>0</v>
      </c>
      <c r="NC62" s="5">
        <v>0</v>
      </c>
      <c r="ND62" s="5">
        <v>0</v>
      </c>
      <c r="NE62" s="5">
        <v>0</v>
      </c>
      <c r="NF62" s="5">
        <v>0</v>
      </c>
      <c r="NG62" s="5">
        <v>2142000</v>
      </c>
      <c r="NH62" s="5">
        <v>2085000</v>
      </c>
      <c r="NI62" s="5">
        <v>2085000</v>
      </c>
      <c r="NJ62" s="5">
        <v>0</v>
      </c>
      <c r="NK62" s="5"/>
      <c r="NL62" s="2" t="s">
        <v>17</v>
      </c>
      <c r="NM62" s="2" t="s">
        <v>17</v>
      </c>
      <c r="NN62" s="2"/>
      <c r="NO62" s="2" t="s">
        <v>9</v>
      </c>
      <c r="NP62" s="2">
        <v>32904</v>
      </c>
      <c r="NQ62" s="2" t="s">
        <v>554</v>
      </c>
      <c r="NR62" s="2" t="s">
        <v>17</v>
      </c>
      <c r="NS62" s="2"/>
      <c r="NT62" s="2" t="s">
        <v>17</v>
      </c>
      <c r="NU62" s="2"/>
      <c r="NV62" s="2"/>
      <c r="NW62" s="2"/>
      <c r="NX62" s="2"/>
      <c r="NY62" s="2"/>
      <c r="NZ62" s="2"/>
      <c r="OA62" s="2" t="s">
        <v>118</v>
      </c>
      <c r="OB62" s="2" t="s">
        <v>118</v>
      </c>
      <c r="OC62" s="2" t="s">
        <v>118</v>
      </c>
      <c r="OD62" s="2" t="s">
        <v>17</v>
      </c>
      <c r="OE62" s="2" t="s">
        <v>119</v>
      </c>
      <c r="OF62" s="2"/>
      <c r="OG62" s="2" t="s">
        <v>9</v>
      </c>
      <c r="OH62" s="2" t="s">
        <v>557</v>
      </c>
      <c r="OI62" s="2" t="s">
        <v>229</v>
      </c>
      <c r="OJ62" s="2" t="s">
        <v>229</v>
      </c>
      <c r="OK62" s="2" t="s">
        <v>17</v>
      </c>
      <c r="OL62" s="2" t="s">
        <v>17</v>
      </c>
      <c r="OM62" s="2" t="s">
        <v>85</v>
      </c>
      <c r="ON62" s="6">
        <v>0</v>
      </c>
      <c r="OO62" s="6">
        <v>0</v>
      </c>
      <c r="OP62" s="2" t="s">
        <v>93</v>
      </c>
      <c r="OQ62" s="2" t="s">
        <v>93</v>
      </c>
      <c r="OR62" s="6">
        <v>0</v>
      </c>
      <c r="OS62" s="4">
        <v>0</v>
      </c>
      <c r="OT62" s="2" t="s">
        <v>17</v>
      </c>
      <c r="OU62" s="2" t="s">
        <v>17</v>
      </c>
      <c r="OV62" s="2"/>
      <c r="OW62" s="2" t="s">
        <v>229</v>
      </c>
      <c r="OX62" s="5">
        <v>17263800</v>
      </c>
      <c r="OY62" s="6">
        <v>239775</v>
      </c>
      <c r="OZ62" s="2"/>
      <c r="PA62" s="2"/>
      <c r="PB62" s="8">
        <v>10282674</v>
      </c>
      <c r="PC62" s="2"/>
      <c r="PD62" s="8">
        <v>10282674</v>
      </c>
      <c r="PE62" s="2"/>
      <c r="PF62" s="2"/>
      <c r="PG62" s="2"/>
      <c r="PH62" s="2"/>
      <c r="PI62" s="2"/>
      <c r="PJ62" s="2"/>
      <c r="PK62" s="8">
        <v>10282674</v>
      </c>
      <c r="PL62" s="2"/>
      <c r="PM62" s="8">
        <v>10282674</v>
      </c>
      <c r="PN62" s="8">
        <v>1439574</v>
      </c>
      <c r="PO62" s="2"/>
      <c r="PP62" s="8">
        <v>1439574</v>
      </c>
      <c r="PQ62" s="6">
        <v>1439574</v>
      </c>
      <c r="PR62" s="8">
        <v>11722248</v>
      </c>
      <c r="PS62" s="2"/>
      <c r="PT62" s="8">
        <v>11722248</v>
      </c>
      <c r="PU62" s="8">
        <v>575000</v>
      </c>
      <c r="PV62" s="2"/>
      <c r="PW62" s="8">
        <v>575000</v>
      </c>
      <c r="PX62" s="6">
        <v>586112.4</v>
      </c>
      <c r="PY62" s="8">
        <v>682400</v>
      </c>
      <c r="PZ62" s="2"/>
      <c r="QA62" s="8">
        <v>682400</v>
      </c>
      <c r="QB62" s="8">
        <v>378658</v>
      </c>
      <c r="QC62" s="2"/>
      <c r="QD62" s="8">
        <v>378658</v>
      </c>
      <c r="QE62" s="8">
        <v>728362</v>
      </c>
      <c r="QF62" s="2"/>
      <c r="QG62" s="8">
        <v>728362</v>
      </c>
      <c r="QH62" s="2"/>
      <c r="QI62" s="8">
        <v>457621</v>
      </c>
      <c r="QJ62" s="8">
        <v>457621</v>
      </c>
      <c r="QK62" s="2"/>
      <c r="QL62" s="2"/>
      <c r="QM62" s="2"/>
      <c r="QN62" s="8">
        <v>306822</v>
      </c>
      <c r="QO62" s="2"/>
      <c r="QP62" s="8">
        <v>306822</v>
      </c>
      <c r="QQ62" s="8">
        <v>2096242</v>
      </c>
      <c r="QR62" s="8">
        <v>457621</v>
      </c>
      <c r="QS62" s="8">
        <v>2553863</v>
      </c>
      <c r="QT62" s="8">
        <v>100000</v>
      </c>
      <c r="QU62" s="2"/>
      <c r="QV62" s="8">
        <v>100000</v>
      </c>
      <c r="QW62" s="6">
        <v>127693.15</v>
      </c>
      <c r="QX62" s="8">
        <v>1613474</v>
      </c>
      <c r="QY62" s="8">
        <v>400623</v>
      </c>
      <c r="QZ62" s="8">
        <v>2014097</v>
      </c>
      <c r="RA62" s="8">
        <v>175632</v>
      </c>
      <c r="RB62" s="8">
        <v>175632</v>
      </c>
      <c r="RC62" s="2"/>
      <c r="RD62" s="2"/>
      <c r="RE62" s="2"/>
      <c r="RF62" s="8">
        <v>1613474</v>
      </c>
      <c r="RG62" s="8">
        <v>576255</v>
      </c>
      <c r="RH62" s="8">
        <v>2189729</v>
      </c>
      <c r="RI62" s="2"/>
      <c r="RJ62" s="2"/>
      <c r="RK62" s="2"/>
      <c r="RL62" s="2"/>
      <c r="RM62" s="8">
        <v>16106964</v>
      </c>
      <c r="RN62" s="8">
        <v>1033876</v>
      </c>
      <c r="RO62" s="8">
        <v>17140840</v>
      </c>
      <c r="RP62" s="2"/>
      <c r="RQ62" s="2"/>
      <c r="RR62" s="2">
        <v>0</v>
      </c>
      <c r="RS62" s="6">
        <v>0</v>
      </c>
      <c r="RT62" s="8">
        <v>2742534</v>
      </c>
      <c r="RU62" s="2"/>
      <c r="RV62" s="8">
        <v>2742534</v>
      </c>
      <c r="RW62" s="6">
        <v>2742534</v>
      </c>
      <c r="RX62" s="6">
        <v>0</v>
      </c>
      <c r="RY62" s="8">
        <v>2742534</v>
      </c>
      <c r="RZ62" s="2"/>
      <c r="SA62" s="8">
        <v>2742534</v>
      </c>
      <c r="SB62" s="6">
        <v>2742534</v>
      </c>
      <c r="SC62" s="2"/>
      <c r="SD62" s="2"/>
      <c r="SE62" s="6">
        <v>252000</v>
      </c>
      <c r="SF62" s="8">
        <v>2500000</v>
      </c>
      <c r="SG62" s="8">
        <v>2500000</v>
      </c>
      <c r="SH62" s="8">
        <v>18849498</v>
      </c>
      <c r="SI62" s="8">
        <v>3533876</v>
      </c>
      <c r="SJ62" s="8">
        <v>22383374</v>
      </c>
      <c r="SK62" s="2"/>
      <c r="SL62" s="2"/>
      <c r="SM62" s="2" t="s">
        <v>1605</v>
      </c>
      <c r="SN62" s="2"/>
      <c r="SO62" s="2"/>
      <c r="SP62" s="8">
        <v>19400000</v>
      </c>
      <c r="SQ62" s="2" t="s">
        <v>95</v>
      </c>
      <c r="SR62" s="2"/>
      <c r="SS62" s="2"/>
      <c r="ST62" s="2"/>
      <c r="SU62" s="2"/>
      <c r="SV62" s="2"/>
      <c r="SW62" s="2"/>
      <c r="SX62" s="2" t="s">
        <v>96</v>
      </c>
      <c r="SY62" s="2" t="s">
        <v>96</v>
      </c>
      <c r="SZ62" s="2" t="s">
        <v>96</v>
      </c>
      <c r="TA62" s="2" t="s">
        <v>96</v>
      </c>
      <c r="TB62" s="8">
        <v>2783475</v>
      </c>
      <c r="TC62" s="2"/>
      <c r="TD62" s="2"/>
      <c r="TE62" s="2"/>
      <c r="TF62" s="2"/>
      <c r="TG62" s="2"/>
      <c r="TH62" s="2"/>
      <c r="TI62" s="8">
        <v>199899</v>
      </c>
      <c r="TJ62" s="8">
        <v>22383374</v>
      </c>
      <c r="TK62" s="2">
        <v>0</v>
      </c>
      <c r="TL62" s="2" t="s">
        <v>9</v>
      </c>
      <c r="TM62" s="8">
        <v>3100000</v>
      </c>
      <c r="TN62" s="2" t="s">
        <v>95</v>
      </c>
      <c r="TO62" s="2"/>
      <c r="TP62" s="2"/>
      <c r="TQ62" s="2"/>
      <c r="TR62" s="2"/>
      <c r="TS62" s="2"/>
      <c r="TT62" s="2"/>
      <c r="TU62" s="2" t="s">
        <v>96</v>
      </c>
      <c r="TV62" s="8">
        <v>18554644</v>
      </c>
      <c r="TW62" s="2"/>
      <c r="TX62" s="2"/>
      <c r="TY62" s="2"/>
      <c r="TZ62" s="2"/>
      <c r="UA62" s="2"/>
      <c r="UB62" s="2"/>
      <c r="UC62" s="8">
        <v>728730</v>
      </c>
      <c r="UD62" s="8">
        <v>22383374</v>
      </c>
      <c r="UE62" s="6">
        <v>3100000</v>
      </c>
      <c r="UF62" s="2">
        <v>0</v>
      </c>
      <c r="UG62" s="2" t="s">
        <v>9</v>
      </c>
      <c r="UH62" s="2">
        <v>72</v>
      </c>
      <c r="UI62" s="5">
        <v>220000</v>
      </c>
      <c r="UJ62" s="6">
        <v>293333.33</v>
      </c>
      <c r="UK62" s="6">
        <v>293333.33</v>
      </c>
      <c r="UL62" s="6">
        <v>310933.33</v>
      </c>
      <c r="UM62" s="6">
        <v>22387200</v>
      </c>
      <c r="UN62" s="6">
        <v>3581952</v>
      </c>
      <c r="UO62" s="6">
        <v>3581952</v>
      </c>
      <c r="UP62" s="6">
        <v>25969152</v>
      </c>
      <c r="UQ62" s="6">
        <v>19883374</v>
      </c>
      <c r="UR62" s="2"/>
      <c r="US62" s="2"/>
      <c r="UT62" s="6">
        <v>0</v>
      </c>
      <c r="UU62" s="2"/>
      <c r="UV62" s="6">
        <v>0</v>
      </c>
      <c r="UW62" s="6">
        <v>0</v>
      </c>
      <c r="UX62" s="6">
        <v>0</v>
      </c>
      <c r="UY62" s="6">
        <v>0</v>
      </c>
      <c r="UZ62" s="2"/>
      <c r="VA62" s="2"/>
      <c r="VB62" s="2"/>
      <c r="VC62" s="2"/>
      <c r="VD62" s="2"/>
      <c r="VE62" s="2" t="s">
        <v>17</v>
      </c>
      <c r="VF62" s="2"/>
      <c r="VG62" s="2" t="s">
        <v>17</v>
      </c>
      <c r="VH62" s="2"/>
      <c r="VI62" s="388" t="s">
        <v>1574</v>
      </c>
      <c r="VJ62" s="2" t="s">
        <v>98</v>
      </c>
      <c r="VK62" s="2" t="s">
        <v>1606</v>
      </c>
      <c r="VL62" s="23">
        <f t="shared" si="21"/>
        <v>126</v>
      </c>
      <c r="VM62" s="17">
        <f t="shared" si="22"/>
        <v>1.75</v>
      </c>
      <c r="VN62" s="17" t="str">
        <f t="shared" si="12"/>
        <v>NC-GA-F</v>
      </c>
      <c r="VO62" s="17" t="str">
        <f t="shared" si="13"/>
        <v>NC-GA-F-Non</v>
      </c>
      <c r="VP62" s="12">
        <v>9</v>
      </c>
      <c r="VQ62" s="57">
        <v>1</v>
      </c>
      <c r="VR62" s="57">
        <f t="shared" si="23"/>
        <v>1</v>
      </c>
      <c r="VS62" s="14">
        <f t="shared" si="24"/>
        <v>1</v>
      </c>
      <c r="VT62" s="12">
        <f t="shared" si="25"/>
        <v>1</v>
      </c>
      <c r="VU62" s="16">
        <f t="shared" si="26"/>
        <v>18765000</v>
      </c>
      <c r="VV62" s="16">
        <f t="shared" si="27"/>
        <v>260625</v>
      </c>
      <c r="VW62" s="12" t="str">
        <f t="shared" si="14"/>
        <v>B</v>
      </c>
      <c r="VX62" s="12" t="str">
        <f t="shared" si="15"/>
        <v>NC-GA-Non</v>
      </c>
      <c r="VY62" s="351">
        <f t="shared" si="16"/>
        <v>5</v>
      </c>
      <c r="WA62" s="12">
        <f t="shared" si="17"/>
        <v>0</v>
      </c>
      <c r="WB62" s="12">
        <f t="shared" si="18"/>
        <v>0</v>
      </c>
      <c r="WC62" s="12">
        <f t="shared" si="18"/>
        <v>0</v>
      </c>
      <c r="WD62" s="12">
        <f t="shared" si="18"/>
        <v>0</v>
      </c>
      <c r="WE62" s="12">
        <f t="shared" si="19"/>
        <v>0</v>
      </c>
      <c r="WF62" s="12">
        <f t="shared" si="28"/>
        <v>1</v>
      </c>
      <c r="WG62" s="12">
        <f t="shared" si="29"/>
        <v>0</v>
      </c>
      <c r="WH62" s="12">
        <f t="shared" si="30"/>
        <v>0</v>
      </c>
      <c r="WI62" s="22">
        <f t="shared" si="31"/>
        <v>1</v>
      </c>
      <c r="WJ62" s="2"/>
      <c r="WK62" s="443" t="str">
        <f t="shared" si="20"/>
        <v>NC-GA-Non-BBN-BRN-NPH-F</v>
      </c>
      <c r="WL62" s="443"/>
      <c r="WM62" s="443"/>
    </row>
    <row r="63" spans="1:611" x14ac:dyDescent="0.25">
      <c r="A63" s="2">
        <v>9506</v>
      </c>
      <c r="B63" s="2" t="s">
        <v>1225</v>
      </c>
      <c r="C63" s="2" t="s">
        <v>8</v>
      </c>
      <c r="D63" s="3">
        <v>45153</v>
      </c>
      <c r="E63" s="2" t="s">
        <v>9</v>
      </c>
      <c r="F63" s="2">
        <v>3</v>
      </c>
      <c r="G63" s="2" t="s">
        <v>9</v>
      </c>
      <c r="H63" s="2">
        <v>3</v>
      </c>
      <c r="I63" s="2" t="s">
        <v>9</v>
      </c>
      <c r="J63" s="2">
        <v>1</v>
      </c>
      <c r="K63" s="2" t="s">
        <v>9</v>
      </c>
      <c r="L63" s="2">
        <v>3</v>
      </c>
      <c r="M63" s="2" t="s">
        <v>10</v>
      </c>
      <c r="N63" s="2">
        <v>0</v>
      </c>
      <c r="O63" s="2" t="s">
        <v>10</v>
      </c>
      <c r="P63" s="2">
        <v>0</v>
      </c>
      <c r="Q63" s="2" t="s">
        <v>11</v>
      </c>
      <c r="R63" s="2">
        <v>0</v>
      </c>
      <c r="S63" s="2" t="s">
        <v>9</v>
      </c>
      <c r="T63" s="2">
        <v>2</v>
      </c>
      <c r="U63" s="2" t="s">
        <v>9</v>
      </c>
      <c r="V63" s="2">
        <v>2</v>
      </c>
      <c r="W63" s="2" t="s">
        <v>9</v>
      </c>
      <c r="X63" s="2">
        <v>2</v>
      </c>
      <c r="Y63" s="2" t="s">
        <v>12</v>
      </c>
      <c r="Z63" s="2" t="s">
        <v>1226</v>
      </c>
      <c r="AA63" s="2" t="s">
        <v>1227</v>
      </c>
      <c r="AB63" s="2" t="s">
        <v>435</v>
      </c>
      <c r="AC63" s="2" t="s">
        <v>15</v>
      </c>
      <c r="AD63" s="2" t="s">
        <v>15</v>
      </c>
      <c r="AE63" s="2" t="s">
        <v>15</v>
      </c>
      <c r="AF63" s="2">
        <v>3</v>
      </c>
      <c r="AG63" s="2" t="s">
        <v>1228</v>
      </c>
      <c r="AH63" s="2" t="s">
        <v>17</v>
      </c>
      <c r="AI63" s="4">
        <v>0.25</v>
      </c>
      <c r="AJ63" s="2" t="s">
        <v>17</v>
      </c>
      <c r="AK63" s="2" t="s">
        <v>9</v>
      </c>
      <c r="AL63" s="2" t="s">
        <v>17</v>
      </c>
      <c r="AM63" s="2" t="s">
        <v>17</v>
      </c>
      <c r="AN63" s="2" t="s">
        <v>17</v>
      </c>
      <c r="AO63" s="2" t="s">
        <v>17</v>
      </c>
      <c r="AP63" s="2" t="s">
        <v>9</v>
      </c>
      <c r="AQ63" s="2" t="s">
        <v>17</v>
      </c>
      <c r="AR63" s="2" t="s">
        <v>17</v>
      </c>
      <c r="AS63" s="2" t="s">
        <v>17</v>
      </c>
      <c r="AT63" s="2">
        <v>0</v>
      </c>
      <c r="AU63" s="5">
        <v>37500</v>
      </c>
      <c r="AV63" s="5">
        <v>460000</v>
      </c>
      <c r="AW63" s="2">
        <v>0</v>
      </c>
      <c r="AX63" s="2">
        <v>11</v>
      </c>
      <c r="AY63" s="2">
        <v>0</v>
      </c>
      <c r="AZ63" s="2">
        <v>18</v>
      </c>
      <c r="BA63" s="2">
        <v>0</v>
      </c>
      <c r="BB63" s="2">
        <v>1</v>
      </c>
      <c r="BC63" s="2">
        <v>0</v>
      </c>
      <c r="BD63" s="2">
        <v>0</v>
      </c>
      <c r="BE63" s="2">
        <v>0</v>
      </c>
      <c r="BF63" s="2">
        <v>1</v>
      </c>
      <c r="BG63" s="2">
        <v>0</v>
      </c>
      <c r="BH63" s="2">
        <v>0</v>
      </c>
      <c r="BI63" s="2">
        <v>13</v>
      </c>
      <c r="BJ63" s="2">
        <v>1</v>
      </c>
      <c r="BK63" s="2">
        <v>0</v>
      </c>
      <c r="BL63" s="2">
        <v>3</v>
      </c>
      <c r="BM63" s="2">
        <v>0</v>
      </c>
      <c r="BN63" s="2">
        <v>12</v>
      </c>
      <c r="BO63" s="2">
        <v>11</v>
      </c>
      <c r="BP63" s="2">
        <v>0</v>
      </c>
      <c r="BQ63" s="2">
        <v>10</v>
      </c>
      <c r="BR63" s="2">
        <v>11</v>
      </c>
      <c r="BS63" s="2">
        <v>0</v>
      </c>
      <c r="BT63" s="4">
        <v>0.06</v>
      </c>
      <c r="BU63" s="2" t="s">
        <v>9</v>
      </c>
      <c r="BV63" s="6">
        <v>246330</v>
      </c>
      <c r="BW63" s="2" t="s">
        <v>18</v>
      </c>
      <c r="BX63" s="2" t="s">
        <v>17</v>
      </c>
      <c r="BY63" s="2" t="s">
        <v>17</v>
      </c>
      <c r="BZ63" s="2" t="s">
        <v>17</v>
      </c>
      <c r="CA63" s="2" t="s">
        <v>17</v>
      </c>
      <c r="CB63" s="2" t="s">
        <v>17</v>
      </c>
      <c r="CC63" s="2" t="s">
        <v>17</v>
      </c>
      <c r="CD63" s="2" t="s">
        <v>17</v>
      </c>
      <c r="CE63" s="2" t="s">
        <v>1229</v>
      </c>
      <c r="CF63" s="2" t="s">
        <v>17</v>
      </c>
      <c r="CG63" s="2" t="s">
        <v>1230</v>
      </c>
      <c r="CH63" s="2"/>
      <c r="CI63" s="2"/>
      <c r="CJ63" s="2" t="s">
        <v>9</v>
      </c>
      <c r="CK63" s="2" t="s">
        <v>1231</v>
      </c>
      <c r="CL63" s="2" t="s">
        <v>1230</v>
      </c>
      <c r="CM63" s="2" t="s">
        <v>1232</v>
      </c>
      <c r="CN63" s="2" t="s">
        <v>1233</v>
      </c>
      <c r="CO63" s="2" t="s">
        <v>24</v>
      </c>
      <c r="CP63" s="2"/>
      <c r="CQ63" s="2">
        <v>70</v>
      </c>
      <c r="CR63" s="2" t="s">
        <v>1234</v>
      </c>
      <c r="CS63" s="2">
        <v>2022</v>
      </c>
      <c r="CT63" s="2" t="s">
        <v>26</v>
      </c>
      <c r="CU63" s="2" t="s">
        <v>27</v>
      </c>
      <c r="CV63" s="2" t="s">
        <v>1235</v>
      </c>
      <c r="CW63" s="2" t="s">
        <v>1233</v>
      </c>
      <c r="CX63" s="2" t="s">
        <v>1236</v>
      </c>
      <c r="CY63" s="2"/>
      <c r="CZ63" s="2">
        <v>50</v>
      </c>
      <c r="DA63" s="2" t="s">
        <v>1234</v>
      </c>
      <c r="DB63" s="2">
        <v>2022</v>
      </c>
      <c r="DC63" s="2" t="s">
        <v>26</v>
      </c>
      <c r="DD63" s="2" t="s">
        <v>27</v>
      </c>
      <c r="DE63" s="2" t="s">
        <v>1237</v>
      </c>
      <c r="DF63" s="2" t="s">
        <v>1238</v>
      </c>
      <c r="DG63" s="2" t="s">
        <v>853</v>
      </c>
      <c r="DH63" s="2"/>
      <c r="DI63" s="2">
        <v>60</v>
      </c>
      <c r="DJ63" s="2" t="s">
        <v>1234</v>
      </c>
      <c r="DK63" s="2">
        <v>2021</v>
      </c>
      <c r="DL63" s="2" t="s">
        <v>26</v>
      </c>
      <c r="DM63" s="2" t="s">
        <v>27</v>
      </c>
      <c r="DN63" s="2" t="s">
        <v>33</v>
      </c>
      <c r="DO63" s="2" t="s">
        <v>812</v>
      </c>
      <c r="DP63" s="2"/>
      <c r="DQ63" s="2" t="s">
        <v>948</v>
      </c>
      <c r="DR63" s="2" t="s">
        <v>1239</v>
      </c>
      <c r="DS63" s="2">
        <v>1</v>
      </c>
      <c r="DT63" s="2" t="s">
        <v>1240</v>
      </c>
      <c r="DU63" s="2" t="s">
        <v>479</v>
      </c>
      <c r="DV63" s="2" t="s">
        <v>39</v>
      </c>
      <c r="DW63" s="2">
        <v>32257</v>
      </c>
      <c r="DX63" s="2" t="s">
        <v>1241</v>
      </c>
      <c r="DY63" s="2"/>
      <c r="DZ63" s="2" t="s">
        <v>471</v>
      </c>
      <c r="EA63" s="2" t="s">
        <v>1239</v>
      </c>
      <c r="EB63" s="2" t="s">
        <v>1242</v>
      </c>
      <c r="EC63" s="2" t="s">
        <v>1243</v>
      </c>
      <c r="ED63" s="2" t="s">
        <v>44</v>
      </c>
      <c r="EE63" s="2">
        <v>130</v>
      </c>
      <c r="EF63" s="2" t="s">
        <v>1244</v>
      </c>
      <c r="EG63" s="2">
        <v>5</v>
      </c>
      <c r="EH63" s="2" t="s">
        <v>46</v>
      </c>
      <c r="EI63" s="2" t="s">
        <v>47</v>
      </c>
      <c r="EJ63" s="2" t="s">
        <v>1245</v>
      </c>
      <c r="EK63" s="2" t="s">
        <v>1243</v>
      </c>
      <c r="EL63" s="2" t="s">
        <v>44</v>
      </c>
      <c r="EM63" s="2">
        <v>123</v>
      </c>
      <c r="EN63" s="2" t="s">
        <v>1244</v>
      </c>
      <c r="EO63" s="2">
        <v>6</v>
      </c>
      <c r="EP63" s="2" t="s">
        <v>46</v>
      </c>
      <c r="EQ63" s="2" t="s">
        <v>47</v>
      </c>
      <c r="ER63" s="2" t="s">
        <v>1246</v>
      </c>
      <c r="ES63" s="2"/>
      <c r="ET63" s="2" t="s">
        <v>571</v>
      </c>
      <c r="EU63" s="2" t="s">
        <v>1247</v>
      </c>
      <c r="EV63" s="2" t="s">
        <v>1248</v>
      </c>
      <c r="EW63" s="2" t="s">
        <v>510</v>
      </c>
      <c r="EX63" s="2" t="s">
        <v>39</v>
      </c>
      <c r="EY63" s="2">
        <v>32819</v>
      </c>
      <c r="EZ63" s="2" t="s">
        <v>1249</v>
      </c>
      <c r="FA63" s="2"/>
      <c r="FB63" s="2" t="s">
        <v>1250</v>
      </c>
      <c r="FC63" s="2" t="s">
        <v>656</v>
      </c>
      <c r="FD63" s="2"/>
      <c r="FE63" s="2" t="s">
        <v>1251</v>
      </c>
      <c r="FF63" s="2" t="s">
        <v>1247</v>
      </c>
      <c r="FG63" s="2" t="s">
        <v>1248</v>
      </c>
      <c r="FH63" s="2" t="s">
        <v>510</v>
      </c>
      <c r="FI63" s="2" t="s">
        <v>39</v>
      </c>
      <c r="FJ63" s="2">
        <v>32819</v>
      </c>
      <c r="FK63" s="2" t="s">
        <v>1252</v>
      </c>
      <c r="FL63" s="2"/>
      <c r="FM63" s="2" t="s">
        <v>1253</v>
      </c>
      <c r="FN63" s="2" t="s">
        <v>1254</v>
      </c>
      <c r="FO63" s="2" t="s">
        <v>63</v>
      </c>
      <c r="FP63" s="2" t="s">
        <v>64</v>
      </c>
      <c r="FQ63" s="2" t="s">
        <v>9</v>
      </c>
      <c r="FR63" s="2" t="s">
        <v>17</v>
      </c>
      <c r="FS63" s="2" t="s">
        <v>17</v>
      </c>
      <c r="FT63" s="2" t="s">
        <v>9</v>
      </c>
      <c r="FU63" s="2">
        <v>0</v>
      </c>
      <c r="FV63" s="2">
        <v>0</v>
      </c>
      <c r="FW63" s="4">
        <v>0</v>
      </c>
      <c r="FX63" s="4">
        <v>0</v>
      </c>
      <c r="FY63" s="2" t="s">
        <v>65</v>
      </c>
      <c r="FZ63" s="2" t="s">
        <v>66</v>
      </c>
      <c r="GA63" s="2" t="s">
        <v>67</v>
      </c>
      <c r="GB63" s="2"/>
      <c r="GC63" s="2"/>
      <c r="GD63" s="2"/>
      <c r="GE63" s="2" t="s">
        <v>68</v>
      </c>
      <c r="GF63" s="2"/>
      <c r="GG63" s="2"/>
      <c r="GH63" s="2">
        <v>72</v>
      </c>
      <c r="GI63" s="2"/>
      <c r="GJ63" s="2"/>
      <c r="GK63" s="2"/>
      <c r="GL63" s="2"/>
      <c r="GM63" s="2"/>
      <c r="GN63" s="2"/>
      <c r="GO63" s="2"/>
      <c r="GP63" s="2"/>
      <c r="GQ63" s="2">
        <v>72</v>
      </c>
      <c r="GR63" s="2" t="s">
        <v>219</v>
      </c>
      <c r="GS63" s="2" t="s">
        <v>70</v>
      </c>
      <c r="GT63" s="2" t="s">
        <v>1255</v>
      </c>
      <c r="GU63" s="2" t="s">
        <v>221</v>
      </c>
      <c r="GV63" s="2" t="s">
        <v>17</v>
      </c>
      <c r="GW63" s="2">
        <v>30.455265000000001</v>
      </c>
      <c r="GX63" s="2">
        <v>-84.243987000000004</v>
      </c>
      <c r="GY63" s="2"/>
      <c r="GZ63" s="2" t="s">
        <v>17</v>
      </c>
      <c r="HA63" s="2" t="s">
        <v>17</v>
      </c>
      <c r="HB63" s="2">
        <v>0</v>
      </c>
      <c r="HC63" s="2" t="s">
        <v>17</v>
      </c>
      <c r="HD63" s="2"/>
      <c r="HE63" s="2">
        <v>0</v>
      </c>
      <c r="HF63" s="2">
        <v>30.461009000000001</v>
      </c>
      <c r="HG63" s="2">
        <v>-84.246179999999995</v>
      </c>
      <c r="HH63" s="2">
        <v>0.42</v>
      </c>
      <c r="HI63" s="2">
        <v>5.5</v>
      </c>
      <c r="HJ63" s="2">
        <v>30.455880000000001</v>
      </c>
      <c r="HK63" s="2">
        <v>-84.240145999999996</v>
      </c>
      <c r="HL63" s="2">
        <v>0.23</v>
      </c>
      <c r="HM63" s="2">
        <v>30.455480999999999</v>
      </c>
      <c r="HN63" s="2">
        <v>-84.240339000000006</v>
      </c>
      <c r="HO63" s="2">
        <v>0.22</v>
      </c>
      <c r="HP63" s="2"/>
      <c r="HQ63" s="2"/>
      <c r="HR63" s="2"/>
      <c r="HS63" s="2"/>
      <c r="HT63" s="2"/>
      <c r="HU63" s="2"/>
      <c r="HV63" s="2"/>
      <c r="HW63" s="2"/>
      <c r="HX63" s="2" t="s">
        <v>73</v>
      </c>
      <c r="HY63" s="2" t="s">
        <v>17</v>
      </c>
      <c r="HZ63" s="2"/>
      <c r="IA63" s="2" t="s">
        <v>112</v>
      </c>
      <c r="IB63" s="2" t="s">
        <v>1256</v>
      </c>
      <c r="IC63" s="2">
        <v>0.92</v>
      </c>
      <c r="ID63" s="2">
        <v>2.5</v>
      </c>
      <c r="IE63" s="2" t="s">
        <v>1257</v>
      </c>
      <c r="IF63" s="2">
        <v>0.89</v>
      </c>
      <c r="IG63" s="2">
        <v>2.5</v>
      </c>
      <c r="IH63" s="2" t="s">
        <v>1118</v>
      </c>
      <c r="II63" s="2">
        <v>0.96</v>
      </c>
      <c r="IJ63" s="2">
        <v>2.5</v>
      </c>
      <c r="IK63" s="2"/>
      <c r="IL63" s="2"/>
      <c r="IM63" s="2"/>
      <c r="IN63" s="2"/>
      <c r="IO63" s="2" t="s">
        <v>17</v>
      </c>
      <c r="IP63" s="2">
        <v>5.5</v>
      </c>
      <c r="IQ63" s="2">
        <v>7.5</v>
      </c>
      <c r="IR63" s="2">
        <v>0</v>
      </c>
      <c r="IS63" s="2">
        <v>13</v>
      </c>
      <c r="IT63" s="2" t="s">
        <v>17</v>
      </c>
      <c r="IU63" s="2" t="s">
        <v>17</v>
      </c>
      <c r="IV63" s="2" t="s">
        <v>17</v>
      </c>
      <c r="IW63" s="2" t="s">
        <v>9</v>
      </c>
      <c r="IX63" s="2" t="s">
        <v>9</v>
      </c>
      <c r="IY63" s="2">
        <v>13</v>
      </c>
      <c r="IZ63" s="2">
        <v>72</v>
      </c>
      <c r="JA63" s="2" t="s">
        <v>81</v>
      </c>
      <c r="JB63" s="2" t="s">
        <v>82</v>
      </c>
      <c r="JC63" s="2"/>
      <c r="JD63" s="2"/>
      <c r="JE63" s="2"/>
      <c r="JF63" s="2"/>
      <c r="JG63" s="2"/>
      <c r="JH63" s="7">
        <v>0</v>
      </c>
      <c r="JI63" s="2">
        <v>0</v>
      </c>
      <c r="JJ63" s="7">
        <v>0</v>
      </c>
      <c r="JK63" s="2">
        <v>0</v>
      </c>
      <c r="JL63" s="7">
        <v>0</v>
      </c>
      <c r="JM63" s="2">
        <v>18</v>
      </c>
      <c r="JN63" s="2"/>
      <c r="JO63" s="2"/>
      <c r="JP63" s="2"/>
      <c r="JQ63" s="2">
        <v>54</v>
      </c>
      <c r="JR63" s="2"/>
      <c r="JS63" s="2">
        <v>0</v>
      </c>
      <c r="JT63" s="2">
        <v>0</v>
      </c>
      <c r="JU63" s="2"/>
      <c r="JV63" s="2">
        <v>72</v>
      </c>
      <c r="JW63" s="4">
        <v>1</v>
      </c>
      <c r="JX63" s="2">
        <v>72</v>
      </c>
      <c r="JY63" s="4">
        <v>0.6</v>
      </c>
      <c r="JZ63" s="2">
        <v>0</v>
      </c>
      <c r="KA63" s="2"/>
      <c r="KB63" s="2"/>
      <c r="KC63" s="2"/>
      <c r="KD63" s="2"/>
      <c r="KE63" s="2"/>
      <c r="KF63" s="2"/>
      <c r="KG63" s="2"/>
      <c r="KH63" s="2">
        <v>48</v>
      </c>
      <c r="KI63" s="2">
        <v>24</v>
      </c>
      <c r="KJ63" s="2"/>
      <c r="KK63" s="2"/>
      <c r="KL63" s="2"/>
      <c r="KM63" s="2"/>
      <c r="KN63" s="2"/>
      <c r="KO63" s="2"/>
      <c r="KP63" s="2"/>
      <c r="KQ63" s="2" t="s">
        <v>83</v>
      </c>
      <c r="KR63" s="2" t="s">
        <v>73</v>
      </c>
      <c r="KS63" s="2"/>
      <c r="KT63" s="2">
        <v>2</v>
      </c>
      <c r="KU63" s="2" t="s">
        <v>84</v>
      </c>
      <c r="KV63" s="2" t="s">
        <v>85</v>
      </c>
      <c r="KW63" s="2" t="s">
        <v>86</v>
      </c>
      <c r="KX63" s="2" t="s">
        <v>17</v>
      </c>
      <c r="KY63" s="2" t="s">
        <v>17</v>
      </c>
      <c r="KZ63" s="2" t="s">
        <v>17</v>
      </c>
      <c r="LA63" s="2" t="s">
        <v>17</v>
      </c>
      <c r="LB63" s="2" t="s">
        <v>17</v>
      </c>
      <c r="LC63" s="2" t="s">
        <v>17</v>
      </c>
      <c r="LD63" s="2" t="s">
        <v>17</v>
      </c>
      <c r="LE63" s="2" t="s">
        <v>17</v>
      </c>
      <c r="LF63" s="2" t="s">
        <v>17</v>
      </c>
      <c r="LG63" s="2" t="s">
        <v>17</v>
      </c>
      <c r="LH63" s="2" t="s">
        <v>17</v>
      </c>
      <c r="LI63" s="2" t="s">
        <v>17</v>
      </c>
      <c r="LJ63" s="2" t="s">
        <v>87</v>
      </c>
      <c r="LK63" s="2" t="s">
        <v>17</v>
      </c>
      <c r="LL63" s="2" t="s">
        <v>17</v>
      </c>
      <c r="LM63" s="2">
        <v>0</v>
      </c>
      <c r="LN63" s="2" t="s">
        <v>17</v>
      </c>
      <c r="LO63" s="2" t="s">
        <v>9</v>
      </c>
      <c r="LP63" s="2" t="s">
        <v>9</v>
      </c>
      <c r="LQ63" s="2" t="s">
        <v>17</v>
      </c>
      <c r="LR63" s="2" t="s">
        <v>9</v>
      </c>
      <c r="LS63" s="2" t="s">
        <v>17</v>
      </c>
      <c r="LT63" s="2" t="s">
        <v>17</v>
      </c>
      <c r="LU63" s="2" t="s">
        <v>17</v>
      </c>
      <c r="LV63" s="2" t="s">
        <v>17</v>
      </c>
      <c r="LW63" s="2" t="s">
        <v>17</v>
      </c>
      <c r="LX63" s="2" t="s">
        <v>17</v>
      </c>
      <c r="LY63" s="5">
        <v>5760000</v>
      </c>
      <c r="LZ63" s="5">
        <v>0</v>
      </c>
      <c r="MA63" s="5">
        <v>7200000</v>
      </c>
      <c r="MB63" s="5">
        <v>0</v>
      </c>
      <c r="MC63" s="5">
        <v>0</v>
      </c>
      <c r="MD63" s="5">
        <v>0</v>
      </c>
      <c r="ME63" s="5">
        <v>7560000</v>
      </c>
      <c r="MF63" s="5">
        <v>0</v>
      </c>
      <c r="MG63" s="5">
        <v>0</v>
      </c>
      <c r="MH63" s="5">
        <v>0</v>
      </c>
      <c r="MI63" s="5">
        <v>0</v>
      </c>
      <c r="MJ63" s="5">
        <v>0</v>
      </c>
      <c r="MK63" s="5">
        <v>0</v>
      </c>
      <c r="ML63" s="2">
        <v>0</v>
      </c>
      <c r="MM63" s="5">
        <v>0</v>
      </c>
      <c r="MN63" s="5">
        <v>0</v>
      </c>
      <c r="MO63" s="2">
        <v>0</v>
      </c>
      <c r="MP63" s="2">
        <v>0</v>
      </c>
      <c r="MQ63" s="2">
        <v>0</v>
      </c>
      <c r="MR63" s="5">
        <v>2950000</v>
      </c>
      <c r="MS63" s="5">
        <v>0</v>
      </c>
      <c r="MT63" s="5">
        <v>4600000</v>
      </c>
      <c r="MU63" s="5">
        <v>0</v>
      </c>
      <c r="MV63" s="5">
        <v>0</v>
      </c>
      <c r="MW63" s="5">
        <v>0</v>
      </c>
      <c r="MX63" s="5">
        <v>0</v>
      </c>
      <c r="MY63" s="5">
        <v>2500000</v>
      </c>
      <c r="MZ63" s="5">
        <v>0</v>
      </c>
      <c r="NA63" s="5">
        <v>5000000</v>
      </c>
      <c r="NB63" s="5">
        <v>0</v>
      </c>
      <c r="NC63" s="5">
        <v>0</v>
      </c>
      <c r="ND63" s="5">
        <v>0</v>
      </c>
      <c r="NE63" s="5">
        <v>0</v>
      </c>
      <c r="NF63" s="5">
        <v>0</v>
      </c>
      <c r="NG63" s="5">
        <v>2142000</v>
      </c>
      <c r="NH63" s="5">
        <v>2142000</v>
      </c>
      <c r="NI63" s="5">
        <v>2142000</v>
      </c>
      <c r="NJ63" s="5">
        <v>0</v>
      </c>
      <c r="NK63" s="5"/>
      <c r="NL63" s="2" t="s">
        <v>17</v>
      </c>
      <c r="NM63" s="2" t="s">
        <v>17</v>
      </c>
      <c r="NN63" s="2"/>
      <c r="NO63" s="2" t="s">
        <v>17</v>
      </c>
      <c r="NP63" s="2"/>
      <c r="NQ63" s="2"/>
      <c r="NR63" s="2" t="s">
        <v>17</v>
      </c>
      <c r="NS63" s="2"/>
      <c r="NT63" s="2" t="s">
        <v>17</v>
      </c>
      <c r="NU63" s="2"/>
      <c r="NV63" s="2"/>
      <c r="NW63" s="2"/>
      <c r="NX63" s="2" t="s">
        <v>9</v>
      </c>
      <c r="NY63" s="2" t="s">
        <v>88</v>
      </c>
      <c r="NZ63" s="2">
        <v>9.07</v>
      </c>
      <c r="OA63" s="2" t="s">
        <v>227</v>
      </c>
      <c r="OB63" s="2" t="s">
        <v>228</v>
      </c>
      <c r="OC63" s="2" t="s">
        <v>228</v>
      </c>
      <c r="OD63" s="2" t="s">
        <v>17</v>
      </c>
      <c r="OE63" s="2" t="s">
        <v>91</v>
      </c>
      <c r="OF63" s="2" t="s">
        <v>17</v>
      </c>
      <c r="OG63" s="2" t="s">
        <v>9</v>
      </c>
      <c r="OH63" s="2" t="s">
        <v>92</v>
      </c>
      <c r="OI63" s="2"/>
      <c r="OJ63" s="2"/>
      <c r="OK63" s="2" t="s">
        <v>17</v>
      </c>
      <c r="OL63" s="2" t="s">
        <v>17</v>
      </c>
      <c r="OM63" s="2" t="s">
        <v>85</v>
      </c>
      <c r="ON63" s="6">
        <v>0</v>
      </c>
      <c r="OO63" s="6">
        <v>0</v>
      </c>
      <c r="OP63" s="2" t="s">
        <v>93</v>
      </c>
      <c r="OQ63" s="2" t="s">
        <v>93</v>
      </c>
      <c r="OR63" s="6">
        <v>0</v>
      </c>
      <c r="OS63" s="4">
        <v>0</v>
      </c>
      <c r="OT63" s="2" t="s">
        <v>17</v>
      </c>
      <c r="OU63" s="2" t="s">
        <v>17</v>
      </c>
      <c r="OV63" s="2"/>
      <c r="OW63" s="2"/>
      <c r="OX63" s="5">
        <v>17735760</v>
      </c>
      <c r="OY63" s="6">
        <v>246330</v>
      </c>
      <c r="OZ63" s="2"/>
      <c r="PA63" s="2"/>
      <c r="PB63" s="8">
        <v>9729420</v>
      </c>
      <c r="PC63" s="2"/>
      <c r="PD63" s="8">
        <v>9729420</v>
      </c>
      <c r="PE63" s="8">
        <v>2000000</v>
      </c>
      <c r="PF63" s="8">
        <v>180000</v>
      </c>
      <c r="PG63" s="8">
        <v>2180000</v>
      </c>
      <c r="PH63" s="2"/>
      <c r="PI63" s="8">
        <v>20000</v>
      </c>
      <c r="PJ63" s="8">
        <v>20000</v>
      </c>
      <c r="PK63" s="8">
        <v>11729420</v>
      </c>
      <c r="PL63" s="8">
        <v>200000</v>
      </c>
      <c r="PM63" s="8">
        <v>11929420</v>
      </c>
      <c r="PN63" s="8">
        <v>1635118</v>
      </c>
      <c r="PO63" s="2"/>
      <c r="PP63" s="8">
        <v>1635118</v>
      </c>
      <c r="PQ63" s="6">
        <v>1670118</v>
      </c>
      <c r="PR63" s="8">
        <v>13364538</v>
      </c>
      <c r="PS63" s="8">
        <v>200000</v>
      </c>
      <c r="PT63" s="8">
        <v>13564538</v>
      </c>
      <c r="PU63" s="8">
        <v>665726</v>
      </c>
      <c r="PV63" s="2"/>
      <c r="PW63" s="8">
        <v>665726</v>
      </c>
      <c r="PX63" s="6">
        <v>678226.9</v>
      </c>
      <c r="PY63" s="8">
        <v>1086491</v>
      </c>
      <c r="PZ63" s="8">
        <v>68173</v>
      </c>
      <c r="QA63" s="8">
        <v>1154664</v>
      </c>
      <c r="QB63" s="8">
        <v>181605</v>
      </c>
      <c r="QC63" s="8">
        <v>21600</v>
      </c>
      <c r="QD63" s="8">
        <v>203205</v>
      </c>
      <c r="QE63" s="8">
        <v>595986</v>
      </c>
      <c r="QF63" s="2"/>
      <c r="QG63" s="8">
        <v>595986</v>
      </c>
      <c r="QH63" s="2"/>
      <c r="QI63" s="8">
        <v>448000</v>
      </c>
      <c r="QJ63" s="8">
        <v>448000</v>
      </c>
      <c r="QK63" s="2"/>
      <c r="QL63" s="2"/>
      <c r="QM63" s="2"/>
      <c r="QN63" s="8">
        <v>244530</v>
      </c>
      <c r="QO63" s="2"/>
      <c r="QP63" s="8">
        <v>244530</v>
      </c>
      <c r="QQ63" s="8">
        <v>2108612</v>
      </c>
      <c r="QR63" s="8">
        <v>537773</v>
      </c>
      <c r="QS63" s="8">
        <v>2646385</v>
      </c>
      <c r="QT63" s="8">
        <v>85202</v>
      </c>
      <c r="QU63" s="8">
        <v>4489</v>
      </c>
      <c r="QV63" s="8">
        <v>89691</v>
      </c>
      <c r="QW63" s="6">
        <v>132319.25</v>
      </c>
      <c r="QX63" s="8">
        <v>1483970</v>
      </c>
      <c r="QY63" s="8">
        <v>116535</v>
      </c>
      <c r="QZ63" s="8">
        <v>1600505</v>
      </c>
      <c r="RA63" s="8">
        <v>503949</v>
      </c>
      <c r="RB63" s="8">
        <v>503949</v>
      </c>
      <c r="RC63" s="2"/>
      <c r="RD63" s="2"/>
      <c r="RE63" s="2"/>
      <c r="RF63" s="8">
        <v>1483970</v>
      </c>
      <c r="RG63" s="8">
        <v>620484</v>
      </c>
      <c r="RH63" s="8">
        <v>2104454</v>
      </c>
      <c r="RI63" s="2"/>
      <c r="RJ63" s="2"/>
      <c r="RK63" s="2"/>
      <c r="RL63" s="2"/>
      <c r="RM63" s="8">
        <v>17708048</v>
      </c>
      <c r="RN63" s="8">
        <v>1362746</v>
      </c>
      <c r="RO63" s="8">
        <v>19070794</v>
      </c>
      <c r="RP63" s="2"/>
      <c r="RQ63" s="2"/>
      <c r="RR63" s="2">
        <v>0</v>
      </c>
      <c r="RS63" s="6">
        <v>0</v>
      </c>
      <c r="RT63" s="8">
        <v>3025405</v>
      </c>
      <c r="RU63" s="2"/>
      <c r="RV63" s="8">
        <v>3025405</v>
      </c>
      <c r="RW63" s="6">
        <v>3051327</v>
      </c>
      <c r="RX63" s="6">
        <v>0</v>
      </c>
      <c r="RY63" s="8">
        <v>3025405</v>
      </c>
      <c r="RZ63" s="2"/>
      <c r="SA63" s="8">
        <v>3025405</v>
      </c>
      <c r="SB63" s="6">
        <v>3051327</v>
      </c>
      <c r="SC63" s="8">
        <v>223767</v>
      </c>
      <c r="SD63" s="8">
        <v>223767</v>
      </c>
      <c r="SE63" s="6">
        <v>252000</v>
      </c>
      <c r="SF63" s="8">
        <v>1150000</v>
      </c>
      <c r="SG63" s="8">
        <v>1150000</v>
      </c>
      <c r="SH63" s="8">
        <v>20733453</v>
      </c>
      <c r="SI63" s="8">
        <v>2736513</v>
      </c>
      <c r="SJ63" s="8">
        <v>23469966</v>
      </c>
      <c r="SK63" s="2" t="s">
        <v>1258</v>
      </c>
      <c r="SL63" s="2" t="s">
        <v>1259</v>
      </c>
      <c r="SM63" s="2" t="s">
        <v>1260</v>
      </c>
      <c r="SN63" s="2"/>
      <c r="SO63" s="2"/>
      <c r="SP63" s="8">
        <v>18000000</v>
      </c>
      <c r="SQ63" s="2" t="s">
        <v>95</v>
      </c>
      <c r="SR63" s="2"/>
      <c r="SS63" s="2"/>
      <c r="ST63" s="2"/>
      <c r="SU63" s="2"/>
      <c r="SV63" s="2"/>
      <c r="SW63" s="2"/>
      <c r="SX63" s="2" t="s">
        <v>96</v>
      </c>
      <c r="SY63" s="2" t="s">
        <v>96</v>
      </c>
      <c r="SZ63" s="2" t="s">
        <v>96</v>
      </c>
      <c r="TA63" s="2" t="s">
        <v>96</v>
      </c>
      <c r="TB63" s="8">
        <v>3855214</v>
      </c>
      <c r="TC63" s="2"/>
      <c r="TD63" s="2"/>
      <c r="TE63" s="2"/>
      <c r="TF63" s="2"/>
      <c r="TG63" s="2"/>
      <c r="TH63" s="2"/>
      <c r="TI63" s="8">
        <v>1614752</v>
      </c>
      <c r="TJ63" s="8">
        <v>23469966</v>
      </c>
      <c r="TK63" s="2">
        <v>0</v>
      </c>
      <c r="TL63" s="2" t="s">
        <v>9</v>
      </c>
      <c r="TM63" s="8">
        <v>3100000</v>
      </c>
      <c r="TN63" s="2" t="s">
        <v>95</v>
      </c>
      <c r="TO63" s="2"/>
      <c r="TP63" s="2"/>
      <c r="TQ63" s="2"/>
      <c r="TR63" s="2"/>
      <c r="TS63" s="2"/>
      <c r="TT63" s="2"/>
      <c r="TU63" s="2" t="s">
        <v>96</v>
      </c>
      <c r="TV63" s="8">
        <v>19276072</v>
      </c>
      <c r="TW63" s="2"/>
      <c r="TX63" s="2"/>
      <c r="TY63" s="2"/>
      <c r="TZ63" s="2"/>
      <c r="UA63" s="2"/>
      <c r="UB63" s="2"/>
      <c r="UC63" s="8">
        <v>1093894</v>
      </c>
      <c r="UD63" s="8">
        <v>23469966</v>
      </c>
      <c r="UE63" s="6">
        <v>3100000</v>
      </c>
      <c r="UF63" s="2">
        <v>0</v>
      </c>
      <c r="UG63" s="2" t="s">
        <v>9</v>
      </c>
      <c r="UH63" s="2">
        <v>72</v>
      </c>
      <c r="UI63" s="5">
        <v>220000</v>
      </c>
      <c r="UJ63" s="6">
        <v>293333.33</v>
      </c>
      <c r="UK63" s="6">
        <v>293333.33</v>
      </c>
      <c r="UL63" s="6">
        <v>310933.33</v>
      </c>
      <c r="UM63" s="6">
        <v>22387200</v>
      </c>
      <c r="UN63" s="6">
        <v>3581952</v>
      </c>
      <c r="UO63" s="6">
        <v>3581952</v>
      </c>
      <c r="UP63" s="6">
        <v>25969152</v>
      </c>
      <c r="UQ63" s="6">
        <v>22096199</v>
      </c>
      <c r="UR63" s="2"/>
      <c r="US63" s="2"/>
      <c r="UT63" s="6">
        <v>0</v>
      </c>
      <c r="UU63" s="2"/>
      <c r="UV63" s="6">
        <v>0</v>
      </c>
      <c r="UW63" s="6">
        <v>0</v>
      </c>
      <c r="UX63" s="6">
        <v>0</v>
      </c>
      <c r="UY63" s="6">
        <v>0</v>
      </c>
      <c r="UZ63" s="2"/>
      <c r="VA63" s="2"/>
      <c r="VB63" s="2"/>
      <c r="VC63" s="2"/>
      <c r="VD63" s="2" t="s">
        <v>17</v>
      </c>
      <c r="VE63" s="2" t="s">
        <v>17</v>
      </c>
      <c r="VF63" s="2"/>
      <c r="VG63" s="2" t="s">
        <v>17</v>
      </c>
      <c r="VH63" s="2"/>
      <c r="VI63" s="388" t="s">
        <v>1231</v>
      </c>
      <c r="VJ63" s="2" t="s">
        <v>98</v>
      </c>
      <c r="VK63" s="2" t="s">
        <v>1247</v>
      </c>
      <c r="VL63" s="23">
        <f t="shared" si="21"/>
        <v>96</v>
      </c>
      <c r="VM63" s="17">
        <f t="shared" si="22"/>
        <v>1.3333333333333333</v>
      </c>
      <c r="VN63" s="17" t="str">
        <f t="shared" si="12"/>
        <v>NC-GA-F</v>
      </c>
      <c r="VO63" s="17" t="str">
        <f t="shared" si="13"/>
        <v>NC-GA-F-Non</v>
      </c>
      <c r="VP63" s="12">
        <v>9</v>
      </c>
      <c r="VQ63" s="57">
        <v>1</v>
      </c>
      <c r="VR63" s="57">
        <f t="shared" si="23"/>
        <v>1</v>
      </c>
      <c r="VS63" s="14">
        <f t="shared" si="24"/>
        <v>1</v>
      </c>
      <c r="VT63" s="12">
        <f t="shared" si="25"/>
        <v>1</v>
      </c>
      <c r="VU63" s="16">
        <f t="shared" si="26"/>
        <v>19278000</v>
      </c>
      <c r="VV63" s="16">
        <f t="shared" si="27"/>
        <v>267750</v>
      </c>
      <c r="VW63" s="12" t="str">
        <f t="shared" si="14"/>
        <v>B</v>
      </c>
      <c r="VX63" s="12" t="str">
        <f t="shared" si="15"/>
        <v>NC-GA-Non</v>
      </c>
      <c r="VY63" s="351">
        <f t="shared" si="16"/>
        <v>5</v>
      </c>
      <c r="WA63" s="12">
        <f t="shared" si="17"/>
        <v>0</v>
      </c>
      <c r="WB63" s="12">
        <f t="shared" si="18"/>
        <v>0</v>
      </c>
      <c r="WC63" s="12">
        <f t="shared" si="18"/>
        <v>0</v>
      </c>
      <c r="WD63" s="12">
        <f t="shared" si="18"/>
        <v>0</v>
      </c>
      <c r="WE63" s="12">
        <f t="shared" si="19"/>
        <v>0</v>
      </c>
      <c r="WF63" s="12">
        <f t="shared" si="28"/>
        <v>1</v>
      </c>
      <c r="WG63" s="12">
        <f t="shared" si="29"/>
        <v>0</v>
      </c>
      <c r="WH63" s="12">
        <f t="shared" si="30"/>
        <v>0</v>
      </c>
      <c r="WI63" s="22">
        <f t="shared" si="31"/>
        <v>1</v>
      </c>
      <c r="WJ63" s="2"/>
      <c r="WK63" s="443" t="str">
        <f t="shared" si="20"/>
        <v>NC-GA-Non-BBN-BRN-NPH-F</v>
      </c>
      <c r="WL63" s="443"/>
      <c r="WM63" s="443"/>
    </row>
    <row r="64" spans="1:611" x14ac:dyDescent="0.25">
      <c r="A64" s="2">
        <v>9507</v>
      </c>
      <c r="B64" s="2" t="s">
        <v>1261</v>
      </c>
      <c r="C64" s="2" t="s">
        <v>8</v>
      </c>
      <c r="D64" s="3">
        <v>45153</v>
      </c>
      <c r="E64" s="2" t="s">
        <v>9</v>
      </c>
      <c r="F64" s="2">
        <v>3</v>
      </c>
      <c r="G64" s="2" t="s">
        <v>9</v>
      </c>
      <c r="H64" s="2">
        <v>3</v>
      </c>
      <c r="I64" s="2" t="s">
        <v>9</v>
      </c>
      <c r="J64" s="2">
        <v>1</v>
      </c>
      <c r="K64" s="2" t="s">
        <v>9</v>
      </c>
      <c r="L64" s="2">
        <v>3</v>
      </c>
      <c r="M64" s="2" t="s">
        <v>10</v>
      </c>
      <c r="N64" s="2">
        <v>0</v>
      </c>
      <c r="O64" s="2" t="s">
        <v>10</v>
      </c>
      <c r="P64" s="2">
        <v>0</v>
      </c>
      <c r="Q64" s="2" t="s">
        <v>11</v>
      </c>
      <c r="R64" s="2">
        <v>0</v>
      </c>
      <c r="S64" s="2" t="s">
        <v>9</v>
      </c>
      <c r="T64" s="2">
        <v>2</v>
      </c>
      <c r="U64" s="2" t="s">
        <v>9</v>
      </c>
      <c r="V64" s="2">
        <v>2</v>
      </c>
      <c r="W64" s="2" t="s">
        <v>9</v>
      </c>
      <c r="X64" s="2">
        <v>2</v>
      </c>
      <c r="Y64" s="2" t="s">
        <v>12</v>
      </c>
      <c r="Z64" s="2" t="s">
        <v>14</v>
      </c>
      <c r="AA64" s="2" t="s">
        <v>14</v>
      </c>
      <c r="AB64" s="2" t="s">
        <v>1262</v>
      </c>
      <c r="AC64" s="2" t="s">
        <v>15</v>
      </c>
      <c r="AD64" s="2" t="s">
        <v>15</v>
      </c>
      <c r="AE64" s="2" t="s">
        <v>15</v>
      </c>
      <c r="AF64" s="2">
        <v>3</v>
      </c>
      <c r="AG64" s="2" t="s">
        <v>16</v>
      </c>
      <c r="AH64" s="2" t="s">
        <v>17</v>
      </c>
      <c r="AI64" s="4">
        <v>0.25</v>
      </c>
      <c r="AJ64" s="2" t="s">
        <v>17</v>
      </c>
      <c r="AK64" s="2" t="s">
        <v>9</v>
      </c>
      <c r="AL64" s="2" t="s">
        <v>17</v>
      </c>
      <c r="AM64" s="2" t="s">
        <v>17</v>
      </c>
      <c r="AN64" s="2" t="s">
        <v>17</v>
      </c>
      <c r="AO64" s="2" t="s">
        <v>17</v>
      </c>
      <c r="AP64" s="2" t="s">
        <v>9</v>
      </c>
      <c r="AQ64" s="2" t="s">
        <v>17</v>
      </c>
      <c r="AR64" s="2" t="s">
        <v>17</v>
      </c>
      <c r="AS64" s="2" t="s">
        <v>17</v>
      </c>
      <c r="AT64" s="2">
        <v>0</v>
      </c>
      <c r="AU64" s="5">
        <v>37500</v>
      </c>
      <c r="AV64" s="5">
        <v>460000</v>
      </c>
      <c r="AW64" s="2">
        <v>0</v>
      </c>
      <c r="AX64" s="2">
        <v>11</v>
      </c>
      <c r="AY64" s="2">
        <v>0</v>
      </c>
      <c r="AZ64" s="2">
        <v>18</v>
      </c>
      <c r="BA64" s="2">
        <v>0</v>
      </c>
      <c r="BB64" s="2">
        <v>1</v>
      </c>
      <c r="BC64" s="2">
        <v>1</v>
      </c>
      <c r="BD64" s="2">
        <v>0</v>
      </c>
      <c r="BE64" s="2">
        <v>0</v>
      </c>
      <c r="BF64" s="2">
        <v>1</v>
      </c>
      <c r="BG64" s="2">
        <v>0</v>
      </c>
      <c r="BH64" s="2">
        <v>0</v>
      </c>
      <c r="BI64" s="2">
        <v>13</v>
      </c>
      <c r="BJ64" s="2">
        <v>1</v>
      </c>
      <c r="BK64" s="2">
        <v>0</v>
      </c>
      <c r="BL64" s="2">
        <v>3</v>
      </c>
      <c r="BM64" s="2">
        <v>0</v>
      </c>
      <c r="BN64" s="2">
        <v>12</v>
      </c>
      <c r="BO64" s="2">
        <v>11</v>
      </c>
      <c r="BP64" s="2">
        <v>0</v>
      </c>
      <c r="BQ64" s="2">
        <v>10</v>
      </c>
      <c r="BR64" s="2">
        <v>11</v>
      </c>
      <c r="BS64" s="2">
        <v>0</v>
      </c>
      <c r="BT64" s="4">
        <v>0.06</v>
      </c>
      <c r="BU64" s="2" t="s">
        <v>9</v>
      </c>
      <c r="BV64" s="6">
        <v>246330</v>
      </c>
      <c r="BW64" s="2" t="s">
        <v>18</v>
      </c>
      <c r="BX64" s="2" t="s">
        <v>17</v>
      </c>
      <c r="BY64" s="2" t="s">
        <v>17</v>
      </c>
      <c r="BZ64" s="2" t="s">
        <v>17</v>
      </c>
      <c r="CA64" s="2" t="s">
        <v>17</v>
      </c>
      <c r="CB64" s="2" t="s">
        <v>17</v>
      </c>
      <c r="CC64" s="2" t="s">
        <v>17</v>
      </c>
      <c r="CD64" s="2" t="s">
        <v>17</v>
      </c>
      <c r="CE64" s="2" t="s">
        <v>1263</v>
      </c>
      <c r="CF64" s="2" t="s">
        <v>17</v>
      </c>
      <c r="CG64" s="2" t="s">
        <v>1264</v>
      </c>
      <c r="CH64" s="2"/>
      <c r="CI64" s="2"/>
      <c r="CJ64" s="2" t="s">
        <v>9</v>
      </c>
      <c r="CK64" s="2" t="s">
        <v>1231</v>
      </c>
      <c r="CL64" s="2" t="s">
        <v>1264</v>
      </c>
      <c r="CM64" s="2" t="s">
        <v>1232</v>
      </c>
      <c r="CN64" s="2" t="s">
        <v>1233</v>
      </c>
      <c r="CO64" s="2" t="s">
        <v>24</v>
      </c>
      <c r="CP64" s="2"/>
      <c r="CQ64" s="2">
        <v>70</v>
      </c>
      <c r="CR64" s="2" t="s">
        <v>1234</v>
      </c>
      <c r="CS64" s="2">
        <v>2022</v>
      </c>
      <c r="CT64" s="2" t="s">
        <v>26</v>
      </c>
      <c r="CU64" s="2" t="s">
        <v>27</v>
      </c>
      <c r="CV64" s="2" t="s">
        <v>1235</v>
      </c>
      <c r="CW64" s="2" t="s">
        <v>1233</v>
      </c>
      <c r="CX64" s="2" t="s">
        <v>1236</v>
      </c>
      <c r="CY64" s="2"/>
      <c r="CZ64" s="2">
        <v>50</v>
      </c>
      <c r="DA64" s="2" t="s">
        <v>1234</v>
      </c>
      <c r="DB64" s="2">
        <v>2022</v>
      </c>
      <c r="DC64" s="2" t="s">
        <v>26</v>
      </c>
      <c r="DD64" s="2" t="s">
        <v>27</v>
      </c>
      <c r="DE64" s="2" t="s">
        <v>1237</v>
      </c>
      <c r="DF64" s="2" t="s">
        <v>1238</v>
      </c>
      <c r="DG64" s="2" t="s">
        <v>853</v>
      </c>
      <c r="DH64" s="2"/>
      <c r="DI64" s="2">
        <v>60</v>
      </c>
      <c r="DJ64" s="2" t="s">
        <v>1234</v>
      </c>
      <c r="DK64" s="2">
        <v>2021</v>
      </c>
      <c r="DL64" s="2" t="s">
        <v>26</v>
      </c>
      <c r="DM64" s="2" t="s">
        <v>27</v>
      </c>
      <c r="DN64" s="2" t="s">
        <v>33</v>
      </c>
      <c r="DO64" s="2" t="s">
        <v>812</v>
      </c>
      <c r="DP64" s="2"/>
      <c r="DQ64" s="2" t="s">
        <v>948</v>
      </c>
      <c r="DR64" s="2" t="s">
        <v>1239</v>
      </c>
      <c r="DS64" s="2">
        <v>1</v>
      </c>
      <c r="DT64" s="2" t="s">
        <v>1240</v>
      </c>
      <c r="DU64" s="2" t="s">
        <v>479</v>
      </c>
      <c r="DV64" s="2" t="s">
        <v>39</v>
      </c>
      <c r="DW64" s="2">
        <v>32257</v>
      </c>
      <c r="DX64" s="2" t="s">
        <v>1241</v>
      </c>
      <c r="DY64" s="2"/>
      <c r="DZ64" s="2" t="s">
        <v>471</v>
      </c>
      <c r="EA64" s="2" t="s">
        <v>1239</v>
      </c>
      <c r="EB64" s="2" t="s">
        <v>1242</v>
      </c>
      <c r="EC64" s="2" t="s">
        <v>1243</v>
      </c>
      <c r="ED64" s="2" t="s">
        <v>44</v>
      </c>
      <c r="EE64" s="2">
        <v>130</v>
      </c>
      <c r="EF64" s="2" t="s">
        <v>1244</v>
      </c>
      <c r="EG64" s="2">
        <v>5</v>
      </c>
      <c r="EH64" s="2" t="s">
        <v>46</v>
      </c>
      <c r="EI64" s="2" t="s">
        <v>47</v>
      </c>
      <c r="EJ64" s="2" t="s">
        <v>1245</v>
      </c>
      <c r="EK64" s="2" t="s">
        <v>1243</v>
      </c>
      <c r="EL64" s="2" t="s">
        <v>44</v>
      </c>
      <c r="EM64" s="2">
        <v>123</v>
      </c>
      <c r="EN64" s="2" t="s">
        <v>1244</v>
      </c>
      <c r="EO64" s="2">
        <v>6</v>
      </c>
      <c r="EP64" s="2" t="s">
        <v>46</v>
      </c>
      <c r="EQ64" s="2" t="s">
        <v>47</v>
      </c>
      <c r="ER64" s="2" t="s">
        <v>1246</v>
      </c>
      <c r="ES64" s="2"/>
      <c r="ET64" s="2" t="s">
        <v>571</v>
      </c>
      <c r="EU64" s="2" t="s">
        <v>1247</v>
      </c>
      <c r="EV64" s="2" t="s">
        <v>1248</v>
      </c>
      <c r="EW64" s="2" t="s">
        <v>510</v>
      </c>
      <c r="EX64" s="2" t="s">
        <v>39</v>
      </c>
      <c r="EY64" s="2">
        <v>32819</v>
      </c>
      <c r="EZ64" s="2" t="s">
        <v>1249</v>
      </c>
      <c r="FA64" s="2"/>
      <c r="FB64" s="2" t="s">
        <v>1250</v>
      </c>
      <c r="FC64" s="2" t="s">
        <v>656</v>
      </c>
      <c r="FD64" s="2"/>
      <c r="FE64" s="2" t="s">
        <v>1251</v>
      </c>
      <c r="FF64" s="2" t="s">
        <v>1247</v>
      </c>
      <c r="FG64" s="2" t="s">
        <v>1248</v>
      </c>
      <c r="FH64" s="2" t="s">
        <v>510</v>
      </c>
      <c r="FI64" s="2" t="s">
        <v>39</v>
      </c>
      <c r="FJ64" s="2">
        <v>32819</v>
      </c>
      <c r="FK64" s="2" t="s">
        <v>1252</v>
      </c>
      <c r="FL64" s="2"/>
      <c r="FM64" s="2" t="s">
        <v>1253</v>
      </c>
      <c r="FN64" s="2" t="s">
        <v>1265</v>
      </c>
      <c r="FO64" s="2" t="s">
        <v>63</v>
      </c>
      <c r="FP64" s="2" t="s">
        <v>64</v>
      </c>
      <c r="FQ64" s="2" t="s">
        <v>9</v>
      </c>
      <c r="FR64" s="2" t="s">
        <v>17</v>
      </c>
      <c r="FS64" s="2" t="s">
        <v>17</v>
      </c>
      <c r="FT64" s="2" t="s">
        <v>9</v>
      </c>
      <c r="FU64" s="2">
        <v>0</v>
      </c>
      <c r="FV64" s="2">
        <v>0</v>
      </c>
      <c r="FW64" s="4">
        <v>0</v>
      </c>
      <c r="FX64" s="4">
        <v>0</v>
      </c>
      <c r="FY64" s="2" t="s">
        <v>65</v>
      </c>
      <c r="FZ64" s="2" t="s">
        <v>66</v>
      </c>
      <c r="GA64" s="2" t="s">
        <v>67</v>
      </c>
      <c r="GB64" s="2"/>
      <c r="GC64" s="2"/>
      <c r="GD64" s="2"/>
      <c r="GE64" s="2" t="s">
        <v>68</v>
      </c>
      <c r="GF64" s="2"/>
      <c r="GG64" s="2"/>
      <c r="GH64" s="2">
        <v>72</v>
      </c>
      <c r="GI64" s="2"/>
      <c r="GJ64" s="2"/>
      <c r="GK64" s="2"/>
      <c r="GL64" s="2"/>
      <c r="GM64" s="2"/>
      <c r="GN64" s="2"/>
      <c r="GO64" s="2"/>
      <c r="GP64" s="2"/>
      <c r="GQ64" s="2">
        <v>72</v>
      </c>
      <c r="GR64" s="2" t="s">
        <v>219</v>
      </c>
      <c r="GS64" s="2" t="s">
        <v>70</v>
      </c>
      <c r="GT64" s="2" t="s">
        <v>1266</v>
      </c>
      <c r="GU64" s="2" t="s">
        <v>221</v>
      </c>
      <c r="GV64" s="2" t="s">
        <v>17</v>
      </c>
      <c r="GW64" s="2">
        <v>30.465878</v>
      </c>
      <c r="GX64" s="2">
        <v>-84.296406000000005</v>
      </c>
      <c r="GY64" s="2"/>
      <c r="GZ64" s="2" t="s">
        <v>17</v>
      </c>
      <c r="HA64" s="2" t="s">
        <v>17</v>
      </c>
      <c r="HB64" s="2">
        <v>0</v>
      </c>
      <c r="HC64" s="2" t="s">
        <v>17</v>
      </c>
      <c r="HD64" s="2"/>
      <c r="HE64" s="2">
        <v>0</v>
      </c>
      <c r="HF64" s="2">
        <v>30.463467999999999</v>
      </c>
      <c r="HG64" s="2">
        <v>-84.291810999999996</v>
      </c>
      <c r="HH64" s="2">
        <v>0.32</v>
      </c>
      <c r="HI64" s="2">
        <v>5.5</v>
      </c>
      <c r="HJ64" s="2">
        <v>30.463778000000001</v>
      </c>
      <c r="HK64" s="2">
        <v>-84.291539999999998</v>
      </c>
      <c r="HL64" s="2">
        <v>0.32</v>
      </c>
      <c r="HM64" s="2">
        <v>30.463552</v>
      </c>
      <c r="HN64" s="2">
        <v>-84.292227999999994</v>
      </c>
      <c r="HO64" s="2">
        <v>0.3</v>
      </c>
      <c r="HP64" s="2"/>
      <c r="HQ64" s="2"/>
      <c r="HR64" s="2"/>
      <c r="HS64" s="2"/>
      <c r="HT64" s="2"/>
      <c r="HU64" s="2"/>
      <c r="HV64" s="2"/>
      <c r="HW64" s="2"/>
      <c r="HX64" s="2" t="s">
        <v>73</v>
      </c>
      <c r="HY64" s="2" t="s">
        <v>17</v>
      </c>
      <c r="HZ64" s="2"/>
      <c r="IA64" s="2" t="s">
        <v>112</v>
      </c>
      <c r="IB64" s="2" t="s">
        <v>1267</v>
      </c>
      <c r="IC64" s="2">
        <v>0.74</v>
      </c>
      <c r="ID64" s="2">
        <v>3</v>
      </c>
      <c r="IE64" s="2"/>
      <c r="IF64" s="2"/>
      <c r="IG64" s="2"/>
      <c r="IH64" s="2" t="s">
        <v>1118</v>
      </c>
      <c r="II64" s="2">
        <v>0.55000000000000004</v>
      </c>
      <c r="IJ64" s="2">
        <v>3</v>
      </c>
      <c r="IK64" s="2" t="s">
        <v>1268</v>
      </c>
      <c r="IL64" s="2" t="s">
        <v>1269</v>
      </c>
      <c r="IM64" s="2">
        <v>0.52</v>
      </c>
      <c r="IN64" s="2">
        <v>3.5</v>
      </c>
      <c r="IO64" s="2" t="s">
        <v>17</v>
      </c>
      <c r="IP64" s="2">
        <v>5.5</v>
      </c>
      <c r="IQ64" s="2">
        <v>9.5</v>
      </c>
      <c r="IR64" s="2">
        <v>0</v>
      </c>
      <c r="IS64" s="2">
        <v>15</v>
      </c>
      <c r="IT64" s="2" t="s">
        <v>17</v>
      </c>
      <c r="IU64" s="2" t="s">
        <v>17</v>
      </c>
      <c r="IV64" s="2" t="s">
        <v>17</v>
      </c>
      <c r="IW64" s="2" t="s">
        <v>9</v>
      </c>
      <c r="IX64" s="2" t="s">
        <v>9</v>
      </c>
      <c r="IY64" s="2">
        <v>15</v>
      </c>
      <c r="IZ64" s="2">
        <v>72</v>
      </c>
      <c r="JA64" s="2" t="s">
        <v>81</v>
      </c>
      <c r="JB64" s="2" t="s">
        <v>82</v>
      </c>
      <c r="JC64" s="2"/>
      <c r="JD64" s="2"/>
      <c r="JE64" s="2"/>
      <c r="JF64" s="2"/>
      <c r="JG64" s="2"/>
      <c r="JH64" s="7">
        <v>0</v>
      </c>
      <c r="JI64" s="2">
        <v>0</v>
      </c>
      <c r="JJ64" s="7">
        <v>0</v>
      </c>
      <c r="JK64" s="2">
        <v>0</v>
      </c>
      <c r="JL64" s="7">
        <v>0</v>
      </c>
      <c r="JM64" s="2">
        <v>18</v>
      </c>
      <c r="JN64" s="2"/>
      <c r="JO64" s="2"/>
      <c r="JP64" s="2"/>
      <c r="JQ64" s="2">
        <v>54</v>
      </c>
      <c r="JR64" s="2"/>
      <c r="JS64" s="2">
        <v>0</v>
      </c>
      <c r="JT64" s="2">
        <v>0</v>
      </c>
      <c r="JU64" s="2"/>
      <c r="JV64" s="2">
        <v>72</v>
      </c>
      <c r="JW64" s="4">
        <v>1</v>
      </c>
      <c r="JX64" s="2">
        <v>72</v>
      </c>
      <c r="JY64" s="4">
        <v>0.6</v>
      </c>
      <c r="JZ64" s="2">
        <v>0</v>
      </c>
      <c r="KA64" s="2"/>
      <c r="KB64" s="2"/>
      <c r="KC64" s="2"/>
      <c r="KD64" s="2"/>
      <c r="KE64" s="2"/>
      <c r="KF64" s="2"/>
      <c r="KG64" s="2"/>
      <c r="KH64" s="2">
        <v>48</v>
      </c>
      <c r="KI64" s="2">
        <v>24</v>
      </c>
      <c r="KJ64" s="2"/>
      <c r="KK64" s="2"/>
      <c r="KL64" s="2"/>
      <c r="KM64" s="2"/>
      <c r="KN64" s="2"/>
      <c r="KO64" s="2"/>
      <c r="KP64" s="2"/>
      <c r="KQ64" s="2" t="s">
        <v>83</v>
      </c>
      <c r="KR64" s="2" t="s">
        <v>73</v>
      </c>
      <c r="KS64" s="2"/>
      <c r="KT64" s="2">
        <v>2</v>
      </c>
      <c r="KU64" s="2" t="s">
        <v>84</v>
      </c>
      <c r="KV64" s="2" t="s">
        <v>85</v>
      </c>
      <c r="KW64" s="2" t="s">
        <v>86</v>
      </c>
      <c r="KX64" s="2" t="s">
        <v>17</v>
      </c>
      <c r="KY64" s="2" t="s">
        <v>17</v>
      </c>
      <c r="KZ64" s="2" t="s">
        <v>17</v>
      </c>
      <c r="LA64" s="2" t="s">
        <v>17</v>
      </c>
      <c r="LB64" s="2" t="s">
        <v>17</v>
      </c>
      <c r="LC64" s="2" t="s">
        <v>17</v>
      </c>
      <c r="LD64" s="2" t="s">
        <v>17</v>
      </c>
      <c r="LE64" s="2" t="s">
        <v>17</v>
      </c>
      <c r="LF64" s="2" t="s">
        <v>17</v>
      </c>
      <c r="LG64" s="2" t="s">
        <v>17</v>
      </c>
      <c r="LH64" s="2" t="s">
        <v>17</v>
      </c>
      <c r="LI64" s="2" t="s">
        <v>17</v>
      </c>
      <c r="LJ64" s="2" t="s">
        <v>87</v>
      </c>
      <c r="LK64" s="2" t="s">
        <v>17</v>
      </c>
      <c r="LL64" s="2" t="s">
        <v>17</v>
      </c>
      <c r="LM64" s="2">
        <v>0</v>
      </c>
      <c r="LN64" s="2" t="s">
        <v>17</v>
      </c>
      <c r="LO64" s="2" t="s">
        <v>9</v>
      </c>
      <c r="LP64" s="2" t="s">
        <v>9</v>
      </c>
      <c r="LQ64" s="2" t="s">
        <v>17</v>
      </c>
      <c r="LR64" s="2" t="s">
        <v>9</v>
      </c>
      <c r="LS64" s="2" t="s">
        <v>17</v>
      </c>
      <c r="LT64" s="2" t="s">
        <v>17</v>
      </c>
      <c r="LU64" s="2" t="s">
        <v>17</v>
      </c>
      <c r="LV64" s="2" t="s">
        <v>17</v>
      </c>
      <c r="LW64" s="2" t="s">
        <v>17</v>
      </c>
      <c r="LX64" s="2" t="s">
        <v>17</v>
      </c>
      <c r="LY64" s="5">
        <v>5760000</v>
      </c>
      <c r="LZ64" s="5">
        <v>0</v>
      </c>
      <c r="MA64" s="5">
        <v>7200000</v>
      </c>
      <c r="MB64" s="5">
        <v>0</v>
      </c>
      <c r="MC64" s="5">
        <v>0</v>
      </c>
      <c r="MD64" s="5">
        <v>0</v>
      </c>
      <c r="ME64" s="5">
        <v>7560000</v>
      </c>
      <c r="MF64" s="5">
        <v>0</v>
      </c>
      <c r="MG64" s="5">
        <v>0</v>
      </c>
      <c r="MH64" s="5">
        <v>0</v>
      </c>
      <c r="MI64" s="5">
        <v>0</v>
      </c>
      <c r="MJ64" s="5">
        <v>0</v>
      </c>
      <c r="MK64" s="5">
        <v>0</v>
      </c>
      <c r="ML64" s="2">
        <v>0</v>
      </c>
      <c r="MM64" s="5">
        <v>0</v>
      </c>
      <c r="MN64" s="5">
        <v>0</v>
      </c>
      <c r="MO64" s="2">
        <v>0</v>
      </c>
      <c r="MP64" s="2">
        <v>0</v>
      </c>
      <c r="MQ64" s="2">
        <v>0</v>
      </c>
      <c r="MR64" s="5">
        <v>2950000</v>
      </c>
      <c r="MS64" s="5">
        <v>0</v>
      </c>
      <c r="MT64" s="5">
        <v>4600000</v>
      </c>
      <c r="MU64" s="5">
        <v>0</v>
      </c>
      <c r="MV64" s="5">
        <v>0</v>
      </c>
      <c r="MW64" s="5">
        <v>0</v>
      </c>
      <c r="MX64" s="5">
        <v>0</v>
      </c>
      <c r="MY64" s="5">
        <v>2500000</v>
      </c>
      <c r="MZ64" s="5">
        <v>0</v>
      </c>
      <c r="NA64" s="5">
        <v>5000000</v>
      </c>
      <c r="NB64" s="5">
        <v>0</v>
      </c>
      <c r="NC64" s="5">
        <v>0</v>
      </c>
      <c r="ND64" s="5">
        <v>0</v>
      </c>
      <c r="NE64" s="5">
        <v>0</v>
      </c>
      <c r="NF64" s="5">
        <v>0</v>
      </c>
      <c r="NG64" s="5">
        <v>2142000</v>
      </c>
      <c r="NH64" s="5">
        <v>2142000</v>
      </c>
      <c r="NI64" s="5">
        <v>2142000</v>
      </c>
      <c r="NJ64" s="5">
        <v>0</v>
      </c>
      <c r="NK64" s="5"/>
      <c r="NL64" s="2" t="s">
        <v>17</v>
      </c>
      <c r="NM64" s="2" t="s">
        <v>17</v>
      </c>
      <c r="NN64" s="2"/>
      <c r="NO64" s="2" t="s">
        <v>17</v>
      </c>
      <c r="NP64" s="2"/>
      <c r="NQ64" s="2"/>
      <c r="NR64" s="2" t="s">
        <v>17</v>
      </c>
      <c r="NS64" s="2"/>
      <c r="NT64" s="2" t="s">
        <v>17</v>
      </c>
      <c r="NU64" s="2"/>
      <c r="NV64" s="2"/>
      <c r="NW64" s="2"/>
      <c r="NX64" s="2" t="s">
        <v>9</v>
      </c>
      <c r="NY64" s="2" t="s">
        <v>88</v>
      </c>
      <c r="NZ64" s="2">
        <v>15</v>
      </c>
      <c r="OA64" s="2" t="s">
        <v>227</v>
      </c>
      <c r="OB64" s="2" t="s">
        <v>228</v>
      </c>
      <c r="OC64" s="2" t="s">
        <v>228</v>
      </c>
      <c r="OD64" s="2" t="s">
        <v>17</v>
      </c>
      <c r="OE64" s="2" t="s">
        <v>91</v>
      </c>
      <c r="OF64" s="2" t="s">
        <v>17</v>
      </c>
      <c r="OG64" s="2" t="s">
        <v>9</v>
      </c>
      <c r="OH64" s="2" t="s">
        <v>92</v>
      </c>
      <c r="OI64" s="2"/>
      <c r="OJ64" s="2"/>
      <c r="OK64" s="2" t="s">
        <v>17</v>
      </c>
      <c r="OL64" s="2" t="s">
        <v>17</v>
      </c>
      <c r="OM64" s="2" t="s">
        <v>85</v>
      </c>
      <c r="ON64" s="6">
        <v>0</v>
      </c>
      <c r="OO64" s="6">
        <v>0</v>
      </c>
      <c r="OP64" s="2" t="s">
        <v>93</v>
      </c>
      <c r="OQ64" s="2" t="s">
        <v>93</v>
      </c>
      <c r="OR64" s="6">
        <v>0</v>
      </c>
      <c r="OS64" s="4">
        <v>0</v>
      </c>
      <c r="OT64" s="2" t="s">
        <v>17</v>
      </c>
      <c r="OU64" s="2" t="s">
        <v>17</v>
      </c>
      <c r="OV64" s="2"/>
      <c r="OW64" s="2"/>
      <c r="OX64" s="5">
        <v>17735760</v>
      </c>
      <c r="OY64" s="6">
        <v>246330</v>
      </c>
      <c r="OZ64" s="2"/>
      <c r="PA64" s="2"/>
      <c r="PB64" s="8">
        <v>9529420</v>
      </c>
      <c r="PC64" s="2"/>
      <c r="PD64" s="8">
        <v>9529420</v>
      </c>
      <c r="PE64" s="8">
        <v>2050000</v>
      </c>
      <c r="PF64" s="8">
        <v>200000</v>
      </c>
      <c r="PG64" s="8">
        <v>2250000</v>
      </c>
      <c r="PH64" s="2"/>
      <c r="PI64" s="2"/>
      <c r="PJ64" s="2"/>
      <c r="PK64" s="8">
        <v>11579420</v>
      </c>
      <c r="PL64" s="8">
        <v>200000</v>
      </c>
      <c r="PM64" s="8">
        <v>11779420</v>
      </c>
      <c r="PN64" s="8">
        <v>1635118</v>
      </c>
      <c r="PO64" s="2"/>
      <c r="PP64" s="8">
        <v>1635118</v>
      </c>
      <c r="PQ64" s="6">
        <v>1649118</v>
      </c>
      <c r="PR64" s="8">
        <v>13214538</v>
      </c>
      <c r="PS64" s="8">
        <v>200000</v>
      </c>
      <c r="PT64" s="8">
        <v>13414538</v>
      </c>
      <c r="PU64" s="8">
        <v>665726</v>
      </c>
      <c r="PV64" s="2"/>
      <c r="PW64" s="8">
        <v>665726</v>
      </c>
      <c r="PX64" s="6">
        <v>670726.9</v>
      </c>
      <c r="PY64" s="8">
        <v>1086491</v>
      </c>
      <c r="PZ64" s="8">
        <v>68173</v>
      </c>
      <c r="QA64" s="8">
        <v>1154664</v>
      </c>
      <c r="QB64" s="8">
        <v>181605</v>
      </c>
      <c r="QC64" s="8">
        <v>21600</v>
      </c>
      <c r="QD64" s="8">
        <v>203205</v>
      </c>
      <c r="QE64" s="8">
        <v>595986</v>
      </c>
      <c r="QF64" s="2"/>
      <c r="QG64" s="8">
        <v>595986</v>
      </c>
      <c r="QH64" s="2"/>
      <c r="QI64" s="8">
        <v>448000</v>
      </c>
      <c r="QJ64" s="8">
        <v>448000</v>
      </c>
      <c r="QK64" s="2"/>
      <c r="QL64" s="2"/>
      <c r="QM64" s="2"/>
      <c r="QN64" s="8">
        <v>244530</v>
      </c>
      <c r="QO64" s="2"/>
      <c r="QP64" s="8">
        <v>244530</v>
      </c>
      <c r="QQ64" s="8">
        <v>2108612</v>
      </c>
      <c r="QR64" s="8">
        <v>537773</v>
      </c>
      <c r="QS64" s="8">
        <v>2646385</v>
      </c>
      <c r="QT64" s="8">
        <v>85202</v>
      </c>
      <c r="QU64" s="8">
        <v>4489</v>
      </c>
      <c r="QV64" s="8">
        <v>89691</v>
      </c>
      <c r="QW64" s="6">
        <v>132319.25</v>
      </c>
      <c r="QX64" s="8">
        <v>1653030</v>
      </c>
      <c r="QY64" s="8">
        <v>116535</v>
      </c>
      <c r="QZ64" s="8">
        <v>1769565</v>
      </c>
      <c r="RA64" s="8">
        <v>545950</v>
      </c>
      <c r="RB64" s="8">
        <v>545950</v>
      </c>
      <c r="RC64" s="2"/>
      <c r="RD64" s="2"/>
      <c r="RE64" s="2"/>
      <c r="RF64" s="8">
        <v>1653030</v>
      </c>
      <c r="RG64" s="8">
        <v>662485</v>
      </c>
      <c r="RH64" s="8">
        <v>2315515</v>
      </c>
      <c r="RI64" s="2"/>
      <c r="RJ64" s="2"/>
      <c r="RK64" s="2"/>
      <c r="RL64" s="2"/>
      <c r="RM64" s="8">
        <v>17727108</v>
      </c>
      <c r="RN64" s="8">
        <v>1404747</v>
      </c>
      <c r="RO64" s="8">
        <v>19131855</v>
      </c>
      <c r="RP64" s="2"/>
      <c r="RQ64" s="2"/>
      <c r="RR64" s="2">
        <v>0</v>
      </c>
      <c r="RS64" s="6">
        <v>0</v>
      </c>
      <c r="RT64" s="8">
        <v>3025405</v>
      </c>
      <c r="RU64" s="2"/>
      <c r="RV64" s="8">
        <v>3025405</v>
      </c>
      <c r="RW64" s="6">
        <v>3061096</v>
      </c>
      <c r="RX64" s="6">
        <v>0</v>
      </c>
      <c r="RY64" s="8">
        <v>3025405</v>
      </c>
      <c r="RZ64" s="2"/>
      <c r="SA64" s="8">
        <v>3025405</v>
      </c>
      <c r="SB64" s="6">
        <v>3061096</v>
      </c>
      <c r="SC64" s="8">
        <v>223767</v>
      </c>
      <c r="SD64" s="8">
        <v>223767</v>
      </c>
      <c r="SE64" s="6">
        <v>252000</v>
      </c>
      <c r="SF64" s="8">
        <v>650000</v>
      </c>
      <c r="SG64" s="8">
        <v>650000</v>
      </c>
      <c r="SH64" s="8">
        <v>20752513</v>
      </c>
      <c r="SI64" s="8">
        <v>2278514</v>
      </c>
      <c r="SJ64" s="8">
        <v>23031027</v>
      </c>
      <c r="SK64" s="2" t="s">
        <v>1258</v>
      </c>
      <c r="SL64" s="2"/>
      <c r="SM64" s="2" t="s">
        <v>1260</v>
      </c>
      <c r="SN64" s="2"/>
      <c r="SO64" s="2"/>
      <c r="SP64" s="8">
        <v>18000000</v>
      </c>
      <c r="SQ64" s="2" t="s">
        <v>95</v>
      </c>
      <c r="SR64" s="2"/>
      <c r="SS64" s="2"/>
      <c r="ST64" s="2"/>
      <c r="SU64" s="2"/>
      <c r="SV64" s="2"/>
      <c r="SW64" s="2"/>
      <c r="SX64" s="2" t="s">
        <v>96</v>
      </c>
      <c r="SY64" s="2" t="s">
        <v>96</v>
      </c>
      <c r="SZ64" s="2" t="s">
        <v>96</v>
      </c>
      <c r="TA64" s="2" t="s">
        <v>96</v>
      </c>
      <c r="TB64" s="8">
        <v>3855214</v>
      </c>
      <c r="TC64" s="2"/>
      <c r="TD64" s="2"/>
      <c r="TE64" s="2"/>
      <c r="TF64" s="2"/>
      <c r="TG64" s="2"/>
      <c r="TH64" s="2"/>
      <c r="TI64" s="8">
        <v>1175813</v>
      </c>
      <c r="TJ64" s="8">
        <v>23031027</v>
      </c>
      <c r="TK64" s="2">
        <v>0</v>
      </c>
      <c r="TL64" s="2" t="s">
        <v>9</v>
      </c>
      <c r="TM64" s="8">
        <v>3100000</v>
      </c>
      <c r="TN64" s="2" t="s">
        <v>95</v>
      </c>
      <c r="TO64" s="2"/>
      <c r="TP64" s="2"/>
      <c r="TQ64" s="2"/>
      <c r="TR64" s="2"/>
      <c r="TS64" s="2"/>
      <c r="TT64" s="2"/>
      <c r="TU64" s="2" t="s">
        <v>96</v>
      </c>
      <c r="TV64" s="8">
        <v>19276072</v>
      </c>
      <c r="TW64" s="2"/>
      <c r="TX64" s="2"/>
      <c r="TY64" s="2"/>
      <c r="TZ64" s="2"/>
      <c r="UA64" s="2"/>
      <c r="UB64" s="2"/>
      <c r="UC64" s="8">
        <v>654955</v>
      </c>
      <c r="UD64" s="8">
        <v>23031027</v>
      </c>
      <c r="UE64" s="6">
        <v>3100000</v>
      </c>
      <c r="UF64" s="2">
        <v>0</v>
      </c>
      <c r="UG64" s="2" t="s">
        <v>9</v>
      </c>
      <c r="UH64" s="2">
        <v>72</v>
      </c>
      <c r="UI64" s="5">
        <v>220000</v>
      </c>
      <c r="UJ64" s="6">
        <v>293333.33</v>
      </c>
      <c r="UK64" s="6">
        <v>293333.33</v>
      </c>
      <c r="UL64" s="6">
        <v>310933.33</v>
      </c>
      <c r="UM64" s="6">
        <v>22387200</v>
      </c>
      <c r="UN64" s="6">
        <v>3581952</v>
      </c>
      <c r="UO64" s="6">
        <v>3581952</v>
      </c>
      <c r="UP64" s="6">
        <v>25969152</v>
      </c>
      <c r="UQ64" s="6">
        <v>22157260</v>
      </c>
      <c r="UR64" s="2"/>
      <c r="US64" s="2"/>
      <c r="UT64" s="6">
        <v>0</v>
      </c>
      <c r="UU64" s="2"/>
      <c r="UV64" s="6">
        <v>0</v>
      </c>
      <c r="UW64" s="6">
        <v>0</v>
      </c>
      <c r="UX64" s="6">
        <v>0</v>
      </c>
      <c r="UY64" s="6">
        <v>0</v>
      </c>
      <c r="UZ64" s="2"/>
      <c r="VA64" s="2"/>
      <c r="VB64" s="2"/>
      <c r="VC64" s="2"/>
      <c r="VD64" s="2" t="s">
        <v>17</v>
      </c>
      <c r="VE64" s="2" t="s">
        <v>17</v>
      </c>
      <c r="VF64" s="2"/>
      <c r="VG64" s="2" t="s">
        <v>17</v>
      </c>
      <c r="VH64" s="2"/>
      <c r="VI64" s="388" t="s">
        <v>1231</v>
      </c>
      <c r="VJ64" s="2" t="s">
        <v>98</v>
      </c>
      <c r="VK64" s="2" t="s">
        <v>1247</v>
      </c>
      <c r="VL64" s="23">
        <f t="shared" si="21"/>
        <v>96</v>
      </c>
      <c r="VM64" s="17">
        <f t="shared" si="22"/>
        <v>1.3333333333333333</v>
      </c>
      <c r="VN64" s="17" t="str">
        <f t="shared" si="12"/>
        <v>NC-GA-F</v>
      </c>
      <c r="VO64" s="17" t="str">
        <f t="shared" si="13"/>
        <v>NC-GA-F-Non</v>
      </c>
      <c r="VP64" s="12">
        <v>9</v>
      </c>
      <c r="VQ64" s="57">
        <v>1</v>
      </c>
      <c r="VR64" s="57">
        <f t="shared" si="23"/>
        <v>1</v>
      </c>
      <c r="VS64" s="14">
        <f t="shared" si="24"/>
        <v>1</v>
      </c>
      <c r="VT64" s="12">
        <f t="shared" si="25"/>
        <v>1</v>
      </c>
      <c r="VU64" s="16">
        <f t="shared" si="26"/>
        <v>19278000</v>
      </c>
      <c r="VV64" s="16">
        <f t="shared" si="27"/>
        <v>267750</v>
      </c>
      <c r="VW64" s="12" t="str">
        <f t="shared" si="14"/>
        <v>B</v>
      </c>
      <c r="VX64" s="12" t="str">
        <f t="shared" si="15"/>
        <v>NC-GA-Non</v>
      </c>
      <c r="VY64" s="351">
        <f t="shared" si="16"/>
        <v>5</v>
      </c>
      <c r="WA64" s="12">
        <f t="shared" si="17"/>
        <v>0</v>
      </c>
      <c r="WB64" s="12">
        <f t="shared" si="18"/>
        <v>0</v>
      </c>
      <c r="WC64" s="12">
        <f t="shared" si="18"/>
        <v>0</v>
      </c>
      <c r="WD64" s="12">
        <f t="shared" si="18"/>
        <v>0</v>
      </c>
      <c r="WE64" s="12">
        <f t="shared" si="19"/>
        <v>0</v>
      </c>
      <c r="WF64" s="12">
        <f t="shared" si="28"/>
        <v>1</v>
      </c>
      <c r="WG64" s="12">
        <f t="shared" si="29"/>
        <v>0</v>
      </c>
      <c r="WH64" s="12">
        <f t="shared" si="30"/>
        <v>0</v>
      </c>
      <c r="WI64" s="22">
        <f t="shared" si="31"/>
        <v>1</v>
      </c>
      <c r="WJ64" s="2"/>
      <c r="WK64" s="443" t="str">
        <f t="shared" si="20"/>
        <v>NC-GA-Non-BBN-BRN-NPH-F</v>
      </c>
      <c r="WL64" s="443"/>
      <c r="WM64" s="443"/>
    </row>
    <row r="65" spans="1:613" x14ac:dyDescent="0.25">
      <c r="A65" s="2">
        <v>9428</v>
      </c>
      <c r="B65" s="2" t="s">
        <v>559</v>
      </c>
      <c r="C65" s="2" t="s">
        <v>8</v>
      </c>
      <c r="D65" s="3">
        <v>45153</v>
      </c>
      <c r="E65" s="2" t="s">
        <v>9</v>
      </c>
      <c r="F65" s="2">
        <v>3</v>
      </c>
      <c r="G65" s="2" t="s">
        <v>9</v>
      </c>
      <c r="H65" s="2">
        <v>3</v>
      </c>
      <c r="I65" s="2" t="s">
        <v>9</v>
      </c>
      <c r="J65" s="2">
        <v>3</v>
      </c>
      <c r="K65" s="2" t="s">
        <v>9</v>
      </c>
      <c r="L65" s="2">
        <v>3</v>
      </c>
      <c r="M65" s="2" t="s">
        <v>10</v>
      </c>
      <c r="N65" s="2">
        <v>0</v>
      </c>
      <c r="O65" s="2" t="s">
        <v>10</v>
      </c>
      <c r="P65" s="2">
        <v>0</v>
      </c>
      <c r="Q65" s="2" t="s">
        <v>11</v>
      </c>
      <c r="R65" s="2">
        <v>0</v>
      </c>
      <c r="S65" s="2" t="s">
        <v>9</v>
      </c>
      <c r="T65" s="2">
        <v>2</v>
      </c>
      <c r="U65" s="2" t="s">
        <v>9</v>
      </c>
      <c r="V65" s="2">
        <v>2</v>
      </c>
      <c r="W65" s="2" t="s">
        <v>9</v>
      </c>
      <c r="X65" s="2">
        <v>2</v>
      </c>
      <c r="Y65" s="2" t="s">
        <v>12</v>
      </c>
      <c r="Z65" s="2" t="s">
        <v>15</v>
      </c>
      <c r="AA65" s="2" t="s">
        <v>15</v>
      </c>
      <c r="AB65" s="2" t="s">
        <v>15</v>
      </c>
      <c r="AC65" s="2" t="s">
        <v>15</v>
      </c>
      <c r="AD65" s="2" t="s">
        <v>15</v>
      </c>
      <c r="AE65" s="2" t="s">
        <v>15</v>
      </c>
      <c r="AF65" s="2">
        <v>0</v>
      </c>
      <c r="AG65" s="2" t="s">
        <v>234</v>
      </c>
      <c r="AH65" s="2" t="s">
        <v>17</v>
      </c>
      <c r="AI65" s="4">
        <v>0.15151999999999999</v>
      </c>
      <c r="AJ65" s="2" t="s">
        <v>17</v>
      </c>
      <c r="AK65" s="2" t="s">
        <v>9</v>
      </c>
      <c r="AL65" s="2" t="s">
        <v>17</v>
      </c>
      <c r="AM65" s="2" t="s">
        <v>17</v>
      </c>
      <c r="AN65" s="2" t="s">
        <v>17</v>
      </c>
      <c r="AO65" s="2" t="s">
        <v>17</v>
      </c>
      <c r="AP65" s="2" t="s">
        <v>9</v>
      </c>
      <c r="AQ65" s="2" t="s">
        <v>17</v>
      </c>
      <c r="AR65" s="2" t="s">
        <v>17</v>
      </c>
      <c r="AS65" s="2" t="s">
        <v>17</v>
      </c>
      <c r="AT65" s="2">
        <v>0</v>
      </c>
      <c r="AU65" s="5">
        <v>20000</v>
      </c>
      <c r="AV65" s="5">
        <v>340000</v>
      </c>
      <c r="AW65" s="2">
        <v>0</v>
      </c>
      <c r="AX65" s="2">
        <v>9</v>
      </c>
      <c r="AY65" s="2">
        <v>0</v>
      </c>
      <c r="AZ65" s="2">
        <v>18</v>
      </c>
      <c r="BA65" s="2">
        <v>0</v>
      </c>
      <c r="BB65" s="2">
        <v>1</v>
      </c>
      <c r="BC65" s="2">
        <v>1</v>
      </c>
      <c r="BD65" s="2">
        <v>0</v>
      </c>
      <c r="BE65" s="2">
        <v>0</v>
      </c>
      <c r="BF65" s="2">
        <v>1</v>
      </c>
      <c r="BG65" s="2">
        <v>0</v>
      </c>
      <c r="BH65" s="2">
        <v>0</v>
      </c>
      <c r="BI65" s="2">
        <v>13</v>
      </c>
      <c r="BJ65" s="2">
        <v>1</v>
      </c>
      <c r="BK65" s="2">
        <v>0</v>
      </c>
      <c r="BL65" s="2">
        <v>3</v>
      </c>
      <c r="BM65" s="2">
        <v>1</v>
      </c>
      <c r="BN65" s="2">
        <v>12</v>
      </c>
      <c r="BO65" s="2">
        <v>11</v>
      </c>
      <c r="BP65" s="2">
        <v>0</v>
      </c>
      <c r="BQ65" s="2">
        <v>10</v>
      </c>
      <c r="BR65" s="2">
        <v>10.08</v>
      </c>
      <c r="BS65" s="2">
        <v>0</v>
      </c>
      <c r="BT65" s="4">
        <v>0.06</v>
      </c>
      <c r="BU65" s="2" t="s">
        <v>9</v>
      </c>
      <c r="BV65" s="6">
        <v>268723.64</v>
      </c>
      <c r="BW65" s="2" t="s">
        <v>18</v>
      </c>
      <c r="BX65" s="2" t="s">
        <v>17</v>
      </c>
      <c r="BY65" s="2" t="s">
        <v>17</v>
      </c>
      <c r="BZ65" s="2" t="s">
        <v>17</v>
      </c>
      <c r="CA65" s="2" t="s">
        <v>17</v>
      </c>
      <c r="CB65" s="2" t="s">
        <v>17</v>
      </c>
      <c r="CC65" s="2" t="s">
        <v>17</v>
      </c>
      <c r="CD65" s="2" t="s">
        <v>17</v>
      </c>
      <c r="CE65" s="2" t="s">
        <v>560</v>
      </c>
      <c r="CF65" s="2" t="s">
        <v>17</v>
      </c>
      <c r="CG65" s="2" t="s">
        <v>561</v>
      </c>
      <c r="CH65" s="2"/>
      <c r="CI65" s="2"/>
      <c r="CJ65" s="2" t="s">
        <v>9</v>
      </c>
      <c r="CK65" s="2" t="s">
        <v>562</v>
      </c>
      <c r="CL65" s="2" t="s">
        <v>561</v>
      </c>
      <c r="CM65" s="2" t="s">
        <v>563</v>
      </c>
      <c r="CN65" s="2" t="s">
        <v>564</v>
      </c>
      <c r="CO65" s="2" t="s">
        <v>24</v>
      </c>
      <c r="CP65" s="2"/>
      <c r="CQ65" s="2">
        <v>65</v>
      </c>
      <c r="CR65" s="2" t="s">
        <v>565</v>
      </c>
      <c r="CS65" s="2">
        <v>2018</v>
      </c>
      <c r="CT65" s="2" t="s">
        <v>26</v>
      </c>
      <c r="CU65" s="2" t="s">
        <v>27</v>
      </c>
      <c r="CV65" s="2" t="s">
        <v>566</v>
      </c>
      <c r="CW65" s="2" t="s">
        <v>567</v>
      </c>
      <c r="CX65" s="2" t="s">
        <v>24</v>
      </c>
      <c r="CY65" s="2"/>
      <c r="CZ65" s="2">
        <v>40</v>
      </c>
      <c r="DA65" s="2" t="s">
        <v>565</v>
      </c>
      <c r="DB65" s="2">
        <v>2018</v>
      </c>
      <c r="DC65" s="2" t="s">
        <v>30</v>
      </c>
      <c r="DD65" s="2" t="s">
        <v>27</v>
      </c>
      <c r="DE65" s="2" t="s">
        <v>568</v>
      </c>
      <c r="DF65" s="2" t="s">
        <v>569</v>
      </c>
      <c r="DG65" s="2" t="s">
        <v>24</v>
      </c>
      <c r="DH65" s="2"/>
      <c r="DI65" s="2">
        <v>42</v>
      </c>
      <c r="DJ65" s="2" t="s">
        <v>565</v>
      </c>
      <c r="DK65" s="2">
        <v>2019</v>
      </c>
      <c r="DL65" s="2" t="s">
        <v>30</v>
      </c>
      <c r="DM65" s="2" t="s">
        <v>27</v>
      </c>
      <c r="DN65" s="2" t="s">
        <v>33</v>
      </c>
      <c r="DO65" s="2" t="s">
        <v>570</v>
      </c>
      <c r="DP65" s="2"/>
      <c r="DQ65" s="2" t="s">
        <v>571</v>
      </c>
      <c r="DR65" s="2" t="s">
        <v>572</v>
      </c>
      <c r="DS65" s="2">
        <v>1</v>
      </c>
      <c r="DT65" s="2" t="s">
        <v>573</v>
      </c>
      <c r="DU65" s="2" t="s">
        <v>574</v>
      </c>
      <c r="DV65" s="2" t="s">
        <v>519</v>
      </c>
      <c r="DW65" s="2">
        <v>43215</v>
      </c>
      <c r="DX65" s="2" t="s">
        <v>575</v>
      </c>
      <c r="DY65" s="2"/>
      <c r="DZ65" s="2" t="s">
        <v>576</v>
      </c>
      <c r="EA65" s="2" t="s">
        <v>572</v>
      </c>
      <c r="EB65" s="2" t="s">
        <v>577</v>
      </c>
      <c r="EC65" s="2" t="s">
        <v>578</v>
      </c>
      <c r="ED65" s="2" t="s">
        <v>44</v>
      </c>
      <c r="EE65" s="2">
        <v>44</v>
      </c>
      <c r="EF65" s="2" t="s">
        <v>579</v>
      </c>
      <c r="EG65" s="2">
        <v>7</v>
      </c>
      <c r="EH65" s="2" t="s">
        <v>46</v>
      </c>
      <c r="EI65" s="2" t="s">
        <v>47</v>
      </c>
      <c r="EJ65" s="2" t="s">
        <v>580</v>
      </c>
      <c r="EK65" s="2" t="s">
        <v>581</v>
      </c>
      <c r="EL65" s="2" t="s">
        <v>44</v>
      </c>
      <c r="EM65" s="2">
        <v>50</v>
      </c>
      <c r="EN65" s="2" t="s">
        <v>579</v>
      </c>
      <c r="EO65" s="2">
        <v>10</v>
      </c>
      <c r="EP65" s="2" t="s">
        <v>46</v>
      </c>
      <c r="EQ65" s="2" t="s">
        <v>47</v>
      </c>
      <c r="ER65" s="2" t="s">
        <v>582</v>
      </c>
      <c r="ES65" s="2" t="s">
        <v>583</v>
      </c>
      <c r="ET65" s="2" t="s">
        <v>584</v>
      </c>
      <c r="EU65" s="2" t="s">
        <v>561</v>
      </c>
      <c r="EV65" s="2" t="s">
        <v>573</v>
      </c>
      <c r="EW65" s="2" t="s">
        <v>574</v>
      </c>
      <c r="EX65" s="2" t="s">
        <v>519</v>
      </c>
      <c r="EY65" s="2">
        <v>43215</v>
      </c>
      <c r="EZ65" s="2" t="s">
        <v>585</v>
      </c>
      <c r="FA65" s="2"/>
      <c r="FB65" s="2" t="s">
        <v>586</v>
      </c>
      <c r="FC65" s="2" t="s">
        <v>587</v>
      </c>
      <c r="FD65" s="2" t="s">
        <v>588</v>
      </c>
      <c r="FE65" s="2" t="s">
        <v>589</v>
      </c>
      <c r="FF65" s="2" t="s">
        <v>561</v>
      </c>
      <c r="FG65" s="2" t="s">
        <v>573</v>
      </c>
      <c r="FH65" s="2" t="s">
        <v>574</v>
      </c>
      <c r="FI65" s="2" t="s">
        <v>519</v>
      </c>
      <c r="FJ65" s="2">
        <v>43215</v>
      </c>
      <c r="FK65" s="2" t="s">
        <v>590</v>
      </c>
      <c r="FL65" s="2"/>
      <c r="FM65" s="2" t="s">
        <v>591</v>
      </c>
      <c r="FN65" s="2" t="s">
        <v>592</v>
      </c>
      <c r="FO65" s="2" t="s">
        <v>63</v>
      </c>
      <c r="FP65" s="2" t="s">
        <v>64</v>
      </c>
      <c r="FQ65" s="2" t="s">
        <v>9</v>
      </c>
      <c r="FR65" s="2" t="s">
        <v>17</v>
      </c>
      <c r="FS65" s="2" t="s">
        <v>17</v>
      </c>
      <c r="FT65" s="2" t="s">
        <v>9</v>
      </c>
      <c r="FU65" s="2">
        <v>0</v>
      </c>
      <c r="FV65" s="2">
        <v>0</v>
      </c>
      <c r="FW65" s="4">
        <v>0</v>
      </c>
      <c r="FX65" s="4">
        <v>0</v>
      </c>
      <c r="FY65" s="2" t="s">
        <v>65</v>
      </c>
      <c r="FZ65" s="2" t="s">
        <v>66</v>
      </c>
      <c r="GA65" s="2" t="s">
        <v>67</v>
      </c>
      <c r="GB65" s="2"/>
      <c r="GC65" s="2"/>
      <c r="GD65" s="2"/>
      <c r="GE65" s="2" t="s">
        <v>68</v>
      </c>
      <c r="GF65" s="2"/>
      <c r="GG65" s="2"/>
      <c r="GH65" s="2">
        <v>66</v>
      </c>
      <c r="GI65" s="2"/>
      <c r="GJ65" s="2"/>
      <c r="GK65" s="2"/>
      <c r="GL65" s="2"/>
      <c r="GM65" s="2"/>
      <c r="GN65" s="2"/>
      <c r="GO65" s="2"/>
      <c r="GP65" s="2"/>
      <c r="GQ65" s="2">
        <v>66</v>
      </c>
      <c r="GR65" s="2" t="s">
        <v>487</v>
      </c>
      <c r="GS65" s="2" t="s">
        <v>70</v>
      </c>
      <c r="GT65" s="2" t="s">
        <v>593</v>
      </c>
      <c r="GU65" s="2" t="s">
        <v>594</v>
      </c>
      <c r="GV65" s="2" t="s">
        <v>17</v>
      </c>
      <c r="GW65" s="2">
        <v>30.110486999999999</v>
      </c>
      <c r="GX65" s="2">
        <v>-81.776039999999995</v>
      </c>
      <c r="GY65" s="2"/>
      <c r="GZ65" s="2" t="s">
        <v>17</v>
      </c>
      <c r="HA65" s="2" t="s">
        <v>17</v>
      </c>
      <c r="HB65" s="2">
        <v>0</v>
      </c>
      <c r="HC65" s="2" t="s">
        <v>17</v>
      </c>
      <c r="HD65" s="2"/>
      <c r="HE65" s="2">
        <v>0</v>
      </c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 t="s">
        <v>73</v>
      </c>
      <c r="HY65" s="2" t="s">
        <v>17</v>
      </c>
      <c r="HZ65" s="2"/>
      <c r="IA65" s="2" t="s">
        <v>595</v>
      </c>
      <c r="IB65" s="2" t="s">
        <v>596</v>
      </c>
      <c r="IC65" s="2">
        <v>0.66</v>
      </c>
      <c r="ID65" s="2">
        <v>3</v>
      </c>
      <c r="IE65" s="2"/>
      <c r="IF65" s="2"/>
      <c r="IG65" s="2"/>
      <c r="IH65" s="2" t="s">
        <v>406</v>
      </c>
      <c r="II65" s="2">
        <v>0.66</v>
      </c>
      <c r="IJ65" s="2">
        <v>3</v>
      </c>
      <c r="IK65" s="2" t="s">
        <v>597</v>
      </c>
      <c r="IL65" s="2" t="s">
        <v>598</v>
      </c>
      <c r="IM65" s="2">
        <v>0.69</v>
      </c>
      <c r="IN65" s="2">
        <v>3.5</v>
      </c>
      <c r="IO65" s="2" t="s">
        <v>17</v>
      </c>
      <c r="IP65" s="2">
        <v>0</v>
      </c>
      <c r="IQ65" s="2">
        <v>9.5</v>
      </c>
      <c r="IR65" s="2">
        <v>0</v>
      </c>
      <c r="IS65" s="2">
        <v>9.5</v>
      </c>
      <c r="IT65" s="2" t="s">
        <v>17</v>
      </c>
      <c r="IU65" s="2" t="s">
        <v>17</v>
      </c>
      <c r="IV65" s="2" t="s">
        <v>17</v>
      </c>
      <c r="IW65" s="2" t="s">
        <v>9</v>
      </c>
      <c r="IX65" s="2" t="s">
        <v>9</v>
      </c>
      <c r="IY65" s="2">
        <v>9.5</v>
      </c>
      <c r="IZ65" s="2">
        <v>66</v>
      </c>
      <c r="JA65" s="2" t="s">
        <v>81</v>
      </c>
      <c r="JB65" s="2" t="s">
        <v>82</v>
      </c>
      <c r="JC65" s="2"/>
      <c r="JD65" s="2"/>
      <c r="JE65" s="2"/>
      <c r="JF65" s="2"/>
      <c r="JG65" s="2"/>
      <c r="JH65" s="7">
        <v>0</v>
      </c>
      <c r="JI65" s="2">
        <v>0</v>
      </c>
      <c r="JJ65" s="7">
        <v>0</v>
      </c>
      <c r="JK65" s="2">
        <v>0</v>
      </c>
      <c r="JL65" s="7">
        <v>0</v>
      </c>
      <c r="JM65" s="2">
        <v>10</v>
      </c>
      <c r="JN65" s="2"/>
      <c r="JO65" s="2"/>
      <c r="JP65" s="2">
        <v>43</v>
      </c>
      <c r="JQ65" s="2"/>
      <c r="JR65" s="2">
        <v>13</v>
      </c>
      <c r="JS65" s="2">
        <v>0</v>
      </c>
      <c r="JT65" s="2">
        <v>0</v>
      </c>
      <c r="JU65" s="2"/>
      <c r="JV65" s="2">
        <v>66</v>
      </c>
      <c r="JW65" s="4">
        <v>1</v>
      </c>
      <c r="JX65" s="2">
        <v>66</v>
      </c>
      <c r="JY65" s="4">
        <v>0.59394000000000002</v>
      </c>
      <c r="JZ65" s="2">
        <v>0</v>
      </c>
      <c r="KA65" s="2"/>
      <c r="KB65" s="2"/>
      <c r="KC65" s="2"/>
      <c r="KD65" s="2"/>
      <c r="KE65" s="2"/>
      <c r="KF65" s="2"/>
      <c r="KG65" s="2"/>
      <c r="KH65" s="2">
        <v>15</v>
      </c>
      <c r="KI65" s="2">
        <v>36</v>
      </c>
      <c r="KJ65" s="2"/>
      <c r="KK65" s="2"/>
      <c r="KL65" s="2">
        <v>15</v>
      </c>
      <c r="KM65" s="2"/>
      <c r="KN65" s="2"/>
      <c r="KO65" s="2"/>
      <c r="KP65" s="2"/>
      <c r="KQ65" s="2" t="s">
        <v>83</v>
      </c>
      <c r="KR65" s="2" t="s">
        <v>73</v>
      </c>
      <c r="KS65" s="2"/>
      <c r="KT65" s="2">
        <v>2</v>
      </c>
      <c r="KU65" s="2" t="s">
        <v>84</v>
      </c>
      <c r="KV65" s="2" t="s">
        <v>85</v>
      </c>
      <c r="KW65" s="2" t="s">
        <v>599</v>
      </c>
      <c r="KX65" s="2" t="s">
        <v>17</v>
      </c>
      <c r="KY65" s="2" t="s">
        <v>17</v>
      </c>
      <c r="KZ65" s="2" t="s">
        <v>17</v>
      </c>
      <c r="LA65" s="2" t="s">
        <v>17</v>
      </c>
      <c r="LB65" s="2" t="s">
        <v>17</v>
      </c>
      <c r="LC65" s="2" t="s">
        <v>17</v>
      </c>
      <c r="LD65" s="2" t="s">
        <v>17</v>
      </c>
      <c r="LE65" s="2" t="s">
        <v>17</v>
      </c>
      <c r="LF65" s="2" t="s">
        <v>17</v>
      </c>
      <c r="LG65" s="2" t="s">
        <v>17</v>
      </c>
      <c r="LH65" s="2" t="s">
        <v>17</v>
      </c>
      <c r="LI65" s="2" t="s">
        <v>17</v>
      </c>
      <c r="LJ65" s="2" t="s">
        <v>87</v>
      </c>
      <c r="LK65" s="2" t="s">
        <v>17</v>
      </c>
      <c r="LL65" s="2" t="s">
        <v>17</v>
      </c>
      <c r="LM65" s="2">
        <v>0</v>
      </c>
      <c r="LN65" s="2" t="s">
        <v>17</v>
      </c>
      <c r="LO65" s="2" t="s">
        <v>9</v>
      </c>
      <c r="LP65" s="2" t="s">
        <v>9</v>
      </c>
      <c r="LQ65" s="2" t="s">
        <v>17</v>
      </c>
      <c r="LR65" s="2" t="s">
        <v>9</v>
      </c>
      <c r="LS65" s="2" t="s">
        <v>17</v>
      </c>
      <c r="LT65" s="2" t="s">
        <v>17</v>
      </c>
      <c r="LU65" s="2" t="s">
        <v>17</v>
      </c>
      <c r="LV65" s="2" t="s">
        <v>17</v>
      </c>
      <c r="LW65" s="2" t="s">
        <v>17</v>
      </c>
      <c r="LX65" s="2" t="s">
        <v>17</v>
      </c>
      <c r="LY65" s="5">
        <v>5280000</v>
      </c>
      <c r="LZ65" s="5">
        <v>0</v>
      </c>
      <c r="MA65" s="5">
        <v>6600000</v>
      </c>
      <c r="MB65" s="5">
        <v>0</v>
      </c>
      <c r="MC65" s="5">
        <v>0</v>
      </c>
      <c r="MD65" s="5">
        <v>0</v>
      </c>
      <c r="ME65" s="5">
        <v>6930000</v>
      </c>
      <c r="MF65" s="5">
        <v>0</v>
      </c>
      <c r="MG65" s="5">
        <v>0</v>
      </c>
      <c r="MH65" s="5">
        <v>0</v>
      </c>
      <c r="MI65" s="5">
        <v>0</v>
      </c>
      <c r="MJ65" s="5">
        <v>0</v>
      </c>
      <c r="MK65" s="5">
        <v>0</v>
      </c>
      <c r="ML65" s="2">
        <v>0</v>
      </c>
      <c r="MM65" s="5">
        <v>0</v>
      </c>
      <c r="MN65" s="5">
        <v>0</v>
      </c>
      <c r="MO65" s="2">
        <v>0</v>
      </c>
      <c r="MP65" s="2">
        <v>0</v>
      </c>
      <c r="MQ65" s="2">
        <v>0</v>
      </c>
      <c r="MR65" s="5">
        <v>2950000</v>
      </c>
      <c r="MS65" s="5">
        <v>0</v>
      </c>
      <c r="MT65" s="5">
        <v>4600000</v>
      </c>
      <c r="MU65" s="5">
        <v>0</v>
      </c>
      <c r="MV65" s="5">
        <v>0</v>
      </c>
      <c r="MW65" s="5">
        <v>0</v>
      </c>
      <c r="MX65" s="5">
        <v>0</v>
      </c>
      <c r="MY65" s="5">
        <v>2500000</v>
      </c>
      <c r="MZ65" s="5">
        <v>0</v>
      </c>
      <c r="NA65" s="5">
        <v>5000000</v>
      </c>
      <c r="NB65" s="5">
        <v>0</v>
      </c>
      <c r="NC65" s="5">
        <v>0</v>
      </c>
      <c r="ND65" s="5">
        <v>0</v>
      </c>
      <c r="NE65" s="5">
        <v>0</v>
      </c>
      <c r="NF65" s="5">
        <v>0</v>
      </c>
      <c r="NG65" s="5">
        <v>2142000</v>
      </c>
      <c r="NH65" s="5">
        <v>2142000</v>
      </c>
      <c r="NI65" s="5">
        <v>2142000</v>
      </c>
      <c r="NJ65" s="5">
        <v>0</v>
      </c>
      <c r="NK65" s="5"/>
      <c r="NL65" s="2" t="s">
        <v>17</v>
      </c>
      <c r="NM65" s="2" t="s">
        <v>17</v>
      </c>
      <c r="NN65" s="2"/>
      <c r="NO65" s="2" t="s">
        <v>17</v>
      </c>
      <c r="NP65" s="2"/>
      <c r="NQ65" s="2"/>
      <c r="NR65" s="2" t="s">
        <v>17</v>
      </c>
      <c r="NS65" s="2"/>
      <c r="NT65" s="2"/>
      <c r="NU65" s="2"/>
      <c r="NV65" s="2"/>
      <c r="NW65" s="2"/>
      <c r="NX65" s="2" t="s">
        <v>9</v>
      </c>
      <c r="NY65" s="2" t="s">
        <v>88</v>
      </c>
      <c r="NZ65" s="2">
        <v>308.02</v>
      </c>
      <c r="OA65" s="2" t="s">
        <v>490</v>
      </c>
      <c r="OB65" s="2" t="s">
        <v>491</v>
      </c>
      <c r="OC65" s="2" t="s">
        <v>491</v>
      </c>
      <c r="OD65" s="2" t="s">
        <v>17</v>
      </c>
      <c r="OE65" s="2" t="s">
        <v>91</v>
      </c>
      <c r="OF65" s="2" t="s">
        <v>17</v>
      </c>
      <c r="OG65" s="2" t="s">
        <v>9</v>
      </c>
      <c r="OH65" s="2" t="s">
        <v>92</v>
      </c>
      <c r="OI65" s="2"/>
      <c r="OJ65" s="2"/>
      <c r="OK65" s="2" t="s">
        <v>17</v>
      </c>
      <c r="OL65" s="2" t="s">
        <v>17</v>
      </c>
      <c r="OM65" s="2" t="s">
        <v>85</v>
      </c>
      <c r="ON65" s="6">
        <v>0</v>
      </c>
      <c r="OO65" s="6">
        <v>0</v>
      </c>
      <c r="OP65" s="2" t="s">
        <v>93</v>
      </c>
      <c r="OQ65" s="2" t="s">
        <v>93</v>
      </c>
      <c r="OR65" s="6">
        <v>0</v>
      </c>
      <c r="OS65" s="4">
        <v>0</v>
      </c>
      <c r="OT65" s="2" t="s">
        <v>17</v>
      </c>
      <c r="OU65" s="2" t="s">
        <v>17</v>
      </c>
      <c r="OV65" s="2"/>
      <c r="OW65" s="2"/>
      <c r="OX65" s="5">
        <v>17735760</v>
      </c>
      <c r="OY65" s="6">
        <v>268723.64</v>
      </c>
      <c r="OZ65" s="2"/>
      <c r="PA65" s="2"/>
      <c r="PB65" s="8">
        <v>10268250</v>
      </c>
      <c r="PC65" s="2"/>
      <c r="PD65" s="8">
        <v>10268250</v>
      </c>
      <c r="PE65" s="8">
        <v>1600000</v>
      </c>
      <c r="PF65" s="8">
        <v>100000</v>
      </c>
      <c r="PG65" s="8">
        <v>1700000</v>
      </c>
      <c r="PH65" s="2"/>
      <c r="PI65" s="2"/>
      <c r="PJ65" s="2"/>
      <c r="PK65" s="8">
        <v>11868250</v>
      </c>
      <c r="PL65" s="8">
        <v>100000</v>
      </c>
      <c r="PM65" s="8">
        <v>11968250</v>
      </c>
      <c r="PN65" s="8">
        <v>1661554</v>
      </c>
      <c r="PO65" s="2"/>
      <c r="PP65" s="8">
        <v>1661554</v>
      </c>
      <c r="PQ65" s="6">
        <v>1675555</v>
      </c>
      <c r="PR65" s="8">
        <v>13529804</v>
      </c>
      <c r="PS65" s="8">
        <v>100000</v>
      </c>
      <c r="PT65" s="8">
        <v>13629804</v>
      </c>
      <c r="PU65" s="8">
        <v>681490</v>
      </c>
      <c r="PV65" s="2"/>
      <c r="PW65" s="8">
        <v>681490</v>
      </c>
      <c r="PX65" s="6">
        <v>681490.2</v>
      </c>
      <c r="PY65" s="8">
        <v>1004500</v>
      </c>
      <c r="PZ65" s="8">
        <v>361195</v>
      </c>
      <c r="QA65" s="8">
        <v>1365695</v>
      </c>
      <c r="QB65" s="8">
        <v>140000</v>
      </c>
      <c r="QC65" s="2"/>
      <c r="QD65" s="8">
        <v>140000</v>
      </c>
      <c r="QE65" s="8">
        <v>834491</v>
      </c>
      <c r="QF65" s="2"/>
      <c r="QG65" s="8">
        <v>834491</v>
      </c>
      <c r="QH65" s="2"/>
      <c r="QI65" s="8">
        <v>443780</v>
      </c>
      <c r="QJ65" s="8">
        <v>443780</v>
      </c>
      <c r="QK65" s="2"/>
      <c r="QL65" s="2"/>
      <c r="QM65" s="2"/>
      <c r="QN65" s="2"/>
      <c r="QO65" s="2"/>
      <c r="QP65" s="2"/>
      <c r="QQ65" s="8">
        <v>1978991</v>
      </c>
      <c r="QR65" s="8">
        <v>804975</v>
      </c>
      <c r="QS65" s="8">
        <v>2783966</v>
      </c>
      <c r="QT65" s="8">
        <v>10000</v>
      </c>
      <c r="QU65" s="2"/>
      <c r="QV65" s="8">
        <v>10000</v>
      </c>
      <c r="QW65" s="6">
        <v>139198.29999999999</v>
      </c>
      <c r="QX65" s="8">
        <v>1158258</v>
      </c>
      <c r="QY65" s="8">
        <v>282759</v>
      </c>
      <c r="QZ65" s="8">
        <v>1441017</v>
      </c>
      <c r="RA65" s="8">
        <v>29250</v>
      </c>
      <c r="RB65" s="8">
        <v>29250</v>
      </c>
      <c r="RC65" s="2"/>
      <c r="RD65" s="8">
        <v>50000</v>
      </c>
      <c r="RE65" s="8">
        <v>50000</v>
      </c>
      <c r="RF65" s="8">
        <v>1158258</v>
      </c>
      <c r="RG65" s="8">
        <v>362009</v>
      </c>
      <c r="RH65" s="8">
        <v>1520267</v>
      </c>
      <c r="RI65" s="2"/>
      <c r="RJ65" s="2"/>
      <c r="RK65" s="2"/>
      <c r="RL65" s="2"/>
      <c r="RM65" s="8">
        <v>17358543</v>
      </c>
      <c r="RN65" s="8">
        <v>1266984</v>
      </c>
      <c r="RO65" s="8">
        <v>18625527</v>
      </c>
      <c r="RP65" s="2"/>
      <c r="RQ65" s="2"/>
      <c r="RR65" s="2">
        <v>0</v>
      </c>
      <c r="RS65" s="6">
        <v>0</v>
      </c>
      <c r="RT65" s="8">
        <v>2980084</v>
      </c>
      <c r="RU65" s="2"/>
      <c r="RV65" s="8">
        <v>2980084</v>
      </c>
      <c r="RW65" s="6">
        <v>2980084</v>
      </c>
      <c r="RX65" s="6">
        <v>0</v>
      </c>
      <c r="RY65" s="8">
        <v>2980084</v>
      </c>
      <c r="RZ65" s="2"/>
      <c r="SA65" s="8">
        <v>2980084</v>
      </c>
      <c r="SB65" s="6">
        <v>2980084</v>
      </c>
      <c r="SC65" s="8">
        <v>231000</v>
      </c>
      <c r="SD65" s="8">
        <v>231000</v>
      </c>
      <c r="SE65" s="6">
        <v>231000</v>
      </c>
      <c r="SF65" s="8">
        <v>1700000</v>
      </c>
      <c r="SG65" s="8">
        <v>1700000</v>
      </c>
      <c r="SH65" s="8">
        <v>20338627</v>
      </c>
      <c r="SI65" s="8">
        <v>3197984</v>
      </c>
      <c r="SJ65" s="8">
        <v>23536611</v>
      </c>
      <c r="SK65" s="2" t="s">
        <v>600</v>
      </c>
      <c r="SL65" s="2"/>
      <c r="SM65" s="2" t="s">
        <v>601</v>
      </c>
      <c r="SN65" s="2" t="s">
        <v>229</v>
      </c>
      <c r="SO65" s="2"/>
      <c r="SP65" s="8">
        <v>18500000</v>
      </c>
      <c r="SQ65" s="2" t="s">
        <v>95</v>
      </c>
      <c r="SR65" s="2"/>
      <c r="SS65" s="2"/>
      <c r="ST65" s="2"/>
      <c r="SU65" s="2"/>
      <c r="SV65" s="2"/>
      <c r="SW65" s="2"/>
      <c r="SX65" s="2" t="s">
        <v>96</v>
      </c>
      <c r="SY65" s="2" t="s">
        <v>96</v>
      </c>
      <c r="SZ65" s="2" t="s">
        <v>96</v>
      </c>
      <c r="TA65" s="2" t="s">
        <v>96</v>
      </c>
      <c r="TB65" s="8">
        <v>2827158</v>
      </c>
      <c r="TC65" s="2"/>
      <c r="TD65" s="2"/>
      <c r="TE65" s="2"/>
      <c r="TF65" s="2"/>
      <c r="TG65" s="2"/>
      <c r="TH65" s="2"/>
      <c r="TI65" s="8">
        <v>2209453</v>
      </c>
      <c r="TJ65" s="8">
        <v>23536611</v>
      </c>
      <c r="TK65" s="2">
        <v>0</v>
      </c>
      <c r="TL65" s="2" t="s">
        <v>9</v>
      </c>
      <c r="TM65" s="8">
        <v>2925000</v>
      </c>
      <c r="TN65" s="2" t="s">
        <v>95</v>
      </c>
      <c r="TO65" s="2"/>
      <c r="TP65" s="2"/>
      <c r="TQ65" s="2"/>
      <c r="TR65" s="2"/>
      <c r="TS65" s="2"/>
      <c r="TT65" s="2"/>
      <c r="TU65" s="2" t="s">
        <v>96</v>
      </c>
      <c r="TV65" s="8">
        <v>18847715</v>
      </c>
      <c r="TW65" s="2"/>
      <c r="TX65" s="2"/>
      <c r="TY65" s="2"/>
      <c r="TZ65" s="2"/>
      <c r="UA65" s="2"/>
      <c r="UB65" s="2"/>
      <c r="UC65" s="8">
        <v>1763896</v>
      </c>
      <c r="UD65" s="8">
        <v>23536611</v>
      </c>
      <c r="UE65" s="6">
        <v>2925000</v>
      </c>
      <c r="UF65" s="2">
        <v>0</v>
      </c>
      <c r="UG65" s="2" t="s">
        <v>9</v>
      </c>
      <c r="UH65" s="2">
        <v>66</v>
      </c>
      <c r="UI65" s="5">
        <v>220000</v>
      </c>
      <c r="UJ65" s="6">
        <v>293333.33</v>
      </c>
      <c r="UK65" s="6">
        <v>293333.33</v>
      </c>
      <c r="UL65" s="6">
        <v>310933.33</v>
      </c>
      <c r="UM65" s="6">
        <v>20521600</v>
      </c>
      <c r="UN65" s="6">
        <v>3283456</v>
      </c>
      <c r="UO65" s="6">
        <v>3283456</v>
      </c>
      <c r="UP65" s="6">
        <v>23805056</v>
      </c>
      <c r="UQ65" s="6">
        <v>21605611</v>
      </c>
      <c r="UR65" s="2"/>
      <c r="US65" s="2"/>
      <c r="UT65" s="6">
        <v>0</v>
      </c>
      <c r="UU65" s="2"/>
      <c r="UV65" s="6">
        <v>0</v>
      </c>
      <c r="UW65" s="6">
        <v>0</v>
      </c>
      <c r="UX65" s="6">
        <v>0</v>
      </c>
      <c r="UY65" s="6">
        <v>0</v>
      </c>
      <c r="UZ65" s="2"/>
      <c r="VA65" s="2"/>
      <c r="VB65" s="2"/>
      <c r="VC65" s="2"/>
      <c r="VD65" s="2" t="s">
        <v>17</v>
      </c>
      <c r="VE65" s="2" t="s">
        <v>17</v>
      </c>
      <c r="VF65" s="2"/>
      <c r="VG65" s="2" t="s">
        <v>17</v>
      </c>
      <c r="VH65" s="2"/>
      <c r="VI65" s="388" t="s">
        <v>562</v>
      </c>
      <c r="VJ65" s="2" t="s">
        <v>98</v>
      </c>
      <c r="VK65" s="2" t="s">
        <v>602</v>
      </c>
      <c r="VL65" s="23">
        <f t="shared" si="21"/>
        <v>132</v>
      </c>
      <c r="VM65" s="17">
        <f t="shared" si="22"/>
        <v>2</v>
      </c>
      <c r="VN65" s="17" t="str">
        <f t="shared" si="12"/>
        <v>NC-GA-F</v>
      </c>
      <c r="VO65" s="17" t="str">
        <f t="shared" si="13"/>
        <v>NC-GA-F-Non</v>
      </c>
      <c r="VP65" s="12">
        <v>9</v>
      </c>
      <c r="VQ65" s="57">
        <v>1</v>
      </c>
      <c r="VR65" s="57">
        <f t="shared" si="23"/>
        <v>1</v>
      </c>
      <c r="VS65" s="14">
        <f t="shared" si="24"/>
        <v>1</v>
      </c>
      <c r="VT65" s="12">
        <f t="shared" si="25"/>
        <v>1</v>
      </c>
      <c r="VU65" s="16">
        <f t="shared" si="26"/>
        <v>19278000</v>
      </c>
      <c r="VV65" s="16">
        <f t="shared" si="27"/>
        <v>292090.90909090912</v>
      </c>
      <c r="VW65" s="12" t="str">
        <f t="shared" si="14"/>
        <v>B</v>
      </c>
      <c r="VX65" s="12" t="str">
        <f t="shared" si="15"/>
        <v>NC-GA-Non</v>
      </c>
      <c r="VY65" s="351">
        <f t="shared" si="16"/>
        <v>5</v>
      </c>
      <c r="WA65" s="12">
        <f t="shared" si="17"/>
        <v>0</v>
      </c>
      <c r="WB65" s="12">
        <f t="shared" si="18"/>
        <v>0</v>
      </c>
      <c r="WC65" s="12">
        <f t="shared" si="18"/>
        <v>0</v>
      </c>
      <c r="WD65" s="12">
        <f t="shared" si="18"/>
        <v>0</v>
      </c>
      <c r="WE65" s="12">
        <f t="shared" si="19"/>
        <v>0</v>
      </c>
      <c r="WF65" s="12">
        <f t="shared" si="28"/>
        <v>1</v>
      </c>
      <c r="WG65" s="12">
        <f t="shared" si="29"/>
        <v>0</v>
      </c>
      <c r="WH65" s="12">
        <f t="shared" si="30"/>
        <v>0</v>
      </c>
      <c r="WI65" s="22">
        <f t="shared" si="31"/>
        <v>1</v>
      </c>
      <c r="WJ65" s="2"/>
      <c r="WK65" s="443" t="str">
        <f t="shared" si="20"/>
        <v>NC-GA-Non-BBN-BRN-NPH-F</v>
      </c>
      <c r="WL65" s="443"/>
      <c r="WM65" s="443"/>
    </row>
    <row r="66" spans="1:613" x14ac:dyDescent="0.25">
      <c r="A66" s="2">
        <v>9520</v>
      </c>
      <c r="B66" s="2" t="s">
        <v>1374</v>
      </c>
      <c r="C66" s="2" t="s">
        <v>8</v>
      </c>
      <c r="D66" s="3">
        <v>45153</v>
      </c>
      <c r="E66" s="2" t="s">
        <v>9</v>
      </c>
      <c r="F66" s="2">
        <v>3</v>
      </c>
      <c r="G66" s="2" t="s">
        <v>9</v>
      </c>
      <c r="H66" s="2">
        <v>3</v>
      </c>
      <c r="I66" s="2" t="s">
        <v>9</v>
      </c>
      <c r="J66" s="2">
        <v>3</v>
      </c>
      <c r="K66" s="2" t="s">
        <v>9</v>
      </c>
      <c r="L66" s="2">
        <v>3</v>
      </c>
      <c r="M66" s="2" t="s">
        <v>10</v>
      </c>
      <c r="N66" s="2">
        <v>0</v>
      </c>
      <c r="O66" s="2" t="s">
        <v>10</v>
      </c>
      <c r="P66" s="2">
        <v>0</v>
      </c>
      <c r="Q66" s="2" t="s">
        <v>11</v>
      </c>
      <c r="R66" s="2">
        <v>0</v>
      </c>
      <c r="S66" s="2" t="s">
        <v>9</v>
      </c>
      <c r="T66" s="2">
        <v>2</v>
      </c>
      <c r="U66" s="2" t="s">
        <v>9</v>
      </c>
      <c r="V66" s="2">
        <v>2</v>
      </c>
      <c r="W66" s="2" t="s">
        <v>9</v>
      </c>
      <c r="X66" s="2">
        <v>2</v>
      </c>
      <c r="Y66" s="2" t="s">
        <v>12</v>
      </c>
      <c r="Z66" s="2" t="s">
        <v>15</v>
      </c>
      <c r="AA66" s="2" t="s">
        <v>15</v>
      </c>
      <c r="AB66" s="2" t="s">
        <v>15</v>
      </c>
      <c r="AC66" s="2" t="s">
        <v>15</v>
      </c>
      <c r="AD66" s="2" t="s">
        <v>15</v>
      </c>
      <c r="AE66" s="2" t="s">
        <v>15</v>
      </c>
      <c r="AF66" s="2">
        <v>0</v>
      </c>
      <c r="AG66" s="2" t="s">
        <v>234</v>
      </c>
      <c r="AH66" s="2" t="s">
        <v>17</v>
      </c>
      <c r="AI66" s="4">
        <v>0.16667000000000001</v>
      </c>
      <c r="AJ66" s="2" t="s">
        <v>17</v>
      </c>
      <c r="AK66" s="2" t="s">
        <v>9</v>
      </c>
      <c r="AL66" s="2" t="s">
        <v>17</v>
      </c>
      <c r="AM66" s="2" t="s">
        <v>17</v>
      </c>
      <c r="AN66" s="2" t="s">
        <v>17</v>
      </c>
      <c r="AO66" s="2" t="s">
        <v>17</v>
      </c>
      <c r="AP66" s="2" t="s">
        <v>9</v>
      </c>
      <c r="AQ66" s="2" t="s">
        <v>17</v>
      </c>
      <c r="AR66" s="2" t="s">
        <v>17</v>
      </c>
      <c r="AS66" s="2" t="s">
        <v>17</v>
      </c>
      <c r="AT66" s="2">
        <v>0</v>
      </c>
      <c r="AU66" s="5">
        <v>37500</v>
      </c>
      <c r="AV66" s="5">
        <v>460000</v>
      </c>
      <c r="AW66" s="2">
        <v>0</v>
      </c>
      <c r="AX66" s="2">
        <v>9</v>
      </c>
      <c r="AY66" s="2">
        <v>0</v>
      </c>
      <c r="AZ66" s="2">
        <v>18</v>
      </c>
      <c r="BA66" s="2">
        <v>0</v>
      </c>
      <c r="BB66" s="2">
        <v>1</v>
      </c>
      <c r="BC66" s="2">
        <v>1</v>
      </c>
      <c r="BD66" s="2">
        <v>0</v>
      </c>
      <c r="BE66" s="2">
        <v>0</v>
      </c>
      <c r="BF66" s="2">
        <v>1</v>
      </c>
      <c r="BG66" s="2">
        <v>0</v>
      </c>
      <c r="BH66" s="2">
        <v>0</v>
      </c>
      <c r="BI66" s="2">
        <v>13</v>
      </c>
      <c r="BJ66" s="2">
        <v>1</v>
      </c>
      <c r="BK66" s="2">
        <v>0</v>
      </c>
      <c r="BL66" s="2">
        <v>3</v>
      </c>
      <c r="BM66" s="2">
        <v>0</v>
      </c>
      <c r="BN66" s="2">
        <v>12</v>
      </c>
      <c r="BO66" s="2">
        <v>11</v>
      </c>
      <c r="BP66" s="2">
        <v>0</v>
      </c>
      <c r="BQ66" s="2">
        <v>10</v>
      </c>
      <c r="BR66" s="2">
        <v>9.16</v>
      </c>
      <c r="BS66" s="2">
        <v>0</v>
      </c>
      <c r="BT66" s="4">
        <v>0.06</v>
      </c>
      <c r="BU66" s="2" t="s">
        <v>9</v>
      </c>
      <c r="BV66" s="6">
        <v>295596</v>
      </c>
      <c r="BW66" s="2" t="s">
        <v>18</v>
      </c>
      <c r="BX66" s="2" t="s">
        <v>17</v>
      </c>
      <c r="BY66" s="2" t="s">
        <v>17</v>
      </c>
      <c r="BZ66" s="2" t="s">
        <v>17</v>
      </c>
      <c r="CA66" s="2" t="s">
        <v>17</v>
      </c>
      <c r="CB66" s="2" t="s">
        <v>17</v>
      </c>
      <c r="CC66" s="2" t="s">
        <v>17</v>
      </c>
      <c r="CD66" s="2" t="s">
        <v>17</v>
      </c>
      <c r="CE66" s="2" t="s">
        <v>1375</v>
      </c>
      <c r="CF66" s="2" t="s">
        <v>17</v>
      </c>
      <c r="CG66" s="2" t="s">
        <v>561</v>
      </c>
      <c r="CH66" s="2"/>
      <c r="CI66" s="2"/>
      <c r="CJ66" s="2" t="s">
        <v>9</v>
      </c>
      <c r="CK66" s="2" t="s">
        <v>562</v>
      </c>
      <c r="CL66" s="2" t="s">
        <v>561</v>
      </c>
      <c r="CM66" s="2" t="s">
        <v>563</v>
      </c>
      <c r="CN66" s="2" t="s">
        <v>564</v>
      </c>
      <c r="CO66" s="2" t="s">
        <v>24</v>
      </c>
      <c r="CP66" s="2"/>
      <c r="CQ66" s="2">
        <v>65</v>
      </c>
      <c r="CR66" s="2" t="s">
        <v>965</v>
      </c>
      <c r="CS66" s="2">
        <v>2018</v>
      </c>
      <c r="CT66" s="2" t="s">
        <v>26</v>
      </c>
      <c r="CU66" s="2" t="s">
        <v>27</v>
      </c>
      <c r="CV66" s="2" t="s">
        <v>566</v>
      </c>
      <c r="CW66" s="2" t="s">
        <v>567</v>
      </c>
      <c r="CX66" s="2" t="s">
        <v>24</v>
      </c>
      <c r="CY66" s="2"/>
      <c r="CZ66" s="2">
        <v>40</v>
      </c>
      <c r="DA66" s="2" t="s">
        <v>965</v>
      </c>
      <c r="DB66" s="2">
        <v>2018</v>
      </c>
      <c r="DC66" s="2" t="s">
        <v>30</v>
      </c>
      <c r="DD66" s="2" t="s">
        <v>27</v>
      </c>
      <c r="DE66" s="2" t="s">
        <v>568</v>
      </c>
      <c r="DF66" s="2" t="s">
        <v>569</v>
      </c>
      <c r="DG66" s="2" t="s">
        <v>24</v>
      </c>
      <c r="DH66" s="2"/>
      <c r="DI66" s="2">
        <v>42</v>
      </c>
      <c r="DJ66" s="2" t="s">
        <v>965</v>
      </c>
      <c r="DK66" s="2">
        <v>2019</v>
      </c>
      <c r="DL66" s="2" t="s">
        <v>30</v>
      </c>
      <c r="DM66" s="2" t="s">
        <v>27</v>
      </c>
      <c r="DN66" s="2" t="s">
        <v>33</v>
      </c>
      <c r="DO66" s="2" t="s">
        <v>570</v>
      </c>
      <c r="DP66" s="2"/>
      <c r="DQ66" s="2" t="s">
        <v>571</v>
      </c>
      <c r="DR66" s="2" t="s">
        <v>572</v>
      </c>
      <c r="DS66" s="2">
        <v>1</v>
      </c>
      <c r="DT66" s="2" t="s">
        <v>573</v>
      </c>
      <c r="DU66" s="2" t="s">
        <v>574</v>
      </c>
      <c r="DV66" s="2" t="s">
        <v>519</v>
      </c>
      <c r="DW66" s="2">
        <v>43215</v>
      </c>
      <c r="DX66" s="2" t="s">
        <v>575</v>
      </c>
      <c r="DY66" s="2"/>
      <c r="DZ66" s="2" t="s">
        <v>576</v>
      </c>
      <c r="EA66" s="2" t="s">
        <v>572</v>
      </c>
      <c r="EB66" s="2" t="s">
        <v>577</v>
      </c>
      <c r="EC66" s="2" t="s">
        <v>578</v>
      </c>
      <c r="ED66" s="2" t="s">
        <v>44</v>
      </c>
      <c r="EE66" s="2">
        <v>44</v>
      </c>
      <c r="EF66" s="2" t="s">
        <v>966</v>
      </c>
      <c r="EG66" s="2">
        <v>7</v>
      </c>
      <c r="EH66" s="2" t="s">
        <v>46</v>
      </c>
      <c r="EI66" s="2" t="s">
        <v>47</v>
      </c>
      <c r="EJ66" s="2" t="s">
        <v>580</v>
      </c>
      <c r="EK66" s="2" t="s">
        <v>581</v>
      </c>
      <c r="EL66" s="2" t="s">
        <v>44</v>
      </c>
      <c r="EM66" s="2">
        <v>50</v>
      </c>
      <c r="EN66" s="2" t="s">
        <v>966</v>
      </c>
      <c r="EO66" s="2">
        <v>10</v>
      </c>
      <c r="EP66" s="2" t="s">
        <v>46</v>
      </c>
      <c r="EQ66" s="2" t="s">
        <v>47</v>
      </c>
      <c r="ER66" s="2" t="s">
        <v>582</v>
      </c>
      <c r="ES66" s="2" t="s">
        <v>583</v>
      </c>
      <c r="ET66" s="2" t="s">
        <v>584</v>
      </c>
      <c r="EU66" s="2" t="s">
        <v>561</v>
      </c>
      <c r="EV66" s="2" t="s">
        <v>573</v>
      </c>
      <c r="EW66" s="2" t="s">
        <v>574</v>
      </c>
      <c r="EX66" s="2" t="s">
        <v>519</v>
      </c>
      <c r="EY66" s="2">
        <v>43215</v>
      </c>
      <c r="EZ66" s="2" t="s">
        <v>585</v>
      </c>
      <c r="FA66" s="2"/>
      <c r="FB66" s="2" t="s">
        <v>586</v>
      </c>
      <c r="FC66" s="2" t="s">
        <v>587</v>
      </c>
      <c r="FD66" s="2" t="s">
        <v>588</v>
      </c>
      <c r="FE66" s="2" t="s">
        <v>589</v>
      </c>
      <c r="FF66" s="2" t="s">
        <v>561</v>
      </c>
      <c r="FG66" s="2" t="s">
        <v>573</v>
      </c>
      <c r="FH66" s="2" t="s">
        <v>574</v>
      </c>
      <c r="FI66" s="2" t="s">
        <v>519</v>
      </c>
      <c r="FJ66" s="2">
        <v>43215</v>
      </c>
      <c r="FK66" s="2" t="s">
        <v>590</v>
      </c>
      <c r="FL66" s="2"/>
      <c r="FM66" s="2" t="s">
        <v>591</v>
      </c>
      <c r="FN66" s="2" t="s">
        <v>1376</v>
      </c>
      <c r="FO66" s="2" t="s">
        <v>63</v>
      </c>
      <c r="FP66" s="2" t="s">
        <v>64</v>
      </c>
      <c r="FQ66" s="2" t="s">
        <v>9</v>
      </c>
      <c r="FR66" s="2" t="s">
        <v>17</v>
      </c>
      <c r="FS66" s="2" t="s">
        <v>17</v>
      </c>
      <c r="FT66" s="2" t="s">
        <v>9</v>
      </c>
      <c r="FU66" s="2">
        <v>0</v>
      </c>
      <c r="FV66" s="2">
        <v>0</v>
      </c>
      <c r="FW66" s="4">
        <v>0</v>
      </c>
      <c r="FX66" s="4">
        <v>0</v>
      </c>
      <c r="FY66" s="2" t="s">
        <v>65</v>
      </c>
      <c r="FZ66" s="2" t="s">
        <v>66</v>
      </c>
      <c r="GA66" s="2" t="s">
        <v>67</v>
      </c>
      <c r="GB66" s="2"/>
      <c r="GC66" s="2"/>
      <c r="GD66" s="2"/>
      <c r="GE66" s="2" t="s">
        <v>68</v>
      </c>
      <c r="GF66" s="2"/>
      <c r="GG66" s="2"/>
      <c r="GH66" s="2">
        <v>60</v>
      </c>
      <c r="GI66" s="2"/>
      <c r="GJ66" s="2"/>
      <c r="GK66" s="2"/>
      <c r="GL66" s="2"/>
      <c r="GM66" s="2"/>
      <c r="GN66" s="2"/>
      <c r="GO66" s="2"/>
      <c r="GP66" s="2"/>
      <c r="GQ66" s="2">
        <v>60</v>
      </c>
      <c r="GR66" s="2" t="s">
        <v>878</v>
      </c>
      <c r="GS66" s="2" t="s">
        <v>70</v>
      </c>
      <c r="GT66" s="2" t="s">
        <v>1377</v>
      </c>
      <c r="GU66" s="2" t="s">
        <v>1378</v>
      </c>
      <c r="GV66" s="2" t="s">
        <v>17</v>
      </c>
      <c r="GW66" s="2">
        <v>30.521431</v>
      </c>
      <c r="GX66" s="2">
        <v>-87.223883999999998</v>
      </c>
      <c r="GY66" s="2"/>
      <c r="GZ66" s="2" t="s">
        <v>17</v>
      </c>
      <c r="HA66" s="2" t="s">
        <v>17</v>
      </c>
      <c r="HB66" s="2">
        <v>0</v>
      </c>
      <c r="HC66" s="2" t="s">
        <v>17</v>
      </c>
      <c r="HD66" s="2"/>
      <c r="HE66" s="2">
        <v>0</v>
      </c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 t="s">
        <v>73</v>
      </c>
      <c r="HY66" s="2" t="s">
        <v>17</v>
      </c>
      <c r="HZ66" s="2"/>
      <c r="IA66" s="2"/>
      <c r="IB66" s="2"/>
      <c r="IC66" s="2"/>
      <c r="ID66" s="2"/>
      <c r="IE66" s="2" t="s">
        <v>1379</v>
      </c>
      <c r="IF66" s="2">
        <v>0.51</v>
      </c>
      <c r="IG66" s="2">
        <v>3</v>
      </c>
      <c r="IH66" s="2" t="s">
        <v>224</v>
      </c>
      <c r="II66" s="2">
        <v>0.54</v>
      </c>
      <c r="IJ66" s="2">
        <v>3</v>
      </c>
      <c r="IK66" s="2" t="s">
        <v>1380</v>
      </c>
      <c r="IL66" s="2" t="s">
        <v>1381</v>
      </c>
      <c r="IM66" s="2">
        <v>0.68</v>
      </c>
      <c r="IN66" s="2">
        <v>3.5</v>
      </c>
      <c r="IO66" s="2" t="s">
        <v>17</v>
      </c>
      <c r="IP66" s="2">
        <v>0</v>
      </c>
      <c r="IQ66" s="2">
        <v>9.5</v>
      </c>
      <c r="IR66" s="2">
        <v>0</v>
      </c>
      <c r="IS66" s="2">
        <v>9.5</v>
      </c>
      <c r="IT66" s="2" t="s">
        <v>17</v>
      </c>
      <c r="IU66" s="2" t="s">
        <v>17</v>
      </c>
      <c r="IV66" s="2" t="s">
        <v>17</v>
      </c>
      <c r="IW66" s="2" t="s">
        <v>9</v>
      </c>
      <c r="IX66" s="2" t="s">
        <v>9</v>
      </c>
      <c r="IY66" s="2">
        <v>9.5</v>
      </c>
      <c r="IZ66" s="2">
        <v>60</v>
      </c>
      <c r="JA66" s="2" t="s">
        <v>81</v>
      </c>
      <c r="JB66" s="2" t="s">
        <v>82</v>
      </c>
      <c r="JC66" s="2"/>
      <c r="JD66" s="2"/>
      <c r="JE66" s="2"/>
      <c r="JF66" s="2"/>
      <c r="JG66" s="2"/>
      <c r="JH66" s="7">
        <v>0</v>
      </c>
      <c r="JI66" s="2">
        <v>0</v>
      </c>
      <c r="JJ66" s="7">
        <v>0</v>
      </c>
      <c r="JK66" s="2">
        <v>0</v>
      </c>
      <c r="JL66" s="7">
        <v>0</v>
      </c>
      <c r="JM66" s="2">
        <v>10</v>
      </c>
      <c r="JN66" s="2"/>
      <c r="JO66" s="2"/>
      <c r="JP66" s="2">
        <v>38</v>
      </c>
      <c r="JQ66" s="2"/>
      <c r="JR66" s="2">
        <v>12</v>
      </c>
      <c r="JS66" s="2">
        <v>0</v>
      </c>
      <c r="JT66" s="2">
        <v>0</v>
      </c>
      <c r="JU66" s="2"/>
      <c r="JV66" s="2">
        <v>60</v>
      </c>
      <c r="JW66" s="4">
        <v>1</v>
      </c>
      <c r="JX66" s="2">
        <v>60</v>
      </c>
      <c r="JY66" s="4">
        <v>0.59</v>
      </c>
      <c r="JZ66" s="2">
        <v>0</v>
      </c>
      <c r="KA66" s="2"/>
      <c r="KB66" s="2"/>
      <c r="KC66" s="2"/>
      <c r="KD66" s="2"/>
      <c r="KE66" s="2"/>
      <c r="KF66" s="2"/>
      <c r="KG66" s="2"/>
      <c r="KH66" s="2">
        <v>12</v>
      </c>
      <c r="KI66" s="2">
        <v>36</v>
      </c>
      <c r="KJ66" s="2"/>
      <c r="KK66" s="2"/>
      <c r="KL66" s="2">
        <v>12</v>
      </c>
      <c r="KM66" s="2"/>
      <c r="KN66" s="2"/>
      <c r="KO66" s="2"/>
      <c r="KP66" s="2"/>
      <c r="KQ66" s="2" t="s">
        <v>83</v>
      </c>
      <c r="KR66" s="2" t="s">
        <v>73</v>
      </c>
      <c r="KS66" s="2"/>
      <c r="KT66" s="2">
        <v>2</v>
      </c>
      <c r="KU66" s="2" t="s">
        <v>84</v>
      </c>
      <c r="KV66" s="2" t="s">
        <v>85</v>
      </c>
      <c r="KW66" s="2" t="s">
        <v>599</v>
      </c>
      <c r="KX66" s="2" t="s">
        <v>17</v>
      </c>
      <c r="KY66" s="2" t="s">
        <v>17</v>
      </c>
      <c r="KZ66" s="2" t="s">
        <v>17</v>
      </c>
      <c r="LA66" s="2" t="s">
        <v>17</v>
      </c>
      <c r="LB66" s="2" t="s">
        <v>17</v>
      </c>
      <c r="LC66" s="2" t="s">
        <v>17</v>
      </c>
      <c r="LD66" s="2" t="s">
        <v>17</v>
      </c>
      <c r="LE66" s="2" t="s">
        <v>17</v>
      </c>
      <c r="LF66" s="2" t="s">
        <v>17</v>
      </c>
      <c r="LG66" s="2" t="s">
        <v>17</v>
      </c>
      <c r="LH66" s="2" t="s">
        <v>17</v>
      </c>
      <c r="LI66" s="2" t="s">
        <v>17</v>
      </c>
      <c r="LJ66" s="2" t="s">
        <v>87</v>
      </c>
      <c r="LK66" s="2" t="s">
        <v>17</v>
      </c>
      <c r="LL66" s="2" t="s">
        <v>17</v>
      </c>
      <c r="LM66" s="2">
        <v>0</v>
      </c>
      <c r="LN66" s="2" t="s">
        <v>17</v>
      </c>
      <c r="LO66" s="2" t="s">
        <v>9</v>
      </c>
      <c r="LP66" s="2" t="s">
        <v>9</v>
      </c>
      <c r="LQ66" s="2" t="s">
        <v>17</v>
      </c>
      <c r="LR66" s="2" t="s">
        <v>9</v>
      </c>
      <c r="LS66" s="2" t="s">
        <v>17</v>
      </c>
      <c r="LT66" s="2" t="s">
        <v>17</v>
      </c>
      <c r="LU66" s="2" t="s">
        <v>17</v>
      </c>
      <c r="LV66" s="2" t="s">
        <v>17</v>
      </c>
      <c r="LW66" s="2" t="s">
        <v>17</v>
      </c>
      <c r="LX66" s="2" t="s">
        <v>17</v>
      </c>
      <c r="LY66" s="5">
        <v>4800000</v>
      </c>
      <c r="LZ66" s="5">
        <v>0</v>
      </c>
      <c r="MA66" s="5">
        <v>6000000</v>
      </c>
      <c r="MB66" s="5">
        <v>0</v>
      </c>
      <c r="MC66" s="5">
        <v>0</v>
      </c>
      <c r="MD66" s="5">
        <v>0</v>
      </c>
      <c r="ME66" s="5">
        <v>6300000</v>
      </c>
      <c r="MF66" s="5">
        <v>0</v>
      </c>
      <c r="MG66" s="5">
        <v>0</v>
      </c>
      <c r="MH66" s="5">
        <v>0</v>
      </c>
      <c r="MI66" s="5">
        <v>0</v>
      </c>
      <c r="MJ66" s="5">
        <v>0</v>
      </c>
      <c r="MK66" s="5">
        <v>0</v>
      </c>
      <c r="ML66" s="2">
        <v>0</v>
      </c>
      <c r="MM66" s="5">
        <v>0</v>
      </c>
      <c r="MN66" s="5">
        <v>0</v>
      </c>
      <c r="MO66" s="2">
        <v>0</v>
      </c>
      <c r="MP66" s="2">
        <v>0</v>
      </c>
      <c r="MQ66" s="2">
        <v>0</v>
      </c>
      <c r="MR66" s="5">
        <v>2950000</v>
      </c>
      <c r="MS66" s="5">
        <v>0</v>
      </c>
      <c r="MT66" s="5">
        <v>4600000</v>
      </c>
      <c r="MU66" s="5">
        <v>0</v>
      </c>
      <c r="MV66" s="5">
        <v>0</v>
      </c>
      <c r="MW66" s="5">
        <v>0</v>
      </c>
      <c r="MX66" s="5">
        <v>0</v>
      </c>
      <c r="MY66" s="5">
        <v>2500000</v>
      </c>
      <c r="MZ66" s="5">
        <v>0</v>
      </c>
      <c r="NA66" s="5">
        <v>5000000</v>
      </c>
      <c r="NB66" s="5">
        <v>0</v>
      </c>
      <c r="NC66" s="5">
        <v>0</v>
      </c>
      <c r="ND66" s="5">
        <v>0</v>
      </c>
      <c r="NE66" s="5">
        <v>0</v>
      </c>
      <c r="NF66" s="5">
        <v>0</v>
      </c>
      <c r="NG66" s="5">
        <v>2142000</v>
      </c>
      <c r="NH66" s="5">
        <v>2142000</v>
      </c>
      <c r="NI66" s="5">
        <v>2142000</v>
      </c>
      <c r="NJ66" s="5">
        <v>0</v>
      </c>
      <c r="NK66" s="5"/>
      <c r="NL66" s="2" t="s">
        <v>17</v>
      </c>
      <c r="NM66" s="2" t="s">
        <v>17</v>
      </c>
      <c r="NN66" s="2"/>
      <c r="NO66" s="2" t="s">
        <v>17</v>
      </c>
      <c r="NP66" s="2"/>
      <c r="NQ66" s="2"/>
      <c r="NR66" s="2" t="s">
        <v>17</v>
      </c>
      <c r="NS66" s="2"/>
      <c r="NT66" s="2" t="s">
        <v>17</v>
      </c>
      <c r="NU66" s="2"/>
      <c r="NV66" s="2"/>
      <c r="NW66" s="2"/>
      <c r="NX66" s="2" t="s">
        <v>9</v>
      </c>
      <c r="NY66" s="2" t="s">
        <v>88</v>
      </c>
      <c r="NZ66" s="2">
        <v>35.07</v>
      </c>
      <c r="OA66" s="2" t="s">
        <v>960</v>
      </c>
      <c r="OB66" s="2" t="s">
        <v>961</v>
      </c>
      <c r="OC66" s="2" t="s">
        <v>961</v>
      </c>
      <c r="OD66" s="2" t="s">
        <v>17</v>
      </c>
      <c r="OE66" s="2" t="s">
        <v>91</v>
      </c>
      <c r="OF66" s="2" t="s">
        <v>17</v>
      </c>
      <c r="OG66" s="2" t="s">
        <v>9</v>
      </c>
      <c r="OH66" s="2" t="s">
        <v>92</v>
      </c>
      <c r="OI66" s="2"/>
      <c r="OJ66" s="2"/>
      <c r="OK66" s="2" t="s">
        <v>17</v>
      </c>
      <c r="OL66" s="2" t="s">
        <v>17</v>
      </c>
      <c r="OM66" s="2" t="s">
        <v>85</v>
      </c>
      <c r="ON66" s="6">
        <v>0</v>
      </c>
      <c r="OO66" s="6">
        <v>0</v>
      </c>
      <c r="OP66" s="2" t="s">
        <v>93</v>
      </c>
      <c r="OQ66" s="2" t="s">
        <v>93</v>
      </c>
      <c r="OR66" s="6">
        <v>0</v>
      </c>
      <c r="OS66" s="4">
        <v>0</v>
      </c>
      <c r="OT66" s="2" t="s">
        <v>17</v>
      </c>
      <c r="OU66" s="2" t="s">
        <v>17</v>
      </c>
      <c r="OV66" s="2"/>
      <c r="OW66" s="2"/>
      <c r="OX66" s="5">
        <v>17735760</v>
      </c>
      <c r="OY66" s="6">
        <v>295596</v>
      </c>
      <c r="OZ66" s="2"/>
      <c r="PA66" s="2"/>
      <c r="PB66" s="8">
        <v>10556000</v>
      </c>
      <c r="PC66" s="2"/>
      <c r="PD66" s="8">
        <v>10556000</v>
      </c>
      <c r="PE66" s="8">
        <v>1900000</v>
      </c>
      <c r="PF66" s="2"/>
      <c r="PG66" s="8">
        <v>1900000</v>
      </c>
      <c r="PH66" s="2"/>
      <c r="PI66" s="2"/>
      <c r="PJ66" s="2"/>
      <c r="PK66" s="8">
        <v>12456000</v>
      </c>
      <c r="PL66" s="2"/>
      <c r="PM66" s="8">
        <v>12456000</v>
      </c>
      <c r="PN66" s="8">
        <v>1743839</v>
      </c>
      <c r="PO66" s="2"/>
      <c r="PP66" s="8">
        <v>1743839</v>
      </c>
      <c r="PQ66" s="6">
        <v>1743840</v>
      </c>
      <c r="PR66" s="8">
        <v>14199839</v>
      </c>
      <c r="PS66" s="2"/>
      <c r="PT66" s="8">
        <v>14199839</v>
      </c>
      <c r="PU66" s="8">
        <v>709991</v>
      </c>
      <c r="PV66" s="2"/>
      <c r="PW66" s="8">
        <v>709991</v>
      </c>
      <c r="PX66" s="6">
        <v>709991.95</v>
      </c>
      <c r="PY66" s="8">
        <v>1004500</v>
      </c>
      <c r="PZ66" s="8">
        <v>348489</v>
      </c>
      <c r="QA66" s="8">
        <v>1352989</v>
      </c>
      <c r="QB66" s="8">
        <v>110000</v>
      </c>
      <c r="QC66" s="2"/>
      <c r="QD66" s="8">
        <v>110000</v>
      </c>
      <c r="QE66" s="8">
        <v>486283</v>
      </c>
      <c r="QF66" s="2"/>
      <c r="QG66" s="8">
        <v>486283</v>
      </c>
      <c r="QH66" s="2"/>
      <c r="QI66" s="8">
        <v>425780</v>
      </c>
      <c r="QJ66" s="8">
        <v>425780</v>
      </c>
      <c r="QK66" s="2"/>
      <c r="QL66" s="2"/>
      <c r="QM66" s="2"/>
      <c r="QN66" s="2"/>
      <c r="QO66" s="2"/>
      <c r="QP66" s="2"/>
      <c r="QQ66" s="8">
        <v>1600783</v>
      </c>
      <c r="QR66" s="8">
        <v>774269</v>
      </c>
      <c r="QS66" s="8">
        <v>2375052</v>
      </c>
      <c r="QT66" s="8">
        <v>15000</v>
      </c>
      <c r="QU66" s="2"/>
      <c r="QV66" s="8">
        <v>15000</v>
      </c>
      <c r="QW66" s="6">
        <v>118752.6</v>
      </c>
      <c r="QX66" s="8">
        <v>1003897</v>
      </c>
      <c r="QY66" s="8">
        <v>225912</v>
      </c>
      <c r="QZ66" s="8">
        <v>1229809</v>
      </c>
      <c r="RA66" s="8">
        <v>19750</v>
      </c>
      <c r="RB66" s="8">
        <v>19750</v>
      </c>
      <c r="RC66" s="2"/>
      <c r="RD66" s="8">
        <v>50000</v>
      </c>
      <c r="RE66" s="8">
        <v>50000</v>
      </c>
      <c r="RF66" s="8">
        <v>1003897</v>
      </c>
      <c r="RG66" s="8">
        <v>295662</v>
      </c>
      <c r="RH66" s="8">
        <v>1299559</v>
      </c>
      <c r="RI66" s="2"/>
      <c r="RJ66" s="2"/>
      <c r="RK66" s="2"/>
      <c r="RL66" s="2"/>
      <c r="RM66" s="8">
        <v>17529510</v>
      </c>
      <c r="RN66" s="8">
        <v>1069931</v>
      </c>
      <c r="RO66" s="8">
        <v>18599441</v>
      </c>
      <c r="RP66" s="2"/>
      <c r="RQ66" s="2"/>
      <c r="RR66" s="2">
        <v>0</v>
      </c>
      <c r="RS66" s="6">
        <v>0</v>
      </c>
      <c r="RT66" s="8">
        <v>2975910</v>
      </c>
      <c r="RU66" s="2"/>
      <c r="RV66" s="8">
        <v>2975910</v>
      </c>
      <c r="RW66" s="6">
        <v>2975910</v>
      </c>
      <c r="RX66" s="6">
        <v>0</v>
      </c>
      <c r="RY66" s="8">
        <v>2975910</v>
      </c>
      <c r="RZ66" s="2"/>
      <c r="SA66" s="8">
        <v>2975910</v>
      </c>
      <c r="SB66" s="6">
        <v>2975910</v>
      </c>
      <c r="SC66" s="8">
        <v>210000</v>
      </c>
      <c r="SD66" s="8">
        <v>210000</v>
      </c>
      <c r="SE66" s="6">
        <v>210000</v>
      </c>
      <c r="SF66" s="8">
        <v>750000</v>
      </c>
      <c r="SG66" s="8">
        <v>750000</v>
      </c>
      <c r="SH66" s="8">
        <v>20505420</v>
      </c>
      <c r="SI66" s="8">
        <v>2029931</v>
      </c>
      <c r="SJ66" s="8">
        <v>22535351</v>
      </c>
      <c r="SK66" s="2" t="s">
        <v>229</v>
      </c>
      <c r="SL66" s="2" t="s">
        <v>229</v>
      </c>
      <c r="SM66" s="2" t="s">
        <v>1382</v>
      </c>
      <c r="SN66" s="2" t="s">
        <v>229</v>
      </c>
      <c r="SO66" s="2" t="s">
        <v>229</v>
      </c>
      <c r="SP66" s="8">
        <v>17500000</v>
      </c>
      <c r="SQ66" s="2" t="s">
        <v>95</v>
      </c>
      <c r="SR66" s="8">
        <v>37500</v>
      </c>
      <c r="SS66" s="2" t="s">
        <v>180</v>
      </c>
      <c r="ST66" s="2"/>
      <c r="SU66" s="2"/>
      <c r="SV66" s="2"/>
      <c r="SW66" s="2"/>
      <c r="SX66" s="2" t="s">
        <v>96</v>
      </c>
      <c r="SY66" s="2" t="s">
        <v>96</v>
      </c>
      <c r="SZ66" s="2" t="s">
        <v>96</v>
      </c>
      <c r="TA66" s="2" t="s">
        <v>96</v>
      </c>
      <c r="TB66" s="8">
        <v>2827158</v>
      </c>
      <c r="TC66" s="2"/>
      <c r="TD66" s="2"/>
      <c r="TE66" s="2"/>
      <c r="TF66" s="2"/>
      <c r="TG66" s="2"/>
      <c r="TH66" s="2"/>
      <c r="TI66" s="8">
        <v>2170693</v>
      </c>
      <c r="TJ66" s="8">
        <v>22535351</v>
      </c>
      <c r="TK66" s="2">
        <v>0</v>
      </c>
      <c r="TL66" s="2" t="s">
        <v>9</v>
      </c>
      <c r="TM66" s="8">
        <v>1975000</v>
      </c>
      <c r="TN66" s="2" t="s">
        <v>95</v>
      </c>
      <c r="TO66" s="8">
        <v>37500</v>
      </c>
      <c r="TP66" s="2" t="s">
        <v>180</v>
      </c>
      <c r="TQ66" s="2"/>
      <c r="TR66" s="2"/>
      <c r="TS66" s="2"/>
      <c r="TT66" s="2"/>
      <c r="TU66" s="2" t="s">
        <v>96</v>
      </c>
      <c r="TV66" s="8">
        <v>18847715</v>
      </c>
      <c r="TW66" s="2"/>
      <c r="TX66" s="2"/>
      <c r="TY66" s="2"/>
      <c r="TZ66" s="2"/>
      <c r="UA66" s="2"/>
      <c r="UB66" s="2"/>
      <c r="UC66" s="8">
        <v>1675136</v>
      </c>
      <c r="UD66" s="8">
        <v>22535351</v>
      </c>
      <c r="UE66" s="6">
        <v>2012500</v>
      </c>
      <c r="UF66" s="2">
        <v>0</v>
      </c>
      <c r="UG66" s="2" t="s">
        <v>9</v>
      </c>
      <c r="UH66" s="2">
        <v>60</v>
      </c>
      <c r="UI66" s="5">
        <v>220000</v>
      </c>
      <c r="UJ66" s="6">
        <v>293333.33</v>
      </c>
      <c r="UK66" s="6">
        <v>293333.33</v>
      </c>
      <c r="UL66" s="6">
        <v>310933.33</v>
      </c>
      <c r="UM66" s="6">
        <v>18656000</v>
      </c>
      <c r="UN66" s="6">
        <v>2984960</v>
      </c>
      <c r="UO66" s="6">
        <v>2984960</v>
      </c>
      <c r="UP66" s="6">
        <v>21640960</v>
      </c>
      <c r="UQ66" s="6">
        <v>21575351</v>
      </c>
      <c r="UR66" s="6">
        <v>37500</v>
      </c>
      <c r="US66" s="6">
        <v>37500</v>
      </c>
      <c r="UT66" s="6">
        <v>0</v>
      </c>
      <c r="UU66" s="2"/>
      <c r="UV66" s="6">
        <v>0</v>
      </c>
      <c r="UW66" s="6">
        <v>37500</v>
      </c>
      <c r="UX66" s="6">
        <v>37500</v>
      </c>
      <c r="UY66" s="6">
        <v>0</v>
      </c>
      <c r="UZ66" s="2" t="s">
        <v>1383</v>
      </c>
      <c r="VA66" s="2" t="s">
        <v>182</v>
      </c>
      <c r="VB66" s="2"/>
      <c r="VC66" s="2"/>
      <c r="VD66" s="2" t="s">
        <v>17</v>
      </c>
      <c r="VE66" s="2" t="s">
        <v>17</v>
      </c>
      <c r="VF66" s="2"/>
      <c r="VG66" s="2" t="s">
        <v>17</v>
      </c>
      <c r="VH66" s="2"/>
      <c r="VI66" s="388" t="s">
        <v>562</v>
      </c>
      <c r="VJ66" s="2" t="s">
        <v>98</v>
      </c>
      <c r="VK66" s="2" t="s">
        <v>1384</v>
      </c>
      <c r="VL66" s="23">
        <f t="shared" ref="VL66:VL72" si="32">KG66+KH66+2*(KI66+KJ66+KK66)+3*(KL66+KM66)+4*(KO66+KP66)</f>
        <v>120</v>
      </c>
      <c r="VM66" s="17">
        <f t="shared" ref="VM66:VM72" si="33">VL66/IZ66</f>
        <v>2</v>
      </c>
      <c r="VN66" s="17" t="str">
        <f t="shared" si="12"/>
        <v>NC-GA-F</v>
      </c>
      <c r="VO66" s="17" t="str">
        <f t="shared" si="13"/>
        <v>NC-GA-F-Non</v>
      </c>
      <c r="VP66" s="12">
        <v>9</v>
      </c>
      <c r="VQ66" s="57">
        <v>1</v>
      </c>
      <c r="VR66" s="57">
        <f t="shared" ref="VR66:VR72" si="34">IF(GR66="Broward",Broward_A,1)</f>
        <v>1</v>
      </c>
      <c r="VS66" s="14">
        <f t="shared" ref="VS66:VS72" si="35">IF(OR(OT66="Yes",OU66="Yes"),PHA_A,1)</f>
        <v>1</v>
      </c>
      <c r="VT66" s="12">
        <f t="shared" ref="VT66:VT72" si="36">(GG66*NC_GA_A*ESSC_A+GH66*NC_GA_A+GI66*NC_MR_A*ESSC_A+GJ66*NC_MR_A+GK66*NC_HR_A*ESSC_A+GL66*NC_OT_A*ESSC_A+GM66*NC_OT_A+GN66*1+GO66*1)/(GG66+GH66+GI66+GJ66+GK66+GL66+GM66+GN66+GO66)</f>
        <v>1</v>
      </c>
      <c r="VU66" s="16">
        <f t="shared" ref="VU66:VU72" si="37">NI66*VP66*VR66*VS66*VT66*IF(BW66="Elderly Non-ALF",Elderly_A,1)</f>
        <v>19278000</v>
      </c>
      <c r="VV66" s="16">
        <f t="shared" ref="VV66:VV72" si="38">VU66/(JI66+JV66)</f>
        <v>321300</v>
      </c>
      <c r="VW66" s="12" t="str">
        <f t="shared" si="14"/>
        <v>B</v>
      </c>
      <c r="VX66" s="12" t="str">
        <f t="shared" si="15"/>
        <v>NC-GA-Non</v>
      </c>
      <c r="VY66" s="351">
        <f t="shared" si="16"/>
        <v>5</v>
      </c>
      <c r="WA66" s="12">
        <f t="shared" si="17"/>
        <v>0</v>
      </c>
      <c r="WB66" s="12">
        <f t="shared" si="18"/>
        <v>0</v>
      </c>
      <c r="WC66" s="12">
        <f t="shared" si="18"/>
        <v>0</v>
      </c>
      <c r="WD66" s="12">
        <f t="shared" si="18"/>
        <v>0</v>
      </c>
      <c r="WE66" s="12">
        <f t="shared" si="19"/>
        <v>0</v>
      </c>
      <c r="WF66" s="12">
        <f t="shared" ref="WF66:WF72" si="39">IF(GG66+GH66&gt;0,1,0)</f>
        <v>1</v>
      </c>
      <c r="WG66" s="12">
        <f t="shared" ref="WG66:WG72" si="40">IF(GI66+GJ66&gt;0,1,0)</f>
        <v>0</v>
      </c>
      <c r="WH66" s="12">
        <f t="shared" ref="WH66:WH72" si="41">IF(GK66&gt;1,1,0)</f>
        <v>0</v>
      </c>
      <c r="WI66" s="22">
        <f t="shared" ref="WI66:WI72" si="42">SUM(WA66:WH66)</f>
        <v>1</v>
      </c>
      <c r="WJ66" s="2"/>
      <c r="WK66" s="443" t="str">
        <f t="shared" si="20"/>
        <v>NC-GA-Non-BBN-BRN-NPH-F</v>
      </c>
      <c r="WL66" s="443"/>
      <c r="WM66" s="443"/>
    </row>
    <row r="67" spans="1:613" x14ac:dyDescent="0.25">
      <c r="A67" s="18">
        <v>9470</v>
      </c>
      <c r="B67" s="2" t="s">
        <v>891</v>
      </c>
      <c r="C67" s="2" t="s">
        <v>8</v>
      </c>
      <c r="D67" s="3">
        <v>45153</v>
      </c>
      <c r="E67" s="2" t="s">
        <v>9</v>
      </c>
      <c r="F67" s="2">
        <v>3</v>
      </c>
      <c r="G67" s="2" t="s">
        <v>9</v>
      </c>
      <c r="H67" s="2">
        <v>3</v>
      </c>
      <c r="I67" s="2" t="s">
        <v>9</v>
      </c>
      <c r="J67" s="2">
        <v>1</v>
      </c>
      <c r="K67" s="2" t="s">
        <v>9</v>
      </c>
      <c r="L67" s="2">
        <v>3</v>
      </c>
      <c r="M67" s="2" t="s">
        <v>10</v>
      </c>
      <c r="N67" s="2">
        <v>0</v>
      </c>
      <c r="O67" s="2" t="s">
        <v>10</v>
      </c>
      <c r="P67" s="2">
        <v>0</v>
      </c>
      <c r="Q67" s="2" t="s">
        <v>11</v>
      </c>
      <c r="R67" s="2">
        <v>0</v>
      </c>
      <c r="S67" s="2" t="s">
        <v>9</v>
      </c>
      <c r="T67" s="2">
        <v>2</v>
      </c>
      <c r="U67" s="2" t="s">
        <v>9</v>
      </c>
      <c r="V67" s="2">
        <v>2</v>
      </c>
      <c r="W67" s="2" t="s">
        <v>9</v>
      </c>
      <c r="X67" s="2">
        <v>2</v>
      </c>
      <c r="Y67" s="2" t="s">
        <v>12</v>
      </c>
      <c r="Z67" s="2" t="s">
        <v>15</v>
      </c>
      <c r="AA67" s="2" t="s">
        <v>15</v>
      </c>
      <c r="AB67" s="2" t="s">
        <v>15</v>
      </c>
      <c r="AC67" s="2" t="s">
        <v>15</v>
      </c>
      <c r="AD67" s="2" t="s">
        <v>15</v>
      </c>
      <c r="AE67" s="2" t="s">
        <v>15</v>
      </c>
      <c r="AF67" s="2">
        <v>0</v>
      </c>
      <c r="AG67" s="2" t="s">
        <v>234</v>
      </c>
      <c r="AH67" s="2" t="s">
        <v>17</v>
      </c>
      <c r="AI67" s="4">
        <v>0.16070999999999999</v>
      </c>
      <c r="AJ67" s="2" t="s">
        <v>17</v>
      </c>
      <c r="AK67" s="2" t="s">
        <v>9</v>
      </c>
      <c r="AL67" s="2" t="s">
        <v>17</v>
      </c>
      <c r="AM67" s="2" t="s">
        <v>17</v>
      </c>
      <c r="AN67" s="2" t="s">
        <v>9</v>
      </c>
      <c r="AO67" s="2" t="s">
        <v>17</v>
      </c>
      <c r="AP67" s="2" t="s">
        <v>17</v>
      </c>
      <c r="AQ67" s="2" t="s">
        <v>17</v>
      </c>
      <c r="AR67" s="2" t="s">
        <v>17</v>
      </c>
      <c r="AS67" s="2" t="s">
        <v>17</v>
      </c>
      <c r="AT67" s="2">
        <v>0</v>
      </c>
      <c r="AU67" s="5">
        <v>5000</v>
      </c>
      <c r="AV67" s="2" t="s">
        <v>85</v>
      </c>
      <c r="AW67" s="2">
        <v>0</v>
      </c>
      <c r="AX67" s="2">
        <v>8</v>
      </c>
      <c r="AY67" s="2">
        <v>0</v>
      </c>
      <c r="AZ67" s="2">
        <v>18</v>
      </c>
      <c r="BA67" s="2">
        <v>0</v>
      </c>
      <c r="BB67" s="2">
        <v>1</v>
      </c>
      <c r="BC67" s="2">
        <v>1</v>
      </c>
      <c r="BD67" s="2">
        <v>0</v>
      </c>
      <c r="BE67" s="2">
        <v>0</v>
      </c>
      <c r="BF67" s="2">
        <v>1</v>
      </c>
      <c r="BG67" s="2">
        <v>0</v>
      </c>
      <c r="BH67" s="2">
        <v>0</v>
      </c>
      <c r="BI67" s="2">
        <v>13</v>
      </c>
      <c r="BJ67" s="2">
        <v>1</v>
      </c>
      <c r="BK67" s="2">
        <v>0</v>
      </c>
      <c r="BL67" s="2">
        <v>3</v>
      </c>
      <c r="BM67" s="2">
        <v>0</v>
      </c>
      <c r="BN67" s="2">
        <v>10</v>
      </c>
      <c r="BO67" s="2">
        <v>11</v>
      </c>
      <c r="BP67" s="2">
        <v>0</v>
      </c>
      <c r="BQ67" s="2">
        <v>6</v>
      </c>
      <c r="BR67" s="2">
        <v>11.48</v>
      </c>
      <c r="BS67" s="2">
        <v>0</v>
      </c>
      <c r="BT67" s="4">
        <v>0.06</v>
      </c>
      <c r="BU67" s="2" t="s">
        <v>9</v>
      </c>
      <c r="BV67" s="6">
        <v>205270.44</v>
      </c>
      <c r="BW67" s="2" t="s">
        <v>18</v>
      </c>
      <c r="BX67" s="2" t="s">
        <v>17</v>
      </c>
      <c r="BY67" s="2" t="s">
        <v>17</v>
      </c>
      <c r="BZ67" s="2" t="s">
        <v>17</v>
      </c>
      <c r="CA67" s="2" t="s">
        <v>17</v>
      </c>
      <c r="CB67" s="2" t="s">
        <v>17</v>
      </c>
      <c r="CC67" s="2" t="s">
        <v>17</v>
      </c>
      <c r="CD67" s="2" t="s">
        <v>17</v>
      </c>
      <c r="CE67" s="2" t="s">
        <v>892</v>
      </c>
      <c r="CF67" s="2" t="s">
        <v>9</v>
      </c>
      <c r="CG67" s="2" t="s">
        <v>893</v>
      </c>
      <c r="CH67" s="2" t="s">
        <v>894</v>
      </c>
      <c r="CI67" s="2"/>
      <c r="CJ67" s="2" t="s">
        <v>9</v>
      </c>
      <c r="CK67" s="2" t="s">
        <v>895</v>
      </c>
      <c r="CL67" s="2" t="s">
        <v>893</v>
      </c>
      <c r="CM67" s="2" t="s">
        <v>896</v>
      </c>
      <c r="CN67" s="2" t="s">
        <v>897</v>
      </c>
      <c r="CO67" s="2" t="s">
        <v>24</v>
      </c>
      <c r="CP67" s="2"/>
      <c r="CQ67" s="2">
        <v>112</v>
      </c>
      <c r="CR67" s="2" t="s">
        <v>240</v>
      </c>
      <c r="CS67" s="2">
        <v>2022</v>
      </c>
      <c r="CT67" s="2" t="s">
        <v>26</v>
      </c>
      <c r="CU67" s="2" t="s">
        <v>27</v>
      </c>
      <c r="CV67" s="2" t="s">
        <v>898</v>
      </c>
      <c r="CW67" s="2" t="s">
        <v>899</v>
      </c>
      <c r="CX67" s="2" t="s">
        <v>24</v>
      </c>
      <c r="CY67" s="2" t="s">
        <v>900</v>
      </c>
      <c r="CZ67" s="2">
        <v>80</v>
      </c>
      <c r="DA67" s="2" t="s">
        <v>240</v>
      </c>
      <c r="DB67" s="2">
        <v>2011</v>
      </c>
      <c r="DC67" s="2" t="s">
        <v>243</v>
      </c>
      <c r="DD67" s="2" t="s">
        <v>27</v>
      </c>
      <c r="DE67" s="2" t="s">
        <v>901</v>
      </c>
      <c r="DF67" s="2" t="s">
        <v>902</v>
      </c>
      <c r="DG67" s="2" t="s">
        <v>24</v>
      </c>
      <c r="DH67" s="2" t="s">
        <v>900</v>
      </c>
      <c r="DI67" s="2">
        <v>80</v>
      </c>
      <c r="DJ67" s="2" t="s">
        <v>240</v>
      </c>
      <c r="DK67" s="2">
        <v>2011</v>
      </c>
      <c r="DL67" s="2" t="s">
        <v>243</v>
      </c>
      <c r="DM67" s="2" t="s">
        <v>27</v>
      </c>
      <c r="DN67" s="2" t="s">
        <v>33</v>
      </c>
      <c r="DO67" s="2" t="s">
        <v>671</v>
      </c>
      <c r="DP67" s="2"/>
      <c r="DQ67" s="2" t="s">
        <v>903</v>
      </c>
      <c r="DR67" s="2" t="s">
        <v>904</v>
      </c>
      <c r="DS67" s="2">
        <v>1</v>
      </c>
      <c r="DT67" s="2" t="s">
        <v>905</v>
      </c>
      <c r="DU67" s="2" t="s">
        <v>906</v>
      </c>
      <c r="DV67" s="2" t="s">
        <v>39</v>
      </c>
      <c r="DW67" s="2">
        <v>33034</v>
      </c>
      <c r="DX67" s="2" t="s">
        <v>907</v>
      </c>
      <c r="DY67" s="2"/>
      <c r="DZ67" s="2" t="s">
        <v>908</v>
      </c>
      <c r="EA67" s="2" t="s">
        <v>909</v>
      </c>
      <c r="EB67" s="2" t="s">
        <v>910</v>
      </c>
      <c r="EC67" s="2" t="s">
        <v>899</v>
      </c>
      <c r="ED67" s="2" t="s">
        <v>44</v>
      </c>
      <c r="EE67" s="2">
        <v>144</v>
      </c>
      <c r="EF67" s="2" t="s">
        <v>254</v>
      </c>
      <c r="EG67" s="2">
        <v>10</v>
      </c>
      <c r="EH67" s="2" t="s">
        <v>46</v>
      </c>
      <c r="EI67" s="2" t="s">
        <v>47</v>
      </c>
      <c r="EJ67" s="2" t="s">
        <v>911</v>
      </c>
      <c r="EK67" s="2" t="s">
        <v>912</v>
      </c>
      <c r="EL67" s="2" t="s">
        <v>44</v>
      </c>
      <c r="EM67" s="2">
        <v>128</v>
      </c>
      <c r="EN67" s="2" t="s">
        <v>254</v>
      </c>
      <c r="EO67" s="2">
        <v>8</v>
      </c>
      <c r="EP67" s="2" t="s">
        <v>46</v>
      </c>
      <c r="EQ67" s="2" t="s">
        <v>47</v>
      </c>
      <c r="ER67" s="2" t="s">
        <v>671</v>
      </c>
      <c r="ES67" s="2"/>
      <c r="ET67" s="2" t="s">
        <v>903</v>
      </c>
      <c r="EU67" s="2" t="s">
        <v>893</v>
      </c>
      <c r="EV67" s="2" t="s">
        <v>905</v>
      </c>
      <c r="EW67" s="2" t="s">
        <v>906</v>
      </c>
      <c r="EX67" s="2" t="s">
        <v>39</v>
      </c>
      <c r="EY67" s="2">
        <v>33034</v>
      </c>
      <c r="EZ67" s="2" t="s">
        <v>907</v>
      </c>
      <c r="FA67" s="2"/>
      <c r="FB67" s="2" t="s">
        <v>908</v>
      </c>
      <c r="FC67" s="2" t="s">
        <v>913</v>
      </c>
      <c r="FD67" s="2"/>
      <c r="FE67" s="2" t="s">
        <v>914</v>
      </c>
      <c r="FF67" s="2" t="s">
        <v>915</v>
      </c>
      <c r="FG67" s="2" t="s">
        <v>916</v>
      </c>
      <c r="FH67" s="2" t="s">
        <v>917</v>
      </c>
      <c r="FI67" s="2" t="s">
        <v>39</v>
      </c>
      <c r="FJ67" s="2">
        <v>33139</v>
      </c>
      <c r="FK67" s="2" t="s">
        <v>918</v>
      </c>
      <c r="FL67" s="2"/>
      <c r="FM67" s="2" t="s">
        <v>919</v>
      </c>
      <c r="FN67" s="2" t="s">
        <v>920</v>
      </c>
      <c r="FO67" s="2" t="s">
        <v>63</v>
      </c>
      <c r="FP67" s="2" t="s">
        <v>64</v>
      </c>
      <c r="FQ67" s="2" t="s">
        <v>9</v>
      </c>
      <c r="FR67" s="2" t="s">
        <v>17</v>
      </c>
      <c r="FS67" s="2" t="s">
        <v>17</v>
      </c>
      <c r="FT67" s="2" t="s">
        <v>9</v>
      </c>
      <c r="FU67" s="2">
        <v>0</v>
      </c>
      <c r="FV67" s="2">
        <v>0</v>
      </c>
      <c r="FW67" s="4">
        <v>0</v>
      </c>
      <c r="FX67" s="4">
        <v>0</v>
      </c>
      <c r="FY67" s="2" t="s">
        <v>65</v>
      </c>
      <c r="FZ67" s="2" t="s">
        <v>66</v>
      </c>
      <c r="GA67" s="2" t="s">
        <v>67</v>
      </c>
      <c r="GB67" s="2"/>
      <c r="GC67" s="2"/>
      <c r="GD67" s="2"/>
      <c r="GE67" s="2" t="s">
        <v>68</v>
      </c>
      <c r="GF67" s="2">
        <v>56</v>
      </c>
      <c r="GG67" s="2">
        <v>56</v>
      </c>
      <c r="GH67" s="2"/>
      <c r="GI67" s="2"/>
      <c r="GJ67" s="2"/>
      <c r="GK67" s="2"/>
      <c r="GL67" s="2"/>
      <c r="GM67" s="2"/>
      <c r="GN67" s="2"/>
      <c r="GO67" s="2"/>
      <c r="GP67" s="2"/>
      <c r="GQ67" s="2">
        <v>56</v>
      </c>
      <c r="GR67" s="2" t="s">
        <v>921</v>
      </c>
      <c r="GS67" s="18" t="s">
        <v>268</v>
      </c>
      <c r="GT67" s="2" t="s">
        <v>922</v>
      </c>
      <c r="GU67" s="2" t="s">
        <v>923</v>
      </c>
      <c r="GV67" s="2" t="s">
        <v>9</v>
      </c>
      <c r="GW67" s="2">
        <v>27.263857000000002</v>
      </c>
      <c r="GX67" s="2">
        <v>-80.831661999999994</v>
      </c>
      <c r="GY67" s="2" t="s">
        <v>924</v>
      </c>
      <c r="GZ67" s="2" t="s">
        <v>17</v>
      </c>
      <c r="HA67" s="2" t="s">
        <v>17</v>
      </c>
      <c r="HB67" s="2">
        <v>0</v>
      </c>
      <c r="HC67" s="2" t="s">
        <v>17</v>
      </c>
      <c r="HD67" s="2"/>
      <c r="HE67" s="2">
        <v>0</v>
      </c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 t="s">
        <v>73</v>
      </c>
      <c r="HY67" s="2" t="s">
        <v>17</v>
      </c>
      <c r="HZ67" s="2"/>
      <c r="IA67" s="2"/>
      <c r="IB67" s="2"/>
      <c r="IC67" s="2"/>
      <c r="ID67" s="2"/>
      <c r="IE67" s="2" t="s">
        <v>925</v>
      </c>
      <c r="IF67" s="2">
        <v>0.3</v>
      </c>
      <c r="IG67" s="2">
        <v>4</v>
      </c>
      <c r="IH67" s="2" t="s">
        <v>224</v>
      </c>
      <c r="II67" s="2">
        <v>1.32</v>
      </c>
      <c r="IJ67" s="2">
        <v>2</v>
      </c>
      <c r="IK67" s="2" t="s">
        <v>926</v>
      </c>
      <c r="IL67" s="2" t="s">
        <v>927</v>
      </c>
      <c r="IM67" s="2">
        <v>0.37</v>
      </c>
      <c r="IN67" s="2">
        <v>4</v>
      </c>
      <c r="IO67" s="2" t="s">
        <v>17</v>
      </c>
      <c r="IP67" s="2">
        <v>0</v>
      </c>
      <c r="IQ67" s="2">
        <v>10</v>
      </c>
      <c r="IR67" s="2">
        <v>0</v>
      </c>
      <c r="IS67" s="2">
        <v>10</v>
      </c>
      <c r="IT67" s="2" t="s">
        <v>17</v>
      </c>
      <c r="IU67" s="2" t="s">
        <v>17</v>
      </c>
      <c r="IV67" s="2" t="s">
        <v>17</v>
      </c>
      <c r="IW67" s="2" t="s">
        <v>9</v>
      </c>
      <c r="IX67" s="2" t="s">
        <v>9</v>
      </c>
      <c r="IY67" s="2">
        <v>10</v>
      </c>
      <c r="IZ67" s="2">
        <v>56</v>
      </c>
      <c r="JA67" s="2" t="s">
        <v>81</v>
      </c>
      <c r="JB67" s="2" t="s">
        <v>82</v>
      </c>
      <c r="JC67" s="2"/>
      <c r="JD67" s="2"/>
      <c r="JE67" s="2"/>
      <c r="JF67" s="2"/>
      <c r="JG67" s="2"/>
      <c r="JH67" s="7">
        <v>0</v>
      </c>
      <c r="JI67" s="2">
        <v>0</v>
      </c>
      <c r="JJ67" s="7">
        <v>0</v>
      </c>
      <c r="JK67" s="2">
        <v>0</v>
      </c>
      <c r="JL67" s="7">
        <v>0</v>
      </c>
      <c r="JM67" s="2">
        <v>9</v>
      </c>
      <c r="JN67" s="2"/>
      <c r="JO67" s="2">
        <v>9</v>
      </c>
      <c r="JP67" s="2">
        <v>16</v>
      </c>
      <c r="JQ67" s="2">
        <v>13</v>
      </c>
      <c r="JR67" s="2">
        <v>9</v>
      </c>
      <c r="JS67" s="2">
        <v>0</v>
      </c>
      <c r="JT67" s="2">
        <v>0</v>
      </c>
      <c r="JU67" s="2"/>
      <c r="JV67" s="2">
        <v>56</v>
      </c>
      <c r="JW67" s="4">
        <v>1</v>
      </c>
      <c r="JX67" s="2">
        <v>56</v>
      </c>
      <c r="JY67" s="4">
        <v>0.59106999999999998</v>
      </c>
      <c r="JZ67" s="2">
        <v>0</v>
      </c>
      <c r="KA67" s="2"/>
      <c r="KB67" s="2"/>
      <c r="KC67" s="2"/>
      <c r="KD67" s="2"/>
      <c r="KE67" s="2"/>
      <c r="KF67" s="2"/>
      <c r="KG67" s="2"/>
      <c r="KH67" s="2">
        <v>36</v>
      </c>
      <c r="KI67" s="2">
        <v>20</v>
      </c>
      <c r="KJ67" s="2"/>
      <c r="KK67" s="2"/>
      <c r="KL67" s="2"/>
      <c r="KM67" s="2"/>
      <c r="KN67" s="2"/>
      <c r="KO67" s="2"/>
      <c r="KP67" s="2"/>
      <c r="KQ67" s="2" t="s">
        <v>83</v>
      </c>
      <c r="KR67" s="2" t="s">
        <v>73</v>
      </c>
      <c r="KS67" s="2"/>
      <c r="KT67" s="2">
        <v>3</v>
      </c>
      <c r="KU67" s="2" t="s">
        <v>84</v>
      </c>
      <c r="KV67" s="2" t="s">
        <v>85</v>
      </c>
      <c r="KW67" s="2" t="s">
        <v>530</v>
      </c>
      <c r="KX67" s="2" t="s">
        <v>17</v>
      </c>
      <c r="KY67" s="2" t="s">
        <v>17</v>
      </c>
      <c r="KZ67" s="2" t="s">
        <v>17</v>
      </c>
      <c r="LA67" s="2" t="s">
        <v>17</v>
      </c>
      <c r="LB67" s="2" t="s">
        <v>17</v>
      </c>
      <c r="LC67" s="2" t="s">
        <v>17</v>
      </c>
      <c r="LD67" s="2" t="s">
        <v>17</v>
      </c>
      <c r="LE67" s="2" t="s">
        <v>17</v>
      </c>
      <c r="LF67" s="2" t="s">
        <v>17</v>
      </c>
      <c r="LG67" s="2" t="s">
        <v>17</v>
      </c>
      <c r="LH67" s="2" t="s">
        <v>17</v>
      </c>
      <c r="LI67" s="2" t="s">
        <v>17</v>
      </c>
      <c r="LJ67" s="2" t="s">
        <v>87</v>
      </c>
      <c r="LK67" s="2" t="s">
        <v>17</v>
      </c>
      <c r="LL67" s="2" t="s">
        <v>17</v>
      </c>
      <c r="LM67" s="2">
        <v>0</v>
      </c>
      <c r="LN67" s="2" t="s">
        <v>17</v>
      </c>
      <c r="LO67" s="2" t="s">
        <v>17</v>
      </c>
      <c r="LP67" s="2" t="s">
        <v>9</v>
      </c>
      <c r="LQ67" s="2" t="s">
        <v>17</v>
      </c>
      <c r="LR67" s="2" t="s">
        <v>9</v>
      </c>
      <c r="LS67" s="2" t="s">
        <v>9</v>
      </c>
      <c r="LT67" s="2" t="s">
        <v>17</v>
      </c>
      <c r="LU67" s="2" t="s">
        <v>17</v>
      </c>
      <c r="LV67" s="2" t="s">
        <v>17</v>
      </c>
      <c r="LW67" s="2" t="s">
        <v>17</v>
      </c>
      <c r="LX67" s="2" t="s">
        <v>17</v>
      </c>
      <c r="LY67" s="5">
        <v>4480000</v>
      </c>
      <c r="LZ67" s="5">
        <v>0</v>
      </c>
      <c r="MA67" s="5">
        <v>5579766</v>
      </c>
      <c r="MB67" s="5">
        <v>0</v>
      </c>
      <c r="MC67" s="5">
        <v>0</v>
      </c>
      <c r="MD67" s="5">
        <v>0</v>
      </c>
      <c r="ME67" s="5">
        <v>5880000</v>
      </c>
      <c r="MF67" s="5">
        <v>0</v>
      </c>
      <c r="MG67" s="5">
        <v>0</v>
      </c>
      <c r="MH67" s="5">
        <v>0</v>
      </c>
      <c r="MI67" s="5">
        <v>0</v>
      </c>
      <c r="MJ67" s="5">
        <v>0</v>
      </c>
      <c r="MK67" s="5">
        <v>0</v>
      </c>
      <c r="ML67" s="2">
        <v>0</v>
      </c>
      <c r="MM67" s="5">
        <v>0</v>
      </c>
      <c r="MN67" s="5">
        <v>0</v>
      </c>
      <c r="MO67" s="2">
        <v>0</v>
      </c>
      <c r="MP67" s="2">
        <v>0</v>
      </c>
      <c r="MQ67" s="2">
        <v>0</v>
      </c>
      <c r="MR67" s="5">
        <v>2950000</v>
      </c>
      <c r="MS67" s="5">
        <v>0</v>
      </c>
      <c r="MT67" s="5">
        <v>4600000</v>
      </c>
      <c r="MU67" s="5">
        <v>0</v>
      </c>
      <c r="MV67" s="5">
        <v>0</v>
      </c>
      <c r="MW67" s="5">
        <v>0</v>
      </c>
      <c r="MX67" s="5">
        <v>0</v>
      </c>
      <c r="MY67" s="5">
        <v>1650000</v>
      </c>
      <c r="MZ67" s="5">
        <v>0</v>
      </c>
      <c r="NA67" s="5">
        <v>5000000</v>
      </c>
      <c r="NB67" s="5">
        <v>0</v>
      </c>
      <c r="NC67" s="5">
        <v>0</v>
      </c>
      <c r="ND67" s="5">
        <v>0</v>
      </c>
      <c r="NE67" s="5">
        <v>0</v>
      </c>
      <c r="NF67" s="5">
        <v>0</v>
      </c>
      <c r="NG67" s="5">
        <v>1596420</v>
      </c>
      <c r="NH67" s="5">
        <v>1595750</v>
      </c>
      <c r="NI67" s="5">
        <v>1595750</v>
      </c>
      <c r="NJ67" s="5">
        <v>0</v>
      </c>
      <c r="NK67" s="5"/>
      <c r="NL67" s="2" t="s">
        <v>17</v>
      </c>
      <c r="NM67" s="2" t="s">
        <v>17</v>
      </c>
      <c r="NN67" s="2"/>
      <c r="NO67" s="2" t="s">
        <v>17</v>
      </c>
      <c r="NP67" s="2"/>
      <c r="NQ67" s="2"/>
      <c r="NR67" s="2" t="s">
        <v>9</v>
      </c>
      <c r="NS67" s="2" t="s">
        <v>921</v>
      </c>
      <c r="NT67" s="2" t="s">
        <v>17</v>
      </c>
      <c r="NU67" s="2"/>
      <c r="NV67" s="2"/>
      <c r="NW67" s="2"/>
      <c r="NX67" s="2" t="s">
        <v>17</v>
      </c>
      <c r="NY67" s="2"/>
      <c r="NZ67" s="2"/>
      <c r="OA67" s="2" t="s">
        <v>118</v>
      </c>
      <c r="OB67" s="2" t="s">
        <v>118</v>
      </c>
      <c r="OC67" s="2" t="s">
        <v>118</v>
      </c>
      <c r="OD67" s="2" t="s">
        <v>17</v>
      </c>
      <c r="OE67" s="2" t="s">
        <v>119</v>
      </c>
      <c r="OF67" s="2" t="s">
        <v>17</v>
      </c>
      <c r="OG67" s="2" t="s">
        <v>9</v>
      </c>
      <c r="OH67" s="2" t="s">
        <v>92</v>
      </c>
      <c r="OI67" s="2"/>
      <c r="OJ67" s="2"/>
      <c r="OK67" s="2" t="s">
        <v>17</v>
      </c>
      <c r="OL67" s="2" t="s">
        <v>17</v>
      </c>
      <c r="OM67" s="2" t="s">
        <v>85</v>
      </c>
      <c r="ON67" s="6">
        <v>0</v>
      </c>
      <c r="OO67" s="6">
        <v>0</v>
      </c>
      <c r="OP67" s="2" t="s">
        <v>93</v>
      </c>
      <c r="OQ67" s="2" t="s">
        <v>93</v>
      </c>
      <c r="OR67" s="6">
        <v>0</v>
      </c>
      <c r="OS67" s="4">
        <v>0</v>
      </c>
      <c r="OT67" s="2" t="s">
        <v>17</v>
      </c>
      <c r="OU67" s="2" t="s">
        <v>17</v>
      </c>
      <c r="OV67" s="2"/>
      <c r="OW67" s="2"/>
      <c r="OX67" s="5">
        <v>11495145</v>
      </c>
      <c r="OY67" s="6">
        <v>205270.44</v>
      </c>
      <c r="OZ67" s="2"/>
      <c r="PA67" s="2"/>
      <c r="PB67" s="8">
        <v>10200000</v>
      </c>
      <c r="PC67" s="2"/>
      <c r="PD67" s="8">
        <v>10200000</v>
      </c>
      <c r="PE67" s="8">
        <v>140000</v>
      </c>
      <c r="PF67" s="2"/>
      <c r="PG67" s="8">
        <v>140000</v>
      </c>
      <c r="PH67" s="2"/>
      <c r="PI67" s="8">
        <v>80000</v>
      </c>
      <c r="PJ67" s="8">
        <v>80000</v>
      </c>
      <c r="PK67" s="8">
        <v>10340000</v>
      </c>
      <c r="PL67" s="8">
        <v>80000</v>
      </c>
      <c r="PM67" s="8">
        <v>10420000</v>
      </c>
      <c r="PN67" s="8">
        <v>1458000</v>
      </c>
      <c r="PO67" s="2"/>
      <c r="PP67" s="8">
        <v>1458000</v>
      </c>
      <c r="PQ67" s="6">
        <v>1458800</v>
      </c>
      <c r="PR67" s="8">
        <v>11798000</v>
      </c>
      <c r="PS67" s="8">
        <v>80000</v>
      </c>
      <c r="PT67" s="8">
        <v>11878000</v>
      </c>
      <c r="PU67" s="8">
        <v>593900</v>
      </c>
      <c r="PV67" s="2"/>
      <c r="PW67" s="8">
        <v>593900</v>
      </c>
      <c r="PX67" s="6">
        <v>593900</v>
      </c>
      <c r="PY67" s="8">
        <v>883500</v>
      </c>
      <c r="PZ67" s="8">
        <v>175000</v>
      </c>
      <c r="QA67" s="8">
        <v>1058500</v>
      </c>
      <c r="QB67" s="8">
        <v>64000</v>
      </c>
      <c r="QC67" s="8">
        <v>30000</v>
      </c>
      <c r="QD67" s="8">
        <v>94000</v>
      </c>
      <c r="QE67" s="8">
        <v>120000</v>
      </c>
      <c r="QF67" s="2"/>
      <c r="QG67" s="8">
        <v>120000</v>
      </c>
      <c r="QH67" s="2"/>
      <c r="QI67" s="8">
        <v>311263</v>
      </c>
      <c r="QJ67" s="8">
        <v>311263</v>
      </c>
      <c r="QK67" s="2"/>
      <c r="QL67" s="2"/>
      <c r="QM67" s="2"/>
      <c r="QN67" s="8">
        <v>225000</v>
      </c>
      <c r="QO67" s="2"/>
      <c r="QP67" s="8">
        <v>225000</v>
      </c>
      <c r="QQ67" s="8">
        <v>1292500</v>
      </c>
      <c r="QR67" s="8">
        <v>516263</v>
      </c>
      <c r="QS67" s="8">
        <v>1808763</v>
      </c>
      <c r="QT67" s="8">
        <v>90438</v>
      </c>
      <c r="QU67" s="2"/>
      <c r="QV67" s="8">
        <v>90438</v>
      </c>
      <c r="QW67" s="6">
        <v>90438.15</v>
      </c>
      <c r="QX67" s="8">
        <v>664063</v>
      </c>
      <c r="QY67" s="2"/>
      <c r="QZ67" s="8">
        <v>664063</v>
      </c>
      <c r="RA67" s="8">
        <v>150000</v>
      </c>
      <c r="RB67" s="8">
        <v>150000</v>
      </c>
      <c r="RC67" s="2"/>
      <c r="RD67" s="8">
        <v>65000</v>
      </c>
      <c r="RE67" s="8">
        <v>65000</v>
      </c>
      <c r="RF67" s="8">
        <v>664063</v>
      </c>
      <c r="RG67" s="8">
        <v>215000</v>
      </c>
      <c r="RH67" s="8">
        <v>879063</v>
      </c>
      <c r="RI67" s="2"/>
      <c r="RJ67" s="2"/>
      <c r="RK67" s="2"/>
      <c r="RL67" s="2"/>
      <c r="RM67" s="8">
        <v>14438901</v>
      </c>
      <c r="RN67" s="8">
        <v>811263</v>
      </c>
      <c r="RO67" s="8">
        <v>15250164</v>
      </c>
      <c r="RP67" s="2"/>
      <c r="RQ67" s="2"/>
      <c r="RR67" s="2">
        <v>0</v>
      </c>
      <c r="RS67" s="6">
        <v>0</v>
      </c>
      <c r="RT67" s="8">
        <v>244026</v>
      </c>
      <c r="RU67" s="2"/>
      <c r="RV67" s="8">
        <v>244026</v>
      </c>
      <c r="RW67" s="6">
        <v>2440026</v>
      </c>
      <c r="RX67" s="6">
        <v>0</v>
      </c>
      <c r="RY67" s="8">
        <v>244026</v>
      </c>
      <c r="RZ67" s="2"/>
      <c r="SA67" s="8">
        <v>244026</v>
      </c>
      <c r="SB67" s="6">
        <v>2440026</v>
      </c>
      <c r="SC67" s="2"/>
      <c r="SD67" s="2"/>
      <c r="SE67" s="6">
        <v>196000</v>
      </c>
      <c r="SF67" s="8">
        <v>448000</v>
      </c>
      <c r="SG67" s="8">
        <v>448000</v>
      </c>
      <c r="SH67" s="8">
        <v>14682927</v>
      </c>
      <c r="SI67" s="8">
        <v>1259263</v>
      </c>
      <c r="SJ67" s="8">
        <v>15942190</v>
      </c>
      <c r="SK67" s="2" t="s">
        <v>928</v>
      </c>
      <c r="SL67" s="2" t="s">
        <v>929</v>
      </c>
      <c r="SM67" s="2" t="s">
        <v>930</v>
      </c>
      <c r="SN67" s="2" t="s">
        <v>931</v>
      </c>
      <c r="SO67" s="2"/>
      <c r="SP67" s="8">
        <v>10625000</v>
      </c>
      <c r="SQ67" s="2" t="s">
        <v>95</v>
      </c>
      <c r="SR67" s="2"/>
      <c r="SS67" s="2"/>
      <c r="ST67" s="2"/>
      <c r="SU67" s="2"/>
      <c r="SV67" s="2"/>
      <c r="SW67" s="2"/>
      <c r="SX67" s="2" t="s">
        <v>96</v>
      </c>
      <c r="SY67" s="2" t="s">
        <v>96</v>
      </c>
      <c r="SZ67" s="2" t="s">
        <v>96</v>
      </c>
      <c r="TA67" s="2" t="s">
        <v>96</v>
      </c>
      <c r="TB67" s="8">
        <v>5081956</v>
      </c>
      <c r="TC67" s="2"/>
      <c r="TD67" s="2"/>
      <c r="TE67" s="2"/>
      <c r="TF67" s="2"/>
      <c r="TG67" s="2"/>
      <c r="TH67" s="2"/>
      <c r="TI67" s="8">
        <v>235234</v>
      </c>
      <c r="TJ67" s="8">
        <v>15942190</v>
      </c>
      <c r="TK67" s="2">
        <v>0</v>
      </c>
      <c r="TL67" s="2" t="s">
        <v>9</v>
      </c>
      <c r="TM67" s="8">
        <v>2500000</v>
      </c>
      <c r="TN67" s="2" t="s">
        <v>95</v>
      </c>
      <c r="TO67" s="2"/>
      <c r="TP67" s="2"/>
      <c r="TQ67" s="2"/>
      <c r="TR67" s="2"/>
      <c r="TS67" s="2"/>
      <c r="TT67" s="2"/>
      <c r="TU67" s="2" t="s">
        <v>96</v>
      </c>
      <c r="TV67" s="8">
        <v>14519873</v>
      </c>
      <c r="TW67" s="2"/>
      <c r="TX67" s="2"/>
      <c r="TY67" s="2"/>
      <c r="TZ67" s="2"/>
      <c r="UA67" s="2"/>
      <c r="UB67" s="2"/>
      <c r="UC67" s="2">
        <v>0</v>
      </c>
      <c r="UD67" s="8">
        <v>17019873</v>
      </c>
      <c r="UE67" s="6">
        <v>2500000</v>
      </c>
      <c r="UF67" s="8">
        <v>1077683</v>
      </c>
      <c r="UG67" s="2" t="s">
        <v>9</v>
      </c>
      <c r="UH67" s="2">
        <v>56</v>
      </c>
      <c r="UI67" s="5">
        <v>240000</v>
      </c>
      <c r="UJ67" s="6">
        <v>320000</v>
      </c>
      <c r="UK67" s="6">
        <v>320000</v>
      </c>
      <c r="UL67" s="6">
        <v>339200</v>
      </c>
      <c r="UM67" s="6">
        <v>18995200</v>
      </c>
      <c r="UN67" s="6">
        <v>3039232</v>
      </c>
      <c r="UO67" s="6">
        <v>3039232</v>
      </c>
      <c r="UP67" s="6">
        <v>22034432</v>
      </c>
      <c r="UQ67" s="6">
        <v>15494190</v>
      </c>
      <c r="UR67" s="2"/>
      <c r="US67" s="2"/>
      <c r="UT67" s="6">
        <v>0</v>
      </c>
      <c r="UU67" s="2"/>
      <c r="UV67" s="6">
        <v>0</v>
      </c>
      <c r="UW67" s="6">
        <v>0</v>
      </c>
      <c r="UX67" s="6">
        <v>0</v>
      </c>
      <c r="UY67" s="6">
        <v>0</v>
      </c>
      <c r="UZ67" s="2"/>
      <c r="VA67" s="2"/>
      <c r="VB67" s="2"/>
      <c r="VC67" s="2"/>
      <c r="VD67" s="2" t="s">
        <v>17</v>
      </c>
      <c r="VE67" s="2" t="s">
        <v>17</v>
      </c>
      <c r="VF67" s="2"/>
      <c r="VG67" s="2" t="s">
        <v>17</v>
      </c>
      <c r="VH67" s="2"/>
      <c r="VI67" s="388" t="s">
        <v>895</v>
      </c>
      <c r="VJ67" s="2" t="s">
        <v>98</v>
      </c>
      <c r="VK67" s="2" t="s">
        <v>932</v>
      </c>
      <c r="VL67" s="23">
        <f t="shared" si="32"/>
        <v>76</v>
      </c>
      <c r="VM67" s="17">
        <f t="shared" si="33"/>
        <v>1.3571428571428572</v>
      </c>
      <c r="VN67" s="17" t="str">
        <f t="shared" ref="VN67:VN72" si="43">IF(GG67+GH67=MAX(GG67:GO67),"NC-GA-",IF(GI67+GJ67=MAX(GG67:GO67),"NC-MR-",IF(GK67=MAX(GG67:GO67),"NC-HR-",IF(GL67+GM67=MAX(GG67:GO67),"NC-OT-",IF(GN67+GO67=MAX(GG67:GO67),"AR-GA-","Nothing")))))&amp;IF(BW67="Family","F","E")</f>
        <v>NC-GA-F</v>
      </c>
      <c r="VO67" s="17" t="str">
        <f t="shared" ref="VO67:VO72" si="44">VN67&amp;"-"&amp;RIGHT(VX67,3)</f>
        <v>NC-GA-F-ESS</v>
      </c>
      <c r="VP67" s="12">
        <v>9</v>
      </c>
      <c r="VQ67" s="57">
        <v>1</v>
      </c>
      <c r="VR67" s="57">
        <f t="shared" si="34"/>
        <v>1</v>
      </c>
      <c r="VS67" s="14">
        <f t="shared" si="35"/>
        <v>1</v>
      </c>
      <c r="VT67" s="12">
        <f t="shared" si="36"/>
        <v>0.93</v>
      </c>
      <c r="VU67" s="16">
        <f t="shared" si="37"/>
        <v>13356427.5</v>
      </c>
      <c r="VV67" s="19">
        <f t="shared" si="38"/>
        <v>238507.63392857142</v>
      </c>
      <c r="VW67" s="12" t="str">
        <f>IF(RANK(VV67,VV$67:VV$72,1)&lt;=ROUNDUP(80%*6,0),"A","B")</f>
        <v>A</v>
      </c>
      <c r="VX67" s="54" t="str">
        <f t="shared" ref="VX67:VX72" si="45">IF(GG67=MAX(GG67:GO67),"NC-GA-ESS",IF(GH67=MAX(GG67:GO67),"NC-GA-Non",IF(GI67=MAX(GG67:GO67),"NC-MR-ESS",IF(GJ67=MAX(GG67:GO67),"NC-MR-Non",IF(GK67=MAX(GG67:GO67),"NC-HR-ESS",IF(GL67=MAX(GG67:GO67),"NC-OT-ESS",IF(GM67=MAX(GG67:GO67),"NC-OT-Non",IF(GN67=MAX(GG67:GO67),"AR-GA-ESS",IF(GO67=MAX(GG67:GO67),"AR-GA-Non","Nothing")))))))))</f>
        <v>NC-GA-ESS</v>
      </c>
      <c r="VY67" s="351">
        <f t="shared" ref="VY67:VY72" si="46">IF(RANK(VV67,VV$67:VV$72,1)&lt;=ROUNDUP(10%*6,0),1,IF(RANK(VV67,VV$67:VV$72,1)&lt;=ROUNDUP(30%*6,0),2,IF(RANK(VV67,VV$67:VV$72,1)&lt;=ROUNDUP(50%*6,0),3,IF(RANK(VV67,VV$67:VV$72,1)&lt;=ROUNDUP(70%*6,0),4,5))))</f>
        <v>1</v>
      </c>
      <c r="WA67" s="12">
        <f t="shared" ref="WA67:WA72" si="47">IF(BW67="Elderly Non-ALF",1,0)</f>
        <v>0</v>
      </c>
      <c r="WB67" s="12">
        <f t="shared" ref="WB67:WD72" si="48">IF(OR(VQ67=1,N(VQ67)=0),0,1)</f>
        <v>0</v>
      </c>
      <c r="WC67" s="12">
        <f t="shared" si="48"/>
        <v>0</v>
      </c>
      <c r="WD67" s="12">
        <f t="shared" si="48"/>
        <v>0</v>
      </c>
      <c r="WE67" s="12">
        <f t="shared" ref="WE67:WE72" si="49">IF(GG67+GI67+GK67+GL67&gt;0,1,0)</f>
        <v>1</v>
      </c>
      <c r="WF67" s="12">
        <f t="shared" si="39"/>
        <v>1</v>
      </c>
      <c r="WG67" s="12">
        <f t="shared" si="40"/>
        <v>0</v>
      </c>
      <c r="WH67" s="12">
        <f t="shared" si="41"/>
        <v>0</v>
      </c>
      <c r="WI67" s="22">
        <f t="shared" si="42"/>
        <v>2</v>
      </c>
      <c r="WJ67" s="2"/>
      <c r="WK67" s="443" t="str">
        <f t="shared" si="20"/>
        <v>NC-GA-ESS-BBN-BRN-NPH-F</v>
      </c>
      <c r="WL67" s="443"/>
      <c r="WM67" s="443"/>
    </row>
    <row r="68" spans="1:613" x14ac:dyDescent="0.25">
      <c r="A68" s="18">
        <v>9471</v>
      </c>
      <c r="B68" s="2" t="s">
        <v>933</v>
      </c>
      <c r="C68" s="2" t="s">
        <v>8</v>
      </c>
      <c r="D68" s="3">
        <v>45153</v>
      </c>
      <c r="E68" s="2" t="s">
        <v>9</v>
      </c>
      <c r="F68" s="2">
        <v>3</v>
      </c>
      <c r="G68" s="2" t="s">
        <v>9</v>
      </c>
      <c r="H68" s="2">
        <v>3</v>
      </c>
      <c r="I68" s="2" t="s">
        <v>9</v>
      </c>
      <c r="J68" s="2">
        <v>1</v>
      </c>
      <c r="K68" s="2" t="s">
        <v>9</v>
      </c>
      <c r="L68" s="2">
        <v>3</v>
      </c>
      <c r="M68" s="2" t="s">
        <v>10</v>
      </c>
      <c r="N68" s="2">
        <v>0</v>
      </c>
      <c r="O68" s="2" t="s">
        <v>10</v>
      </c>
      <c r="P68" s="2">
        <v>0</v>
      </c>
      <c r="Q68" s="2" t="s">
        <v>11</v>
      </c>
      <c r="R68" s="2">
        <v>0</v>
      </c>
      <c r="S68" s="2" t="s">
        <v>9</v>
      </c>
      <c r="T68" s="2">
        <v>2</v>
      </c>
      <c r="U68" s="2" t="s">
        <v>9</v>
      </c>
      <c r="V68" s="2">
        <v>2</v>
      </c>
      <c r="W68" s="2" t="s">
        <v>9</v>
      </c>
      <c r="X68" s="2">
        <v>2</v>
      </c>
      <c r="Y68" s="2" t="s">
        <v>12</v>
      </c>
      <c r="Z68" s="2" t="s">
        <v>15</v>
      </c>
      <c r="AA68" s="2" t="s">
        <v>15</v>
      </c>
      <c r="AB68" s="2" t="s">
        <v>15</v>
      </c>
      <c r="AC68" s="2" t="s">
        <v>15</v>
      </c>
      <c r="AD68" s="2" t="s">
        <v>15</v>
      </c>
      <c r="AE68" s="2" t="s">
        <v>15</v>
      </c>
      <c r="AF68" s="2">
        <v>0</v>
      </c>
      <c r="AG68" s="2" t="s">
        <v>234</v>
      </c>
      <c r="AH68" s="2" t="s">
        <v>17</v>
      </c>
      <c r="AI68" s="4">
        <v>0.16070999999999999</v>
      </c>
      <c r="AJ68" s="2" t="s">
        <v>17</v>
      </c>
      <c r="AK68" s="2" t="s">
        <v>9</v>
      </c>
      <c r="AL68" s="2" t="s">
        <v>17</v>
      </c>
      <c r="AM68" s="2" t="s">
        <v>17</v>
      </c>
      <c r="AN68" s="2" t="s">
        <v>9</v>
      </c>
      <c r="AO68" s="2" t="s">
        <v>17</v>
      </c>
      <c r="AP68" s="2" t="s">
        <v>17</v>
      </c>
      <c r="AQ68" s="2" t="s">
        <v>17</v>
      </c>
      <c r="AR68" s="2" t="s">
        <v>17</v>
      </c>
      <c r="AS68" s="2" t="s">
        <v>17</v>
      </c>
      <c r="AT68" s="2">
        <v>0</v>
      </c>
      <c r="AU68" s="5">
        <v>10000</v>
      </c>
      <c r="AV68" s="2" t="s">
        <v>85</v>
      </c>
      <c r="AW68" s="2">
        <v>0</v>
      </c>
      <c r="AX68" s="2">
        <v>8</v>
      </c>
      <c r="AY68" s="2">
        <v>0</v>
      </c>
      <c r="AZ68" s="2">
        <v>18</v>
      </c>
      <c r="BA68" s="2">
        <v>0</v>
      </c>
      <c r="BB68" s="2">
        <v>1</v>
      </c>
      <c r="BC68" s="2">
        <v>0</v>
      </c>
      <c r="BD68" s="2">
        <v>0</v>
      </c>
      <c r="BE68" s="2">
        <v>0</v>
      </c>
      <c r="BF68" s="2">
        <v>1</v>
      </c>
      <c r="BG68" s="2">
        <v>0</v>
      </c>
      <c r="BH68" s="2">
        <v>0</v>
      </c>
      <c r="BI68" s="2">
        <v>13</v>
      </c>
      <c r="BJ68" s="2">
        <v>1</v>
      </c>
      <c r="BK68" s="2">
        <v>0</v>
      </c>
      <c r="BL68" s="2">
        <v>3</v>
      </c>
      <c r="BM68" s="2">
        <v>0</v>
      </c>
      <c r="BN68" s="2">
        <v>10</v>
      </c>
      <c r="BO68" s="2">
        <v>11</v>
      </c>
      <c r="BP68" s="2">
        <v>0</v>
      </c>
      <c r="BQ68" s="2">
        <v>6</v>
      </c>
      <c r="BR68" s="2">
        <v>11.48</v>
      </c>
      <c r="BS68" s="2">
        <v>0</v>
      </c>
      <c r="BT68" s="4">
        <v>0.06</v>
      </c>
      <c r="BU68" s="2" t="s">
        <v>9</v>
      </c>
      <c r="BV68" s="6">
        <v>205302.6</v>
      </c>
      <c r="BW68" s="2" t="s">
        <v>18</v>
      </c>
      <c r="BX68" s="2" t="s">
        <v>17</v>
      </c>
      <c r="BY68" s="2" t="s">
        <v>17</v>
      </c>
      <c r="BZ68" s="2" t="s">
        <v>17</v>
      </c>
      <c r="CA68" s="2" t="s">
        <v>17</v>
      </c>
      <c r="CB68" s="2" t="s">
        <v>17</v>
      </c>
      <c r="CC68" s="2" t="s">
        <v>17</v>
      </c>
      <c r="CD68" s="2" t="s">
        <v>17</v>
      </c>
      <c r="CE68" s="2" t="s">
        <v>934</v>
      </c>
      <c r="CF68" s="2" t="s">
        <v>9</v>
      </c>
      <c r="CG68" s="2" t="s">
        <v>893</v>
      </c>
      <c r="CH68" s="2" t="s">
        <v>894</v>
      </c>
      <c r="CI68" s="2"/>
      <c r="CJ68" s="2" t="s">
        <v>9</v>
      </c>
      <c r="CK68" s="2" t="s">
        <v>895</v>
      </c>
      <c r="CL68" s="2" t="s">
        <v>893</v>
      </c>
      <c r="CM68" s="2" t="s">
        <v>896</v>
      </c>
      <c r="CN68" s="2" t="s">
        <v>897</v>
      </c>
      <c r="CO68" s="2" t="s">
        <v>24</v>
      </c>
      <c r="CP68" s="2"/>
      <c r="CQ68" s="2">
        <v>112</v>
      </c>
      <c r="CR68" s="2" t="s">
        <v>240</v>
      </c>
      <c r="CS68" s="2">
        <v>2022</v>
      </c>
      <c r="CT68" s="2" t="s">
        <v>26</v>
      </c>
      <c r="CU68" s="2" t="s">
        <v>27</v>
      </c>
      <c r="CV68" s="2" t="s">
        <v>898</v>
      </c>
      <c r="CW68" s="2" t="s">
        <v>899</v>
      </c>
      <c r="CX68" s="2" t="s">
        <v>24</v>
      </c>
      <c r="CY68" s="2" t="s">
        <v>900</v>
      </c>
      <c r="CZ68" s="2">
        <v>80</v>
      </c>
      <c r="DA68" s="2" t="s">
        <v>240</v>
      </c>
      <c r="DB68" s="2">
        <v>2011</v>
      </c>
      <c r="DC68" s="2" t="s">
        <v>243</v>
      </c>
      <c r="DD68" s="2" t="s">
        <v>27</v>
      </c>
      <c r="DE68" s="2" t="s">
        <v>901</v>
      </c>
      <c r="DF68" s="2" t="s">
        <v>902</v>
      </c>
      <c r="DG68" s="2" t="s">
        <v>24</v>
      </c>
      <c r="DH68" s="2" t="s">
        <v>900</v>
      </c>
      <c r="DI68" s="2">
        <v>80</v>
      </c>
      <c r="DJ68" s="2" t="s">
        <v>240</v>
      </c>
      <c r="DK68" s="2">
        <v>2011</v>
      </c>
      <c r="DL68" s="2" t="s">
        <v>243</v>
      </c>
      <c r="DM68" s="2" t="s">
        <v>27</v>
      </c>
      <c r="DN68" s="2" t="s">
        <v>33</v>
      </c>
      <c r="DO68" s="2" t="s">
        <v>671</v>
      </c>
      <c r="DP68" s="2"/>
      <c r="DQ68" s="2" t="s">
        <v>903</v>
      </c>
      <c r="DR68" s="2" t="s">
        <v>904</v>
      </c>
      <c r="DS68" s="2">
        <v>1</v>
      </c>
      <c r="DT68" s="2" t="s">
        <v>905</v>
      </c>
      <c r="DU68" s="2" t="s">
        <v>906</v>
      </c>
      <c r="DV68" s="2" t="s">
        <v>39</v>
      </c>
      <c r="DW68" s="2">
        <v>33034</v>
      </c>
      <c r="DX68" s="2" t="s">
        <v>907</v>
      </c>
      <c r="DY68" s="2"/>
      <c r="DZ68" s="2" t="s">
        <v>908</v>
      </c>
      <c r="EA68" s="2" t="s">
        <v>909</v>
      </c>
      <c r="EB68" s="2" t="s">
        <v>910</v>
      </c>
      <c r="EC68" s="2" t="s">
        <v>899</v>
      </c>
      <c r="ED68" s="2" t="s">
        <v>44</v>
      </c>
      <c r="EE68" s="2">
        <v>144</v>
      </c>
      <c r="EF68" s="2" t="s">
        <v>254</v>
      </c>
      <c r="EG68" s="2">
        <v>10</v>
      </c>
      <c r="EH68" s="2" t="s">
        <v>46</v>
      </c>
      <c r="EI68" s="2" t="s">
        <v>47</v>
      </c>
      <c r="EJ68" s="2" t="s">
        <v>911</v>
      </c>
      <c r="EK68" s="2" t="s">
        <v>912</v>
      </c>
      <c r="EL68" s="2" t="s">
        <v>44</v>
      </c>
      <c r="EM68" s="2">
        <v>128</v>
      </c>
      <c r="EN68" s="2" t="s">
        <v>254</v>
      </c>
      <c r="EO68" s="2">
        <v>8</v>
      </c>
      <c r="EP68" s="2" t="s">
        <v>46</v>
      </c>
      <c r="EQ68" s="2" t="s">
        <v>47</v>
      </c>
      <c r="ER68" s="2" t="s">
        <v>671</v>
      </c>
      <c r="ES68" s="2"/>
      <c r="ET68" s="2" t="s">
        <v>903</v>
      </c>
      <c r="EU68" s="2" t="s">
        <v>893</v>
      </c>
      <c r="EV68" s="2" t="s">
        <v>905</v>
      </c>
      <c r="EW68" s="2" t="s">
        <v>906</v>
      </c>
      <c r="EX68" s="2" t="s">
        <v>39</v>
      </c>
      <c r="EY68" s="2">
        <v>33034</v>
      </c>
      <c r="EZ68" s="2" t="s">
        <v>907</v>
      </c>
      <c r="FA68" s="2"/>
      <c r="FB68" s="2" t="s">
        <v>908</v>
      </c>
      <c r="FC68" s="2" t="s">
        <v>913</v>
      </c>
      <c r="FD68" s="2"/>
      <c r="FE68" s="2" t="s">
        <v>914</v>
      </c>
      <c r="FF68" s="2" t="s">
        <v>915</v>
      </c>
      <c r="FG68" s="2" t="s">
        <v>916</v>
      </c>
      <c r="FH68" s="2" t="s">
        <v>917</v>
      </c>
      <c r="FI68" s="2" t="s">
        <v>39</v>
      </c>
      <c r="FJ68" s="2">
        <v>33139</v>
      </c>
      <c r="FK68" s="2" t="s">
        <v>918</v>
      </c>
      <c r="FL68" s="2"/>
      <c r="FM68" s="2" t="s">
        <v>919</v>
      </c>
      <c r="FN68" s="2" t="s">
        <v>935</v>
      </c>
      <c r="FO68" s="2" t="s">
        <v>63</v>
      </c>
      <c r="FP68" s="2" t="s">
        <v>64</v>
      </c>
      <c r="FQ68" s="2" t="s">
        <v>9</v>
      </c>
      <c r="FR68" s="2" t="s">
        <v>17</v>
      </c>
      <c r="FS68" s="2" t="s">
        <v>17</v>
      </c>
      <c r="FT68" s="2" t="s">
        <v>9</v>
      </c>
      <c r="FU68" s="2">
        <v>0</v>
      </c>
      <c r="FV68" s="2">
        <v>0</v>
      </c>
      <c r="FW68" s="4">
        <v>0</v>
      </c>
      <c r="FX68" s="4">
        <v>0</v>
      </c>
      <c r="FY68" s="2" t="s">
        <v>65</v>
      </c>
      <c r="FZ68" s="2" t="s">
        <v>66</v>
      </c>
      <c r="GA68" s="2" t="s">
        <v>67</v>
      </c>
      <c r="GB68" s="2"/>
      <c r="GC68" s="2"/>
      <c r="GD68" s="2"/>
      <c r="GE68" s="2" t="s">
        <v>68</v>
      </c>
      <c r="GF68" s="2">
        <v>56</v>
      </c>
      <c r="GG68" s="2">
        <v>56</v>
      </c>
      <c r="GH68" s="2"/>
      <c r="GI68" s="2"/>
      <c r="GJ68" s="2"/>
      <c r="GK68" s="2"/>
      <c r="GL68" s="2"/>
      <c r="GM68" s="2"/>
      <c r="GN68" s="2"/>
      <c r="GO68" s="2"/>
      <c r="GP68" s="2"/>
      <c r="GQ68" s="2">
        <v>56</v>
      </c>
      <c r="GR68" s="2" t="s">
        <v>936</v>
      </c>
      <c r="GS68" s="18" t="s">
        <v>268</v>
      </c>
      <c r="GT68" s="2" t="s">
        <v>937</v>
      </c>
      <c r="GU68" s="2" t="s">
        <v>938</v>
      </c>
      <c r="GV68" s="2" t="s">
        <v>17</v>
      </c>
      <c r="GW68" s="2">
        <v>29.639576000000002</v>
      </c>
      <c r="GX68" s="2">
        <v>-81.698199000000002</v>
      </c>
      <c r="GY68" s="2" t="s">
        <v>924</v>
      </c>
      <c r="GZ68" s="2" t="s">
        <v>17</v>
      </c>
      <c r="HA68" s="2" t="s">
        <v>17</v>
      </c>
      <c r="HB68" s="2">
        <v>0</v>
      </c>
      <c r="HC68" s="2" t="s">
        <v>17</v>
      </c>
      <c r="HD68" s="2"/>
      <c r="HE68" s="2">
        <v>0</v>
      </c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 t="s">
        <v>73</v>
      </c>
      <c r="HY68" s="2" t="s">
        <v>17</v>
      </c>
      <c r="HZ68" s="2"/>
      <c r="IA68" s="2" t="s">
        <v>74</v>
      </c>
      <c r="IB68" s="2" t="s">
        <v>939</v>
      </c>
      <c r="IC68" s="2">
        <v>1.03</v>
      </c>
      <c r="ID68" s="2">
        <v>2.5</v>
      </c>
      <c r="IE68" s="2" t="s">
        <v>940</v>
      </c>
      <c r="IF68" s="2">
        <v>0.39</v>
      </c>
      <c r="IG68" s="2">
        <v>3.5</v>
      </c>
      <c r="IH68" s="2" t="s">
        <v>941</v>
      </c>
      <c r="II68" s="2">
        <v>0.33</v>
      </c>
      <c r="IJ68" s="2">
        <v>3.5</v>
      </c>
      <c r="IK68" s="2"/>
      <c r="IL68" s="2"/>
      <c r="IM68" s="2"/>
      <c r="IN68" s="2"/>
      <c r="IO68" s="2" t="s">
        <v>17</v>
      </c>
      <c r="IP68" s="2">
        <v>0</v>
      </c>
      <c r="IQ68" s="2">
        <v>9.5</v>
      </c>
      <c r="IR68" s="2">
        <v>0</v>
      </c>
      <c r="IS68" s="2">
        <v>9.5</v>
      </c>
      <c r="IT68" s="2" t="s">
        <v>17</v>
      </c>
      <c r="IU68" s="2" t="s">
        <v>17</v>
      </c>
      <c r="IV68" s="2" t="s">
        <v>17</v>
      </c>
      <c r="IW68" s="2" t="s">
        <v>9</v>
      </c>
      <c r="IX68" s="2" t="s">
        <v>9</v>
      </c>
      <c r="IY68" s="2">
        <v>9.5</v>
      </c>
      <c r="IZ68" s="2">
        <v>56</v>
      </c>
      <c r="JA68" s="2" t="s">
        <v>81</v>
      </c>
      <c r="JB68" s="2" t="s">
        <v>82</v>
      </c>
      <c r="JC68" s="2"/>
      <c r="JD68" s="2"/>
      <c r="JE68" s="2"/>
      <c r="JF68" s="2"/>
      <c r="JG68" s="2"/>
      <c r="JH68" s="7">
        <v>0</v>
      </c>
      <c r="JI68" s="2">
        <v>0</v>
      </c>
      <c r="JJ68" s="7">
        <v>0</v>
      </c>
      <c r="JK68" s="2">
        <v>0</v>
      </c>
      <c r="JL68" s="7">
        <v>0</v>
      </c>
      <c r="JM68" s="2">
        <v>9</v>
      </c>
      <c r="JN68" s="2"/>
      <c r="JO68" s="2">
        <v>9</v>
      </c>
      <c r="JP68" s="2">
        <v>16</v>
      </c>
      <c r="JQ68" s="2">
        <v>13</v>
      </c>
      <c r="JR68" s="2">
        <v>9</v>
      </c>
      <c r="JS68" s="2">
        <v>0</v>
      </c>
      <c r="JT68" s="2">
        <v>0</v>
      </c>
      <c r="JU68" s="2"/>
      <c r="JV68" s="2">
        <v>56</v>
      </c>
      <c r="JW68" s="4">
        <v>1</v>
      </c>
      <c r="JX68" s="2">
        <v>56</v>
      </c>
      <c r="JY68" s="4">
        <v>0.59106999999999998</v>
      </c>
      <c r="JZ68" s="2">
        <v>0</v>
      </c>
      <c r="KA68" s="2"/>
      <c r="KB68" s="2"/>
      <c r="KC68" s="2"/>
      <c r="KD68" s="2"/>
      <c r="KE68" s="2"/>
      <c r="KF68" s="2"/>
      <c r="KG68" s="2"/>
      <c r="KH68" s="2">
        <v>36</v>
      </c>
      <c r="KI68" s="2">
        <v>20</v>
      </c>
      <c r="KJ68" s="2"/>
      <c r="KK68" s="2"/>
      <c r="KL68" s="2"/>
      <c r="KM68" s="2"/>
      <c r="KN68" s="2"/>
      <c r="KO68" s="2"/>
      <c r="KP68" s="2"/>
      <c r="KQ68" s="2" t="s">
        <v>83</v>
      </c>
      <c r="KR68" s="2" t="s">
        <v>73</v>
      </c>
      <c r="KS68" s="2"/>
      <c r="KT68" s="2">
        <v>3</v>
      </c>
      <c r="KU68" s="2" t="s">
        <v>84</v>
      </c>
      <c r="KV68" s="2" t="s">
        <v>85</v>
      </c>
      <c r="KW68" s="2" t="s">
        <v>530</v>
      </c>
      <c r="KX68" s="2" t="s">
        <v>17</v>
      </c>
      <c r="KY68" s="2" t="s">
        <v>17</v>
      </c>
      <c r="KZ68" s="2" t="s">
        <v>17</v>
      </c>
      <c r="LA68" s="2" t="s">
        <v>17</v>
      </c>
      <c r="LB68" s="2" t="s">
        <v>17</v>
      </c>
      <c r="LC68" s="2" t="s">
        <v>17</v>
      </c>
      <c r="LD68" s="2" t="s">
        <v>17</v>
      </c>
      <c r="LE68" s="2" t="s">
        <v>17</v>
      </c>
      <c r="LF68" s="2" t="s">
        <v>17</v>
      </c>
      <c r="LG68" s="2" t="s">
        <v>17</v>
      </c>
      <c r="LH68" s="2" t="s">
        <v>17</v>
      </c>
      <c r="LI68" s="2" t="s">
        <v>17</v>
      </c>
      <c r="LJ68" s="2" t="s">
        <v>87</v>
      </c>
      <c r="LK68" s="2" t="s">
        <v>17</v>
      </c>
      <c r="LL68" s="2" t="s">
        <v>17</v>
      </c>
      <c r="LM68" s="2">
        <v>0</v>
      </c>
      <c r="LN68" s="2" t="s">
        <v>17</v>
      </c>
      <c r="LO68" s="2" t="s">
        <v>17</v>
      </c>
      <c r="LP68" s="2" t="s">
        <v>9</v>
      </c>
      <c r="LQ68" s="2" t="s">
        <v>17</v>
      </c>
      <c r="LR68" s="2" t="s">
        <v>9</v>
      </c>
      <c r="LS68" s="2" t="s">
        <v>9</v>
      </c>
      <c r="LT68" s="2" t="s">
        <v>17</v>
      </c>
      <c r="LU68" s="2" t="s">
        <v>17</v>
      </c>
      <c r="LV68" s="2" t="s">
        <v>17</v>
      </c>
      <c r="LW68" s="2" t="s">
        <v>17</v>
      </c>
      <c r="LX68" s="2" t="s">
        <v>17</v>
      </c>
      <c r="LY68" s="5">
        <v>4480000</v>
      </c>
      <c r="LZ68" s="5">
        <v>0</v>
      </c>
      <c r="MA68" s="5">
        <v>5600000</v>
      </c>
      <c r="MB68" s="5">
        <v>0</v>
      </c>
      <c r="MC68" s="5">
        <v>0</v>
      </c>
      <c r="MD68" s="5">
        <v>0</v>
      </c>
      <c r="ME68" s="5">
        <v>5880000</v>
      </c>
      <c r="MF68" s="5">
        <v>0</v>
      </c>
      <c r="MG68" s="5">
        <v>0</v>
      </c>
      <c r="MH68" s="5">
        <v>0</v>
      </c>
      <c r="MI68" s="5">
        <v>0</v>
      </c>
      <c r="MJ68" s="5">
        <v>0</v>
      </c>
      <c r="MK68" s="5">
        <v>0</v>
      </c>
      <c r="ML68" s="2">
        <v>0</v>
      </c>
      <c r="MM68" s="5">
        <v>0</v>
      </c>
      <c r="MN68" s="5">
        <v>0</v>
      </c>
      <c r="MO68" s="2">
        <v>0</v>
      </c>
      <c r="MP68" s="2">
        <v>0</v>
      </c>
      <c r="MQ68" s="2">
        <v>0</v>
      </c>
      <c r="MR68" s="5">
        <v>2950000</v>
      </c>
      <c r="MS68" s="5">
        <v>0</v>
      </c>
      <c r="MT68" s="5">
        <v>4600000</v>
      </c>
      <c r="MU68" s="5">
        <v>0</v>
      </c>
      <c r="MV68" s="5">
        <v>0</v>
      </c>
      <c r="MW68" s="5">
        <v>0</v>
      </c>
      <c r="MX68" s="5">
        <v>0</v>
      </c>
      <c r="MY68" s="5">
        <v>1650000</v>
      </c>
      <c r="MZ68" s="5">
        <v>0</v>
      </c>
      <c r="NA68" s="5">
        <v>5000000</v>
      </c>
      <c r="NB68" s="5">
        <v>0</v>
      </c>
      <c r="NC68" s="5">
        <v>0</v>
      </c>
      <c r="ND68" s="5">
        <v>0</v>
      </c>
      <c r="NE68" s="5">
        <v>0</v>
      </c>
      <c r="NF68" s="5">
        <v>0</v>
      </c>
      <c r="NG68" s="5">
        <v>1596420</v>
      </c>
      <c r="NH68" s="5">
        <v>1596000</v>
      </c>
      <c r="NI68" s="5">
        <v>1596000</v>
      </c>
      <c r="NJ68" s="5">
        <v>0</v>
      </c>
      <c r="NK68" s="5"/>
      <c r="NL68" s="2" t="s">
        <v>17</v>
      </c>
      <c r="NM68" s="2" t="s">
        <v>17</v>
      </c>
      <c r="NN68" s="2"/>
      <c r="NO68" s="2" t="s">
        <v>17</v>
      </c>
      <c r="NP68" s="2"/>
      <c r="NQ68" s="2"/>
      <c r="NR68" s="2" t="s">
        <v>9</v>
      </c>
      <c r="NS68" s="2" t="s">
        <v>936</v>
      </c>
      <c r="NT68" s="2" t="s">
        <v>17</v>
      </c>
      <c r="NU68" s="2"/>
      <c r="NV68" s="2"/>
      <c r="NW68" s="2"/>
      <c r="NX68" s="2" t="s">
        <v>17</v>
      </c>
      <c r="NY68" s="2"/>
      <c r="NZ68" s="2">
        <v>9506</v>
      </c>
      <c r="OA68" s="2" t="s">
        <v>118</v>
      </c>
      <c r="OB68" s="2" t="s">
        <v>118</v>
      </c>
      <c r="OC68" s="2" t="s">
        <v>118</v>
      </c>
      <c r="OD68" s="2" t="s">
        <v>17</v>
      </c>
      <c r="OE68" s="2" t="s">
        <v>119</v>
      </c>
      <c r="OF68" s="2" t="s">
        <v>17</v>
      </c>
      <c r="OG68" s="2" t="s">
        <v>9</v>
      </c>
      <c r="OH68" s="2" t="s">
        <v>120</v>
      </c>
      <c r="OI68" s="2"/>
      <c r="OJ68" s="2"/>
      <c r="OK68" s="2" t="s">
        <v>17</v>
      </c>
      <c r="OL68" s="2" t="s">
        <v>17</v>
      </c>
      <c r="OM68" s="2" t="s">
        <v>85</v>
      </c>
      <c r="ON68" s="6">
        <v>0</v>
      </c>
      <c r="OO68" s="6">
        <v>0</v>
      </c>
      <c r="OP68" s="2" t="s">
        <v>93</v>
      </c>
      <c r="OQ68" s="2" t="s">
        <v>93</v>
      </c>
      <c r="OR68" s="6">
        <v>0</v>
      </c>
      <c r="OS68" s="4">
        <v>0</v>
      </c>
      <c r="OT68" s="2" t="s">
        <v>17</v>
      </c>
      <c r="OU68" s="2" t="s">
        <v>17</v>
      </c>
      <c r="OV68" s="2"/>
      <c r="OW68" s="2"/>
      <c r="OX68" s="5">
        <v>11496946</v>
      </c>
      <c r="OY68" s="6">
        <v>205302.6</v>
      </c>
      <c r="OZ68" s="2"/>
      <c r="PA68" s="2"/>
      <c r="PB68" s="8">
        <v>10200000</v>
      </c>
      <c r="PC68" s="2"/>
      <c r="PD68" s="8">
        <v>10200000</v>
      </c>
      <c r="PE68" s="8">
        <v>200000</v>
      </c>
      <c r="PF68" s="2"/>
      <c r="PG68" s="8">
        <v>200000</v>
      </c>
      <c r="PH68" s="2"/>
      <c r="PI68" s="8">
        <v>80000</v>
      </c>
      <c r="PJ68" s="8">
        <v>80000</v>
      </c>
      <c r="PK68" s="8">
        <v>10400000</v>
      </c>
      <c r="PL68" s="8">
        <v>80000</v>
      </c>
      <c r="PM68" s="8">
        <v>10480000</v>
      </c>
      <c r="PN68" s="8">
        <v>1467200</v>
      </c>
      <c r="PO68" s="2"/>
      <c r="PP68" s="8">
        <v>1467200</v>
      </c>
      <c r="PQ68" s="6">
        <v>1467200</v>
      </c>
      <c r="PR68" s="8">
        <v>11867200</v>
      </c>
      <c r="PS68" s="8">
        <v>80000</v>
      </c>
      <c r="PT68" s="8">
        <v>11947200</v>
      </c>
      <c r="PU68" s="8">
        <v>597360</v>
      </c>
      <c r="PV68" s="2"/>
      <c r="PW68" s="8">
        <v>597360</v>
      </c>
      <c r="PX68" s="6">
        <v>597360</v>
      </c>
      <c r="PY68" s="8">
        <v>883500</v>
      </c>
      <c r="PZ68" s="8">
        <v>175000</v>
      </c>
      <c r="QA68" s="8">
        <v>1058500</v>
      </c>
      <c r="QB68" s="8">
        <v>64000</v>
      </c>
      <c r="QC68" s="8">
        <v>30000</v>
      </c>
      <c r="QD68" s="8">
        <v>94000</v>
      </c>
      <c r="QE68" s="8">
        <v>120000</v>
      </c>
      <c r="QF68" s="2"/>
      <c r="QG68" s="8">
        <v>120000</v>
      </c>
      <c r="QH68" s="2"/>
      <c r="QI68" s="8">
        <v>311263</v>
      </c>
      <c r="QJ68" s="8">
        <v>311263</v>
      </c>
      <c r="QK68" s="2"/>
      <c r="QL68" s="2"/>
      <c r="QM68" s="2"/>
      <c r="QN68" s="8">
        <v>225000</v>
      </c>
      <c r="QO68" s="2"/>
      <c r="QP68" s="8">
        <v>225000</v>
      </c>
      <c r="QQ68" s="8">
        <v>1292500</v>
      </c>
      <c r="QR68" s="8">
        <v>516263</v>
      </c>
      <c r="QS68" s="8">
        <v>1808763</v>
      </c>
      <c r="QT68" s="8">
        <v>90438</v>
      </c>
      <c r="QU68" s="2"/>
      <c r="QV68" s="8">
        <v>90438</v>
      </c>
      <c r="QW68" s="6">
        <v>90438.15</v>
      </c>
      <c r="QX68" s="8">
        <v>664063</v>
      </c>
      <c r="QY68" s="2"/>
      <c r="QZ68" s="8">
        <v>664063</v>
      </c>
      <c r="RA68" s="8">
        <v>150000</v>
      </c>
      <c r="RB68" s="8">
        <v>150000</v>
      </c>
      <c r="RC68" s="2"/>
      <c r="RD68" s="8">
        <v>65000</v>
      </c>
      <c r="RE68" s="8">
        <v>65000</v>
      </c>
      <c r="RF68" s="8">
        <v>664063</v>
      </c>
      <c r="RG68" s="8">
        <v>215000</v>
      </c>
      <c r="RH68" s="8">
        <v>879063</v>
      </c>
      <c r="RI68" s="2"/>
      <c r="RJ68" s="2"/>
      <c r="RK68" s="2"/>
      <c r="RL68" s="2"/>
      <c r="RM68" s="8">
        <v>14511561</v>
      </c>
      <c r="RN68" s="8">
        <v>811263</v>
      </c>
      <c r="RO68" s="8">
        <v>15322824</v>
      </c>
      <c r="RP68" s="2"/>
      <c r="RQ68" s="2"/>
      <c r="RR68" s="2">
        <v>0</v>
      </c>
      <c r="RS68" s="6">
        <v>0</v>
      </c>
      <c r="RT68" s="8">
        <v>2451651</v>
      </c>
      <c r="RU68" s="2"/>
      <c r="RV68" s="8">
        <v>2451651</v>
      </c>
      <c r="RW68" s="6">
        <v>2451651</v>
      </c>
      <c r="RX68" s="6">
        <v>0</v>
      </c>
      <c r="RY68" s="8">
        <v>2451651</v>
      </c>
      <c r="RZ68" s="2"/>
      <c r="SA68" s="8">
        <v>2451651</v>
      </c>
      <c r="SB68" s="6">
        <v>2451651</v>
      </c>
      <c r="SC68" s="2"/>
      <c r="SD68" s="2"/>
      <c r="SE68" s="6">
        <v>196000</v>
      </c>
      <c r="SF68" s="8">
        <v>384000</v>
      </c>
      <c r="SG68" s="8">
        <v>384000</v>
      </c>
      <c r="SH68" s="8">
        <v>16963212</v>
      </c>
      <c r="SI68" s="8">
        <v>1195263</v>
      </c>
      <c r="SJ68" s="8">
        <v>18158475</v>
      </c>
      <c r="SK68" s="2" t="s">
        <v>928</v>
      </c>
      <c r="SL68" s="2" t="s">
        <v>929</v>
      </c>
      <c r="SM68" s="2" t="s">
        <v>930</v>
      </c>
      <c r="SN68" s="2" t="s">
        <v>931</v>
      </c>
      <c r="SO68" s="2"/>
      <c r="SP68" s="8">
        <v>10625000</v>
      </c>
      <c r="SQ68" s="2" t="s">
        <v>95</v>
      </c>
      <c r="SR68" s="2"/>
      <c r="SS68" s="2"/>
      <c r="ST68" s="2"/>
      <c r="SU68" s="2"/>
      <c r="SV68" s="2"/>
      <c r="SW68" s="2"/>
      <c r="SX68" s="2" t="s">
        <v>96</v>
      </c>
      <c r="SY68" s="2" t="s">
        <v>96</v>
      </c>
      <c r="SZ68" s="2" t="s">
        <v>96</v>
      </c>
      <c r="TA68" s="2" t="s">
        <v>96</v>
      </c>
      <c r="TB68" s="8">
        <v>5082752</v>
      </c>
      <c r="TC68" s="2"/>
      <c r="TD68" s="2"/>
      <c r="TE68" s="2"/>
      <c r="TF68" s="2"/>
      <c r="TG68" s="2"/>
      <c r="TH68" s="2"/>
      <c r="TI68" s="8">
        <v>2450723</v>
      </c>
      <c r="TJ68" s="8">
        <v>18158475</v>
      </c>
      <c r="TK68" s="2">
        <v>0</v>
      </c>
      <c r="TL68" s="2" t="s">
        <v>9</v>
      </c>
      <c r="TM68" s="8">
        <v>2500000</v>
      </c>
      <c r="TN68" s="2" t="s">
        <v>95</v>
      </c>
      <c r="TO68" s="2"/>
      <c r="TP68" s="2"/>
      <c r="TQ68" s="2"/>
      <c r="TR68" s="2"/>
      <c r="TS68" s="2"/>
      <c r="TT68" s="2"/>
      <c r="TU68" s="2" t="s">
        <v>96</v>
      </c>
      <c r="TV68" s="8">
        <v>14522147</v>
      </c>
      <c r="TW68" s="2"/>
      <c r="TX68" s="2"/>
      <c r="TY68" s="2"/>
      <c r="TZ68" s="2"/>
      <c r="UA68" s="2"/>
      <c r="UB68" s="2"/>
      <c r="UC68" s="8">
        <v>1136328</v>
      </c>
      <c r="UD68" s="8">
        <v>18158475</v>
      </c>
      <c r="UE68" s="6">
        <v>2500000</v>
      </c>
      <c r="UF68" s="2">
        <v>0</v>
      </c>
      <c r="UG68" s="2" t="s">
        <v>9</v>
      </c>
      <c r="UH68" s="2">
        <v>56</v>
      </c>
      <c r="UI68" s="5">
        <v>240000</v>
      </c>
      <c r="UJ68" s="6">
        <v>320000</v>
      </c>
      <c r="UK68" s="6">
        <v>320000</v>
      </c>
      <c r="UL68" s="6">
        <v>339200</v>
      </c>
      <c r="UM68" s="6">
        <v>18995200</v>
      </c>
      <c r="UN68" s="6">
        <v>3039232</v>
      </c>
      <c r="UO68" s="6">
        <v>3039232</v>
      </c>
      <c r="UP68" s="6">
        <v>22034432</v>
      </c>
      <c r="UQ68" s="6">
        <v>17774475</v>
      </c>
      <c r="UR68" s="2"/>
      <c r="US68" s="2"/>
      <c r="UT68" s="6">
        <v>0</v>
      </c>
      <c r="UU68" s="2"/>
      <c r="UV68" s="6">
        <v>0</v>
      </c>
      <c r="UW68" s="6">
        <v>0</v>
      </c>
      <c r="UX68" s="6">
        <v>0</v>
      </c>
      <c r="UY68" s="6">
        <v>0</v>
      </c>
      <c r="UZ68" s="2"/>
      <c r="VA68" s="2"/>
      <c r="VB68" s="2"/>
      <c r="VC68" s="2"/>
      <c r="VD68" s="2" t="s">
        <v>17</v>
      </c>
      <c r="VE68" s="2" t="s">
        <v>17</v>
      </c>
      <c r="VF68" s="2"/>
      <c r="VG68" s="2" t="s">
        <v>17</v>
      </c>
      <c r="VH68" s="2"/>
      <c r="VI68" s="388" t="s">
        <v>895</v>
      </c>
      <c r="VJ68" s="2" t="s">
        <v>98</v>
      </c>
      <c r="VK68" s="2" t="s">
        <v>942</v>
      </c>
      <c r="VL68" s="23">
        <f t="shared" si="32"/>
        <v>76</v>
      </c>
      <c r="VM68" s="17">
        <f t="shared" si="33"/>
        <v>1.3571428571428572</v>
      </c>
      <c r="VN68" s="17" t="str">
        <f t="shared" si="43"/>
        <v>NC-GA-F</v>
      </c>
      <c r="VO68" s="17" t="str">
        <f t="shared" si="44"/>
        <v>NC-GA-F-ESS</v>
      </c>
      <c r="VP68" s="12">
        <v>9</v>
      </c>
      <c r="VQ68" s="57">
        <v>1</v>
      </c>
      <c r="VR68" s="57">
        <f t="shared" si="34"/>
        <v>1</v>
      </c>
      <c r="VS68" s="14">
        <f t="shared" si="35"/>
        <v>1</v>
      </c>
      <c r="VT68" s="12">
        <f t="shared" si="36"/>
        <v>0.93</v>
      </c>
      <c r="VU68" s="16">
        <f t="shared" si="37"/>
        <v>13358520</v>
      </c>
      <c r="VV68" s="19">
        <f t="shared" si="38"/>
        <v>238545</v>
      </c>
      <c r="VW68" s="12" t="str">
        <f t="shared" ref="VW68:VW72" si="50">IF(RANK(VV68,VV$67:VV$72,1)&lt;=ROUNDUP(80%*6,0),"A","B")</f>
        <v>A</v>
      </c>
      <c r="VX68" s="54" t="str">
        <f t="shared" si="45"/>
        <v>NC-GA-ESS</v>
      </c>
      <c r="VY68" s="351">
        <f t="shared" si="46"/>
        <v>2</v>
      </c>
      <c r="WA68" s="12">
        <f t="shared" si="47"/>
        <v>0</v>
      </c>
      <c r="WB68" s="12">
        <f t="shared" si="48"/>
        <v>0</v>
      </c>
      <c r="WC68" s="12">
        <f t="shared" si="48"/>
        <v>0</v>
      </c>
      <c r="WD68" s="12">
        <f t="shared" si="48"/>
        <v>0</v>
      </c>
      <c r="WE68" s="12">
        <f t="shared" si="49"/>
        <v>1</v>
      </c>
      <c r="WF68" s="12">
        <f t="shared" si="39"/>
        <v>1</v>
      </c>
      <c r="WG68" s="12">
        <f t="shared" si="40"/>
        <v>0</v>
      </c>
      <c r="WH68" s="12">
        <f t="shared" si="41"/>
        <v>0</v>
      </c>
      <c r="WI68" s="22">
        <f t="shared" si="42"/>
        <v>2</v>
      </c>
      <c r="WJ68" s="2"/>
      <c r="WK68" s="443" t="str">
        <f t="shared" si="20"/>
        <v>NC-GA-ESS-BBN-BRN-NPH-F</v>
      </c>
      <c r="WL68" s="443"/>
      <c r="WM68" s="443"/>
    </row>
    <row r="69" spans="1:613" x14ac:dyDescent="0.25">
      <c r="A69" s="18">
        <v>9368</v>
      </c>
      <c r="B69" s="2" t="s">
        <v>233</v>
      </c>
      <c r="C69" s="2" t="s">
        <v>8</v>
      </c>
      <c r="D69" s="3">
        <v>45153</v>
      </c>
      <c r="E69" s="2" t="s">
        <v>9</v>
      </c>
      <c r="F69" s="2">
        <v>3</v>
      </c>
      <c r="G69" s="2" t="s">
        <v>9</v>
      </c>
      <c r="H69" s="2">
        <v>3</v>
      </c>
      <c r="I69" s="2" t="s">
        <v>9</v>
      </c>
      <c r="J69" s="2">
        <v>1</v>
      </c>
      <c r="K69" s="2" t="s">
        <v>9</v>
      </c>
      <c r="L69" s="2">
        <v>3</v>
      </c>
      <c r="M69" s="2" t="s">
        <v>10</v>
      </c>
      <c r="N69" s="2">
        <v>0</v>
      </c>
      <c r="O69" s="2" t="s">
        <v>10</v>
      </c>
      <c r="P69" s="2">
        <v>0</v>
      </c>
      <c r="Q69" s="2" t="s">
        <v>11</v>
      </c>
      <c r="R69" s="2">
        <v>0</v>
      </c>
      <c r="S69" s="2" t="s">
        <v>9</v>
      </c>
      <c r="T69" s="2">
        <v>2</v>
      </c>
      <c r="U69" s="2" t="s">
        <v>9</v>
      </c>
      <c r="V69" s="2">
        <v>2</v>
      </c>
      <c r="W69" s="2" t="s">
        <v>9</v>
      </c>
      <c r="X69" s="2">
        <v>2</v>
      </c>
      <c r="Y69" s="2" t="s">
        <v>12</v>
      </c>
      <c r="Z69" s="2" t="s">
        <v>15</v>
      </c>
      <c r="AA69" s="2" t="s">
        <v>15</v>
      </c>
      <c r="AB69" s="2" t="s">
        <v>15</v>
      </c>
      <c r="AC69" s="2" t="s">
        <v>15</v>
      </c>
      <c r="AD69" s="2" t="s">
        <v>15</v>
      </c>
      <c r="AE69" s="2" t="s">
        <v>15</v>
      </c>
      <c r="AF69" s="2">
        <v>0</v>
      </c>
      <c r="AG69" s="2" t="s">
        <v>234</v>
      </c>
      <c r="AH69" s="2" t="s">
        <v>17</v>
      </c>
      <c r="AI69" s="4">
        <v>0.1</v>
      </c>
      <c r="AJ69" s="2" t="s">
        <v>17</v>
      </c>
      <c r="AK69" s="2" t="s">
        <v>9</v>
      </c>
      <c r="AL69" s="2" t="s">
        <v>17</v>
      </c>
      <c r="AM69" s="2" t="s">
        <v>17</v>
      </c>
      <c r="AN69" s="2" t="s">
        <v>9</v>
      </c>
      <c r="AO69" s="2" t="s">
        <v>17</v>
      </c>
      <c r="AP69" s="2" t="s">
        <v>17</v>
      </c>
      <c r="AQ69" s="2" t="s">
        <v>17</v>
      </c>
      <c r="AR69" s="2" t="s">
        <v>17</v>
      </c>
      <c r="AS69" s="2" t="s">
        <v>17</v>
      </c>
      <c r="AT69" s="2">
        <v>0</v>
      </c>
      <c r="AU69" s="5">
        <v>5000</v>
      </c>
      <c r="AV69" s="2" t="s">
        <v>85</v>
      </c>
      <c r="AW69" s="2">
        <v>0</v>
      </c>
      <c r="AX69" s="2">
        <v>3</v>
      </c>
      <c r="AY69" s="2">
        <v>0</v>
      </c>
      <c r="AZ69" s="2">
        <v>18</v>
      </c>
      <c r="BA69" s="2">
        <v>0</v>
      </c>
      <c r="BB69" s="2">
        <v>1</v>
      </c>
      <c r="BC69" s="2">
        <v>0</v>
      </c>
      <c r="BD69" s="2">
        <v>0</v>
      </c>
      <c r="BE69" s="2">
        <v>0</v>
      </c>
      <c r="BF69" s="2">
        <v>1</v>
      </c>
      <c r="BG69" s="2">
        <v>0</v>
      </c>
      <c r="BH69" s="2">
        <v>0</v>
      </c>
      <c r="BI69" s="2">
        <v>13</v>
      </c>
      <c r="BJ69" s="2">
        <v>1</v>
      </c>
      <c r="BK69" s="2">
        <v>0</v>
      </c>
      <c r="BL69" s="2">
        <v>2</v>
      </c>
      <c r="BM69" s="2">
        <v>0</v>
      </c>
      <c r="BN69" s="2">
        <v>13</v>
      </c>
      <c r="BO69" s="2">
        <v>11</v>
      </c>
      <c r="BP69" s="2">
        <v>0</v>
      </c>
      <c r="BQ69" s="2">
        <v>6</v>
      </c>
      <c r="BR69" s="2">
        <v>11.47</v>
      </c>
      <c r="BS69" s="2">
        <v>0</v>
      </c>
      <c r="BT69" s="4">
        <v>0.06</v>
      </c>
      <c r="BU69" s="2" t="s">
        <v>9</v>
      </c>
      <c r="BV69" s="6">
        <v>205354.05</v>
      </c>
      <c r="BW69" s="2" t="s">
        <v>126</v>
      </c>
      <c r="BX69" s="2" t="s">
        <v>17</v>
      </c>
      <c r="BY69" s="2" t="s">
        <v>17</v>
      </c>
      <c r="BZ69" s="2" t="s">
        <v>17</v>
      </c>
      <c r="CA69" s="2" t="s">
        <v>17</v>
      </c>
      <c r="CB69" s="2" t="s">
        <v>17</v>
      </c>
      <c r="CC69" s="2" t="s">
        <v>17</v>
      </c>
      <c r="CD69" s="2" t="s">
        <v>17</v>
      </c>
      <c r="CE69" s="2" t="s">
        <v>235</v>
      </c>
      <c r="CF69" s="2" t="s">
        <v>17</v>
      </c>
      <c r="CG69" s="2" t="s">
        <v>236</v>
      </c>
      <c r="CH69" s="2"/>
      <c r="CI69" s="2"/>
      <c r="CJ69" s="2" t="s">
        <v>9</v>
      </c>
      <c r="CK69" s="2" t="s">
        <v>237</v>
      </c>
      <c r="CL69" s="2" t="s">
        <v>236</v>
      </c>
      <c r="CM69" s="2" t="s">
        <v>238</v>
      </c>
      <c r="CN69" s="2" t="s">
        <v>239</v>
      </c>
      <c r="CO69" s="2" t="s">
        <v>24</v>
      </c>
      <c r="CP69" s="2" t="s">
        <v>229</v>
      </c>
      <c r="CQ69" s="2">
        <v>100</v>
      </c>
      <c r="CR69" s="2" t="s">
        <v>240</v>
      </c>
      <c r="CS69" s="2">
        <v>2019</v>
      </c>
      <c r="CT69" s="2" t="s">
        <v>26</v>
      </c>
      <c r="CU69" s="2" t="s">
        <v>27</v>
      </c>
      <c r="CV69" s="2" t="s">
        <v>241</v>
      </c>
      <c r="CW69" s="2" t="s">
        <v>242</v>
      </c>
      <c r="CX69" s="2" t="s">
        <v>24</v>
      </c>
      <c r="CY69" s="2" t="s">
        <v>229</v>
      </c>
      <c r="CZ69" s="2">
        <v>120</v>
      </c>
      <c r="DA69" s="2" t="s">
        <v>240</v>
      </c>
      <c r="DB69" s="2">
        <v>2011</v>
      </c>
      <c r="DC69" s="2" t="s">
        <v>243</v>
      </c>
      <c r="DD69" s="2" t="s">
        <v>27</v>
      </c>
      <c r="DE69" s="2" t="s">
        <v>244</v>
      </c>
      <c r="DF69" s="2" t="s">
        <v>245</v>
      </c>
      <c r="DG69" s="2" t="s">
        <v>24</v>
      </c>
      <c r="DH69" s="2" t="s">
        <v>229</v>
      </c>
      <c r="DI69" s="2">
        <v>80</v>
      </c>
      <c r="DJ69" s="2" t="s">
        <v>240</v>
      </c>
      <c r="DK69" s="2">
        <v>2019</v>
      </c>
      <c r="DL69" s="2" t="s">
        <v>30</v>
      </c>
      <c r="DM69" s="2" t="s">
        <v>27</v>
      </c>
      <c r="DN69" s="2" t="s">
        <v>33</v>
      </c>
      <c r="DO69" s="2" t="s">
        <v>246</v>
      </c>
      <c r="DP69" s="2"/>
      <c r="DQ69" s="2" t="s">
        <v>247</v>
      </c>
      <c r="DR69" s="2" t="s">
        <v>248</v>
      </c>
      <c r="DS69" s="2">
        <v>1</v>
      </c>
      <c r="DT69" s="2" t="s">
        <v>249</v>
      </c>
      <c r="DU69" s="2" t="s">
        <v>250</v>
      </c>
      <c r="DV69" s="2" t="s">
        <v>143</v>
      </c>
      <c r="DW69" s="2">
        <v>27408</v>
      </c>
      <c r="DX69" s="2" t="s">
        <v>251</v>
      </c>
      <c r="DY69" s="2" t="s">
        <v>229</v>
      </c>
      <c r="DZ69" s="2" t="s">
        <v>252</v>
      </c>
      <c r="EA69" s="2" t="s">
        <v>253</v>
      </c>
      <c r="EB69" s="2" t="s">
        <v>238</v>
      </c>
      <c r="EC69" s="2" t="s">
        <v>239</v>
      </c>
      <c r="ED69" s="2" t="s">
        <v>44</v>
      </c>
      <c r="EE69" s="2">
        <v>100</v>
      </c>
      <c r="EF69" s="2" t="s">
        <v>254</v>
      </c>
      <c r="EG69" s="2">
        <v>4</v>
      </c>
      <c r="EH69" s="2" t="s">
        <v>46</v>
      </c>
      <c r="EI69" s="2" t="s">
        <v>47</v>
      </c>
      <c r="EJ69" s="2" t="s">
        <v>241</v>
      </c>
      <c r="EK69" s="2" t="s">
        <v>242</v>
      </c>
      <c r="EL69" s="2" t="s">
        <v>44</v>
      </c>
      <c r="EM69" s="2">
        <v>120</v>
      </c>
      <c r="EN69" s="2" t="s">
        <v>254</v>
      </c>
      <c r="EO69" s="2">
        <v>12</v>
      </c>
      <c r="EP69" s="2" t="s">
        <v>46</v>
      </c>
      <c r="EQ69" s="2" t="s">
        <v>47</v>
      </c>
      <c r="ER69" s="2" t="s">
        <v>255</v>
      </c>
      <c r="ES69" s="2" t="s">
        <v>256</v>
      </c>
      <c r="ET69" s="2" t="s">
        <v>257</v>
      </c>
      <c r="EU69" s="2" t="s">
        <v>235</v>
      </c>
      <c r="EV69" s="2" t="s">
        <v>258</v>
      </c>
      <c r="EW69" s="2" t="s">
        <v>259</v>
      </c>
      <c r="EX69" s="2" t="s">
        <v>260</v>
      </c>
      <c r="EY69" s="2">
        <v>75234</v>
      </c>
      <c r="EZ69" s="2" t="s">
        <v>261</v>
      </c>
      <c r="FA69" s="2">
        <v>2</v>
      </c>
      <c r="FB69" s="2" t="s">
        <v>262</v>
      </c>
      <c r="FC69" s="2" t="s">
        <v>263</v>
      </c>
      <c r="FD69" s="2" t="s">
        <v>201</v>
      </c>
      <c r="FE69" s="2" t="s">
        <v>264</v>
      </c>
      <c r="FF69" s="2" t="s">
        <v>236</v>
      </c>
      <c r="FG69" s="2" t="s">
        <v>258</v>
      </c>
      <c r="FH69" s="2" t="s">
        <v>259</v>
      </c>
      <c r="FI69" s="2" t="s">
        <v>260</v>
      </c>
      <c r="FJ69" s="2">
        <v>75234</v>
      </c>
      <c r="FK69" s="2" t="s">
        <v>261</v>
      </c>
      <c r="FL69" s="2">
        <v>1</v>
      </c>
      <c r="FM69" s="2" t="s">
        <v>265</v>
      </c>
      <c r="FN69" s="2" t="s">
        <v>266</v>
      </c>
      <c r="FO69" s="2" t="s">
        <v>63</v>
      </c>
      <c r="FP69" s="2" t="s">
        <v>64</v>
      </c>
      <c r="FQ69" s="2" t="s">
        <v>9</v>
      </c>
      <c r="FR69" s="2" t="s">
        <v>17</v>
      </c>
      <c r="FS69" s="2" t="s">
        <v>17</v>
      </c>
      <c r="FT69" s="2" t="s">
        <v>9</v>
      </c>
      <c r="FU69" s="2">
        <v>0</v>
      </c>
      <c r="FV69" s="2">
        <v>0</v>
      </c>
      <c r="FW69" s="4">
        <v>0</v>
      </c>
      <c r="FX69" s="4">
        <v>0</v>
      </c>
      <c r="FY69" s="2" t="s">
        <v>65</v>
      </c>
      <c r="FZ69" s="2" t="s">
        <v>66</v>
      </c>
      <c r="GA69" s="2" t="s">
        <v>67</v>
      </c>
      <c r="GB69" s="2"/>
      <c r="GC69" s="2"/>
      <c r="GD69" s="2"/>
      <c r="GE69" s="2" t="s">
        <v>68</v>
      </c>
      <c r="GF69" s="2">
        <v>56</v>
      </c>
      <c r="GG69" s="2">
        <v>56</v>
      </c>
      <c r="GH69" s="2"/>
      <c r="GI69" s="2"/>
      <c r="GJ69" s="2"/>
      <c r="GK69" s="2"/>
      <c r="GL69" s="2"/>
      <c r="GM69" s="2"/>
      <c r="GN69" s="2"/>
      <c r="GO69" s="2"/>
      <c r="GP69" s="2"/>
      <c r="GQ69" s="2">
        <v>56</v>
      </c>
      <c r="GR69" s="2" t="s">
        <v>267</v>
      </c>
      <c r="GS69" s="18" t="s">
        <v>268</v>
      </c>
      <c r="GT69" s="2" t="s">
        <v>269</v>
      </c>
      <c r="GU69" s="2" t="s">
        <v>270</v>
      </c>
      <c r="GV69" s="2" t="s">
        <v>17</v>
      </c>
      <c r="GW69" s="2">
        <v>30.787271</v>
      </c>
      <c r="GX69" s="2">
        <v>-85.244950000000003</v>
      </c>
      <c r="GY69" s="2"/>
      <c r="GZ69" s="2" t="s">
        <v>17</v>
      </c>
      <c r="HA69" s="2" t="s">
        <v>17</v>
      </c>
      <c r="HB69" s="2">
        <v>0</v>
      </c>
      <c r="HC69" s="2" t="s">
        <v>17</v>
      </c>
      <c r="HD69" s="2" t="s">
        <v>17</v>
      </c>
      <c r="HE69" s="2">
        <v>0</v>
      </c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 t="s">
        <v>73</v>
      </c>
      <c r="HY69" s="2" t="s">
        <v>17</v>
      </c>
      <c r="HZ69" s="2"/>
      <c r="IA69" s="2" t="s">
        <v>271</v>
      </c>
      <c r="IB69" s="2" t="s">
        <v>272</v>
      </c>
      <c r="IC69" s="2">
        <v>0.36</v>
      </c>
      <c r="ID69" s="2">
        <v>3.5</v>
      </c>
      <c r="IE69" s="2" t="s">
        <v>273</v>
      </c>
      <c r="IF69" s="2">
        <v>0.22</v>
      </c>
      <c r="IG69" s="2">
        <v>4</v>
      </c>
      <c r="IH69" s="2" t="s">
        <v>274</v>
      </c>
      <c r="II69" s="2">
        <v>0.51</v>
      </c>
      <c r="IJ69" s="2">
        <v>3.5</v>
      </c>
      <c r="IK69" s="2"/>
      <c r="IL69" s="2"/>
      <c r="IM69" s="2"/>
      <c r="IN69" s="2"/>
      <c r="IO69" s="2" t="s">
        <v>17</v>
      </c>
      <c r="IP69" s="2">
        <v>0</v>
      </c>
      <c r="IQ69" s="2">
        <v>11</v>
      </c>
      <c r="IR69" s="2">
        <v>0</v>
      </c>
      <c r="IS69" s="2">
        <v>11</v>
      </c>
      <c r="IT69" s="2" t="s">
        <v>17</v>
      </c>
      <c r="IU69" s="2" t="s">
        <v>17</v>
      </c>
      <c r="IV69" s="2" t="s">
        <v>17</v>
      </c>
      <c r="IW69" s="2" t="s">
        <v>9</v>
      </c>
      <c r="IX69" s="2" t="s">
        <v>9</v>
      </c>
      <c r="IY69" s="2">
        <v>11</v>
      </c>
      <c r="IZ69" s="2">
        <v>56</v>
      </c>
      <c r="JA69" s="2" t="s">
        <v>172</v>
      </c>
      <c r="JB69" s="2" t="s">
        <v>173</v>
      </c>
      <c r="JC69" s="2"/>
      <c r="JD69" s="2"/>
      <c r="JE69" s="7">
        <v>0.1</v>
      </c>
      <c r="JF69" s="2"/>
      <c r="JG69" s="7">
        <v>0.9</v>
      </c>
      <c r="JH69" s="7">
        <v>0</v>
      </c>
      <c r="JI69" s="2">
        <v>56</v>
      </c>
      <c r="JJ69" s="7">
        <v>1</v>
      </c>
      <c r="JK69" s="2">
        <v>56</v>
      </c>
      <c r="JL69" s="7">
        <v>1</v>
      </c>
      <c r="JM69" s="2"/>
      <c r="JN69" s="2"/>
      <c r="JO69" s="2"/>
      <c r="JP69" s="2"/>
      <c r="JQ69" s="2"/>
      <c r="JR69" s="2"/>
      <c r="JS69" s="2">
        <v>0</v>
      </c>
      <c r="JT69" s="2">
        <v>0</v>
      </c>
      <c r="JU69" s="2"/>
      <c r="JV69" s="2">
        <v>0</v>
      </c>
      <c r="JW69" s="4">
        <v>0</v>
      </c>
      <c r="JX69" s="2">
        <v>0</v>
      </c>
      <c r="JY69" s="4">
        <v>0</v>
      </c>
      <c r="JZ69" s="2">
        <v>0</v>
      </c>
      <c r="KA69" s="2"/>
      <c r="KB69" s="2"/>
      <c r="KC69" s="2"/>
      <c r="KD69" s="2"/>
      <c r="KE69" s="2"/>
      <c r="KF69" s="2"/>
      <c r="KG69" s="2"/>
      <c r="KH69" s="2">
        <v>36</v>
      </c>
      <c r="KI69" s="2"/>
      <c r="KJ69" s="2"/>
      <c r="KK69" s="2">
        <v>20</v>
      </c>
      <c r="KL69" s="2"/>
      <c r="KM69" s="2"/>
      <c r="KN69" s="2"/>
      <c r="KO69" s="2"/>
      <c r="KP69" s="2"/>
      <c r="KQ69" s="2" t="s">
        <v>83</v>
      </c>
      <c r="KR69" s="2"/>
      <c r="KS69" s="2" t="s">
        <v>73</v>
      </c>
      <c r="KT69" s="2">
        <v>7</v>
      </c>
      <c r="KU69" s="2" t="s">
        <v>84</v>
      </c>
      <c r="KV69" s="2" t="s">
        <v>85</v>
      </c>
      <c r="KW69" s="2" t="s">
        <v>86</v>
      </c>
      <c r="KX69" s="2" t="s">
        <v>17</v>
      </c>
      <c r="KY69" s="2" t="s">
        <v>17</v>
      </c>
      <c r="KZ69" s="2" t="s">
        <v>17</v>
      </c>
      <c r="LA69" s="2" t="s">
        <v>17</v>
      </c>
      <c r="LB69" s="2" t="s">
        <v>17</v>
      </c>
      <c r="LC69" s="2" t="s">
        <v>17</v>
      </c>
      <c r="LD69" s="2" t="s">
        <v>17</v>
      </c>
      <c r="LE69" s="2" t="s">
        <v>17</v>
      </c>
      <c r="LF69" s="2" t="s">
        <v>17</v>
      </c>
      <c r="LG69" s="2" t="s">
        <v>17</v>
      </c>
      <c r="LH69" s="2" t="s">
        <v>17</v>
      </c>
      <c r="LI69" s="2" t="s">
        <v>17</v>
      </c>
      <c r="LJ69" s="2" t="s">
        <v>87</v>
      </c>
      <c r="LK69" s="2" t="s">
        <v>17</v>
      </c>
      <c r="LL69" s="2" t="s">
        <v>17</v>
      </c>
      <c r="LM69" s="2">
        <v>0</v>
      </c>
      <c r="LN69" s="2" t="s">
        <v>17</v>
      </c>
      <c r="LO69" s="2" t="s">
        <v>17</v>
      </c>
      <c r="LP69" s="2" t="s">
        <v>17</v>
      </c>
      <c r="LQ69" s="2" t="s">
        <v>17</v>
      </c>
      <c r="LR69" s="2" t="s">
        <v>17</v>
      </c>
      <c r="LS69" s="2" t="s">
        <v>17</v>
      </c>
      <c r="LT69" s="2" t="s">
        <v>17</v>
      </c>
      <c r="LU69" s="2" t="s">
        <v>17</v>
      </c>
      <c r="LV69" s="2" t="s">
        <v>9</v>
      </c>
      <c r="LW69" s="2" t="s">
        <v>9</v>
      </c>
      <c r="LX69" s="2" t="s">
        <v>9</v>
      </c>
      <c r="LY69" s="5">
        <v>4480000</v>
      </c>
      <c r="LZ69" s="5">
        <v>0</v>
      </c>
      <c r="MA69" s="5">
        <v>5298458</v>
      </c>
      <c r="MB69" s="5">
        <v>0</v>
      </c>
      <c r="MC69" s="5">
        <v>0</v>
      </c>
      <c r="MD69" s="5">
        <v>0</v>
      </c>
      <c r="ME69" s="5">
        <v>5880000</v>
      </c>
      <c r="MF69" s="5">
        <v>0</v>
      </c>
      <c r="MG69" s="5">
        <v>0</v>
      </c>
      <c r="MH69" s="5">
        <v>0</v>
      </c>
      <c r="MI69" s="5">
        <v>0</v>
      </c>
      <c r="MJ69" s="5">
        <v>0</v>
      </c>
      <c r="MK69" s="5">
        <v>0</v>
      </c>
      <c r="ML69" s="2">
        <v>0</v>
      </c>
      <c r="MM69" s="5">
        <v>0</v>
      </c>
      <c r="MN69" s="5">
        <v>0</v>
      </c>
      <c r="MO69" s="2">
        <v>0</v>
      </c>
      <c r="MP69" s="2">
        <v>0</v>
      </c>
      <c r="MQ69" s="2">
        <v>0</v>
      </c>
      <c r="MR69" s="5">
        <v>2950000</v>
      </c>
      <c r="MS69" s="5">
        <v>0</v>
      </c>
      <c r="MT69" s="5">
        <v>4600000</v>
      </c>
      <c r="MU69" s="5">
        <v>0</v>
      </c>
      <c r="MV69" s="5">
        <v>0</v>
      </c>
      <c r="MW69" s="5">
        <v>0</v>
      </c>
      <c r="MX69" s="5">
        <v>0</v>
      </c>
      <c r="MY69" s="5">
        <v>1650000</v>
      </c>
      <c r="MZ69" s="5">
        <v>0</v>
      </c>
      <c r="NA69" s="5">
        <v>5000000</v>
      </c>
      <c r="NB69" s="5">
        <v>0</v>
      </c>
      <c r="NC69" s="5">
        <v>0</v>
      </c>
      <c r="ND69" s="5">
        <v>0</v>
      </c>
      <c r="NE69" s="5">
        <v>0</v>
      </c>
      <c r="NF69" s="5">
        <v>0</v>
      </c>
      <c r="NG69" s="5">
        <v>1596420</v>
      </c>
      <c r="NH69" s="5">
        <v>1596400</v>
      </c>
      <c r="NI69" s="5">
        <v>1596400</v>
      </c>
      <c r="NJ69" s="5">
        <v>0</v>
      </c>
      <c r="NK69" s="5"/>
      <c r="NL69" s="2" t="s">
        <v>17</v>
      </c>
      <c r="NM69" s="2" t="s">
        <v>17</v>
      </c>
      <c r="NN69" s="2"/>
      <c r="NO69" s="2" t="s">
        <v>17</v>
      </c>
      <c r="NP69" s="2"/>
      <c r="NQ69" s="2"/>
      <c r="NR69" s="2" t="s">
        <v>9</v>
      </c>
      <c r="NS69" s="2" t="s">
        <v>267</v>
      </c>
      <c r="NT69" s="2" t="s">
        <v>17</v>
      </c>
      <c r="NU69" s="2"/>
      <c r="NV69" s="2"/>
      <c r="NW69" s="2"/>
      <c r="NX69" s="2" t="s">
        <v>9</v>
      </c>
      <c r="NY69" s="2" t="s">
        <v>119</v>
      </c>
      <c r="NZ69" s="2">
        <v>2105</v>
      </c>
      <c r="OA69" s="2" t="s">
        <v>275</v>
      </c>
      <c r="OB69" s="2" t="s">
        <v>276</v>
      </c>
      <c r="OC69" s="2" t="s">
        <v>276</v>
      </c>
      <c r="OD69" s="2" t="s">
        <v>17</v>
      </c>
      <c r="OE69" s="2" t="s">
        <v>119</v>
      </c>
      <c r="OF69" s="2" t="s">
        <v>17</v>
      </c>
      <c r="OG69" s="2" t="s">
        <v>17</v>
      </c>
      <c r="OH69" s="2"/>
      <c r="OI69" s="2"/>
      <c r="OJ69" s="2"/>
      <c r="OK69" s="2" t="s">
        <v>17</v>
      </c>
      <c r="OL69" s="2" t="s">
        <v>17</v>
      </c>
      <c r="OM69" s="2" t="s">
        <v>85</v>
      </c>
      <c r="ON69" s="6">
        <v>0</v>
      </c>
      <c r="OO69" s="6">
        <v>0</v>
      </c>
      <c r="OP69" s="2" t="s">
        <v>93</v>
      </c>
      <c r="OQ69" s="2" t="s">
        <v>93</v>
      </c>
      <c r="OR69" s="6">
        <v>0</v>
      </c>
      <c r="OS69" s="4">
        <v>0</v>
      </c>
      <c r="OT69" s="2" t="s">
        <v>17</v>
      </c>
      <c r="OU69" s="2" t="s">
        <v>17</v>
      </c>
      <c r="OV69" s="2"/>
      <c r="OW69" s="2"/>
      <c r="OX69" s="5">
        <v>11499827</v>
      </c>
      <c r="OY69" s="6">
        <v>205354.05</v>
      </c>
      <c r="OZ69" s="2"/>
      <c r="PA69" s="2"/>
      <c r="PB69" s="8">
        <v>6776003</v>
      </c>
      <c r="PC69" s="2"/>
      <c r="PD69" s="8">
        <v>6776003</v>
      </c>
      <c r="PE69" s="8">
        <v>1355000</v>
      </c>
      <c r="PF69" s="8">
        <v>150000</v>
      </c>
      <c r="PG69" s="8">
        <v>1505000</v>
      </c>
      <c r="PH69" s="2"/>
      <c r="PI69" s="2"/>
      <c r="PJ69" s="2"/>
      <c r="PK69" s="8">
        <v>8131003</v>
      </c>
      <c r="PL69" s="8">
        <v>150000</v>
      </c>
      <c r="PM69" s="8">
        <v>8281003</v>
      </c>
      <c r="PN69" s="8">
        <v>1159338</v>
      </c>
      <c r="PO69" s="2"/>
      <c r="PP69" s="8">
        <v>1159338</v>
      </c>
      <c r="PQ69" s="6">
        <v>1159340</v>
      </c>
      <c r="PR69" s="8">
        <v>9290341</v>
      </c>
      <c r="PS69" s="8">
        <v>150000</v>
      </c>
      <c r="PT69" s="8">
        <v>9440341</v>
      </c>
      <c r="PU69" s="8">
        <v>472016</v>
      </c>
      <c r="PV69" s="2"/>
      <c r="PW69" s="8">
        <v>472016</v>
      </c>
      <c r="PX69" s="6">
        <v>472017.05</v>
      </c>
      <c r="PY69" s="8">
        <v>491000</v>
      </c>
      <c r="PZ69" s="2"/>
      <c r="QA69" s="8">
        <v>491000</v>
      </c>
      <c r="QB69" s="8">
        <v>60000</v>
      </c>
      <c r="QC69" s="8">
        <v>40000</v>
      </c>
      <c r="QD69" s="8">
        <v>100000</v>
      </c>
      <c r="QE69" s="8">
        <v>275000</v>
      </c>
      <c r="QF69" s="2"/>
      <c r="QG69" s="8">
        <v>275000</v>
      </c>
      <c r="QH69" s="2"/>
      <c r="QI69" s="8">
        <v>338302</v>
      </c>
      <c r="QJ69" s="8">
        <v>338302</v>
      </c>
      <c r="QK69" s="2"/>
      <c r="QL69" s="2"/>
      <c r="QM69" s="2"/>
      <c r="QN69" s="8">
        <v>433819</v>
      </c>
      <c r="QO69" s="8">
        <v>10000</v>
      </c>
      <c r="QP69" s="8">
        <v>443819</v>
      </c>
      <c r="QQ69" s="8">
        <v>1259819</v>
      </c>
      <c r="QR69" s="8">
        <v>388302</v>
      </c>
      <c r="QS69" s="8">
        <v>1648121</v>
      </c>
      <c r="QT69" s="8">
        <v>70000</v>
      </c>
      <c r="QU69" s="2"/>
      <c r="QV69" s="8">
        <v>70000</v>
      </c>
      <c r="QW69" s="6">
        <v>82406.05</v>
      </c>
      <c r="QX69" s="8">
        <v>765223</v>
      </c>
      <c r="QY69" s="8">
        <v>406149</v>
      </c>
      <c r="QZ69" s="8">
        <v>1171372</v>
      </c>
      <c r="RA69" s="8">
        <v>23500</v>
      </c>
      <c r="RB69" s="8">
        <v>23500</v>
      </c>
      <c r="RC69" s="8">
        <v>75000</v>
      </c>
      <c r="RD69" s="8">
        <v>50000</v>
      </c>
      <c r="RE69" s="8">
        <v>125000</v>
      </c>
      <c r="RF69" s="8">
        <v>840223</v>
      </c>
      <c r="RG69" s="8">
        <v>479649</v>
      </c>
      <c r="RH69" s="8">
        <v>1319872</v>
      </c>
      <c r="RI69" s="2"/>
      <c r="RJ69" s="2"/>
      <c r="RK69" s="2"/>
      <c r="RL69" s="2"/>
      <c r="RM69" s="8">
        <v>11932399</v>
      </c>
      <c r="RN69" s="8">
        <v>1017951</v>
      </c>
      <c r="RO69" s="8">
        <v>12950350</v>
      </c>
      <c r="RP69" s="2"/>
      <c r="RQ69" s="2"/>
      <c r="RR69" s="2">
        <v>0</v>
      </c>
      <c r="RS69" s="6">
        <v>0</v>
      </c>
      <c r="RT69" s="8">
        <v>2038103</v>
      </c>
      <c r="RU69" s="2"/>
      <c r="RV69" s="8">
        <v>2038103</v>
      </c>
      <c r="RW69" s="6">
        <v>2072056</v>
      </c>
      <c r="RX69" s="6">
        <v>0</v>
      </c>
      <c r="RY69" s="8">
        <v>2038103</v>
      </c>
      <c r="RZ69" s="2"/>
      <c r="SA69" s="8">
        <v>2038103</v>
      </c>
      <c r="SB69" s="6">
        <v>2072056</v>
      </c>
      <c r="SC69" s="2"/>
      <c r="SD69" s="2"/>
      <c r="SE69" s="6">
        <v>196000</v>
      </c>
      <c r="SF69" s="8">
        <v>150000</v>
      </c>
      <c r="SG69" s="8">
        <v>150000</v>
      </c>
      <c r="SH69" s="8">
        <v>13970502</v>
      </c>
      <c r="SI69" s="8">
        <v>1167951</v>
      </c>
      <c r="SJ69" s="8">
        <v>15138453</v>
      </c>
      <c r="SK69" s="2" t="s">
        <v>277</v>
      </c>
      <c r="SL69" s="2"/>
      <c r="SM69" s="2" t="s">
        <v>278</v>
      </c>
      <c r="SN69" s="2" t="s">
        <v>279</v>
      </c>
      <c r="SO69" s="2"/>
      <c r="SP69" s="8">
        <v>12100000</v>
      </c>
      <c r="SQ69" s="2" t="s">
        <v>95</v>
      </c>
      <c r="SR69" s="2"/>
      <c r="SS69" s="2"/>
      <c r="ST69" s="2"/>
      <c r="SU69" s="2"/>
      <c r="SV69" s="2"/>
      <c r="SW69" s="2"/>
      <c r="SX69" s="2" t="s">
        <v>96</v>
      </c>
      <c r="SY69" s="2" t="s">
        <v>96</v>
      </c>
      <c r="SZ69" s="2" t="s">
        <v>96</v>
      </c>
      <c r="TA69" s="2" t="s">
        <v>96</v>
      </c>
      <c r="TB69" s="8">
        <v>2035206</v>
      </c>
      <c r="TC69" s="2"/>
      <c r="TD69" s="2"/>
      <c r="TE69" s="2"/>
      <c r="TF69" s="2"/>
      <c r="TG69" s="2"/>
      <c r="TH69" s="2"/>
      <c r="TI69" s="8">
        <v>1003247</v>
      </c>
      <c r="TJ69" s="8">
        <v>15138453</v>
      </c>
      <c r="TK69" s="2">
        <v>0</v>
      </c>
      <c r="TL69" s="2" t="s">
        <v>9</v>
      </c>
      <c r="TM69" s="8">
        <v>1350000</v>
      </c>
      <c r="TN69" s="2" t="s">
        <v>95</v>
      </c>
      <c r="TO69" s="2"/>
      <c r="TP69" s="2"/>
      <c r="TQ69" s="2"/>
      <c r="TR69" s="2"/>
      <c r="TS69" s="2"/>
      <c r="TT69" s="2"/>
      <c r="TU69" s="2" t="s">
        <v>96</v>
      </c>
      <c r="TV69" s="8">
        <v>13568043</v>
      </c>
      <c r="TW69" s="2"/>
      <c r="TX69" s="2"/>
      <c r="TY69" s="2"/>
      <c r="TZ69" s="2"/>
      <c r="UA69" s="2"/>
      <c r="UB69" s="2"/>
      <c r="UC69" s="8">
        <v>220410</v>
      </c>
      <c r="UD69" s="8">
        <v>15138453</v>
      </c>
      <c r="UE69" s="6">
        <v>1350000</v>
      </c>
      <c r="UF69" s="2">
        <v>0</v>
      </c>
      <c r="UG69" s="2" t="s">
        <v>9</v>
      </c>
      <c r="UH69" s="2">
        <v>56</v>
      </c>
      <c r="UI69" s="5">
        <v>240000</v>
      </c>
      <c r="UJ69" s="6">
        <v>320000</v>
      </c>
      <c r="UK69" s="6">
        <v>320000</v>
      </c>
      <c r="UL69" s="6">
        <v>339200</v>
      </c>
      <c r="UM69" s="6">
        <v>18995200</v>
      </c>
      <c r="UN69" s="6">
        <v>3039232</v>
      </c>
      <c r="UO69" s="6">
        <v>3039232</v>
      </c>
      <c r="UP69" s="6">
        <v>22034432</v>
      </c>
      <c r="UQ69" s="6">
        <v>14988453</v>
      </c>
      <c r="UR69" s="2"/>
      <c r="US69" s="2"/>
      <c r="UT69" s="6">
        <v>0</v>
      </c>
      <c r="UU69" s="2"/>
      <c r="UV69" s="6">
        <v>0</v>
      </c>
      <c r="UW69" s="6">
        <v>0</v>
      </c>
      <c r="UX69" s="6">
        <v>0</v>
      </c>
      <c r="UY69" s="6">
        <v>0</v>
      </c>
      <c r="UZ69" s="2"/>
      <c r="VA69" s="2"/>
      <c r="VB69" s="2"/>
      <c r="VC69" s="2"/>
      <c r="VD69" s="2" t="s">
        <v>17</v>
      </c>
      <c r="VE69" s="2" t="s">
        <v>17</v>
      </c>
      <c r="VF69" s="2"/>
      <c r="VG69" s="2" t="s">
        <v>17</v>
      </c>
      <c r="VH69" s="2"/>
      <c r="VI69" s="388" t="s">
        <v>237</v>
      </c>
      <c r="VJ69" s="2" t="s">
        <v>98</v>
      </c>
      <c r="VK69" s="2" t="s">
        <v>280</v>
      </c>
      <c r="VL69" s="23">
        <f t="shared" si="32"/>
        <v>76</v>
      </c>
      <c r="VM69" s="17">
        <f t="shared" si="33"/>
        <v>1.3571428571428572</v>
      </c>
      <c r="VN69" s="17" t="str">
        <f t="shared" si="43"/>
        <v>NC-GA-E</v>
      </c>
      <c r="VO69" s="17" t="str">
        <f t="shared" si="44"/>
        <v>NC-GA-E-ESS</v>
      </c>
      <c r="VP69" s="12">
        <v>9</v>
      </c>
      <c r="VQ69" s="57">
        <v>1</v>
      </c>
      <c r="VR69" s="57">
        <f t="shared" si="34"/>
        <v>1</v>
      </c>
      <c r="VS69" s="14">
        <f t="shared" si="35"/>
        <v>1</v>
      </c>
      <c r="VT69" s="12">
        <f t="shared" si="36"/>
        <v>0.93</v>
      </c>
      <c r="VU69" s="16">
        <f t="shared" si="37"/>
        <v>13361868</v>
      </c>
      <c r="VV69" s="19">
        <f t="shared" si="38"/>
        <v>238604.78571428571</v>
      </c>
      <c r="VW69" s="12" t="str">
        <f t="shared" si="50"/>
        <v>A</v>
      </c>
      <c r="VX69" s="54" t="str">
        <f t="shared" si="45"/>
        <v>NC-GA-ESS</v>
      </c>
      <c r="VY69" s="351">
        <f t="shared" si="46"/>
        <v>3</v>
      </c>
      <c r="WA69" s="12">
        <f t="shared" si="47"/>
        <v>1</v>
      </c>
      <c r="WB69" s="12">
        <f t="shared" si="48"/>
        <v>0</v>
      </c>
      <c r="WC69" s="12">
        <f t="shared" si="48"/>
        <v>0</v>
      </c>
      <c r="WD69" s="12">
        <f t="shared" si="48"/>
        <v>0</v>
      </c>
      <c r="WE69" s="12">
        <f t="shared" si="49"/>
        <v>1</v>
      </c>
      <c r="WF69" s="12">
        <f t="shared" si="39"/>
        <v>1</v>
      </c>
      <c r="WG69" s="12">
        <f t="shared" si="40"/>
        <v>0</v>
      </c>
      <c r="WH69" s="12">
        <f t="shared" si="41"/>
        <v>0</v>
      </c>
      <c r="WI69" s="22">
        <f t="shared" si="42"/>
        <v>3</v>
      </c>
      <c r="WK69" s="444" t="str">
        <f t="shared" ref="WK69:WK72" si="51">VX69&amp;"-"&amp;IF(VQ69&gt;1,"BBY","BBN")&amp;"-"&amp;IF(VR69=1,"BRN","BRY")&amp;"-"&amp;IF(VS69=1,"NPH","PHA")&amp;"-"&amp;IF(BW69="Family","F","E")</f>
        <v>NC-GA-ESS-BBN-BRN-NPH-E</v>
      </c>
      <c r="WL69" s="444"/>
      <c r="WM69" s="444"/>
      <c r="WN69" s="2" t="s">
        <v>4945</v>
      </c>
      <c r="WO69" s="12">
        <f>SUM(WI2:WI72)</f>
        <v>132</v>
      </c>
    </row>
    <row r="70" spans="1:613" x14ac:dyDescent="0.25">
      <c r="A70" s="18">
        <v>9383</v>
      </c>
      <c r="B70" s="2" t="s">
        <v>418</v>
      </c>
      <c r="C70" s="2" t="s">
        <v>8</v>
      </c>
      <c r="D70" s="3">
        <v>45153</v>
      </c>
      <c r="E70" s="2" t="s">
        <v>9</v>
      </c>
      <c r="F70" s="2">
        <v>3</v>
      </c>
      <c r="G70" s="2" t="s">
        <v>9</v>
      </c>
      <c r="H70" s="2">
        <v>3</v>
      </c>
      <c r="I70" s="2" t="s">
        <v>9</v>
      </c>
      <c r="J70" s="2">
        <v>3</v>
      </c>
      <c r="K70" s="2" t="s">
        <v>9</v>
      </c>
      <c r="L70" s="2">
        <v>3</v>
      </c>
      <c r="M70" s="2" t="s">
        <v>10</v>
      </c>
      <c r="N70" s="2">
        <v>0</v>
      </c>
      <c r="O70" s="2" t="s">
        <v>10</v>
      </c>
      <c r="P70" s="2">
        <v>0</v>
      </c>
      <c r="Q70" s="2" t="s">
        <v>11</v>
      </c>
      <c r="R70" s="2">
        <v>0</v>
      </c>
      <c r="S70" s="2" t="s">
        <v>9</v>
      </c>
      <c r="T70" s="2">
        <v>2</v>
      </c>
      <c r="U70" s="2" t="s">
        <v>9</v>
      </c>
      <c r="V70" s="2">
        <v>2</v>
      </c>
      <c r="W70" s="2" t="s">
        <v>9</v>
      </c>
      <c r="X70" s="2">
        <v>2</v>
      </c>
      <c r="Y70" s="2" t="s">
        <v>12</v>
      </c>
      <c r="Z70" s="2" t="s">
        <v>15</v>
      </c>
      <c r="AA70" s="2" t="s">
        <v>15</v>
      </c>
      <c r="AB70" s="2" t="s">
        <v>15</v>
      </c>
      <c r="AC70" s="2" t="s">
        <v>15</v>
      </c>
      <c r="AD70" s="2" t="s">
        <v>15</v>
      </c>
      <c r="AE70" s="2" t="s">
        <v>15</v>
      </c>
      <c r="AF70" s="2">
        <v>0</v>
      </c>
      <c r="AG70" s="2" t="s">
        <v>234</v>
      </c>
      <c r="AH70" s="2" t="s">
        <v>17</v>
      </c>
      <c r="AI70" s="4">
        <v>0.15384999999999999</v>
      </c>
      <c r="AJ70" s="2" t="s">
        <v>17</v>
      </c>
      <c r="AK70" s="2" t="s">
        <v>9</v>
      </c>
      <c r="AL70" s="2" t="s">
        <v>17</v>
      </c>
      <c r="AM70" s="2" t="s">
        <v>17</v>
      </c>
      <c r="AN70" s="2" t="s">
        <v>9</v>
      </c>
      <c r="AO70" s="2" t="s">
        <v>17</v>
      </c>
      <c r="AP70" s="2" t="s">
        <v>17</v>
      </c>
      <c r="AQ70" s="2" t="s">
        <v>17</v>
      </c>
      <c r="AR70" s="2" t="s">
        <v>17</v>
      </c>
      <c r="AS70" s="2" t="s">
        <v>17</v>
      </c>
      <c r="AT70" s="2">
        <v>0</v>
      </c>
      <c r="AU70" s="5">
        <v>5000</v>
      </c>
      <c r="AV70" s="2" t="s">
        <v>85</v>
      </c>
      <c r="AW70" s="2">
        <v>0</v>
      </c>
      <c r="AX70" s="2">
        <v>3</v>
      </c>
      <c r="AY70" s="2">
        <v>0</v>
      </c>
      <c r="AZ70" s="2">
        <v>18</v>
      </c>
      <c r="BA70" s="2">
        <v>0</v>
      </c>
      <c r="BB70" s="2">
        <v>1</v>
      </c>
      <c r="BC70" s="2">
        <v>1</v>
      </c>
      <c r="BD70" s="2">
        <v>0</v>
      </c>
      <c r="BE70" s="2">
        <v>0</v>
      </c>
      <c r="BF70" s="2">
        <v>1</v>
      </c>
      <c r="BG70" s="2">
        <v>0</v>
      </c>
      <c r="BH70" s="2">
        <v>0</v>
      </c>
      <c r="BI70" s="2">
        <v>13</v>
      </c>
      <c r="BJ70" s="2">
        <v>1</v>
      </c>
      <c r="BK70" s="2">
        <v>0</v>
      </c>
      <c r="BL70" s="2">
        <v>3</v>
      </c>
      <c r="BM70" s="2">
        <v>2</v>
      </c>
      <c r="BN70" s="2">
        <v>13</v>
      </c>
      <c r="BO70" s="2">
        <v>11</v>
      </c>
      <c r="BP70" s="2">
        <v>0</v>
      </c>
      <c r="BQ70" s="2">
        <v>6</v>
      </c>
      <c r="BR70" s="2">
        <v>10.91</v>
      </c>
      <c r="BS70" s="2">
        <v>0</v>
      </c>
      <c r="BT70" s="4">
        <v>0.06</v>
      </c>
      <c r="BU70" s="2" t="s">
        <v>9</v>
      </c>
      <c r="BV70" s="6">
        <v>215969.47</v>
      </c>
      <c r="BW70" s="2" t="s">
        <v>18</v>
      </c>
      <c r="BX70" s="2" t="s">
        <v>17</v>
      </c>
      <c r="BY70" s="2" t="s">
        <v>17</v>
      </c>
      <c r="BZ70" s="2" t="s">
        <v>17</v>
      </c>
      <c r="CA70" s="2" t="s">
        <v>17</v>
      </c>
      <c r="CB70" s="2" t="s">
        <v>17</v>
      </c>
      <c r="CC70" s="2" t="s">
        <v>17</v>
      </c>
      <c r="CD70" s="2" t="s">
        <v>17</v>
      </c>
      <c r="CE70" s="2" t="s">
        <v>419</v>
      </c>
      <c r="CF70" s="2" t="s">
        <v>17</v>
      </c>
      <c r="CG70" s="2" t="s">
        <v>369</v>
      </c>
      <c r="CH70" s="2" t="s">
        <v>370</v>
      </c>
      <c r="CI70" s="2" t="s">
        <v>371</v>
      </c>
      <c r="CJ70" s="2" t="s">
        <v>9</v>
      </c>
      <c r="CK70" s="2" t="s">
        <v>372</v>
      </c>
      <c r="CL70" s="2" t="s">
        <v>369</v>
      </c>
      <c r="CM70" s="2" t="s">
        <v>373</v>
      </c>
      <c r="CN70" s="2" t="s">
        <v>374</v>
      </c>
      <c r="CO70" s="2" t="s">
        <v>24</v>
      </c>
      <c r="CP70" s="2"/>
      <c r="CQ70" s="2">
        <v>120</v>
      </c>
      <c r="CR70" s="2" t="s">
        <v>420</v>
      </c>
      <c r="CS70" s="2">
        <v>2019</v>
      </c>
      <c r="CT70" s="2" t="s">
        <v>26</v>
      </c>
      <c r="CU70" s="2" t="s">
        <v>27</v>
      </c>
      <c r="CV70" s="2" t="s">
        <v>376</v>
      </c>
      <c r="CW70" s="2" t="s">
        <v>377</v>
      </c>
      <c r="CX70" s="2" t="s">
        <v>24</v>
      </c>
      <c r="CY70" s="2"/>
      <c r="CZ70" s="2">
        <v>56</v>
      </c>
      <c r="DA70" s="2" t="s">
        <v>420</v>
      </c>
      <c r="DB70" s="2">
        <v>2020</v>
      </c>
      <c r="DC70" s="2" t="s">
        <v>30</v>
      </c>
      <c r="DD70" s="2" t="s">
        <v>27</v>
      </c>
      <c r="DE70" s="2" t="s">
        <v>378</v>
      </c>
      <c r="DF70" s="2" t="s">
        <v>379</v>
      </c>
      <c r="DG70" s="2" t="s">
        <v>24</v>
      </c>
      <c r="DH70" s="2"/>
      <c r="DI70" s="2">
        <v>56</v>
      </c>
      <c r="DJ70" s="2" t="s">
        <v>420</v>
      </c>
      <c r="DK70" s="2">
        <v>2020</v>
      </c>
      <c r="DL70" s="2" t="s">
        <v>30</v>
      </c>
      <c r="DM70" s="2" t="s">
        <v>27</v>
      </c>
      <c r="DN70" s="2" t="s">
        <v>33</v>
      </c>
      <c r="DO70" s="2" t="s">
        <v>380</v>
      </c>
      <c r="DP70" s="2" t="s">
        <v>381</v>
      </c>
      <c r="DQ70" s="2" t="s">
        <v>382</v>
      </c>
      <c r="DR70" s="2" t="s">
        <v>383</v>
      </c>
      <c r="DS70" s="2">
        <v>1</v>
      </c>
      <c r="DT70" s="2" t="s">
        <v>384</v>
      </c>
      <c r="DU70" s="2" t="s">
        <v>385</v>
      </c>
      <c r="DV70" s="2" t="s">
        <v>39</v>
      </c>
      <c r="DW70" s="2">
        <v>32904</v>
      </c>
      <c r="DX70" s="2" t="s">
        <v>386</v>
      </c>
      <c r="DY70" s="2">
        <v>105</v>
      </c>
      <c r="DZ70" s="2" t="s">
        <v>421</v>
      </c>
      <c r="EA70" s="2" t="s">
        <v>387</v>
      </c>
      <c r="EB70" s="2" t="s">
        <v>388</v>
      </c>
      <c r="EC70" s="2" t="s">
        <v>389</v>
      </c>
      <c r="ED70" s="2" t="s">
        <v>44</v>
      </c>
      <c r="EE70" s="2">
        <v>160</v>
      </c>
      <c r="EF70" s="2" t="s">
        <v>422</v>
      </c>
      <c r="EG70" s="2">
        <v>10</v>
      </c>
      <c r="EH70" s="2" t="s">
        <v>46</v>
      </c>
      <c r="EI70" s="2" t="s">
        <v>47</v>
      </c>
      <c r="EJ70" s="2" t="s">
        <v>391</v>
      </c>
      <c r="EK70" s="2" t="s">
        <v>389</v>
      </c>
      <c r="EL70" s="2" t="s">
        <v>44</v>
      </c>
      <c r="EM70" s="2">
        <v>141</v>
      </c>
      <c r="EN70" s="2" t="s">
        <v>422</v>
      </c>
      <c r="EO70" s="2">
        <v>8</v>
      </c>
      <c r="EP70" s="2" t="s">
        <v>46</v>
      </c>
      <c r="EQ70" s="2" t="s">
        <v>47</v>
      </c>
      <c r="ER70" s="2" t="s">
        <v>392</v>
      </c>
      <c r="ES70" s="2" t="s">
        <v>393</v>
      </c>
      <c r="ET70" s="2" t="s">
        <v>394</v>
      </c>
      <c r="EU70" s="2" t="s">
        <v>369</v>
      </c>
      <c r="EV70" s="2" t="s">
        <v>395</v>
      </c>
      <c r="EW70" s="2" t="s">
        <v>396</v>
      </c>
      <c r="EX70" s="2" t="s">
        <v>39</v>
      </c>
      <c r="EY70" s="2">
        <v>33606</v>
      </c>
      <c r="EZ70" s="2" t="s">
        <v>397</v>
      </c>
      <c r="FA70" s="2">
        <v>1001</v>
      </c>
      <c r="FB70" s="2" t="s">
        <v>398</v>
      </c>
      <c r="FC70" s="2" t="s">
        <v>399</v>
      </c>
      <c r="FD70" s="2" t="s">
        <v>400</v>
      </c>
      <c r="FE70" s="2" t="s">
        <v>401</v>
      </c>
      <c r="FF70" s="2" t="s">
        <v>369</v>
      </c>
      <c r="FG70" s="2" t="s">
        <v>395</v>
      </c>
      <c r="FH70" s="2" t="s">
        <v>396</v>
      </c>
      <c r="FI70" s="2" t="s">
        <v>39</v>
      </c>
      <c r="FJ70" s="2">
        <v>33606</v>
      </c>
      <c r="FK70" s="2" t="s">
        <v>397</v>
      </c>
      <c r="FL70" s="2">
        <v>1002</v>
      </c>
      <c r="FM70" s="2" t="s">
        <v>402</v>
      </c>
      <c r="FN70" s="2" t="s">
        <v>423</v>
      </c>
      <c r="FO70" s="2" t="s">
        <v>63</v>
      </c>
      <c r="FP70" s="2" t="s">
        <v>64</v>
      </c>
      <c r="FQ70" s="2" t="s">
        <v>9</v>
      </c>
      <c r="FR70" s="2" t="s">
        <v>17</v>
      </c>
      <c r="FS70" s="2" t="s">
        <v>17</v>
      </c>
      <c r="FT70" s="2" t="s">
        <v>9</v>
      </c>
      <c r="FU70" s="2">
        <v>0</v>
      </c>
      <c r="FV70" s="2">
        <v>0</v>
      </c>
      <c r="FW70" s="4">
        <v>0</v>
      </c>
      <c r="FX70" s="4">
        <v>0</v>
      </c>
      <c r="FY70" s="2" t="s">
        <v>65</v>
      </c>
      <c r="FZ70" s="2" t="s">
        <v>66</v>
      </c>
      <c r="GA70" s="2" t="s">
        <v>67</v>
      </c>
      <c r="GB70" s="2"/>
      <c r="GC70" s="2"/>
      <c r="GD70" s="2"/>
      <c r="GE70" s="2" t="s">
        <v>68</v>
      </c>
      <c r="GF70" s="2">
        <v>52</v>
      </c>
      <c r="GG70" s="2">
        <v>52</v>
      </c>
      <c r="GH70" s="2"/>
      <c r="GI70" s="2"/>
      <c r="GJ70" s="2"/>
      <c r="GK70" s="2"/>
      <c r="GL70" s="2"/>
      <c r="GM70" s="2"/>
      <c r="GN70" s="2"/>
      <c r="GO70" s="2"/>
      <c r="GP70" s="2"/>
      <c r="GQ70" s="2">
        <v>52</v>
      </c>
      <c r="GR70" s="2" t="s">
        <v>424</v>
      </c>
      <c r="GS70" s="18" t="s">
        <v>268</v>
      </c>
      <c r="GT70" s="2" t="s">
        <v>425</v>
      </c>
      <c r="GU70" s="2" t="s">
        <v>426</v>
      </c>
      <c r="GV70" s="2" t="s">
        <v>17</v>
      </c>
      <c r="GW70" s="2">
        <v>29.947230999999999</v>
      </c>
      <c r="GX70" s="2">
        <v>-82.102041</v>
      </c>
      <c r="GY70" s="2"/>
      <c r="GZ70" s="2" t="s">
        <v>17</v>
      </c>
      <c r="HA70" s="2" t="s">
        <v>17</v>
      </c>
      <c r="HB70" s="2">
        <v>0</v>
      </c>
      <c r="HC70" s="2" t="s">
        <v>17</v>
      </c>
      <c r="HD70" s="2"/>
      <c r="HE70" s="2">
        <v>0</v>
      </c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 t="s">
        <v>73</v>
      </c>
      <c r="HY70" s="2" t="s">
        <v>17</v>
      </c>
      <c r="HZ70" s="2"/>
      <c r="IA70" s="2" t="s">
        <v>167</v>
      </c>
      <c r="IB70" s="2" t="s">
        <v>427</v>
      </c>
      <c r="IC70" s="2">
        <v>0.75</v>
      </c>
      <c r="ID70" s="2">
        <v>3.5</v>
      </c>
      <c r="IE70" s="2"/>
      <c r="IF70" s="2"/>
      <c r="IG70" s="2"/>
      <c r="IH70" s="2" t="s">
        <v>224</v>
      </c>
      <c r="II70" s="2">
        <v>0.6</v>
      </c>
      <c r="IJ70" s="2">
        <v>3.5</v>
      </c>
      <c r="IK70" s="2" t="s">
        <v>428</v>
      </c>
      <c r="IL70" s="2" t="s">
        <v>429</v>
      </c>
      <c r="IM70" s="2">
        <v>0.55000000000000004</v>
      </c>
      <c r="IN70" s="2">
        <v>4</v>
      </c>
      <c r="IO70" s="2" t="s">
        <v>17</v>
      </c>
      <c r="IP70" s="2">
        <v>0</v>
      </c>
      <c r="IQ70" s="2">
        <v>11</v>
      </c>
      <c r="IR70" s="2">
        <v>0</v>
      </c>
      <c r="IS70" s="2">
        <v>11</v>
      </c>
      <c r="IT70" s="2" t="s">
        <v>17</v>
      </c>
      <c r="IU70" s="2" t="s">
        <v>17</v>
      </c>
      <c r="IV70" s="2" t="s">
        <v>17</v>
      </c>
      <c r="IW70" s="2" t="s">
        <v>9</v>
      </c>
      <c r="IX70" s="2" t="s">
        <v>9</v>
      </c>
      <c r="IY70" s="2">
        <v>11</v>
      </c>
      <c r="IZ70" s="2">
        <v>52</v>
      </c>
      <c r="JA70" s="2" t="s">
        <v>81</v>
      </c>
      <c r="JB70" s="2" t="s">
        <v>82</v>
      </c>
      <c r="JC70" s="2"/>
      <c r="JD70" s="2"/>
      <c r="JE70" s="2"/>
      <c r="JF70" s="2"/>
      <c r="JG70" s="2"/>
      <c r="JH70" s="7">
        <v>0</v>
      </c>
      <c r="JI70" s="2">
        <v>0</v>
      </c>
      <c r="JJ70" s="7">
        <v>0</v>
      </c>
      <c r="JK70" s="2">
        <v>0</v>
      </c>
      <c r="JL70" s="7">
        <v>0</v>
      </c>
      <c r="JM70" s="2">
        <v>8</v>
      </c>
      <c r="JN70" s="2">
        <v>16</v>
      </c>
      <c r="JO70" s="2"/>
      <c r="JP70" s="2"/>
      <c r="JQ70" s="2"/>
      <c r="JR70" s="2">
        <v>28</v>
      </c>
      <c r="JS70" s="2">
        <v>0</v>
      </c>
      <c r="JT70" s="2">
        <v>0</v>
      </c>
      <c r="JU70" s="2"/>
      <c r="JV70" s="2">
        <v>52</v>
      </c>
      <c r="JW70" s="4">
        <v>1</v>
      </c>
      <c r="JX70" s="2">
        <v>52</v>
      </c>
      <c r="JY70" s="4">
        <v>0.6</v>
      </c>
      <c r="JZ70" s="2">
        <v>0</v>
      </c>
      <c r="KA70" s="2"/>
      <c r="KB70" s="2"/>
      <c r="KC70" s="2"/>
      <c r="KD70" s="2"/>
      <c r="KE70" s="2"/>
      <c r="KF70" s="2"/>
      <c r="KG70" s="2"/>
      <c r="KH70" s="2">
        <v>11</v>
      </c>
      <c r="KI70" s="2"/>
      <c r="KJ70" s="2"/>
      <c r="KK70" s="2">
        <v>27</v>
      </c>
      <c r="KL70" s="2">
        <v>14</v>
      </c>
      <c r="KM70" s="2"/>
      <c r="KN70" s="2"/>
      <c r="KO70" s="2"/>
      <c r="KP70" s="2"/>
      <c r="KQ70" s="2" t="s">
        <v>83</v>
      </c>
      <c r="KR70" s="2" t="s">
        <v>73</v>
      </c>
      <c r="KS70" s="2"/>
      <c r="KT70" s="2">
        <v>3</v>
      </c>
      <c r="KU70" s="2" t="s">
        <v>84</v>
      </c>
      <c r="KV70" s="2" t="s">
        <v>85</v>
      </c>
      <c r="KW70" s="2" t="s">
        <v>86</v>
      </c>
      <c r="KX70" s="2" t="s">
        <v>17</v>
      </c>
      <c r="KY70" s="2" t="s">
        <v>17</v>
      </c>
      <c r="KZ70" s="2" t="s">
        <v>17</v>
      </c>
      <c r="LA70" s="2" t="s">
        <v>17</v>
      </c>
      <c r="LB70" s="2" t="s">
        <v>17</v>
      </c>
      <c r="LC70" s="2" t="s">
        <v>17</v>
      </c>
      <c r="LD70" s="2" t="s">
        <v>17</v>
      </c>
      <c r="LE70" s="2" t="s">
        <v>17</v>
      </c>
      <c r="LF70" s="2" t="s">
        <v>17</v>
      </c>
      <c r="LG70" s="2" t="s">
        <v>17</v>
      </c>
      <c r="LH70" s="2" t="s">
        <v>17</v>
      </c>
      <c r="LI70" s="2" t="s">
        <v>17</v>
      </c>
      <c r="LJ70" s="2" t="s">
        <v>87</v>
      </c>
      <c r="LK70" s="2" t="s">
        <v>17</v>
      </c>
      <c r="LL70" s="2" t="s">
        <v>17</v>
      </c>
      <c r="LM70" s="2">
        <v>0</v>
      </c>
      <c r="LN70" s="2" t="s">
        <v>17</v>
      </c>
      <c r="LO70" s="2" t="s">
        <v>9</v>
      </c>
      <c r="LP70" s="2" t="s">
        <v>9</v>
      </c>
      <c r="LQ70" s="2" t="s">
        <v>17</v>
      </c>
      <c r="LR70" s="2" t="s">
        <v>9</v>
      </c>
      <c r="LS70" s="2" t="s">
        <v>17</v>
      </c>
      <c r="LT70" s="2" t="s">
        <v>17</v>
      </c>
      <c r="LU70" s="2" t="s">
        <v>17</v>
      </c>
      <c r="LV70" s="2" t="s">
        <v>17</v>
      </c>
      <c r="LW70" s="2" t="s">
        <v>17</v>
      </c>
      <c r="LX70" s="2" t="s">
        <v>17</v>
      </c>
      <c r="LY70" s="5">
        <v>4160000</v>
      </c>
      <c r="LZ70" s="5">
        <v>0</v>
      </c>
      <c r="MA70" s="5">
        <v>5200000</v>
      </c>
      <c r="MB70" s="5">
        <v>0</v>
      </c>
      <c r="MC70" s="5">
        <v>0</v>
      </c>
      <c r="MD70" s="5">
        <v>0</v>
      </c>
      <c r="ME70" s="5">
        <v>5460000</v>
      </c>
      <c r="MF70" s="5">
        <v>0</v>
      </c>
      <c r="MG70" s="5">
        <v>0</v>
      </c>
      <c r="MH70" s="5">
        <v>0</v>
      </c>
      <c r="MI70" s="5">
        <v>0</v>
      </c>
      <c r="MJ70" s="5">
        <v>0</v>
      </c>
      <c r="MK70" s="5">
        <v>0</v>
      </c>
      <c r="ML70" s="2">
        <v>0</v>
      </c>
      <c r="MM70" s="5">
        <v>0</v>
      </c>
      <c r="MN70" s="5">
        <v>0</v>
      </c>
      <c r="MO70" s="2">
        <v>0</v>
      </c>
      <c r="MP70" s="2">
        <v>0</v>
      </c>
      <c r="MQ70" s="2">
        <v>0</v>
      </c>
      <c r="MR70" s="5">
        <v>2950000</v>
      </c>
      <c r="MS70" s="5">
        <v>0</v>
      </c>
      <c r="MT70" s="5">
        <v>4600000</v>
      </c>
      <c r="MU70" s="5">
        <v>0</v>
      </c>
      <c r="MV70" s="5">
        <v>0</v>
      </c>
      <c r="MW70" s="5">
        <v>0</v>
      </c>
      <c r="MX70" s="5">
        <v>0</v>
      </c>
      <c r="MY70" s="5">
        <v>1650000</v>
      </c>
      <c r="MZ70" s="5">
        <v>0</v>
      </c>
      <c r="NA70" s="5">
        <v>5000000</v>
      </c>
      <c r="NB70" s="5">
        <v>0</v>
      </c>
      <c r="NC70" s="5">
        <v>0</v>
      </c>
      <c r="ND70" s="5">
        <v>0</v>
      </c>
      <c r="NE70" s="5">
        <v>0</v>
      </c>
      <c r="NF70" s="5">
        <v>0</v>
      </c>
      <c r="NG70" s="5">
        <v>1596420</v>
      </c>
      <c r="NH70" s="5">
        <v>1559000</v>
      </c>
      <c r="NI70" s="5">
        <v>1559000</v>
      </c>
      <c r="NJ70" s="5">
        <v>0</v>
      </c>
      <c r="NK70" s="5"/>
      <c r="NL70" s="2" t="s">
        <v>17</v>
      </c>
      <c r="NM70" s="2" t="s">
        <v>17</v>
      </c>
      <c r="NN70" s="2"/>
      <c r="NO70" s="2" t="s">
        <v>17</v>
      </c>
      <c r="NP70" s="2"/>
      <c r="NQ70" s="2"/>
      <c r="NR70" s="2" t="s">
        <v>9</v>
      </c>
      <c r="NS70" s="2" t="s">
        <v>424</v>
      </c>
      <c r="NT70" s="2" t="s">
        <v>17</v>
      </c>
      <c r="NU70" s="2"/>
      <c r="NV70" s="2"/>
      <c r="NW70" s="2"/>
      <c r="NX70" s="2"/>
      <c r="NY70" s="2"/>
      <c r="NZ70" s="2"/>
      <c r="OA70" s="2" t="s">
        <v>118</v>
      </c>
      <c r="OB70" s="2" t="s">
        <v>118</v>
      </c>
      <c r="OC70" s="2" t="s">
        <v>118</v>
      </c>
      <c r="OD70" s="2" t="s">
        <v>17</v>
      </c>
      <c r="OE70" s="2" t="s">
        <v>119</v>
      </c>
      <c r="OF70" s="2"/>
      <c r="OG70" s="2" t="s">
        <v>17</v>
      </c>
      <c r="OH70" s="2" t="s">
        <v>92</v>
      </c>
      <c r="OI70" s="2"/>
      <c r="OJ70" s="2"/>
      <c r="OK70" s="2" t="s">
        <v>17</v>
      </c>
      <c r="OL70" s="2" t="s">
        <v>17</v>
      </c>
      <c r="OM70" s="2" t="s">
        <v>85</v>
      </c>
      <c r="ON70" s="6">
        <v>0</v>
      </c>
      <c r="OO70" s="6">
        <v>0</v>
      </c>
      <c r="OP70" s="2" t="s">
        <v>93</v>
      </c>
      <c r="OQ70" s="2" t="s">
        <v>93</v>
      </c>
      <c r="OR70" s="6">
        <v>0</v>
      </c>
      <c r="OS70" s="4">
        <v>0</v>
      </c>
      <c r="OT70" s="2" t="s">
        <v>17</v>
      </c>
      <c r="OU70" s="2" t="s">
        <v>17</v>
      </c>
      <c r="OV70" s="2"/>
      <c r="OW70" s="2"/>
      <c r="OX70" s="5">
        <v>11230412</v>
      </c>
      <c r="OY70" s="6">
        <v>215969.47</v>
      </c>
      <c r="OZ70" s="2"/>
      <c r="PA70" s="2"/>
      <c r="PB70" s="8">
        <v>9087645</v>
      </c>
      <c r="PC70" s="2"/>
      <c r="PD70" s="8">
        <v>9087645</v>
      </c>
      <c r="PE70" s="8">
        <v>711282</v>
      </c>
      <c r="PF70" s="2"/>
      <c r="PG70" s="8">
        <v>711282</v>
      </c>
      <c r="PH70" s="2"/>
      <c r="PI70" s="2"/>
      <c r="PJ70" s="2"/>
      <c r="PK70" s="8">
        <v>9798927</v>
      </c>
      <c r="PL70" s="2"/>
      <c r="PM70" s="8">
        <v>9798927</v>
      </c>
      <c r="PN70" s="8">
        <v>1371849</v>
      </c>
      <c r="PO70" s="2"/>
      <c r="PP70" s="8">
        <v>1371849</v>
      </c>
      <c r="PQ70" s="6">
        <v>1371849</v>
      </c>
      <c r="PR70" s="8">
        <v>11170776</v>
      </c>
      <c r="PS70" s="2"/>
      <c r="PT70" s="8">
        <v>11170776</v>
      </c>
      <c r="PU70" s="8">
        <v>558538</v>
      </c>
      <c r="PV70" s="2"/>
      <c r="PW70" s="8">
        <v>558538</v>
      </c>
      <c r="PX70" s="6">
        <v>558538.80000000005</v>
      </c>
      <c r="PY70" s="8">
        <v>603920</v>
      </c>
      <c r="PZ70" s="8">
        <v>150480</v>
      </c>
      <c r="QA70" s="8">
        <v>754400</v>
      </c>
      <c r="QB70" s="8">
        <v>118990</v>
      </c>
      <c r="QC70" s="8">
        <v>6500</v>
      </c>
      <c r="QD70" s="8">
        <v>125490</v>
      </c>
      <c r="QE70" s="8">
        <v>102898</v>
      </c>
      <c r="QF70" s="2"/>
      <c r="QG70" s="8">
        <v>102898</v>
      </c>
      <c r="QH70" s="2">
        <v>0</v>
      </c>
      <c r="QI70" s="8">
        <v>370228</v>
      </c>
      <c r="QJ70" s="8">
        <v>370228</v>
      </c>
      <c r="QK70" s="2"/>
      <c r="QL70" s="2"/>
      <c r="QM70" s="2"/>
      <c r="QN70" s="2"/>
      <c r="QO70" s="2"/>
      <c r="QP70" s="2"/>
      <c r="QQ70" s="8">
        <v>825808</v>
      </c>
      <c r="QR70" s="8">
        <v>527208</v>
      </c>
      <c r="QS70" s="8">
        <v>1353016</v>
      </c>
      <c r="QT70" s="8">
        <v>67650</v>
      </c>
      <c r="QU70" s="2"/>
      <c r="QV70" s="8">
        <v>67650</v>
      </c>
      <c r="QW70" s="6">
        <v>67650.8</v>
      </c>
      <c r="QX70" s="8">
        <v>650001</v>
      </c>
      <c r="QY70" s="8">
        <v>124426</v>
      </c>
      <c r="QZ70" s="8">
        <v>774427</v>
      </c>
      <c r="RA70" s="8">
        <v>37561</v>
      </c>
      <c r="RB70" s="8">
        <v>37561</v>
      </c>
      <c r="RC70" s="2"/>
      <c r="RD70" s="2"/>
      <c r="RE70" s="2"/>
      <c r="RF70" s="8">
        <v>650001</v>
      </c>
      <c r="RG70" s="8">
        <v>161987</v>
      </c>
      <c r="RH70" s="8">
        <v>811988</v>
      </c>
      <c r="RI70" s="2"/>
      <c r="RJ70" s="2"/>
      <c r="RK70" s="2"/>
      <c r="RL70" s="2"/>
      <c r="RM70" s="8">
        <v>13272773</v>
      </c>
      <c r="RN70" s="8">
        <v>689195</v>
      </c>
      <c r="RO70" s="8">
        <v>13961968</v>
      </c>
      <c r="RP70" s="2"/>
      <c r="RQ70" s="2"/>
      <c r="RR70" s="2">
        <v>0</v>
      </c>
      <c r="RS70" s="6">
        <v>0</v>
      </c>
      <c r="RT70" s="8">
        <v>2233914</v>
      </c>
      <c r="RU70" s="2"/>
      <c r="RV70" s="8">
        <v>2233914</v>
      </c>
      <c r="RW70" s="6">
        <v>2233914</v>
      </c>
      <c r="RX70" s="6">
        <v>0</v>
      </c>
      <c r="RY70" s="8">
        <v>2233914</v>
      </c>
      <c r="RZ70" s="2"/>
      <c r="SA70" s="8">
        <v>2233914</v>
      </c>
      <c r="SB70" s="6">
        <v>2233914</v>
      </c>
      <c r="SC70" s="8">
        <v>182000</v>
      </c>
      <c r="SD70" s="8">
        <v>182000</v>
      </c>
      <c r="SE70" s="6">
        <v>182000</v>
      </c>
      <c r="SF70" s="8">
        <v>430000</v>
      </c>
      <c r="SG70" s="8">
        <v>430000</v>
      </c>
      <c r="SH70" s="8">
        <v>15506687</v>
      </c>
      <c r="SI70" s="8">
        <v>1301195</v>
      </c>
      <c r="SJ70" s="8">
        <v>16807882</v>
      </c>
      <c r="SK70" s="2" t="s">
        <v>410</v>
      </c>
      <c r="SL70" s="2"/>
      <c r="SM70" s="2"/>
      <c r="SN70" s="2"/>
      <c r="SO70" s="2"/>
      <c r="SP70" s="8">
        <v>13070000</v>
      </c>
      <c r="SQ70" s="2" t="s">
        <v>95</v>
      </c>
      <c r="SR70" s="2"/>
      <c r="SS70" s="2"/>
      <c r="ST70" s="2"/>
      <c r="SU70" s="2"/>
      <c r="SV70" s="2"/>
      <c r="SW70" s="2"/>
      <c r="SX70" s="2" t="s">
        <v>96</v>
      </c>
      <c r="SY70" s="2" t="s">
        <v>96</v>
      </c>
      <c r="SZ70" s="2" t="s">
        <v>96</v>
      </c>
      <c r="TA70" s="2" t="s">
        <v>96</v>
      </c>
      <c r="TB70" s="8">
        <v>2169912</v>
      </c>
      <c r="TC70" s="2" t="s">
        <v>430</v>
      </c>
      <c r="TD70" s="2">
        <v>100</v>
      </c>
      <c r="TE70" s="2" t="s">
        <v>413</v>
      </c>
      <c r="TF70" s="2"/>
      <c r="TG70" s="2"/>
      <c r="TH70" s="2"/>
      <c r="TI70" s="8">
        <v>1567870</v>
      </c>
      <c r="TJ70" s="8">
        <v>16807882</v>
      </c>
      <c r="TK70" s="2">
        <v>0</v>
      </c>
      <c r="TL70" s="2" t="s">
        <v>9</v>
      </c>
      <c r="TM70" s="8">
        <v>2256094</v>
      </c>
      <c r="TN70" s="2" t="s">
        <v>95</v>
      </c>
      <c r="TO70" s="2"/>
      <c r="TP70" s="2"/>
      <c r="TQ70" s="2"/>
      <c r="TR70" s="2"/>
      <c r="TS70" s="2"/>
      <c r="TT70" s="2"/>
      <c r="TU70" s="2" t="s">
        <v>96</v>
      </c>
      <c r="TV70" s="8">
        <v>13561944</v>
      </c>
      <c r="TW70" s="2" t="s">
        <v>431</v>
      </c>
      <c r="TX70" s="2">
        <v>100</v>
      </c>
      <c r="TY70" s="2" t="s">
        <v>413</v>
      </c>
      <c r="TZ70" s="2"/>
      <c r="UA70" s="2"/>
      <c r="UB70" s="2"/>
      <c r="UC70" s="8">
        <v>989744</v>
      </c>
      <c r="UD70" s="8">
        <v>16807882</v>
      </c>
      <c r="UE70" s="6">
        <v>2256194</v>
      </c>
      <c r="UF70" s="2">
        <v>0</v>
      </c>
      <c r="UG70" s="2" t="s">
        <v>9</v>
      </c>
      <c r="UH70" s="2">
        <v>52</v>
      </c>
      <c r="UI70" s="5">
        <v>240000</v>
      </c>
      <c r="UJ70" s="6">
        <v>320000</v>
      </c>
      <c r="UK70" s="6">
        <v>320000</v>
      </c>
      <c r="UL70" s="6">
        <v>339200</v>
      </c>
      <c r="UM70" s="6">
        <v>17638400</v>
      </c>
      <c r="UN70" s="6">
        <v>2822144</v>
      </c>
      <c r="UO70" s="6">
        <v>2822144</v>
      </c>
      <c r="UP70" s="6">
        <v>20460544</v>
      </c>
      <c r="UQ70" s="6">
        <v>16195882</v>
      </c>
      <c r="UR70" s="2"/>
      <c r="US70" s="2"/>
      <c r="UT70" s="6">
        <v>0</v>
      </c>
      <c r="UU70" s="2"/>
      <c r="UV70" s="6">
        <v>0</v>
      </c>
      <c r="UW70" s="6">
        <v>0</v>
      </c>
      <c r="UX70" s="6">
        <v>0</v>
      </c>
      <c r="UY70" s="6">
        <v>0</v>
      </c>
      <c r="UZ70" s="2"/>
      <c r="VA70" s="2"/>
      <c r="VB70" s="2"/>
      <c r="VC70" s="2"/>
      <c r="VD70" s="2"/>
      <c r="VE70" s="2" t="s">
        <v>17</v>
      </c>
      <c r="VF70" s="2"/>
      <c r="VG70" s="2" t="s">
        <v>17</v>
      </c>
      <c r="VH70" s="2"/>
      <c r="VI70" s="388" t="s">
        <v>372</v>
      </c>
      <c r="VJ70" s="2" t="s">
        <v>98</v>
      </c>
      <c r="VK70" s="2" t="s">
        <v>432</v>
      </c>
      <c r="VL70" s="23">
        <f t="shared" si="32"/>
        <v>107</v>
      </c>
      <c r="VM70" s="17">
        <f t="shared" si="33"/>
        <v>2.0576923076923075</v>
      </c>
      <c r="VN70" s="17" t="str">
        <f t="shared" si="43"/>
        <v>NC-GA-F</v>
      </c>
      <c r="VO70" s="17" t="str">
        <f t="shared" si="44"/>
        <v>NC-GA-F-ESS</v>
      </c>
      <c r="VP70" s="12">
        <v>9</v>
      </c>
      <c r="VQ70" s="57">
        <v>1</v>
      </c>
      <c r="VR70" s="57">
        <f t="shared" si="34"/>
        <v>1</v>
      </c>
      <c r="VS70" s="14">
        <f t="shared" si="35"/>
        <v>1</v>
      </c>
      <c r="VT70" s="12">
        <f t="shared" si="36"/>
        <v>0.92999999999999994</v>
      </c>
      <c r="VU70" s="16">
        <f t="shared" si="37"/>
        <v>13048830</v>
      </c>
      <c r="VV70" s="19">
        <f t="shared" si="38"/>
        <v>250939.03846153847</v>
      </c>
      <c r="VW70" s="12" t="str">
        <f t="shared" si="50"/>
        <v>A</v>
      </c>
      <c r="VX70" s="54" t="str">
        <f t="shared" si="45"/>
        <v>NC-GA-ESS</v>
      </c>
      <c r="VY70" s="351">
        <f t="shared" si="46"/>
        <v>4</v>
      </c>
      <c r="WA70" s="12">
        <f t="shared" si="47"/>
        <v>0</v>
      </c>
      <c r="WB70" s="12">
        <f t="shared" si="48"/>
        <v>0</v>
      </c>
      <c r="WC70" s="12">
        <f t="shared" si="48"/>
        <v>0</v>
      </c>
      <c r="WD70" s="12">
        <f t="shared" si="48"/>
        <v>0</v>
      </c>
      <c r="WE70" s="12">
        <f t="shared" si="49"/>
        <v>1</v>
      </c>
      <c r="WF70" s="12">
        <f t="shared" si="39"/>
        <v>1</v>
      </c>
      <c r="WG70" s="12">
        <f t="shared" si="40"/>
        <v>0</v>
      </c>
      <c r="WH70" s="12">
        <f t="shared" si="41"/>
        <v>0</v>
      </c>
      <c r="WI70" s="22">
        <f t="shared" si="42"/>
        <v>2</v>
      </c>
      <c r="WK70" s="443" t="str">
        <f t="shared" si="51"/>
        <v>NC-GA-ESS-BBN-BRN-NPH-F</v>
      </c>
      <c r="WL70" s="443"/>
      <c r="WM70" s="443"/>
      <c r="WN70" s="2" t="s">
        <v>5395</v>
      </c>
      <c r="WO70" s="14">
        <f>WO69/VU84</f>
        <v>1.8591549295774648</v>
      </c>
    </row>
    <row r="71" spans="1:613" x14ac:dyDescent="0.25">
      <c r="A71" s="18">
        <v>9561</v>
      </c>
      <c r="B71" s="2" t="s">
        <v>1862</v>
      </c>
      <c r="C71" s="2" t="s">
        <v>8</v>
      </c>
      <c r="D71" s="3">
        <v>45153</v>
      </c>
      <c r="E71" s="2" t="s">
        <v>9</v>
      </c>
      <c r="F71" s="2">
        <v>3</v>
      </c>
      <c r="G71" s="2" t="s">
        <v>9</v>
      </c>
      <c r="H71" s="2">
        <v>3</v>
      </c>
      <c r="I71" s="2" t="s">
        <v>9</v>
      </c>
      <c r="J71" s="2">
        <v>2</v>
      </c>
      <c r="K71" s="2" t="s">
        <v>9</v>
      </c>
      <c r="L71" s="2">
        <v>3</v>
      </c>
      <c r="M71" s="2" t="s">
        <v>10</v>
      </c>
      <c r="N71" s="2">
        <v>0</v>
      </c>
      <c r="O71" s="2" t="s">
        <v>10</v>
      </c>
      <c r="P71" s="2">
        <v>0</v>
      </c>
      <c r="Q71" s="2" t="s">
        <v>11</v>
      </c>
      <c r="R71" s="2">
        <v>0</v>
      </c>
      <c r="S71" s="2" t="s">
        <v>9</v>
      </c>
      <c r="T71" s="2">
        <v>2</v>
      </c>
      <c r="U71" s="2" t="s">
        <v>9</v>
      </c>
      <c r="V71" s="2">
        <v>2</v>
      </c>
      <c r="W71" s="2" t="s">
        <v>9</v>
      </c>
      <c r="X71" s="2">
        <v>2</v>
      </c>
      <c r="Y71" s="2" t="s">
        <v>12</v>
      </c>
      <c r="Z71" s="2" t="s">
        <v>15</v>
      </c>
      <c r="AA71" s="2" t="s">
        <v>15</v>
      </c>
      <c r="AB71" s="2" t="s">
        <v>15</v>
      </c>
      <c r="AC71" s="2" t="s">
        <v>15</v>
      </c>
      <c r="AD71" s="2" t="s">
        <v>15</v>
      </c>
      <c r="AE71" s="2" t="s">
        <v>15</v>
      </c>
      <c r="AF71" s="2">
        <v>0</v>
      </c>
      <c r="AG71" s="2" t="s">
        <v>234</v>
      </c>
      <c r="AH71" s="2" t="s">
        <v>17</v>
      </c>
      <c r="AI71" s="4">
        <v>0.1</v>
      </c>
      <c r="AJ71" s="2" t="s">
        <v>17</v>
      </c>
      <c r="AK71" s="2" t="s">
        <v>9</v>
      </c>
      <c r="AL71" s="2" t="s">
        <v>17</v>
      </c>
      <c r="AM71" s="2" t="s">
        <v>17</v>
      </c>
      <c r="AN71" s="2" t="s">
        <v>9</v>
      </c>
      <c r="AO71" s="2" t="s">
        <v>17</v>
      </c>
      <c r="AP71" s="2" t="s">
        <v>17</v>
      </c>
      <c r="AQ71" s="2" t="s">
        <v>17</v>
      </c>
      <c r="AR71" s="2" t="s">
        <v>17</v>
      </c>
      <c r="AS71" s="2" t="s">
        <v>17</v>
      </c>
      <c r="AT71" s="2">
        <v>0</v>
      </c>
      <c r="AU71" s="5">
        <v>10000</v>
      </c>
      <c r="AV71" s="2" t="s">
        <v>85</v>
      </c>
      <c r="AW71" s="2">
        <v>0</v>
      </c>
      <c r="AX71" s="2">
        <v>7</v>
      </c>
      <c r="AY71" s="2">
        <v>0</v>
      </c>
      <c r="AZ71" s="2">
        <v>18</v>
      </c>
      <c r="BA71" s="2">
        <v>0</v>
      </c>
      <c r="BB71" s="2">
        <v>1</v>
      </c>
      <c r="BC71" s="2">
        <v>1</v>
      </c>
      <c r="BD71" s="2">
        <v>0</v>
      </c>
      <c r="BE71" s="2">
        <v>0</v>
      </c>
      <c r="BF71" s="2">
        <v>1</v>
      </c>
      <c r="BG71" s="2">
        <v>0</v>
      </c>
      <c r="BH71" s="2">
        <v>0</v>
      </c>
      <c r="BI71" s="2">
        <v>13</v>
      </c>
      <c r="BJ71" s="2">
        <v>1</v>
      </c>
      <c r="BK71" s="2">
        <v>0</v>
      </c>
      <c r="BL71" s="2">
        <v>3</v>
      </c>
      <c r="BM71" s="2">
        <v>2</v>
      </c>
      <c r="BN71" s="2">
        <v>11</v>
      </c>
      <c r="BO71" s="2">
        <v>11</v>
      </c>
      <c r="BP71" s="2">
        <v>0</v>
      </c>
      <c r="BQ71" s="2">
        <v>5</v>
      </c>
      <c r="BR71" s="2">
        <v>9.84</v>
      </c>
      <c r="BS71" s="2">
        <v>0</v>
      </c>
      <c r="BT71" s="4">
        <v>0.06</v>
      </c>
      <c r="BU71" s="2" t="s">
        <v>9</v>
      </c>
      <c r="BV71" s="6">
        <v>239582.73</v>
      </c>
      <c r="BW71" s="2" t="s">
        <v>18</v>
      </c>
      <c r="BX71" s="2" t="s">
        <v>17</v>
      </c>
      <c r="BY71" s="2" t="s">
        <v>17</v>
      </c>
      <c r="BZ71" s="2" t="s">
        <v>17</v>
      </c>
      <c r="CA71" s="2" t="s">
        <v>17</v>
      </c>
      <c r="CB71" s="2" t="s">
        <v>17</v>
      </c>
      <c r="CC71" s="2" t="s">
        <v>17</v>
      </c>
      <c r="CD71" s="2" t="s">
        <v>17</v>
      </c>
      <c r="CE71" s="2" t="s">
        <v>1863</v>
      </c>
      <c r="CF71" s="2" t="s">
        <v>17</v>
      </c>
      <c r="CG71" s="2" t="s">
        <v>1864</v>
      </c>
      <c r="CH71" s="2" t="s">
        <v>1172</v>
      </c>
      <c r="CI71" s="2" t="s">
        <v>1865</v>
      </c>
      <c r="CJ71" s="2" t="s">
        <v>9</v>
      </c>
      <c r="CK71" s="2" t="s">
        <v>1173</v>
      </c>
      <c r="CL71" s="2" t="s">
        <v>1172</v>
      </c>
      <c r="CM71" s="2" t="s">
        <v>1174</v>
      </c>
      <c r="CN71" s="2" t="s">
        <v>1175</v>
      </c>
      <c r="CO71" s="2" t="s">
        <v>24</v>
      </c>
      <c r="CP71" s="2"/>
      <c r="CQ71" s="2">
        <v>100</v>
      </c>
      <c r="CR71" s="2" t="s">
        <v>1866</v>
      </c>
      <c r="CS71" s="2">
        <v>2019</v>
      </c>
      <c r="CT71" s="2" t="s">
        <v>26</v>
      </c>
      <c r="CU71" s="2" t="s">
        <v>27</v>
      </c>
      <c r="CV71" s="2" t="s">
        <v>1176</v>
      </c>
      <c r="CW71" s="2" t="s">
        <v>1175</v>
      </c>
      <c r="CX71" s="2" t="s">
        <v>853</v>
      </c>
      <c r="CY71" s="2"/>
      <c r="CZ71" s="2">
        <v>120</v>
      </c>
      <c r="DA71" s="2" t="s">
        <v>1866</v>
      </c>
      <c r="DB71" s="2">
        <v>2020</v>
      </c>
      <c r="DC71" s="2" t="s">
        <v>26</v>
      </c>
      <c r="DD71" s="2" t="s">
        <v>27</v>
      </c>
      <c r="DE71" s="2" t="s">
        <v>1177</v>
      </c>
      <c r="DF71" s="2" t="s">
        <v>1178</v>
      </c>
      <c r="DG71" s="2" t="s">
        <v>24</v>
      </c>
      <c r="DH71" s="2"/>
      <c r="DI71" s="2">
        <v>65</v>
      </c>
      <c r="DJ71" s="2" t="s">
        <v>1866</v>
      </c>
      <c r="DK71" s="2">
        <v>2020</v>
      </c>
      <c r="DL71" s="2" t="s">
        <v>30</v>
      </c>
      <c r="DM71" s="2" t="s">
        <v>27</v>
      </c>
      <c r="DN71" s="2" t="s">
        <v>33</v>
      </c>
      <c r="DO71" s="2" t="s">
        <v>1179</v>
      </c>
      <c r="DP71" s="2" t="s">
        <v>951</v>
      </c>
      <c r="DQ71" s="2" t="s">
        <v>1180</v>
      </c>
      <c r="DR71" s="2" t="s">
        <v>1181</v>
      </c>
      <c r="DS71" s="2">
        <v>1</v>
      </c>
      <c r="DT71" s="2" t="s">
        <v>1182</v>
      </c>
      <c r="DU71" s="2" t="s">
        <v>299</v>
      </c>
      <c r="DV71" s="2" t="s">
        <v>39</v>
      </c>
      <c r="DW71" s="2">
        <v>33176</v>
      </c>
      <c r="DX71" s="2" t="s">
        <v>1183</v>
      </c>
      <c r="DY71" s="2">
        <v>218</v>
      </c>
      <c r="DZ71" s="2" t="s">
        <v>1184</v>
      </c>
      <c r="EA71" s="2" t="s">
        <v>1181</v>
      </c>
      <c r="EB71" s="2" t="s">
        <v>1185</v>
      </c>
      <c r="EC71" s="2" t="s">
        <v>1089</v>
      </c>
      <c r="ED71" s="2" t="s">
        <v>44</v>
      </c>
      <c r="EE71" s="2">
        <v>300</v>
      </c>
      <c r="EF71" s="2" t="s">
        <v>1867</v>
      </c>
      <c r="EG71" s="2">
        <v>11</v>
      </c>
      <c r="EH71" s="2" t="s">
        <v>46</v>
      </c>
      <c r="EI71" s="2" t="s">
        <v>47</v>
      </c>
      <c r="EJ71" s="2" t="s">
        <v>1186</v>
      </c>
      <c r="EK71" s="2" t="s">
        <v>692</v>
      </c>
      <c r="EL71" s="2" t="s">
        <v>44</v>
      </c>
      <c r="EM71" s="2">
        <v>420</v>
      </c>
      <c r="EN71" s="2" t="s">
        <v>1867</v>
      </c>
      <c r="EO71" s="2">
        <v>18</v>
      </c>
      <c r="EP71" s="2" t="s">
        <v>46</v>
      </c>
      <c r="EQ71" s="2" t="s">
        <v>47</v>
      </c>
      <c r="ER71" s="2" t="s">
        <v>50</v>
      </c>
      <c r="ES71" s="2"/>
      <c r="ET71" s="2" t="s">
        <v>1187</v>
      </c>
      <c r="EU71" s="2" t="s">
        <v>1863</v>
      </c>
      <c r="EV71" s="2" t="s">
        <v>1188</v>
      </c>
      <c r="EW71" s="2" t="s">
        <v>396</v>
      </c>
      <c r="EX71" s="2" t="s">
        <v>39</v>
      </c>
      <c r="EY71" s="2">
        <v>33618</v>
      </c>
      <c r="EZ71" s="2" t="s">
        <v>1189</v>
      </c>
      <c r="FA71" s="2"/>
      <c r="FB71" s="2" t="s">
        <v>1190</v>
      </c>
      <c r="FC71" s="2" t="s">
        <v>1191</v>
      </c>
      <c r="FD71" s="2"/>
      <c r="FE71" s="2" t="s">
        <v>1192</v>
      </c>
      <c r="FF71" s="2" t="s">
        <v>1172</v>
      </c>
      <c r="FG71" s="2" t="s">
        <v>1193</v>
      </c>
      <c r="FH71" s="2" t="s">
        <v>661</v>
      </c>
      <c r="FI71" s="2" t="s">
        <v>39</v>
      </c>
      <c r="FJ71" s="2">
        <v>32751</v>
      </c>
      <c r="FK71" s="2" t="s">
        <v>1194</v>
      </c>
      <c r="FL71" s="2"/>
      <c r="FM71" s="2" t="s">
        <v>1195</v>
      </c>
      <c r="FN71" s="2" t="s">
        <v>1868</v>
      </c>
      <c r="FO71" s="2" t="s">
        <v>63</v>
      </c>
      <c r="FP71" s="2" t="s">
        <v>64</v>
      </c>
      <c r="FQ71" s="2" t="s">
        <v>9</v>
      </c>
      <c r="FR71" s="2" t="s">
        <v>17</v>
      </c>
      <c r="FS71" s="2" t="s">
        <v>17</v>
      </c>
      <c r="FT71" s="2" t="s">
        <v>9</v>
      </c>
      <c r="FU71" s="2">
        <v>0</v>
      </c>
      <c r="FV71" s="2">
        <v>0</v>
      </c>
      <c r="FW71" s="4">
        <v>0</v>
      </c>
      <c r="FX71" s="4">
        <v>0</v>
      </c>
      <c r="FY71" s="2" t="s">
        <v>65</v>
      </c>
      <c r="FZ71" s="2" t="s">
        <v>66</v>
      </c>
      <c r="GA71" s="2" t="s">
        <v>67</v>
      </c>
      <c r="GB71" s="2"/>
      <c r="GC71" s="2"/>
      <c r="GD71" s="2"/>
      <c r="GE71" s="2" t="s">
        <v>68</v>
      </c>
      <c r="GF71" s="2">
        <v>48</v>
      </c>
      <c r="GG71" s="2">
        <v>48</v>
      </c>
      <c r="GH71" s="2"/>
      <c r="GI71" s="2"/>
      <c r="GJ71" s="2"/>
      <c r="GK71" s="2"/>
      <c r="GL71" s="2"/>
      <c r="GM71" s="2"/>
      <c r="GN71" s="2"/>
      <c r="GO71" s="2"/>
      <c r="GP71" s="2"/>
      <c r="GQ71" s="2">
        <v>48</v>
      </c>
      <c r="GR71" s="2" t="s">
        <v>1869</v>
      </c>
      <c r="GS71" s="18" t="s">
        <v>268</v>
      </c>
      <c r="GT71" s="2" t="s">
        <v>1870</v>
      </c>
      <c r="GU71" s="2" t="s">
        <v>1871</v>
      </c>
      <c r="GV71" s="2" t="s">
        <v>17</v>
      </c>
      <c r="GW71" s="2">
        <v>30.196731</v>
      </c>
      <c r="GX71" s="2">
        <v>-82.633733000000007</v>
      </c>
      <c r="GY71" s="2"/>
      <c r="GZ71" s="2" t="s">
        <v>17</v>
      </c>
      <c r="HA71" s="2" t="s">
        <v>17</v>
      </c>
      <c r="HB71" s="2">
        <v>0</v>
      </c>
      <c r="HC71" s="2" t="s">
        <v>17</v>
      </c>
      <c r="HD71" s="2"/>
      <c r="HE71" s="2">
        <v>0</v>
      </c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 t="s">
        <v>73</v>
      </c>
      <c r="HY71" s="2" t="s">
        <v>17</v>
      </c>
      <c r="HZ71" s="2"/>
      <c r="IA71" s="2" t="s">
        <v>316</v>
      </c>
      <c r="IB71" s="2" t="s">
        <v>1872</v>
      </c>
      <c r="IC71" s="2">
        <v>0.94</v>
      </c>
      <c r="ID71" s="2">
        <v>3</v>
      </c>
      <c r="IE71" s="2"/>
      <c r="IF71" s="2"/>
      <c r="IG71" s="2"/>
      <c r="IH71" s="2" t="s">
        <v>641</v>
      </c>
      <c r="II71" s="2">
        <v>0.94</v>
      </c>
      <c r="IJ71" s="2">
        <v>3</v>
      </c>
      <c r="IK71" s="2" t="s">
        <v>1873</v>
      </c>
      <c r="IL71" s="2" t="s">
        <v>1874</v>
      </c>
      <c r="IM71" s="2">
        <v>0.4</v>
      </c>
      <c r="IN71" s="2">
        <v>4</v>
      </c>
      <c r="IO71" s="2" t="s">
        <v>17</v>
      </c>
      <c r="IP71" s="2">
        <v>0</v>
      </c>
      <c r="IQ71" s="2">
        <v>10</v>
      </c>
      <c r="IR71" s="2">
        <v>0</v>
      </c>
      <c r="IS71" s="2">
        <v>10</v>
      </c>
      <c r="IT71" s="2" t="s">
        <v>17</v>
      </c>
      <c r="IU71" s="2" t="s">
        <v>17</v>
      </c>
      <c r="IV71" s="2" t="s">
        <v>17</v>
      </c>
      <c r="IW71" s="2" t="s">
        <v>9</v>
      </c>
      <c r="IX71" s="2" t="s">
        <v>9</v>
      </c>
      <c r="IY71" s="2">
        <v>10</v>
      </c>
      <c r="IZ71" s="2">
        <v>48</v>
      </c>
      <c r="JA71" s="2" t="s">
        <v>81</v>
      </c>
      <c r="JB71" s="2" t="s">
        <v>173</v>
      </c>
      <c r="JC71" s="2"/>
      <c r="JD71" s="2"/>
      <c r="JE71" s="7">
        <v>0.1</v>
      </c>
      <c r="JF71" s="2"/>
      <c r="JG71" s="7">
        <v>0.9</v>
      </c>
      <c r="JH71" s="7">
        <v>0</v>
      </c>
      <c r="JI71" s="2">
        <v>48</v>
      </c>
      <c r="JJ71" s="7">
        <v>1</v>
      </c>
      <c r="JK71" s="2">
        <v>48</v>
      </c>
      <c r="JL71" s="7">
        <v>1</v>
      </c>
      <c r="JM71" s="2"/>
      <c r="JN71" s="2"/>
      <c r="JO71" s="2"/>
      <c r="JP71" s="2"/>
      <c r="JQ71" s="2"/>
      <c r="JR71" s="2"/>
      <c r="JS71" s="2">
        <v>0</v>
      </c>
      <c r="JT71" s="2">
        <v>0</v>
      </c>
      <c r="JU71" s="2"/>
      <c r="JV71" s="2">
        <v>0</v>
      </c>
      <c r="JW71" s="4">
        <v>0</v>
      </c>
      <c r="JX71" s="2">
        <v>0</v>
      </c>
      <c r="JY71" s="4">
        <v>0</v>
      </c>
      <c r="JZ71" s="2">
        <v>0</v>
      </c>
      <c r="KA71" s="2"/>
      <c r="KB71" s="2"/>
      <c r="KC71" s="2"/>
      <c r="KD71" s="2"/>
      <c r="KE71" s="2"/>
      <c r="KF71" s="2"/>
      <c r="KG71" s="2"/>
      <c r="KH71" s="2">
        <v>24</v>
      </c>
      <c r="KI71" s="2"/>
      <c r="KJ71" s="2"/>
      <c r="KK71" s="2">
        <v>24</v>
      </c>
      <c r="KL71" s="2"/>
      <c r="KM71" s="2"/>
      <c r="KN71" s="2"/>
      <c r="KO71" s="2"/>
      <c r="KP71" s="2"/>
      <c r="KQ71" s="2" t="s">
        <v>83</v>
      </c>
      <c r="KR71" s="2" t="s">
        <v>73</v>
      </c>
      <c r="KS71" s="2"/>
      <c r="KT71" s="2">
        <v>2</v>
      </c>
      <c r="KU71" s="2" t="s">
        <v>84</v>
      </c>
      <c r="KV71" s="2" t="s">
        <v>85</v>
      </c>
      <c r="KW71" s="2" t="s">
        <v>86</v>
      </c>
      <c r="KX71" s="2" t="s">
        <v>17</v>
      </c>
      <c r="KY71" s="2" t="s">
        <v>17</v>
      </c>
      <c r="KZ71" s="2" t="s">
        <v>17</v>
      </c>
      <c r="LA71" s="2" t="s">
        <v>17</v>
      </c>
      <c r="LB71" s="2" t="s">
        <v>17</v>
      </c>
      <c r="LC71" s="2" t="s">
        <v>17</v>
      </c>
      <c r="LD71" s="2" t="s">
        <v>17</v>
      </c>
      <c r="LE71" s="2" t="s">
        <v>17</v>
      </c>
      <c r="LF71" s="2" t="s">
        <v>17</v>
      </c>
      <c r="LG71" s="2" t="s">
        <v>17</v>
      </c>
      <c r="LH71" s="2" t="s">
        <v>17</v>
      </c>
      <c r="LI71" s="2" t="s">
        <v>17</v>
      </c>
      <c r="LJ71" s="2" t="s">
        <v>87</v>
      </c>
      <c r="LK71" s="2" t="s">
        <v>17</v>
      </c>
      <c r="LL71" s="2" t="s">
        <v>17</v>
      </c>
      <c r="LM71" s="2">
        <v>0</v>
      </c>
      <c r="LN71" s="2" t="s">
        <v>17</v>
      </c>
      <c r="LO71" s="2" t="s">
        <v>9</v>
      </c>
      <c r="LP71" s="2" t="s">
        <v>9</v>
      </c>
      <c r="LQ71" s="2" t="s">
        <v>17</v>
      </c>
      <c r="LR71" s="2" t="s">
        <v>9</v>
      </c>
      <c r="LS71" s="2" t="s">
        <v>17</v>
      </c>
      <c r="LT71" s="2" t="s">
        <v>17</v>
      </c>
      <c r="LU71" s="2" t="s">
        <v>17</v>
      </c>
      <c r="LV71" s="2" t="s">
        <v>17</v>
      </c>
      <c r="LW71" s="2" t="s">
        <v>17</v>
      </c>
      <c r="LX71" s="2" t="s">
        <v>17</v>
      </c>
      <c r="LY71" s="5">
        <v>3840000</v>
      </c>
      <c r="LZ71" s="5">
        <v>0</v>
      </c>
      <c r="MA71" s="5">
        <v>4800000</v>
      </c>
      <c r="MB71" s="5">
        <v>0</v>
      </c>
      <c r="MC71" s="5">
        <v>0</v>
      </c>
      <c r="MD71" s="5">
        <v>0</v>
      </c>
      <c r="ME71" s="5">
        <v>5040000</v>
      </c>
      <c r="MF71" s="5">
        <v>0</v>
      </c>
      <c r="MG71" s="5">
        <v>0</v>
      </c>
      <c r="MH71" s="5">
        <v>0</v>
      </c>
      <c r="MI71" s="5">
        <v>0</v>
      </c>
      <c r="MJ71" s="5">
        <v>0</v>
      </c>
      <c r="MK71" s="5">
        <v>0</v>
      </c>
      <c r="ML71" s="2">
        <v>0</v>
      </c>
      <c r="MM71" s="5">
        <v>0</v>
      </c>
      <c r="MN71" s="5">
        <v>0</v>
      </c>
      <c r="MO71" s="2">
        <v>0</v>
      </c>
      <c r="MP71" s="2">
        <v>0</v>
      </c>
      <c r="MQ71" s="2">
        <v>0</v>
      </c>
      <c r="MR71" s="5">
        <v>2950000</v>
      </c>
      <c r="MS71" s="5">
        <v>0</v>
      </c>
      <c r="MT71" s="5">
        <v>4600000</v>
      </c>
      <c r="MU71" s="5">
        <v>0</v>
      </c>
      <c r="MV71" s="5">
        <v>0</v>
      </c>
      <c r="MW71" s="5">
        <v>0</v>
      </c>
      <c r="MX71" s="5">
        <v>0</v>
      </c>
      <c r="MY71" s="5">
        <v>1375000</v>
      </c>
      <c r="MZ71" s="5">
        <v>0</v>
      </c>
      <c r="NA71" s="5">
        <v>5000000</v>
      </c>
      <c r="NB71" s="5">
        <v>0</v>
      </c>
      <c r="NC71" s="5">
        <v>0</v>
      </c>
      <c r="ND71" s="5">
        <v>0</v>
      </c>
      <c r="NE71" s="5">
        <v>0</v>
      </c>
      <c r="NF71" s="5">
        <v>0</v>
      </c>
      <c r="NG71" s="5">
        <v>1596420</v>
      </c>
      <c r="NH71" s="5">
        <v>1596420</v>
      </c>
      <c r="NI71" s="5">
        <v>1596420</v>
      </c>
      <c r="NJ71" s="5">
        <v>0</v>
      </c>
      <c r="NK71" s="5"/>
      <c r="NL71" s="2" t="s">
        <v>9</v>
      </c>
      <c r="NM71" s="2" t="s">
        <v>17</v>
      </c>
      <c r="NN71" s="2"/>
      <c r="NO71" s="2" t="s">
        <v>17</v>
      </c>
      <c r="NP71" s="2"/>
      <c r="NQ71" s="2"/>
      <c r="NR71" s="2" t="s">
        <v>9</v>
      </c>
      <c r="NS71" s="2" t="s">
        <v>1869</v>
      </c>
      <c r="NT71" s="2" t="s">
        <v>17</v>
      </c>
      <c r="NU71" s="2"/>
      <c r="NV71" s="2"/>
      <c r="NW71" s="2"/>
      <c r="NX71" s="2"/>
      <c r="NY71" s="2"/>
      <c r="NZ71" s="2"/>
      <c r="OA71" s="2" t="s">
        <v>118</v>
      </c>
      <c r="OB71" s="2" t="s">
        <v>118</v>
      </c>
      <c r="OC71" s="2" t="s">
        <v>118</v>
      </c>
      <c r="OD71" s="2" t="s">
        <v>17</v>
      </c>
      <c r="OE71" s="2" t="s">
        <v>119</v>
      </c>
      <c r="OF71" s="2"/>
      <c r="OG71" s="2" t="s">
        <v>17</v>
      </c>
      <c r="OH71" s="2" t="s">
        <v>92</v>
      </c>
      <c r="OI71" s="2" t="s">
        <v>1875</v>
      </c>
      <c r="OJ71" s="6">
        <v>500000</v>
      </c>
      <c r="OK71" s="2" t="s">
        <v>17</v>
      </c>
      <c r="OL71" s="2" t="s">
        <v>17</v>
      </c>
      <c r="OM71" s="2" t="s">
        <v>85</v>
      </c>
      <c r="ON71" s="6">
        <v>0</v>
      </c>
      <c r="OO71" s="6">
        <v>0</v>
      </c>
      <c r="OP71" s="2" t="s">
        <v>93</v>
      </c>
      <c r="OQ71" s="2" t="s">
        <v>93</v>
      </c>
      <c r="OR71" s="6">
        <v>0</v>
      </c>
      <c r="OS71" s="4">
        <v>0</v>
      </c>
      <c r="OT71" s="2" t="s">
        <v>17</v>
      </c>
      <c r="OU71" s="2" t="s">
        <v>17</v>
      </c>
      <c r="OV71" s="2"/>
      <c r="OW71" s="2"/>
      <c r="OX71" s="5">
        <v>11499971</v>
      </c>
      <c r="OY71" s="6">
        <v>239582.73</v>
      </c>
      <c r="OZ71" s="2"/>
      <c r="PA71" s="2"/>
      <c r="PB71" s="8">
        <v>6710248</v>
      </c>
      <c r="PC71" s="8">
        <v>55200</v>
      </c>
      <c r="PD71" s="8">
        <v>6765448</v>
      </c>
      <c r="PE71" s="8">
        <v>1140000</v>
      </c>
      <c r="PF71" s="8">
        <v>60000</v>
      </c>
      <c r="PG71" s="8">
        <v>1200000</v>
      </c>
      <c r="PH71" s="2"/>
      <c r="PI71" s="2"/>
      <c r="PJ71" s="2"/>
      <c r="PK71" s="8">
        <v>7850248</v>
      </c>
      <c r="PL71" s="8">
        <v>115200</v>
      </c>
      <c r="PM71" s="8">
        <v>7965448</v>
      </c>
      <c r="PN71" s="8">
        <v>1115162</v>
      </c>
      <c r="PO71" s="2"/>
      <c r="PP71" s="8">
        <v>1115162</v>
      </c>
      <c r="PQ71" s="6">
        <v>1115162</v>
      </c>
      <c r="PR71" s="8">
        <v>8965410</v>
      </c>
      <c r="PS71" s="8">
        <v>115200</v>
      </c>
      <c r="PT71" s="8">
        <v>9080610</v>
      </c>
      <c r="PU71" s="8">
        <v>448338</v>
      </c>
      <c r="PV71" s="2"/>
      <c r="PW71" s="8">
        <v>448338</v>
      </c>
      <c r="PX71" s="6">
        <v>454030.5</v>
      </c>
      <c r="PY71" s="8">
        <v>688378</v>
      </c>
      <c r="PZ71" s="8">
        <v>330421</v>
      </c>
      <c r="QA71" s="8">
        <v>1018799</v>
      </c>
      <c r="QB71" s="8">
        <v>144000</v>
      </c>
      <c r="QC71" s="8">
        <v>69600</v>
      </c>
      <c r="QD71" s="8">
        <v>213600</v>
      </c>
      <c r="QE71" s="8">
        <v>230500</v>
      </c>
      <c r="QF71" s="8">
        <v>12500</v>
      </c>
      <c r="QG71" s="8">
        <v>243000</v>
      </c>
      <c r="QH71" s="2">
        <v>0</v>
      </c>
      <c r="QI71" s="8">
        <v>404510</v>
      </c>
      <c r="QJ71" s="8">
        <v>404510</v>
      </c>
      <c r="QK71" s="2"/>
      <c r="QL71" s="2"/>
      <c r="QM71" s="2"/>
      <c r="QN71" s="8">
        <v>223706</v>
      </c>
      <c r="QO71" s="2">
        <v>0</v>
      </c>
      <c r="QP71" s="8">
        <v>223706</v>
      </c>
      <c r="QQ71" s="8">
        <v>1286584</v>
      </c>
      <c r="QR71" s="8">
        <v>817031</v>
      </c>
      <c r="QS71" s="8">
        <v>2103615</v>
      </c>
      <c r="QT71" s="8">
        <v>105180</v>
      </c>
      <c r="QU71" s="2"/>
      <c r="QV71" s="8">
        <v>105180</v>
      </c>
      <c r="QW71" s="6">
        <v>105180.75</v>
      </c>
      <c r="QX71" s="8">
        <v>1000589</v>
      </c>
      <c r="QY71" s="8">
        <v>241260</v>
      </c>
      <c r="QZ71" s="8">
        <v>1241849</v>
      </c>
      <c r="RA71" s="8">
        <v>76640</v>
      </c>
      <c r="RB71" s="8">
        <v>76640</v>
      </c>
      <c r="RC71" s="2">
        <v>0</v>
      </c>
      <c r="RD71" s="8">
        <v>50000</v>
      </c>
      <c r="RE71" s="8">
        <v>50000</v>
      </c>
      <c r="RF71" s="8">
        <v>1000589</v>
      </c>
      <c r="RG71" s="8">
        <v>367900</v>
      </c>
      <c r="RH71" s="8">
        <v>1368489</v>
      </c>
      <c r="RI71" s="2"/>
      <c r="RJ71" s="2"/>
      <c r="RK71" s="2"/>
      <c r="RL71" s="2"/>
      <c r="RM71" s="8">
        <v>11806101</v>
      </c>
      <c r="RN71" s="8">
        <v>1300131</v>
      </c>
      <c r="RO71" s="8">
        <v>13106232</v>
      </c>
      <c r="RP71" s="2"/>
      <c r="RQ71" s="2"/>
      <c r="RR71" s="2">
        <v>0</v>
      </c>
      <c r="RS71" s="6">
        <v>0</v>
      </c>
      <c r="RT71" s="8">
        <v>2096997</v>
      </c>
      <c r="RU71" s="2"/>
      <c r="RV71" s="8">
        <v>2096997</v>
      </c>
      <c r="RW71" s="6">
        <v>2096997</v>
      </c>
      <c r="RX71" s="6">
        <v>0</v>
      </c>
      <c r="RY71" s="8">
        <v>2096997</v>
      </c>
      <c r="RZ71" s="2"/>
      <c r="SA71" s="8">
        <v>2096997</v>
      </c>
      <c r="SB71" s="6">
        <v>2096997</v>
      </c>
      <c r="SC71" s="2"/>
      <c r="SD71" s="2"/>
      <c r="SE71" s="6">
        <v>168000</v>
      </c>
      <c r="SF71" s="8">
        <v>150990</v>
      </c>
      <c r="SG71" s="8">
        <v>150990</v>
      </c>
      <c r="SH71" s="8">
        <v>13903098</v>
      </c>
      <c r="SI71" s="8">
        <v>1451121</v>
      </c>
      <c r="SJ71" s="8">
        <v>15354219</v>
      </c>
      <c r="SK71" s="2" t="s">
        <v>1876</v>
      </c>
      <c r="SL71" s="2"/>
      <c r="SM71" s="2" t="s">
        <v>1877</v>
      </c>
      <c r="SN71" s="2" t="s">
        <v>1207</v>
      </c>
      <c r="SO71" s="2"/>
      <c r="SP71" s="8">
        <v>12750000</v>
      </c>
      <c r="SQ71" s="2" t="s">
        <v>95</v>
      </c>
      <c r="SR71" s="2"/>
      <c r="SS71" s="2"/>
      <c r="ST71" s="2"/>
      <c r="SU71" s="2"/>
      <c r="SV71" s="2"/>
      <c r="SW71" s="2"/>
      <c r="SX71" s="2" t="s">
        <v>96</v>
      </c>
      <c r="SY71" s="2" t="s">
        <v>96</v>
      </c>
      <c r="SZ71" s="2" t="s">
        <v>96</v>
      </c>
      <c r="TA71" s="2" t="s">
        <v>96</v>
      </c>
      <c r="TB71" s="8">
        <v>2035232</v>
      </c>
      <c r="TC71" s="2"/>
      <c r="TD71" s="2"/>
      <c r="TE71" s="2"/>
      <c r="TF71" s="2"/>
      <c r="TG71" s="2"/>
      <c r="TH71" s="2"/>
      <c r="TI71" s="8">
        <v>568987</v>
      </c>
      <c r="TJ71" s="8">
        <v>15354219</v>
      </c>
      <c r="TK71" s="2">
        <v>0</v>
      </c>
      <c r="TL71" s="2" t="s">
        <v>9</v>
      </c>
      <c r="TM71" s="8">
        <v>1280000</v>
      </c>
      <c r="TN71" s="2" t="s">
        <v>95</v>
      </c>
      <c r="TO71" s="2"/>
      <c r="TP71" s="2"/>
      <c r="TQ71" s="2"/>
      <c r="TR71" s="2"/>
      <c r="TS71" s="2"/>
      <c r="TT71" s="2"/>
      <c r="TU71" s="2" t="s">
        <v>96</v>
      </c>
      <c r="TV71" s="8">
        <v>13568213</v>
      </c>
      <c r="TW71" s="2"/>
      <c r="TX71" s="2"/>
      <c r="TY71" s="2"/>
      <c r="TZ71" s="2"/>
      <c r="UA71" s="2"/>
      <c r="UB71" s="2"/>
      <c r="UC71" s="8">
        <v>506006</v>
      </c>
      <c r="UD71" s="8">
        <v>15354219</v>
      </c>
      <c r="UE71" s="6">
        <v>1280000</v>
      </c>
      <c r="UF71" s="2">
        <v>0</v>
      </c>
      <c r="UG71" s="2" t="s">
        <v>9</v>
      </c>
      <c r="UH71" s="2">
        <v>48</v>
      </c>
      <c r="UI71" s="5">
        <v>240000</v>
      </c>
      <c r="UJ71" s="6">
        <v>320000</v>
      </c>
      <c r="UK71" s="6">
        <v>320000</v>
      </c>
      <c r="UL71" s="6">
        <v>339200</v>
      </c>
      <c r="UM71" s="6">
        <v>16281600</v>
      </c>
      <c r="UN71" s="6">
        <v>2605056</v>
      </c>
      <c r="UO71" s="6">
        <v>2605056</v>
      </c>
      <c r="UP71" s="6">
        <v>18886656</v>
      </c>
      <c r="UQ71" s="6">
        <v>15203229</v>
      </c>
      <c r="UR71" s="2"/>
      <c r="US71" s="2"/>
      <c r="UT71" s="6">
        <v>0</v>
      </c>
      <c r="UU71" s="2"/>
      <c r="UV71" s="6">
        <v>0</v>
      </c>
      <c r="UW71" s="6">
        <v>0</v>
      </c>
      <c r="UX71" s="6">
        <v>0</v>
      </c>
      <c r="UY71" s="6">
        <v>0</v>
      </c>
      <c r="UZ71" s="2"/>
      <c r="VA71" s="2"/>
      <c r="VB71" s="2"/>
      <c r="VC71" s="2"/>
      <c r="VD71" s="2" t="s">
        <v>17</v>
      </c>
      <c r="VE71" s="2" t="s">
        <v>17</v>
      </c>
      <c r="VF71" s="2"/>
      <c r="VG71" s="2" t="s">
        <v>17</v>
      </c>
      <c r="VH71" s="2"/>
      <c r="VI71" s="388" t="s">
        <v>4520</v>
      </c>
      <c r="VJ71" s="2" t="s">
        <v>98</v>
      </c>
      <c r="VK71" s="2" t="s">
        <v>1209</v>
      </c>
      <c r="VL71" s="23">
        <f t="shared" si="32"/>
        <v>72</v>
      </c>
      <c r="VM71" s="17">
        <f t="shared" si="33"/>
        <v>1.5</v>
      </c>
      <c r="VN71" s="17" t="str">
        <f t="shared" si="43"/>
        <v>NC-GA-F</v>
      </c>
      <c r="VO71" s="17" t="str">
        <f t="shared" si="44"/>
        <v>NC-GA-F-ESS</v>
      </c>
      <c r="VP71" s="12">
        <v>9</v>
      </c>
      <c r="VQ71" s="57">
        <v>1</v>
      </c>
      <c r="VR71" s="57">
        <f t="shared" si="34"/>
        <v>1</v>
      </c>
      <c r="VS71" s="14">
        <f t="shared" si="35"/>
        <v>1</v>
      </c>
      <c r="VT71" s="12">
        <f t="shared" si="36"/>
        <v>0.93</v>
      </c>
      <c r="VU71" s="16">
        <f t="shared" si="37"/>
        <v>13362035.4</v>
      </c>
      <c r="VV71" s="19">
        <f t="shared" si="38"/>
        <v>278375.73749999999</v>
      </c>
      <c r="VW71" s="12" t="str">
        <f t="shared" si="50"/>
        <v>A</v>
      </c>
      <c r="VX71" s="54" t="str">
        <f t="shared" si="45"/>
        <v>NC-GA-ESS</v>
      </c>
      <c r="VY71" s="351">
        <f t="shared" si="46"/>
        <v>4</v>
      </c>
      <c r="WA71" s="12">
        <f t="shared" si="47"/>
        <v>0</v>
      </c>
      <c r="WB71" s="12">
        <f t="shared" si="48"/>
        <v>0</v>
      </c>
      <c r="WC71" s="12">
        <f t="shared" si="48"/>
        <v>0</v>
      </c>
      <c r="WD71" s="12">
        <f t="shared" si="48"/>
        <v>0</v>
      </c>
      <c r="WE71" s="12">
        <f t="shared" si="49"/>
        <v>1</v>
      </c>
      <c r="WF71" s="12">
        <f t="shared" si="39"/>
        <v>1</v>
      </c>
      <c r="WG71" s="12">
        <f t="shared" si="40"/>
        <v>0</v>
      </c>
      <c r="WH71" s="12">
        <f t="shared" si="41"/>
        <v>0</v>
      </c>
      <c r="WI71" s="22">
        <f t="shared" si="42"/>
        <v>2</v>
      </c>
      <c r="WK71" s="443" t="str">
        <f t="shared" si="51"/>
        <v>NC-GA-ESS-BBN-BRN-NPH-F</v>
      </c>
      <c r="WL71" s="443"/>
      <c r="WM71" s="443"/>
      <c r="WN71" s="2" t="s">
        <v>5401</v>
      </c>
      <c r="WO71" s="12">
        <f>MAX(WI2:WI72)</f>
        <v>4</v>
      </c>
    </row>
    <row r="72" spans="1:613" x14ac:dyDescent="0.25">
      <c r="A72" s="18">
        <v>9525</v>
      </c>
      <c r="B72" s="2" t="s">
        <v>1444</v>
      </c>
      <c r="C72" s="2" t="s">
        <v>8</v>
      </c>
      <c r="D72" s="3">
        <v>45153</v>
      </c>
      <c r="E72" s="2" t="s">
        <v>9</v>
      </c>
      <c r="F72" s="2">
        <v>3</v>
      </c>
      <c r="G72" s="2" t="s">
        <v>9</v>
      </c>
      <c r="H72" s="2">
        <v>3</v>
      </c>
      <c r="I72" s="2" t="s">
        <v>9</v>
      </c>
      <c r="J72" s="2">
        <v>1</v>
      </c>
      <c r="K72" s="2" t="s">
        <v>9</v>
      </c>
      <c r="L72" s="2">
        <v>3</v>
      </c>
      <c r="M72" s="2" t="s">
        <v>10</v>
      </c>
      <c r="N72" s="2">
        <v>0</v>
      </c>
      <c r="O72" s="2" t="s">
        <v>10</v>
      </c>
      <c r="P72" s="2">
        <v>0</v>
      </c>
      <c r="Q72" s="2" t="s">
        <v>11</v>
      </c>
      <c r="R72" s="2">
        <v>0</v>
      </c>
      <c r="S72" s="2" t="s">
        <v>9</v>
      </c>
      <c r="T72" s="2">
        <v>2</v>
      </c>
      <c r="U72" s="2" t="s">
        <v>9</v>
      </c>
      <c r="V72" s="2">
        <v>2</v>
      </c>
      <c r="W72" s="2" t="s">
        <v>9</v>
      </c>
      <c r="X72" s="2">
        <v>2</v>
      </c>
      <c r="Y72" s="2" t="s">
        <v>12</v>
      </c>
      <c r="Z72" s="2" t="s">
        <v>15</v>
      </c>
      <c r="AA72" s="2" t="s">
        <v>15</v>
      </c>
      <c r="AB72" s="2" t="s">
        <v>15</v>
      </c>
      <c r="AC72" s="2" t="s">
        <v>15</v>
      </c>
      <c r="AD72" s="2" t="s">
        <v>15</v>
      </c>
      <c r="AE72" s="2" t="s">
        <v>15</v>
      </c>
      <c r="AF72" s="2">
        <v>0</v>
      </c>
      <c r="AG72" s="2" t="s">
        <v>234</v>
      </c>
      <c r="AH72" s="2" t="s">
        <v>17</v>
      </c>
      <c r="AI72" s="4">
        <v>0.1</v>
      </c>
      <c r="AJ72" s="2" t="s">
        <v>17</v>
      </c>
      <c r="AK72" s="2" t="s">
        <v>9</v>
      </c>
      <c r="AL72" s="2" t="s">
        <v>17</v>
      </c>
      <c r="AM72" s="2" t="s">
        <v>17</v>
      </c>
      <c r="AN72" s="2" t="s">
        <v>9</v>
      </c>
      <c r="AO72" s="2" t="s">
        <v>17</v>
      </c>
      <c r="AP72" s="2" t="s">
        <v>17</v>
      </c>
      <c r="AQ72" s="2" t="s">
        <v>17</v>
      </c>
      <c r="AR72" s="2" t="s">
        <v>17</v>
      </c>
      <c r="AS72" s="2" t="s">
        <v>17</v>
      </c>
      <c r="AT72" s="2">
        <v>0</v>
      </c>
      <c r="AU72" s="5">
        <v>5000</v>
      </c>
      <c r="AV72" s="2" t="s">
        <v>85</v>
      </c>
      <c r="AW72" s="2">
        <v>0</v>
      </c>
      <c r="AX72" s="2">
        <v>8</v>
      </c>
      <c r="AY72" s="2">
        <v>0</v>
      </c>
      <c r="AZ72" s="2">
        <v>18</v>
      </c>
      <c r="BA72" s="2">
        <v>0</v>
      </c>
      <c r="BB72" s="2">
        <v>1</v>
      </c>
      <c r="BC72" s="2">
        <v>1</v>
      </c>
      <c r="BD72" s="2">
        <v>0</v>
      </c>
      <c r="BE72" s="2">
        <v>0</v>
      </c>
      <c r="BF72" s="2">
        <v>1</v>
      </c>
      <c r="BG72" s="2">
        <v>0</v>
      </c>
      <c r="BH72" s="2">
        <v>0</v>
      </c>
      <c r="BI72" s="2">
        <v>13</v>
      </c>
      <c r="BJ72" s="2">
        <v>1</v>
      </c>
      <c r="BK72" s="2">
        <v>0</v>
      </c>
      <c r="BL72" s="2">
        <v>3</v>
      </c>
      <c r="BM72" s="2">
        <v>2</v>
      </c>
      <c r="BN72" s="2">
        <v>14</v>
      </c>
      <c r="BO72" s="2">
        <v>11</v>
      </c>
      <c r="BP72" s="2">
        <v>0</v>
      </c>
      <c r="BQ72" s="2">
        <v>4</v>
      </c>
      <c r="BR72" s="2">
        <v>9.35</v>
      </c>
      <c r="BS72" s="2">
        <v>0</v>
      </c>
      <c r="BT72" s="4">
        <v>0.06</v>
      </c>
      <c r="BU72" s="2" t="s">
        <v>9</v>
      </c>
      <c r="BV72" s="6">
        <v>252126</v>
      </c>
      <c r="BW72" s="2" t="s">
        <v>18</v>
      </c>
      <c r="BX72" s="2" t="s">
        <v>17</v>
      </c>
      <c r="BY72" s="2" t="s">
        <v>17</v>
      </c>
      <c r="BZ72" s="2" t="s">
        <v>17</v>
      </c>
      <c r="CA72" s="2" t="s">
        <v>17</v>
      </c>
      <c r="CB72" s="2" t="s">
        <v>17</v>
      </c>
      <c r="CC72" s="2" t="s">
        <v>17</v>
      </c>
      <c r="CD72" s="2" t="s">
        <v>17</v>
      </c>
      <c r="CE72" s="2" t="s">
        <v>1445</v>
      </c>
      <c r="CF72" s="2" t="s">
        <v>17</v>
      </c>
      <c r="CG72" s="2" t="s">
        <v>1446</v>
      </c>
      <c r="CH72" s="2"/>
      <c r="CI72" s="2"/>
      <c r="CJ72" s="2" t="s">
        <v>9</v>
      </c>
      <c r="CK72" s="2" t="s">
        <v>1447</v>
      </c>
      <c r="CL72" s="2" t="s">
        <v>1446</v>
      </c>
      <c r="CM72" s="2" t="s">
        <v>1448</v>
      </c>
      <c r="CN72" s="2" t="s">
        <v>1449</v>
      </c>
      <c r="CO72" s="2" t="s">
        <v>24</v>
      </c>
      <c r="CP72" s="2"/>
      <c r="CQ72" s="2">
        <v>40</v>
      </c>
      <c r="CR72" s="2" t="s">
        <v>1450</v>
      </c>
      <c r="CS72" s="2">
        <v>2015</v>
      </c>
      <c r="CT72" s="2" t="s">
        <v>26</v>
      </c>
      <c r="CU72" s="2" t="s">
        <v>27</v>
      </c>
      <c r="CV72" s="2" t="s">
        <v>1451</v>
      </c>
      <c r="CW72" s="2" t="s">
        <v>1449</v>
      </c>
      <c r="CX72" s="2" t="s">
        <v>24</v>
      </c>
      <c r="CY72" s="2"/>
      <c r="CZ72" s="2">
        <v>80</v>
      </c>
      <c r="DA72" s="2" t="s">
        <v>1450</v>
      </c>
      <c r="DB72" s="2">
        <v>2009</v>
      </c>
      <c r="DC72" s="2" t="s">
        <v>243</v>
      </c>
      <c r="DD72" s="2" t="s">
        <v>27</v>
      </c>
      <c r="DE72" s="2" t="s">
        <v>1452</v>
      </c>
      <c r="DF72" s="2" t="s">
        <v>1453</v>
      </c>
      <c r="DG72" s="2" t="s">
        <v>24</v>
      </c>
      <c r="DH72" s="2"/>
      <c r="DI72" s="2">
        <v>60</v>
      </c>
      <c r="DJ72" s="2" t="s">
        <v>1450</v>
      </c>
      <c r="DK72" s="2">
        <v>2010</v>
      </c>
      <c r="DL72" s="2" t="s">
        <v>243</v>
      </c>
      <c r="DM72" s="2" t="s">
        <v>27</v>
      </c>
      <c r="DN72" s="2" t="s">
        <v>33</v>
      </c>
      <c r="DO72" s="2" t="s">
        <v>399</v>
      </c>
      <c r="DP72" s="2"/>
      <c r="DQ72" s="2" t="s">
        <v>1454</v>
      </c>
      <c r="DR72" s="2" t="s">
        <v>1455</v>
      </c>
      <c r="DS72" s="2">
        <v>1</v>
      </c>
      <c r="DT72" s="2" t="s">
        <v>1456</v>
      </c>
      <c r="DU72" s="2" t="s">
        <v>1457</v>
      </c>
      <c r="DV72" s="2" t="s">
        <v>39</v>
      </c>
      <c r="DW72" s="2">
        <v>34205</v>
      </c>
      <c r="DX72" s="2" t="s">
        <v>1458</v>
      </c>
      <c r="DY72" s="2">
        <v>126</v>
      </c>
      <c r="DZ72" s="2" t="s">
        <v>1459</v>
      </c>
      <c r="EA72" s="2" t="s">
        <v>1455</v>
      </c>
      <c r="EB72" s="2" t="s">
        <v>1460</v>
      </c>
      <c r="EC72" s="2" t="s">
        <v>1461</v>
      </c>
      <c r="ED72" s="2" t="s">
        <v>44</v>
      </c>
      <c r="EE72" s="2">
        <v>80</v>
      </c>
      <c r="EF72" s="2" t="s">
        <v>1462</v>
      </c>
      <c r="EG72" s="2">
        <v>22</v>
      </c>
      <c r="EH72" s="2" t="s">
        <v>46</v>
      </c>
      <c r="EI72" s="2" t="s">
        <v>47</v>
      </c>
      <c r="EJ72" s="2" t="s">
        <v>1463</v>
      </c>
      <c r="EK72" s="2" t="s">
        <v>1464</v>
      </c>
      <c r="EL72" s="2" t="s">
        <v>44</v>
      </c>
      <c r="EM72" s="2">
        <v>53</v>
      </c>
      <c r="EN72" s="2" t="s">
        <v>1462</v>
      </c>
      <c r="EO72" s="2">
        <v>7</v>
      </c>
      <c r="EP72" s="2" t="s">
        <v>46</v>
      </c>
      <c r="EQ72" s="2" t="s">
        <v>47</v>
      </c>
      <c r="ER72" s="2" t="s">
        <v>1465</v>
      </c>
      <c r="ES72" s="2" t="s">
        <v>1466</v>
      </c>
      <c r="ET72" s="2" t="s">
        <v>1467</v>
      </c>
      <c r="EU72" s="2" t="s">
        <v>1445</v>
      </c>
      <c r="EV72" s="2" t="s">
        <v>1468</v>
      </c>
      <c r="EW72" s="2" t="s">
        <v>1469</v>
      </c>
      <c r="EX72" s="2" t="s">
        <v>39</v>
      </c>
      <c r="EY72" s="2">
        <v>33907</v>
      </c>
      <c r="EZ72" s="2" t="s">
        <v>1470</v>
      </c>
      <c r="FA72" s="2"/>
      <c r="FB72" s="2" t="s">
        <v>1471</v>
      </c>
      <c r="FC72" s="2" t="s">
        <v>294</v>
      </c>
      <c r="FD72" s="2" t="s">
        <v>1472</v>
      </c>
      <c r="FE72" s="2" t="s">
        <v>1467</v>
      </c>
      <c r="FF72" s="2" t="s">
        <v>1446</v>
      </c>
      <c r="FG72" s="2" t="s">
        <v>1468</v>
      </c>
      <c r="FH72" s="2" t="s">
        <v>1469</v>
      </c>
      <c r="FI72" s="2" t="s">
        <v>39</v>
      </c>
      <c r="FJ72" s="2">
        <v>33907</v>
      </c>
      <c r="FK72" s="2" t="s">
        <v>1473</v>
      </c>
      <c r="FL72" s="2"/>
      <c r="FM72" s="2" t="s">
        <v>1474</v>
      </c>
      <c r="FN72" s="2" t="s">
        <v>1475</v>
      </c>
      <c r="FO72" s="2" t="s">
        <v>63</v>
      </c>
      <c r="FP72" s="2" t="s">
        <v>64</v>
      </c>
      <c r="FQ72" s="2" t="s">
        <v>9</v>
      </c>
      <c r="FR72" s="2" t="s">
        <v>17</v>
      </c>
      <c r="FS72" s="2" t="s">
        <v>17</v>
      </c>
      <c r="FT72" s="2" t="s">
        <v>9</v>
      </c>
      <c r="FU72" s="2">
        <v>0</v>
      </c>
      <c r="FV72" s="2">
        <v>0</v>
      </c>
      <c r="FW72" s="4">
        <v>0</v>
      </c>
      <c r="FX72" s="4">
        <v>0</v>
      </c>
      <c r="FY72" s="2" t="s">
        <v>65</v>
      </c>
      <c r="FZ72" s="2" t="s">
        <v>66</v>
      </c>
      <c r="GA72" s="2" t="s">
        <v>67</v>
      </c>
      <c r="GB72" s="2"/>
      <c r="GC72" s="2"/>
      <c r="GD72" s="2"/>
      <c r="GE72" s="2" t="s">
        <v>68</v>
      </c>
      <c r="GF72" s="2">
        <v>35</v>
      </c>
      <c r="GG72" s="2">
        <v>35</v>
      </c>
      <c r="GH72" s="2"/>
      <c r="GI72" s="2"/>
      <c r="GJ72" s="2"/>
      <c r="GK72" s="2"/>
      <c r="GL72" s="2"/>
      <c r="GM72" s="2"/>
      <c r="GN72" s="2"/>
      <c r="GO72" s="2"/>
      <c r="GP72" s="2"/>
      <c r="GQ72" s="2">
        <v>35</v>
      </c>
      <c r="GR72" s="2" t="s">
        <v>1476</v>
      </c>
      <c r="GS72" s="18" t="s">
        <v>268</v>
      </c>
      <c r="GT72" s="2" t="s">
        <v>1477</v>
      </c>
      <c r="GU72" s="2" t="s">
        <v>1478</v>
      </c>
      <c r="GV72" s="2" t="s">
        <v>17</v>
      </c>
      <c r="GW72" s="2">
        <v>27.594988000000001</v>
      </c>
      <c r="GX72" s="2">
        <v>-81.825929000000002</v>
      </c>
      <c r="GY72" s="2"/>
      <c r="GZ72" s="2" t="s">
        <v>17</v>
      </c>
      <c r="HA72" s="2" t="s">
        <v>17</v>
      </c>
      <c r="HB72" s="2">
        <v>0</v>
      </c>
      <c r="HC72" s="2" t="s">
        <v>17</v>
      </c>
      <c r="HD72" s="2"/>
      <c r="HE72" s="2">
        <v>0</v>
      </c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 t="s">
        <v>73</v>
      </c>
      <c r="HY72" s="2" t="s">
        <v>17</v>
      </c>
      <c r="HZ72" s="2"/>
      <c r="IA72" s="2" t="s">
        <v>74</v>
      </c>
      <c r="IB72" s="2" t="s">
        <v>1479</v>
      </c>
      <c r="IC72" s="2">
        <v>1.99</v>
      </c>
      <c r="ID72" s="2">
        <v>1</v>
      </c>
      <c r="IE72" s="2"/>
      <c r="IF72" s="2"/>
      <c r="IG72" s="2"/>
      <c r="IH72" s="2" t="s">
        <v>74</v>
      </c>
      <c r="II72" s="2">
        <v>1.99</v>
      </c>
      <c r="IJ72" s="2">
        <v>1</v>
      </c>
      <c r="IK72" s="2" t="s">
        <v>1480</v>
      </c>
      <c r="IL72" s="2" t="s">
        <v>1481</v>
      </c>
      <c r="IM72" s="2">
        <v>0.69</v>
      </c>
      <c r="IN72" s="2">
        <v>4</v>
      </c>
      <c r="IO72" s="2" t="s">
        <v>17</v>
      </c>
      <c r="IP72" s="2">
        <v>0</v>
      </c>
      <c r="IQ72" s="2">
        <v>6</v>
      </c>
      <c r="IR72" s="2">
        <v>0</v>
      </c>
      <c r="IS72" s="2">
        <v>6</v>
      </c>
      <c r="IT72" s="2" t="s">
        <v>17</v>
      </c>
      <c r="IU72" s="2" t="s">
        <v>17</v>
      </c>
      <c r="IV72" s="2" t="s">
        <v>17</v>
      </c>
      <c r="IW72" s="2" t="s">
        <v>9</v>
      </c>
      <c r="IX72" s="2" t="s">
        <v>9</v>
      </c>
      <c r="IY72" s="2">
        <v>6</v>
      </c>
      <c r="IZ72" s="2">
        <v>35</v>
      </c>
      <c r="JA72" s="2" t="s">
        <v>81</v>
      </c>
      <c r="JB72" s="2" t="s">
        <v>173</v>
      </c>
      <c r="JC72" s="2"/>
      <c r="JD72" s="2"/>
      <c r="JE72" s="7">
        <v>0.1</v>
      </c>
      <c r="JF72" s="2"/>
      <c r="JG72" s="7">
        <v>0.9</v>
      </c>
      <c r="JH72" s="7">
        <v>0</v>
      </c>
      <c r="JI72" s="2">
        <v>35</v>
      </c>
      <c r="JJ72" s="7">
        <v>1</v>
      </c>
      <c r="JK72" s="2">
        <v>35</v>
      </c>
      <c r="JL72" s="7">
        <v>1</v>
      </c>
      <c r="JM72" s="2"/>
      <c r="JN72" s="2"/>
      <c r="JO72" s="2"/>
      <c r="JP72" s="2"/>
      <c r="JQ72" s="2"/>
      <c r="JR72" s="2"/>
      <c r="JS72" s="2">
        <v>0</v>
      </c>
      <c r="JT72" s="2">
        <v>0</v>
      </c>
      <c r="JU72" s="2"/>
      <c r="JV72" s="2">
        <v>0</v>
      </c>
      <c r="JW72" s="4">
        <v>0</v>
      </c>
      <c r="JX72" s="2">
        <v>0</v>
      </c>
      <c r="JY72" s="4">
        <v>0</v>
      </c>
      <c r="JZ72" s="2">
        <v>0</v>
      </c>
      <c r="KA72" s="2"/>
      <c r="KB72" s="2"/>
      <c r="KC72" s="2"/>
      <c r="KD72" s="2"/>
      <c r="KE72" s="2"/>
      <c r="KF72" s="2"/>
      <c r="KG72" s="2"/>
      <c r="KH72" s="2">
        <v>9</v>
      </c>
      <c r="KI72" s="2"/>
      <c r="KJ72" s="2"/>
      <c r="KK72" s="2">
        <v>21</v>
      </c>
      <c r="KL72" s="2">
        <v>5</v>
      </c>
      <c r="KM72" s="2"/>
      <c r="KN72" s="2"/>
      <c r="KO72" s="2"/>
      <c r="KP72" s="2"/>
      <c r="KQ72" s="2" t="s">
        <v>83</v>
      </c>
      <c r="KR72" s="2" t="s">
        <v>73</v>
      </c>
      <c r="KS72" s="2"/>
      <c r="KT72" s="2">
        <v>1</v>
      </c>
      <c r="KU72" s="2" t="s">
        <v>84</v>
      </c>
      <c r="KV72" s="2" t="s">
        <v>85</v>
      </c>
      <c r="KW72" s="2" t="s">
        <v>86</v>
      </c>
      <c r="KX72" s="2" t="s">
        <v>17</v>
      </c>
      <c r="KY72" s="2" t="s">
        <v>17</v>
      </c>
      <c r="KZ72" s="2" t="s">
        <v>17</v>
      </c>
      <c r="LA72" s="2" t="s">
        <v>17</v>
      </c>
      <c r="LB72" s="2" t="s">
        <v>17</v>
      </c>
      <c r="LC72" s="2" t="s">
        <v>17</v>
      </c>
      <c r="LD72" s="2" t="s">
        <v>17</v>
      </c>
      <c r="LE72" s="2" t="s">
        <v>17</v>
      </c>
      <c r="LF72" s="2" t="s">
        <v>17</v>
      </c>
      <c r="LG72" s="2" t="s">
        <v>17</v>
      </c>
      <c r="LH72" s="2" t="s">
        <v>17</v>
      </c>
      <c r="LI72" s="2" t="s">
        <v>17</v>
      </c>
      <c r="LJ72" s="2" t="s">
        <v>87</v>
      </c>
      <c r="LK72" s="2" t="s">
        <v>17</v>
      </c>
      <c r="LL72" s="2" t="s">
        <v>17</v>
      </c>
      <c r="LM72" s="2">
        <v>0</v>
      </c>
      <c r="LN72" s="2" t="s">
        <v>17</v>
      </c>
      <c r="LO72" s="2" t="s">
        <v>17</v>
      </c>
      <c r="LP72" s="2" t="s">
        <v>9</v>
      </c>
      <c r="LQ72" s="2" t="s">
        <v>17</v>
      </c>
      <c r="LR72" s="2" t="s">
        <v>9</v>
      </c>
      <c r="LS72" s="2" t="s">
        <v>9</v>
      </c>
      <c r="LT72" s="2" t="s">
        <v>17</v>
      </c>
      <c r="LU72" s="2" t="s">
        <v>17</v>
      </c>
      <c r="LV72" s="2" t="s">
        <v>17</v>
      </c>
      <c r="LW72" s="2" t="s">
        <v>17</v>
      </c>
      <c r="LX72" s="2" t="s">
        <v>17</v>
      </c>
      <c r="LY72" s="5">
        <v>2800000</v>
      </c>
      <c r="LZ72" s="5">
        <v>0</v>
      </c>
      <c r="MA72" s="5">
        <v>3500000</v>
      </c>
      <c r="MB72" s="5">
        <v>0</v>
      </c>
      <c r="MC72" s="5">
        <v>0</v>
      </c>
      <c r="MD72" s="5">
        <v>0</v>
      </c>
      <c r="ME72" s="5">
        <v>3675000</v>
      </c>
      <c r="MF72" s="5">
        <v>0</v>
      </c>
      <c r="MG72" s="5">
        <v>0</v>
      </c>
      <c r="MH72" s="5">
        <v>0</v>
      </c>
      <c r="MI72" s="5">
        <v>0</v>
      </c>
      <c r="MJ72" s="5">
        <v>0</v>
      </c>
      <c r="MK72" s="5">
        <v>0</v>
      </c>
      <c r="ML72" s="2">
        <v>0</v>
      </c>
      <c r="MM72" s="5">
        <v>0</v>
      </c>
      <c r="MN72" s="5">
        <v>0</v>
      </c>
      <c r="MO72" s="2">
        <v>0</v>
      </c>
      <c r="MP72" s="2">
        <v>0</v>
      </c>
      <c r="MQ72" s="2">
        <v>0</v>
      </c>
      <c r="MR72" s="5">
        <v>2950000</v>
      </c>
      <c r="MS72" s="5">
        <v>0</v>
      </c>
      <c r="MT72" s="5">
        <v>4600000</v>
      </c>
      <c r="MU72" s="5">
        <v>0</v>
      </c>
      <c r="MV72" s="5">
        <v>0</v>
      </c>
      <c r="MW72" s="5">
        <v>0</v>
      </c>
      <c r="MX72" s="5">
        <v>0</v>
      </c>
      <c r="MY72" s="5">
        <v>1100000</v>
      </c>
      <c r="MZ72" s="5">
        <v>0</v>
      </c>
      <c r="NA72" s="5">
        <v>5000000</v>
      </c>
      <c r="NB72" s="5">
        <v>0</v>
      </c>
      <c r="NC72" s="5">
        <v>0</v>
      </c>
      <c r="ND72" s="5">
        <v>0</v>
      </c>
      <c r="NE72" s="5">
        <v>0</v>
      </c>
      <c r="NF72" s="5">
        <v>0</v>
      </c>
      <c r="NG72" s="5">
        <v>1596420</v>
      </c>
      <c r="NH72" s="5">
        <v>1225000</v>
      </c>
      <c r="NI72" s="5">
        <v>1225000</v>
      </c>
      <c r="NJ72" s="5">
        <v>0</v>
      </c>
      <c r="NK72" s="5"/>
      <c r="NL72" s="2" t="s">
        <v>9</v>
      </c>
      <c r="NM72" s="2" t="s">
        <v>17</v>
      </c>
      <c r="NN72" s="2"/>
      <c r="NO72" s="2" t="s">
        <v>17</v>
      </c>
      <c r="NP72" s="2"/>
      <c r="NQ72" s="2"/>
      <c r="NR72" s="2" t="s">
        <v>9</v>
      </c>
      <c r="NS72" s="2" t="s">
        <v>1476</v>
      </c>
      <c r="NT72" s="2" t="s">
        <v>17</v>
      </c>
      <c r="NU72" s="2"/>
      <c r="NV72" s="2"/>
      <c r="NW72" s="2"/>
      <c r="NX72" s="2"/>
      <c r="NY72" s="2"/>
      <c r="NZ72" s="2"/>
      <c r="OA72" s="2" t="s">
        <v>118</v>
      </c>
      <c r="OB72" s="2" t="s">
        <v>118</v>
      </c>
      <c r="OC72" s="2" t="s">
        <v>118</v>
      </c>
      <c r="OD72" s="2" t="s">
        <v>17</v>
      </c>
      <c r="OE72" s="2" t="s">
        <v>119</v>
      </c>
      <c r="OF72" s="2"/>
      <c r="OG72" s="2" t="s">
        <v>17</v>
      </c>
      <c r="OH72" s="2"/>
      <c r="OI72" s="2"/>
      <c r="OJ72" s="2"/>
      <c r="OK72" s="2" t="s">
        <v>17</v>
      </c>
      <c r="OL72" s="2" t="s">
        <v>17</v>
      </c>
      <c r="OM72" s="2" t="s">
        <v>85</v>
      </c>
      <c r="ON72" s="6">
        <v>0</v>
      </c>
      <c r="OO72" s="6">
        <v>0</v>
      </c>
      <c r="OP72" s="2" t="s">
        <v>93</v>
      </c>
      <c r="OQ72" s="2" t="s">
        <v>93</v>
      </c>
      <c r="OR72" s="6">
        <v>0</v>
      </c>
      <c r="OS72" s="4">
        <v>0</v>
      </c>
      <c r="OT72" s="2" t="s">
        <v>17</v>
      </c>
      <c r="OU72" s="2" t="s">
        <v>17</v>
      </c>
      <c r="OV72" s="2"/>
      <c r="OW72" s="2"/>
      <c r="OX72" s="5">
        <v>8824410</v>
      </c>
      <c r="OY72" s="6">
        <v>252126</v>
      </c>
      <c r="OZ72" s="2"/>
      <c r="PA72" s="2"/>
      <c r="PB72" s="8">
        <v>6500000</v>
      </c>
      <c r="PC72" s="2"/>
      <c r="PD72" s="8">
        <v>6500000</v>
      </c>
      <c r="PE72" s="2"/>
      <c r="PF72" s="2"/>
      <c r="PG72" s="2"/>
      <c r="PH72" s="2"/>
      <c r="PI72" s="2"/>
      <c r="PJ72" s="2"/>
      <c r="PK72" s="8">
        <v>6500000</v>
      </c>
      <c r="PL72" s="2"/>
      <c r="PM72" s="8">
        <v>6500000</v>
      </c>
      <c r="PN72" s="8">
        <v>910000</v>
      </c>
      <c r="PO72" s="2"/>
      <c r="PP72" s="8">
        <v>910000</v>
      </c>
      <c r="PQ72" s="6">
        <v>910000</v>
      </c>
      <c r="PR72" s="8">
        <v>7410000</v>
      </c>
      <c r="PS72" s="2"/>
      <c r="PT72" s="8">
        <v>7410000</v>
      </c>
      <c r="PU72" s="8">
        <v>370000</v>
      </c>
      <c r="PV72" s="2"/>
      <c r="PW72" s="8">
        <v>370000</v>
      </c>
      <c r="PX72" s="6">
        <v>370500</v>
      </c>
      <c r="PY72" s="8">
        <v>650000</v>
      </c>
      <c r="PZ72" s="8">
        <v>311000</v>
      </c>
      <c r="QA72" s="8">
        <v>961000</v>
      </c>
      <c r="QB72" s="8">
        <v>99250</v>
      </c>
      <c r="QC72" s="2"/>
      <c r="QD72" s="8">
        <v>99250</v>
      </c>
      <c r="QE72" s="8">
        <v>250000</v>
      </c>
      <c r="QF72" s="2"/>
      <c r="QG72" s="8">
        <v>250000</v>
      </c>
      <c r="QH72" s="2"/>
      <c r="QI72" s="8">
        <v>243738</v>
      </c>
      <c r="QJ72" s="8">
        <v>243738</v>
      </c>
      <c r="QK72" s="2"/>
      <c r="QL72" s="2"/>
      <c r="QM72" s="2"/>
      <c r="QN72" s="2"/>
      <c r="QO72" s="2"/>
      <c r="QP72" s="2"/>
      <c r="QQ72" s="8">
        <v>999250</v>
      </c>
      <c r="QR72" s="8">
        <v>554738</v>
      </c>
      <c r="QS72" s="8">
        <v>1553988</v>
      </c>
      <c r="QT72" s="8">
        <v>75000</v>
      </c>
      <c r="QU72" s="2"/>
      <c r="QV72" s="8">
        <v>75000</v>
      </c>
      <c r="QW72" s="6">
        <v>77699.399999999994</v>
      </c>
      <c r="QX72" s="8">
        <v>650000</v>
      </c>
      <c r="QY72" s="8">
        <v>50000</v>
      </c>
      <c r="QZ72" s="8">
        <v>700000</v>
      </c>
      <c r="RA72" s="8">
        <v>87500</v>
      </c>
      <c r="RB72" s="8">
        <v>87500</v>
      </c>
      <c r="RC72" s="2"/>
      <c r="RD72" s="2"/>
      <c r="RE72" s="2"/>
      <c r="RF72" s="8">
        <v>650000</v>
      </c>
      <c r="RG72" s="8">
        <v>137500</v>
      </c>
      <c r="RH72" s="8">
        <v>787500</v>
      </c>
      <c r="RI72" s="2"/>
      <c r="RJ72" s="2"/>
      <c r="RK72" s="2"/>
      <c r="RL72" s="2"/>
      <c r="RM72" s="8">
        <v>9504250</v>
      </c>
      <c r="RN72" s="8">
        <v>692238</v>
      </c>
      <c r="RO72" s="8">
        <v>10196488</v>
      </c>
      <c r="RP72" s="2"/>
      <c r="RQ72" s="2"/>
      <c r="RR72" s="2">
        <v>0</v>
      </c>
      <c r="RS72" s="6">
        <v>0</v>
      </c>
      <c r="RT72" s="8">
        <v>1625000</v>
      </c>
      <c r="RU72" s="2"/>
      <c r="RV72" s="8">
        <v>1625000</v>
      </c>
      <c r="RW72" s="6">
        <v>1631438</v>
      </c>
      <c r="RX72" s="6">
        <v>0</v>
      </c>
      <c r="RY72" s="8">
        <v>1625000</v>
      </c>
      <c r="RZ72" s="2"/>
      <c r="SA72" s="8">
        <v>1625000</v>
      </c>
      <c r="SB72" s="6">
        <v>1631438</v>
      </c>
      <c r="SC72" s="2"/>
      <c r="SD72" s="2"/>
      <c r="SE72" s="6">
        <v>122500</v>
      </c>
      <c r="SF72" s="8">
        <v>340000</v>
      </c>
      <c r="SG72" s="8">
        <v>340000</v>
      </c>
      <c r="SH72" s="8">
        <v>11129250</v>
      </c>
      <c r="SI72" s="8">
        <v>1032238</v>
      </c>
      <c r="SJ72" s="8">
        <v>12161488</v>
      </c>
      <c r="SK72" s="2" t="s">
        <v>85</v>
      </c>
      <c r="SL72" s="2"/>
      <c r="SM72" s="2"/>
      <c r="SN72" s="2"/>
      <c r="SO72" s="2"/>
      <c r="SP72" s="8">
        <v>7000000</v>
      </c>
      <c r="SQ72" s="2" t="s">
        <v>95</v>
      </c>
      <c r="SR72" s="2"/>
      <c r="SS72" s="2"/>
      <c r="ST72" s="2"/>
      <c r="SU72" s="2"/>
      <c r="SV72" s="2"/>
      <c r="SW72" s="2"/>
      <c r="SX72" s="2" t="s">
        <v>96</v>
      </c>
      <c r="SY72" s="2" t="s">
        <v>96</v>
      </c>
      <c r="SZ72" s="2" t="s">
        <v>96</v>
      </c>
      <c r="TA72" s="2" t="s">
        <v>96</v>
      </c>
      <c r="TB72" s="8">
        <v>3601141</v>
      </c>
      <c r="TC72" s="2"/>
      <c r="TD72" s="2"/>
      <c r="TE72" s="2"/>
      <c r="TF72" s="2"/>
      <c r="TG72" s="2"/>
      <c r="TH72" s="2"/>
      <c r="TI72" s="8">
        <v>1560347</v>
      </c>
      <c r="TJ72" s="8">
        <v>12161488</v>
      </c>
      <c r="TK72" s="2">
        <v>0</v>
      </c>
      <c r="TL72" s="2" t="s">
        <v>9</v>
      </c>
      <c r="TM72" s="8">
        <v>1160000</v>
      </c>
      <c r="TN72" s="2" t="s">
        <v>95</v>
      </c>
      <c r="TO72" s="2"/>
      <c r="TP72" s="2"/>
      <c r="TQ72" s="2"/>
      <c r="TR72" s="2"/>
      <c r="TS72" s="2"/>
      <c r="TT72" s="2"/>
      <c r="TU72" s="2" t="s">
        <v>96</v>
      </c>
      <c r="TV72" s="8">
        <v>10288971</v>
      </c>
      <c r="TW72" s="2"/>
      <c r="TX72" s="2"/>
      <c r="TY72" s="2"/>
      <c r="TZ72" s="2"/>
      <c r="UA72" s="2"/>
      <c r="UB72" s="2"/>
      <c r="UC72" s="8">
        <v>712517</v>
      </c>
      <c r="UD72" s="8">
        <v>12161488</v>
      </c>
      <c r="UE72" s="6">
        <v>1160000</v>
      </c>
      <c r="UF72" s="2">
        <v>0</v>
      </c>
      <c r="UG72" s="2" t="s">
        <v>9</v>
      </c>
      <c r="UH72" s="2">
        <v>35</v>
      </c>
      <c r="UI72" s="5">
        <v>240000</v>
      </c>
      <c r="UJ72" s="6">
        <v>320000</v>
      </c>
      <c r="UK72" s="6">
        <v>320000</v>
      </c>
      <c r="UL72" s="6">
        <v>339200</v>
      </c>
      <c r="UM72" s="6">
        <v>11872000</v>
      </c>
      <c r="UN72" s="6">
        <v>1899520</v>
      </c>
      <c r="UO72" s="6">
        <v>1899520</v>
      </c>
      <c r="UP72" s="6">
        <v>13771520</v>
      </c>
      <c r="UQ72" s="6">
        <v>11821488</v>
      </c>
      <c r="UR72" s="2"/>
      <c r="US72" s="2"/>
      <c r="UT72" s="6">
        <v>0</v>
      </c>
      <c r="UU72" s="2"/>
      <c r="UV72" s="6">
        <v>0</v>
      </c>
      <c r="UW72" s="6">
        <v>0</v>
      </c>
      <c r="UX72" s="6">
        <v>0</v>
      </c>
      <c r="UY72" s="6">
        <v>0</v>
      </c>
      <c r="UZ72" s="2"/>
      <c r="VA72" s="2"/>
      <c r="VB72" s="2"/>
      <c r="VC72" s="2"/>
      <c r="VD72" s="2" t="s">
        <v>17</v>
      </c>
      <c r="VE72" s="2" t="s">
        <v>17</v>
      </c>
      <c r="VF72" s="2"/>
      <c r="VG72" s="2" t="s">
        <v>17</v>
      </c>
      <c r="VH72" s="2"/>
      <c r="VI72" s="388" t="s">
        <v>1447</v>
      </c>
      <c r="VJ72" s="2" t="s">
        <v>98</v>
      </c>
      <c r="VK72" s="2" t="s">
        <v>232</v>
      </c>
      <c r="VL72" s="23">
        <f t="shared" si="32"/>
        <v>66</v>
      </c>
      <c r="VM72" s="17">
        <f t="shared" si="33"/>
        <v>1.8857142857142857</v>
      </c>
      <c r="VN72" s="17" t="str">
        <f t="shared" si="43"/>
        <v>NC-GA-F</v>
      </c>
      <c r="VO72" s="17" t="str">
        <f t="shared" si="44"/>
        <v>NC-GA-F-ESS</v>
      </c>
      <c r="VP72" s="12">
        <v>9</v>
      </c>
      <c r="VQ72" s="57">
        <v>1</v>
      </c>
      <c r="VR72" s="57">
        <f t="shared" si="34"/>
        <v>1</v>
      </c>
      <c r="VS72" s="14">
        <f t="shared" si="35"/>
        <v>1</v>
      </c>
      <c r="VT72" s="12">
        <f t="shared" si="36"/>
        <v>0.93000000000000016</v>
      </c>
      <c r="VU72" s="16">
        <f t="shared" si="37"/>
        <v>10253250.000000002</v>
      </c>
      <c r="VV72" s="19">
        <f t="shared" si="38"/>
        <v>292950.00000000006</v>
      </c>
      <c r="VW72" s="12" t="str">
        <f t="shared" si="50"/>
        <v>B</v>
      </c>
      <c r="VX72" s="54" t="str">
        <f t="shared" si="45"/>
        <v>NC-GA-ESS</v>
      </c>
      <c r="VY72" s="351">
        <f t="shared" si="46"/>
        <v>5</v>
      </c>
      <c r="WA72" s="12">
        <f t="shared" si="47"/>
        <v>0</v>
      </c>
      <c r="WB72" s="12">
        <f t="shared" si="48"/>
        <v>0</v>
      </c>
      <c r="WC72" s="12">
        <f t="shared" si="48"/>
        <v>0</v>
      </c>
      <c r="WD72" s="12">
        <f t="shared" si="48"/>
        <v>0</v>
      </c>
      <c r="WE72" s="12">
        <f t="shared" si="49"/>
        <v>1</v>
      </c>
      <c r="WF72" s="12">
        <f t="shared" si="39"/>
        <v>1</v>
      </c>
      <c r="WG72" s="12">
        <f t="shared" si="40"/>
        <v>0</v>
      </c>
      <c r="WH72" s="12">
        <f t="shared" si="41"/>
        <v>0</v>
      </c>
      <c r="WI72" s="22">
        <f t="shared" si="42"/>
        <v>2</v>
      </c>
      <c r="WK72" s="443" t="str">
        <f t="shared" si="51"/>
        <v>NC-GA-ESS-BBN-BRN-NPH-F</v>
      </c>
      <c r="WL72" s="443"/>
      <c r="WM72" s="443"/>
      <c r="WN72" s="2" t="s">
        <v>5402</v>
      </c>
      <c r="WO72" s="12">
        <f>MIN(WI2:WI72)</f>
        <v>1</v>
      </c>
    </row>
    <row r="73" spans="1:613" x14ac:dyDescent="0.25">
      <c r="VY73" s="23"/>
      <c r="VZ73" s="23"/>
      <c r="WA73" s="23"/>
      <c r="WB73" s="23"/>
      <c r="WC73" s="23"/>
      <c r="WG73" s="23"/>
      <c r="WH73" s="23"/>
      <c r="WI73" s="23"/>
      <c r="WJ73" s="23"/>
      <c r="WK73" s="23"/>
    </row>
    <row r="74" spans="1:613" x14ac:dyDescent="0.25">
      <c r="OU74" s="17">
        <v>1</v>
      </c>
      <c r="OX74" t="s">
        <v>5396</v>
      </c>
      <c r="OY74" s="12">
        <f>Elderly_A</f>
        <v>1</v>
      </c>
      <c r="VI74" s="12">
        <v>0.97</v>
      </c>
      <c r="VS74" s="25" t="s">
        <v>2638</v>
      </c>
      <c r="VT74" s="25" t="s">
        <v>2639</v>
      </c>
      <c r="VV74" s="440" t="s">
        <v>5382</v>
      </c>
      <c r="VW74" s="442"/>
      <c r="VY74" s="449" t="s">
        <v>5383</v>
      </c>
      <c r="VZ74" s="447"/>
      <c r="WA74" s="447"/>
      <c r="WB74" s="447"/>
      <c r="WC74" s="448"/>
      <c r="WD74" s="346"/>
      <c r="WE74" s="1" t="s">
        <v>2639</v>
      </c>
      <c r="WF74" s="1" t="s">
        <v>2638</v>
      </c>
      <c r="WG74" s="449" t="s">
        <v>5394</v>
      </c>
      <c r="WH74" s="447"/>
      <c r="WI74" s="447"/>
      <c r="WJ74" s="447"/>
      <c r="WK74" s="448"/>
      <c r="WL74" s="86"/>
    </row>
    <row r="75" spans="1:613" x14ac:dyDescent="0.25">
      <c r="OU75" s="17">
        <v>1.1499999999999999</v>
      </c>
      <c r="OX75" t="s">
        <v>2627</v>
      </c>
      <c r="OY75" s="17">
        <f>Boost_A</f>
        <v>0</v>
      </c>
      <c r="VI75" s="17">
        <v>1.1499999999999999</v>
      </c>
      <c r="VQ75" s="26" t="s">
        <v>2617</v>
      </c>
      <c r="VR75" s="26" t="s">
        <v>2618</v>
      </c>
      <c r="VS75" s="26" t="s">
        <v>2630</v>
      </c>
      <c r="VT75" s="26" t="s">
        <v>2630</v>
      </c>
      <c r="VU75" s="39" t="s">
        <v>4945</v>
      </c>
      <c r="VV75" s="26" t="s">
        <v>381</v>
      </c>
      <c r="VW75" s="26" t="s">
        <v>2629</v>
      </c>
      <c r="VX75" s="27"/>
      <c r="VY75" s="347">
        <v>1</v>
      </c>
      <c r="VZ75" s="347">
        <v>2</v>
      </c>
      <c r="WA75" s="347">
        <v>3</v>
      </c>
      <c r="WB75" s="347">
        <v>4</v>
      </c>
      <c r="WC75" s="347">
        <v>5</v>
      </c>
      <c r="WD75" s="347" t="s">
        <v>4945</v>
      </c>
      <c r="WE75" s="347" t="s">
        <v>4946</v>
      </c>
      <c r="WF75" s="347" t="s">
        <v>4946</v>
      </c>
      <c r="WG75" s="347">
        <v>1</v>
      </c>
      <c r="WH75" s="347">
        <v>2</v>
      </c>
      <c r="WI75" s="347">
        <v>3</v>
      </c>
      <c r="WJ75" s="347">
        <v>4</v>
      </c>
      <c r="WK75" s="347">
        <v>5</v>
      </c>
      <c r="WL75" s="347" t="s">
        <v>4945</v>
      </c>
    </row>
    <row r="76" spans="1:613" x14ac:dyDescent="0.25">
      <c r="OU76" s="17">
        <v>0.88</v>
      </c>
      <c r="OX76" s="13" t="s">
        <v>2617</v>
      </c>
      <c r="OY76" s="17">
        <f>Broward_A</f>
        <v>0.88</v>
      </c>
      <c r="VI76" s="17">
        <v>0.88</v>
      </c>
      <c r="VQ76" s="12">
        <f t="shared" ref="VQ76:VQ83" si="52">COUNTIFS($VX$2:$VX$72,$VX76,$VR$2:$VR$72,"&lt;1")</f>
        <v>0</v>
      </c>
      <c r="VR76" s="12">
        <f t="shared" ref="VR76:VR83" si="53">COUNTIFS($VX$2:$VX$72,$VX76,$VS$2:$VS$72,"&lt;1")</f>
        <v>4</v>
      </c>
      <c r="VS76" s="21">
        <v>0.88888888888888884</v>
      </c>
      <c r="VT76" s="20">
        <f t="shared" ref="VT76" si="54">IFERROR(VV76/VU76,0)</f>
        <v>0.81481481481481477</v>
      </c>
      <c r="VU76" s="12">
        <f>COUNTIF($VX$2:$VX$72,$VX76)</f>
        <v>27</v>
      </c>
      <c r="VV76" s="12">
        <f t="shared" ref="VV76:VW83" si="55">COUNTIFS($VX$2:$VX$72,$VX76,$VW$2:$VW$72,VV$75)</f>
        <v>22</v>
      </c>
      <c r="VW76" s="12">
        <f t="shared" si="55"/>
        <v>5</v>
      </c>
      <c r="VX76" s="31" t="s">
        <v>4947</v>
      </c>
      <c r="VY76" s="352">
        <f t="shared" ref="VY76:WC83" si="56">COUNTIFS($VX$2:$VX$72,$VX76,$VY$2:$VY$72,VY$75)</f>
        <v>3</v>
      </c>
      <c r="VZ76" s="352">
        <f t="shared" si="56"/>
        <v>3</v>
      </c>
      <c r="WA76" s="352">
        <f t="shared" si="56"/>
        <v>7</v>
      </c>
      <c r="WB76" s="352">
        <f t="shared" si="56"/>
        <v>7</v>
      </c>
      <c r="WC76" s="352">
        <f t="shared" si="56"/>
        <v>7</v>
      </c>
      <c r="WD76" s="352">
        <f t="shared" ref="WD76" si="57">SUM(VY76:WC76)</f>
        <v>27</v>
      </c>
      <c r="WE76" s="353">
        <f>IF(WD76=0,0,SUMPRODUCT($VY$75:$WC$75,VY76:WC76)/WD76)</f>
        <v>3.4444444444444446</v>
      </c>
      <c r="WF76" s="353">
        <v>2.9629629629629628</v>
      </c>
      <c r="WG76" s="352">
        <v>3</v>
      </c>
      <c r="WH76" s="352">
        <v>9</v>
      </c>
      <c r="WI76" s="352">
        <v>5</v>
      </c>
      <c r="WJ76" s="352">
        <v>6</v>
      </c>
      <c r="WK76" s="352">
        <v>4</v>
      </c>
      <c r="WL76" s="352">
        <v>27</v>
      </c>
    </row>
    <row r="77" spans="1:613" x14ac:dyDescent="0.25">
      <c r="OU77" s="17">
        <v>0.93</v>
      </c>
      <c r="OX77" s="13" t="s">
        <v>2618</v>
      </c>
      <c r="OY77" s="17">
        <f>PHA_A</f>
        <v>0.97</v>
      </c>
      <c r="VI77" s="17">
        <v>0.93</v>
      </c>
      <c r="VQ77" s="12">
        <f t="shared" si="52"/>
        <v>0</v>
      </c>
      <c r="VR77" s="12">
        <f t="shared" si="53"/>
        <v>5</v>
      </c>
      <c r="VS77" s="21">
        <v>0.60869565217391308</v>
      </c>
      <c r="VT77" s="20">
        <f>IFERROR(VV77/VU77,0)</f>
        <v>0.73913043478260865</v>
      </c>
      <c r="VU77" s="12">
        <f>COUNTIF($VX$2:$VX$72,$VX77)</f>
        <v>23</v>
      </c>
      <c r="VV77" s="12">
        <f t="shared" si="55"/>
        <v>17</v>
      </c>
      <c r="VW77" s="12">
        <f t="shared" si="55"/>
        <v>6</v>
      </c>
      <c r="VX77" s="31" t="s">
        <v>4948</v>
      </c>
      <c r="VY77" s="352">
        <f t="shared" si="56"/>
        <v>2</v>
      </c>
      <c r="VZ77" s="352">
        <f t="shared" si="56"/>
        <v>3</v>
      </c>
      <c r="WA77" s="352">
        <f t="shared" si="56"/>
        <v>4</v>
      </c>
      <c r="WB77" s="352">
        <f t="shared" si="56"/>
        <v>5</v>
      </c>
      <c r="WC77" s="352">
        <f t="shared" si="56"/>
        <v>9</v>
      </c>
      <c r="WD77" s="352">
        <f t="shared" ref="WD77:WD79" si="58">SUM(VY77:WC77)</f>
        <v>23</v>
      </c>
      <c r="WE77" s="353">
        <f t="shared" ref="WE77:WE84" si="59">IF(WD77=0,0,SUMPRODUCT($VY$75:$WC$75,VY77:WC77)/WD77)</f>
        <v>3.6956521739130435</v>
      </c>
      <c r="WF77" s="353">
        <v>4.1739130434782608</v>
      </c>
      <c r="WG77" s="352">
        <v>1</v>
      </c>
      <c r="WH77" s="352">
        <v>1</v>
      </c>
      <c r="WI77" s="352">
        <v>3</v>
      </c>
      <c r="WJ77" s="352">
        <v>6</v>
      </c>
      <c r="WK77" s="352">
        <v>12</v>
      </c>
      <c r="WL77" s="352">
        <v>23</v>
      </c>
    </row>
    <row r="78" spans="1:613" x14ac:dyDescent="0.25">
      <c r="OU78" s="17">
        <v>0.92</v>
      </c>
      <c r="OX78" s="13" t="s">
        <v>2622</v>
      </c>
      <c r="OY78" s="17">
        <f>NC_GA_A</f>
        <v>1</v>
      </c>
      <c r="VI78" s="17">
        <v>0.95</v>
      </c>
      <c r="VQ78" s="12">
        <f t="shared" si="52"/>
        <v>0</v>
      </c>
      <c r="VR78" s="12">
        <f t="shared" si="53"/>
        <v>0</v>
      </c>
      <c r="VS78" s="21">
        <v>0.83333333333333337</v>
      </c>
      <c r="VT78" s="20">
        <f t="shared" ref="VT78:VT83" si="60">IFERROR(VV78/VU78,0)</f>
        <v>0.66666666666666663</v>
      </c>
      <c r="VU78" s="12">
        <f>COUNTIF($VX$2:$VX$72,$VX78)</f>
        <v>6</v>
      </c>
      <c r="VV78" s="12">
        <f t="shared" si="55"/>
        <v>4</v>
      </c>
      <c r="VW78" s="12">
        <f t="shared" si="55"/>
        <v>2</v>
      </c>
      <c r="VX78" s="31" t="s">
        <v>4949</v>
      </c>
      <c r="VY78" s="352">
        <f t="shared" si="56"/>
        <v>1</v>
      </c>
      <c r="VZ78" s="352">
        <f t="shared" si="56"/>
        <v>2</v>
      </c>
      <c r="WA78" s="352">
        <f t="shared" si="56"/>
        <v>0</v>
      </c>
      <c r="WB78" s="352">
        <f t="shared" si="56"/>
        <v>0</v>
      </c>
      <c r="WC78" s="352">
        <f t="shared" si="56"/>
        <v>3</v>
      </c>
      <c r="WD78" s="352">
        <f t="shared" si="58"/>
        <v>6</v>
      </c>
      <c r="WE78" s="353">
        <f t="shared" si="59"/>
        <v>3.3333333333333335</v>
      </c>
      <c r="WF78" s="353">
        <v>2.8333333333333335</v>
      </c>
      <c r="WG78" s="352">
        <v>1</v>
      </c>
      <c r="WH78" s="352">
        <v>2</v>
      </c>
      <c r="WI78" s="352">
        <v>1</v>
      </c>
      <c r="WJ78" s="352">
        <v>1</v>
      </c>
      <c r="WK78" s="352">
        <v>1</v>
      </c>
      <c r="WL78" s="352">
        <v>6</v>
      </c>
    </row>
    <row r="79" spans="1:613" x14ac:dyDescent="0.25">
      <c r="OU79" s="17">
        <v>0.85</v>
      </c>
      <c r="OX79" s="13" t="s">
        <v>2623</v>
      </c>
      <c r="OY79" s="17">
        <f>NC_MR_A</f>
        <v>0.97</v>
      </c>
      <c r="VI79" s="17">
        <v>0.93</v>
      </c>
      <c r="VQ79" s="12">
        <f t="shared" si="52"/>
        <v>0</v>
      </c>
      <c r="VR79" s="12">
        <f t="shared" si="53"/>
        <v>1</v>
      </c>
      <c r="VS79" s="21">
        <v>0.9285714285714286</v>
      </c>
      <c r="VT79" s="20">
        <f t="shared" si="60"/>
        <v>0.9285714285714286</v>
      </c>
      <c r="VU79" s="12">
        <f>COUNTIF($VX$2:$VX$72,$VX79)</f>
        <v>14</v>
      </c>
      <c r="VV79" s="12">
        <f t="shared" si="55"/>
        <v>13</v>
      </c>
      <c r="VW79" s="12">
        <f t="shared" si="55"/>
        <v>1</v>
      </c>
      <c r="VX79" s="31" t="s">
        <v>4950</v>
      </c>
      <c r="VY79" s="352">
        <f t="shared" si="56"/>
        <v>2</v>
      </c>
      <c r="VZ79" s="352">
        <f t="shared" si="56"/>
        <v>7</v>
      </c>
      <c r="WA79" s="352">
        <f t="shared" si="56"/>
        <v>2</v>
      </c>
      <c r="WB79" s="352">
        <f t="shared" si="56"/>
        <v>2</v>
      </c>
      <c r="WC79" s="352">
        <f t="shared" si="56"/>
        <v>1</v>
      </c>
      <c r="WD79" s="352">
        <f t="shared" si="58"/>
        <v>14</v>
      </c>
      <c r="WE79" s="353">
        <f t="shared" si="59"/>
        <v>2.5</v>
      </c>
      <c r="WF79" s="353">
        <v>2.6428571428571428</v>
      </c>
      <c r="WG79" s="352">
        <v>3</v>
      </c>
      <c r="WH79" s="352">
        <v>4</v>
      </c>
      <c r="WI79" s="352">
        <v>4</v>
      </c>
      <c r="WJ79" s="352">
        <v>1</v>
      </c>
      <c r="WK79" s="352">
        <v>2</v>
      </c>
      <c r="WL79" s="352">
        <v>14</v>
      </c>
    </row>
    <row r="80" spans="1:613" x14ac:dyDescent="0.25">
      <c r="OU80" s="17">
        <v>0.82</v>
      </c>
      <c r="OX80" s="13" t="s">
        <v>2621</v>
      </c>
      <c r="OY80" s="17">
        <f>NC_HR_A</f>
        <v>0.95</v>
      </c>
      <c r="VI80" s="17">
        <v>0.91</v>
      </c>
      <c r="VQ80" s="12">
        <f t="shared" si="52"/>
        <v>0</v>
      </c>
      <c r="VR80" s="12">
        <f t="shared" si="53"/>
        <v>0</v>
      </c>
      <c r="VS80" s="21">
        <v>0</v>
      </c>
      <c r="VT80" s="20">
        <f t="shared" si="60"/>
        <v>0</v>
      </c>
      <c r="VU80" s="12">
        <f t="shared" ref="VU80:VU83" si="61">COUNTIF($VX$2:$VX$72,$VX80)</f>
        <v>0</v>
      </c>
      <c r="VV80" s="12">
        <f t="shared" si="55"/>
        <v>0</v>
      </c>
      <c r="VW80" s="12">
        <f t="shared" si="55"/>
        <v>0</v>
      </c>
      <c r="VX80" s="31" t="s">
        <v>4951</v>
      </c>
      <c r="VY80" s="352">
        <f t="shared" si="56"/>
        <v>0</v>
      </c>
      <c r="VZ80" s="352">
        <f t="shared" si="56"/>
        <v>0</v>
      </c>
      <c r="WA80" s="352">
        <f t="shared" si="56"/>
        <v>0</v>
      </c>
      <c r="WB80" s="352">
        <f t="shared" si="56"/>
        <v>0</v>
      </c>
      <c r="WC80" s="352">
        <f t="shared" si="56"/>
        <v>0</v>
      </c>
      <c r="WD80" s="352">
        <f t="shared" ref="WD80:WD83" si="62">SUM(VY80:WC80)</f>
        <v>0</v>
      </c>
      <c r="WE80" s="353">
        <f t="shared" ref="WE80:WE83" si="63">IF(WD80=0,0,SUMPRODUCT($VY$75:$WC$75,VY80:WC80)/WD80)</f>
        <v>0</v>
      </c>
      <c r="WF80" s="353">
        <v>0</v>
      </c>
      <c r="WG80" s="352">
        <v>0</v>
      </c>
      <c r="WH80" s="352">
        <v>0</v>
      </c>
      <c r="WI80" s="352">
        <v>0</v>
      </c>
      <c r="WJ80" s="352">
        <v>0</v>
      </c>
      <c r="WK80" s="352">
        <v>0</v>
      </c>
      <c r="WL80" s="352">
        <v>0</v>
      </c>
    </row>
    <row r="81" spans="411:610" x14ac:dyDescent="0.25">
      <c r="OU81" s="17">
        <v>1</v>
      </c>
      <c r="OX81" s="13" t="s">
        <v>2624</v>
      </c>
      <c r="OY81" s="17" t="e">
        <f>NC_SF_A</f>
        <v>#REF!</v>
      </c>
      <c r="VI81" s="17">
        <v>1</v>
      </c>
      <c r="VQ81" s="70">
        <f t="shared" si="52"/>
        <v>0</v>
      </c>
      <c r="VR81" s="70">
        <f t="shared" si="53"/>
        <v>0</v>
      </c>
      <c r="VS81" s="71">
        <v>1</v>
      </c>
      <c r="VT81" s="72">
        <f>IFERROR(VV81/VU81,0)</f>
        <v>1</v>
      </c>
      <c r="VU81" s="70">
        <f>COUNTIF($VX$2:$VX$72,$VX81)</f>
        <v>1</v>
      </c>
      <c r="VV81" s="70">
        <f t="shared" si="55"/>
        <v>1</v>
      </c>
      <c r="VW81" s="70">
        <f t="shared" si="55"/>
        <v>0</v>
      </c>
      <c r="VX81" s="73" t="s">
        <v>5380</v>
      </c>
      <c r="VY81" s="354">
        <f t="shared" si="56"/>
        <v>0</v>
      </c>
      <c r="VZ81" s="354">
        <f t="shared" si="56"/>
        <v>0</v>
      </c>
      <c r="WA81" s="354">
        <f t="shared" si="56"/>
        <v>0</v>
      </c>
      <c r="WB81" s="354">
        <f t="shared" si="56"/>
        <v>1</v>
      </c>
      <c r="WC81" s="354">
        <f t="shared" si="56"/>
        <v>0</v>
      </c>
      <c r="WD81" s="354">
        <f>SUM(VY81:WC81)</f>
        <v>1</v>
      </c>
      <c r="WE81" s="355">
        <f>IF(WD81=0,0,SUMPRODUCT($VY$75:$WC$75,VY81:WC81)/WD81)</f>
        <v>4</v>
      </c>
      <c r="WF81" s="355">
        <v>5</v>
      </c>
      <c r="WG81" s="354">
        <v>0</v>
      </c>
      <c r="WH81" s="354">
        <v>0</v>
      </c>
      <c r="WI81" s="354">
        <v>0</v>
      </c>
      <c r="WJ81" s="354">
        <v>0</v>
      </c>
      <c r="WK81" s="354">
        <v>1</v>
      </c>
      <c r="WL81" s="354">
        <v>1</v>
      </c>
    </row>
    <row r="82" spans="411:610" x14ac:dyDescent="0.25">
      <c r="OU82" s="17">
        <v>1</v>
      </c>
      <c r="OX82" s="13" t="s">
        <v>2625</v>
      </c>
      <c r="OY82" s="17">
        <f>NC_OT_A</f>
        <v>1</v>
      </c>
      <c r="VI82" s="17">
        <v>1</v>
      </c>
      <c r="VQ82" s="12">
        <f t="shared" si="52"/>
        <v>0</v>
      </c>
      <c r="VR82" s="12">
        <f t="shared" si="53"/>
        <v>0</v>
      </c>
      <c r="VS82" s="21">
        <v>0</v>
      </c>
      <c r="VT82" s="20">
        <f t="shared" si="60"/>
        <v>0</v>
      </c>
      <c r="VU82" s="12">
        <f t="shared" si="61"/>
        <v>0</v>
      </c>
      <c r="VV82" s="12">
        <f t="shared" si="55"/>
        <v>0</v>
      </c>
      <c r="VW82" s="12">
        <f t="shared" si="55"/>
        <v>0</v>
      </c>
      <c r="VX82" s="31" t="s">
        <v>4952</v>
      </c>
      <c r="VY82" s="352">
        <f t="shared" si="56"/>
        <v>0</v>
      </c>
      <c r="VZ82" s="352">
        <f t="shared" si="56"/>
        <v>0</v>
      </c>
      <c r="WA82" s="352">
        <f t="shared" si="56"/>
        <v>0</v>
      </c>
      <c r="WB82" s="352">
        <f t="shared" si="56"/>
        <v>0</v>
      </c>
      <c r="WC82" s="352">
        <f t="shared" si="56"/>
        <v>0</v>
      </c>
      <c r="WD82" s="352">
        <f t="shared" si="62"/>
        <v>0</v>
      </c>
      <c r="WE82" s="353">
        <f t="shared" si="63"/>
        <v>0</v>
      </c>
      <c r="WF82" s="353">
        <v>0</v>
      </c>
      <c r="WG82" s="352">
        <v>0</v>
      </c>
      <c r="WH82" s="352">
        <v>0</v>
      </c>
      <c r="WI82" s="352">
        <v>0</v>
      </c>
      <c r="WJ82" s="352">
        <v>0</v>
      </c>
      <c r="WK82" s="352">
        <v>0</v>
      </c>
      <c r="WL82" s="352">
        <v>0</v>
      </c>
    </row>
    <row r="83" spans="411:610" x14ac:dyDescent="0.25">
      <c r="OU83" s="17">
        <v>0.87</v>
      </c>
      <c r="OX83" s="13" t="s">
        <v>2628</v>
      </c>
      <c r="OY83" s="17">
        <f>ESSC_A</f>
        <v>0.93</v>
      </c>
      <c r="VI83" s="17">
        <v>0.88</v>
      </c>
      <c r="VQ83" s="12">
        <f t="shared" si="52"/>
        <v>0</v>
      </c>
      <c r="VR83" s="12">
        <f t="shared" si="53"/>
        <v>0</v>
      </c>
      <c r="VS83" s="42">
        <v>0</v>
      </c>
      <c r="VT83" s="56">
        <f t="shared" si="60"/>
        <v>0</v>
      </c>
      <c r="VU83" s="24">
        <f t="shared" si="61"/>
        <v>0</v>
      </c>
      <c r="VV83" s="12">
        <f t="shared" si="55"/>
        <v>0</v>
      </c>
      <c r="VW83" s="12">
        <f t="shared" si="55"/>
        <v>0</v>
      </c>
      <c r="VX83" s="31" t="s">
        <v>4953</v>
      </c>
      <c r="VY83" s="352">
        <f t="shared" si="56"/>
        <v>0</v>
      </c>
      <c r="VZ83" s="352">
        <f t="shared" si="56"/>
        <v>0</v>
      </c>
      <c r="WA83" s="352">
        <f t="shared" si="56"/>
        <v>0</v>
      </c>
      <c r="WB83" s="352">
        <f t="shared" si="56"/>
        <v>0</v>
      </c>
      <c r="WC83" s="352">
        <f t="shared" si="56"/>
        <v>0</v>
      </c>
      <c r="WD83" s="356">
        <f t="shared" si="62"/>
        <v>0</v>
      </c>
      <c r="WE83" s="357">
        <f t="shared" si="63"/>
        <v>0</v>
      </c>
      <c r="WF83" s="357">
        <v>0</v>
      </c>
      <c r="WG83" s="352">
        <v>0</v>
      </c>
      <c r="WH83" s="352">
        <v>0</v>
      </c>
      <c r="WI83" s="352">
        <v>0</v>
      </c>
      <c r="WJ83" s="352">
        <v>0</v>
      </c>
      <c r="WK83" s="352">
        <v>0</v>
      </c>
      <c r="WL83" s="356">
        <v>0</v>
      </c>
    </row>
    <row r="84" spans="411:610" x14ac:dyDescent="0.25">
      <c r="OU84" s="17"/>
      <c r="OV84" s="17"/>
      <c r="OX84" s="13"/>
      <c r="OY84" s="17"/>
      <c r="VQ84" s="44">
        <f t="shared" ref="VQ84:VR84" si="64">SUM(VQ76:VQ83)</f>
        <v>0</v>
      </c>
      <c r="VR84" s="44">
        <f t="shared" si="64"/>
        <v>10</v>
      </c>
      <c r="VS84" s="20">
        <v>0.80281690140845074</v>
      </c>
      <c r="VT84" s="20">
        <f t="shared" ref="VT84" si="65">VV84/VU84</f>
        <v>0.80281690140845074</v>
      </c>
      <c r="VU84" s="12">
        <f>SUM(VU76:VU83)</f>
        <v>71</v>
      </c>
      <c r="VV84" s="64">
        <f>SUM(VV76:VV83)</f>
        <v>57</v>
      </c>
      <c r="VW84" s="64">
        <f>SUM(VW76:VW83)</f>
        <v>14</v>
      </c>
      <c r="VX84" s="66" t="s">
        <v>2633</v>
      </c>
      <c r="VY84" s="358">
        <f t="shared" ref="VY84:WC84" si="66">SUM(VY76:VY83)</f>
        <v>8</v>
      </c>
      <c r="VZ84" s="358">
        <f t="shared" si="66"/>
        <v>15</v>
      </c>
      <c r="WA84" s="358">
        <f t="shared" si="66"/>
        <v>13</v>
      </c>
      <c r="WB84" s="358">
        <f t="shared" si="66"/>
        <v>15</v>
      </c>
      <c r="WC84" s="358">
        <f t="shared" si="66"/>
        <v>20</v>
      </c>
      <c r="WD84" s="351">
        <f t="shared" ref="WD84" si="67">SUM(WD76:WD83)</f>
        <v>71</v>
      </c>
      <c r="WE84" s="353">
        <f t="shared" si="59"/>
        <v>3.3380281690140845</v>
      </c>
      <c r="WF84" s="353">
        <v>3.3098591549295775</v>
      </c>
      <c r="WG84" s="358">
        <f t="shared" ref="WG84:WK84" si="68">SUM(WG76:WG83)</f>
        <v>8</v>
      </c>
      <c r="WH84" s="358">
        <f t="shared" si="68"/>
        <v>16</v>
      </c>
      <c r="WI84" s="358">
        <f t="shared" si="68"/>
        <v>13</v>
      </c>
      <c r="WJ84" s="358">
        <f t="shared" si="68"/>
        <v>14</v>
      </c>
      <c r="WK84" s="358">
        <f t="shared" si="68"/>
        <v>20</v>
      </c>
      <c r="WL84" s="351">
        <v>71</v>
      </c>
    </row>
    <row r="85" spans="411:610" x14ac:dyDescent="0.25">
      <c r="VX85" s="31"/>
      <c r="VY85" s="359"/>
      <c r="VZ85" s="359"/>
      <c r="WA85" s="359"/>
      <c r="WB85" s="359"/>
      <c r="WC85" s="359"/>
      <c r="WD85" s="359"/>
      <c r="WE85" s="359"/>
      <c r="WF85" s="359"/>
      <c r="WG85" s="359"/>
      <c r="WH85" s="359"/>
      <c r="WI85" s="359"/>
      <c r="WJ85" s="359"/>
      <c r="WK85" s="359"/>
      <c r="WL85" s="359"/>
    </row>
    <row r="86" spans="411:610" x14ac:dyDescent="0.25">
      <c r="VQ86" s="23">
        <f>VQ76+VQ77</f>
        <v>0</v>
      </c>
      <c r="VR86" s="23">
        <f>VR76+VR77</f>
        <v>9</v>
      </c>
      <c r="VS86" s="20">
        <v>0.76</v>
      </c>
      <c r="VT86" s="20">
        <f t="shared" ref="VT86:VT89" si="69">IFERROR(VV86/VU86,0)</f>
        <v>0.78</v>
      </c>
      <c r="VU86" s="12">
        <f t="shared" ref="VU86:VU89" si="70">VW86+VV86</f>
        <v>50</v>
      </c>
      <c r="VV86" s="23">
        <f>VV76+VV77</f>
        <v>39</v>
      </c>
      <c r="VW86" s="23">
        <f>VW76+VW77</f>
        <v>11</v>
      </c>
      <c r="VX86" s="31" t="s">
        <v>4954</v>
      </c>
      <c r="VY86" s="352">
        <f>VY76+VY77</f>
        <v>5</v>
      </c>
      <c r="VZ86" s="352">
        <f t="shared" ref="VZ86:WC86" si="71">VZ76+VZ77</f>
        <v>6</v>
      </c>
      <c r="WA86" s="352">
        <f t="shared" si="71"/>
        <v>11</v>
      </c>
      <c r="WB86" s="352">
        <f t="shared" si="71"/>
        <v>12</v>
      </c>
      <c r="WC86" s="352">
        <f t="shared" si="71"/>
        <v>16</v>
      </c>
      <c r="WD86" s="352">
        <f t="shared" ref="WD86:WD90" si="72">SUM(VY86:WC86)</f>
        <v>50</v>
      </c>
      <c r="WE86" s="353">
        <f t="shared" ref="WE86:WE89" si="73">IF(WD86=0,0,SUMPRODUCT($VY$75:$WC$75,VY86:WC86)/WD86)</f>
        <v>3.56</v>
      </c>
      <c r="WF86" s="353">
        <v>3.52</v>
      </c>
      <c r="WG86" s="352">
        <v>4</v>
      </c>
      <c r="WH86" s="352">
        <v>10</v>
      </c>
      <c r="WI86" s="352">
        <v>8</v>
      </c>
      <c r="WJ86" s="352">
        <v>12</v>
      </c>
      <c r="WK86" s="352">
        <v>16</v>
      </c>
      <c r="WL86" s="352">
        <v>50</v>
      </c>
    </row>
    <row r="87" spans="411:610" x14ac:dyDescent="0.25">
      <c r="VQ87" s="23">
        <f>VQ78+VQ79</f>
        <v>0</v>
      </c>
      <c r="VR87" s="23">
        <f>VR78+VR79</f>
        <v>1</v>
      </c>
      <c r="VS87" s="20">
        <v>0.9</v>
      </c>
      <c r="VT87" s="20">
        <f t="shared" si="69"/>
        <v>0.85</v>
      </c>
      <c r="VU87" s="12">
        <f t="shared" si="70"/>
        <v>20</v>
      </c>
      <c r="VV87" s="23">
        <f>VV78+VV79</f>
        <v>17</v>
      </c>
      <c r="VW87" s="23">
        <f>VW78+VW79</f>
        <v>3</v>
      </c>
      <c r="VX87" s="31" t="s">
        <v>4955</v>
      </c>
      <c r="VY87" s="352">
        <f>VY78+VY79</f>
        <v>3</v>
      </c>
      <c r="VZ87" s="352">
        <f t="shared" ref="VZ87:WC87" si="74">VZ78+VZ79</f>
        <v>9</v>
      </c>
      <c r="WA87" s="352">
        <f t="shared" si="74"/>
        <v>2</v>
      </c>
      <c r="WB87" s="352">
        <f t="shared" si="74"/>
        <v>2</v>
      </c>
      <c r="WC87" s="352">
        <f t="shared" si="74"/>
        <v>4</v>
      </c>
      <c r="WD87" s="352">
        <f t="shared" si="72"/>
        <v>20</v>
      </c>
      <c r="WE87" s="353">
        <f t="shared" si="73"/>
        <v>2.75</v>
      </c>
      <c r="WF87" s="353">
        <v>2.7</v>
      </c>
      <c r="WG87" s="352">
        <v>4</v>
      </c>
      <c r="WH87" s="352">
        <v>6</v>
      </c>
      <c r="WI87" s="352">
        <v>5</v>
      </c>
      <c r="WJ87" s="352">
        <v>2</v>
      </c>
      <c r="WK87" s="352">
        <v>3</v>
      </c>
      <c r="WL87" s="352">
        <v>20</v>
      </c>
    </row>
    <row r="88" spans="411:610" x14ac:dyDescent="0.25">
      <c r="VQ88" s="76">
        <f>VQ80</f>
        <v>0</v>
      </c>
      <c r="VR88" s="76">
        <f>VR80</f>
        <v>0</v>
      </c>
      <c r="VS88" s="20">
        <v>0</v>
      </c>
      <c r="VT88" s="20">
        <f t="shared" si="69"/>
        <v>0</v>
      </c>
      <c r="VU88" s="12">
        <f t="shared" ref="VU88" si="75">VU80</f>
        <v>0</v>
      </c>
      <c r="VV88" s="76">
        <f>VV80</f>
        <v>0</v>
      </c>
      <c r="VW88" s="76">
        <f>VW80</f>
        <v>0</v>
      </c>
      <c r="VX88" s="69" t="s">
        <v>4956</v>
      </c>
      <c r="VY88" s="360">
        <f>VY80</f>
        <v>0</v>
      </c>
      <c r="VZ88" s="360">
        <f t="shared" ref="VZ88:WC88" si="76">VZ80</f>
        <v>0</v>
      </c>
      <c r="WA88" s="360">
        <f t="shared" si="76"/>
        <v>0</v>
      </c>
      <c r="WB88" s="360">
        <f t="shared" si="76"/>
        <v>0</v>
      </c>
      <c r="WC88" s="360">
        <f t="shared" si="76"/>
        <v>0</v>
      </c>
      <c r="WD88" s="352">
        <f t="shared" ref="WD88" si="77">SUM(VY88:WC88)</f>
        <v>0</v>
      </c>
      <c r="WE88" s="353">
        <f t="shared" ref="WE88" si="78">IF(WD88=0,0,SUMPRODUCT($VY$75:$WC$75,VY88:WC88)/WD88)</f>
        <v>0</v>
      </c>
      <c r="WF88" s="353">
        <v>0</v>
      </c>
      <c r="WG88" s="360">
        <v>0</v>
      </c>
      <c r="WH88" s="360">
        <v>0</v>
      </c>
      <c r="WI88" s="360">
        <v>0</v>
      </c>
      <c r="WJ88" s="360">
        <v>0</v>
      </c>
      <c r="WK88" s="360">
        <v>0</v>
      </c>
      <c r="WL88" s="352">
        <v>0</v>
      </c>
    </row>
    <row r="89" spans="411:610" x14ac:dyDescent="0.25">
      <c r="VQ89" s="41">
        <f t="shared" ref="VQ89:VR89" si="79">VQ81</f>
        <v>0</v>
      </c>
      <c r="VR89" s="41">
        <f t="shared" si="79"/>
        <v>0</v>
      </c>
      <c r="VS89" s="42">
        <v>1</v>
      </c>
      <c r="VT89" s="42">
        <f t="shared" si="69"/>
        <v>1</v>
      </c>
      <c r="VU89" s="41">
        <f t="shared" si="70"/>
        <v>1</v>
      </c>
      <c r="VV89" s="41">
        <f t="shared" ref="VV89:VW89" si="80">VV81</f>
        <v>1</v>
      </c>
      <c r="VW89" s="41">
        <f t="shared" si="80"/>
        <v>0</v>
      </c>
      <c r="VX89" s="43" t="s">
        <v>5407</v>
      </c>
      <c r="VY89" s="361">
        <f t="shared" ref="VY89" si="81">VY81</f>
        <v>0</v>
      </c>
      <c r="VZ89" s="361">
        <f t="shared" ref="VZ89:WC89" si="82">VZ81</f>
        <v>0</v>
      </c>
      <c r="WA89" s="361">
        <f t="shared" si="82"/>
        <v>0</v>
      </c>
      <c r="WB89" s="361">
        <f t="shared" si="82"/>
        <v>1</v>
      </c>
      <c r="WC89" s="361">
        <f t="shared" si="82"/>
        <v>0</v>
      </c>
      <c r="WD89" s="356">
        <f t="shared" si="72"/>
        <v>1</v>
      </c>
      <c r="WE89" s="357">
        <f t="shared" si="73"/>
        <v>4</v>
      </c>
      <c r="WF89" s="357">
        <v>5</v>
      </c>
      <c r="WG89" s="361">
        <v>0</v>
      </c>
      <c r="WH89" s="361">
        <v>0</v>
      </c>
      <c r="WI89" s="361">
        <v>0</v>
      </c>
      <c r="WJ89" s="361">
        <v>0</v>
      </c>
      <c r="WK89" s="361">
        <v>1</v>
      </c>
      <c r="WL89" s="356">
        <v>1</v>
      </c>
    </row>
    <row r="90" spans="411:610" x14ac:dyDescent="0.25">
      <c r="VQ90" s="23">
        <f>VQ82+VQ83</f>
        <v>0</v>
      </c>
      <c r="VR90" s="76">
        <f>VR82+VR83</f>
        <v>0</v>
      </c>
      <c r="VS90" s="20">
        <v>0</v>
      </c>
      <c r="VT90" s="20">
        <f t="shared" ref="VT90" si="83">IFERROR(VV90/VU90,0)</f>
        <v>0</v>
      </c>
      <c r="VU90" s="12">
        <f>VU82+VU83</f>
        <v>0</v>
      </c>
      <c r="VV90" s="76">
        <f>VV82+VV83</f>
        <v>0</v>
      </c>
      <c r="VW90" s="76">
        <f>VW82+VW83</f>
        <v>0</v>
      </c>
      <c r="VX90" s="69" t="s">
        <v>4957</v>
      </c>
      <c r="VY90" s="362">
        <f>VY82+VY83</f>
        <v>0</v>
      </c>
      <c r="VZ90" s="362">
        <f t="shared" ref="VZ90:WC90" si="84">VZ82+VZ83</f>
        <v>0</v>
      </c>
      <c r="WA90" s="362">
        <f t="shared" si="84"/>
        <v>0</v>
      </c>
      <c r="WB90" s="362">
        <f t="shared" si="84"/>
        <v>0</v>
      </c>
      <c r="WC90" s="362">
        <f t="shared" si="84"/>
        <v>0</v>
      </c>
      <c r="WD90" s="352">
        <f t="shared" si="72"/>
        <v>0</v>
      </c>
      <c r="WE90" s="353">
        <v>0</v>
      </c>
      <c r="WF90" s="353">
        <v>0</v>
      </c>
      <c r="WG90" s="362">
        <v>0</v>
      </c>
      <c r="WH90" s="362">
        <v>0</v>
      </c>
      <c r="WI90" s="362">
        <v>0</v>
      </c>
      <c r="WJ90" s="362">
        <v>0</v>
      </c>
      <c r="WK90" s="362">
        <v>0</v>
      </c>
      <c r="WL90" s="352">
        <v>0</v>
      </c>
    </row>
    <row r="91" spans="411:610" x14ac:dyDescent="0.25">
      <c r="VQ91" s="2"/>
      <c r="VR91" s="78"/>
      <c r="VV91" s="78"/>
      <c r="VW91" s="78"/>
      <c r="VX91" s="78"/>
      <c r="VY91" s="363"/>
      <c r="VZ91" s="363"/>
      <c r="WA91" s="363"/>
      <c r="WB91" s="363"/>
      <c r="WC91" s="363"/>
      <c r="WD91" s="359"/>
      <c r="WE91" s="359"/>
      <c r="WF91" s="359"/>
      <c r="WG91" s="359"/>
      <c r="WH91" s="359"/>
      <c r="WI91" s="359"/>
      <c r="WJ91" s="359"/>
      <c r="WK91" s="359"/>
      <c r="WL91" s="359"/>
    </row>
    <row r="92" spans="411:610" x14ac:dyDescent="0.25">
      <c r="VQ92" s="23">
        <f t="shared" ref="VQ92:VR92" si="85">VQ76+VQ78+VQ80</f>
        <v>0</v>
      </c>
      <c r="VR92" s="23">
        <f t="shared" si="85"/>
        <v>4</v>
      </c>
      <c r="VS92" s="20">
        <v>0.8529411764705882</v>
      </c>
      <c r="VT92" s="20">
        <f t="shared" ref="VT92:VT93" si="86">IFERROR(VV92/VU92,0)</f>
        <v>0.76470588235294112</v>
      </c>
      <c r="VU92" s="12">
        <f>VU76+VU78+VU81</f>
        <v>34</v>
      </c>
      <c r="VV92" s="23">
        <f>VV76+VV78+VV80</f>
        <v>26</v>
      </c>
      <c r="VW92" s="23">
        <f>VW76+VW78+VW80</f>
        <v>7</v>
      </c>
      <c r="VX92" s="31" t="s">
        <v>4958</v>
      </c>
      <c r="VY92" s="352">
        <f>VY76+VY78+VY80+VY81</f>
        <v>4</v>
      </c>
      <c r="VZ92" s="352">
        <f>VZ76+VZ78+VZ80+VZ81</f>
        <v>5</v>
      </c>
      <c r="WA92" s="352">
        <f>WA76+WA78+WA80+WA81</f>
        <v>7</v>
      </c>
      <c r="WB92" s="352">
        <f>WB76+WB78+WB80+WB81</f>
        <v>8</v>
      </c>
      <c r="WC92" s="352">
        <f>WC76+WC78+WC80+WC81</f>
        <v>10</v>
      </c>
      <c r="WD92" s="352">
        <f t="shared" ref="WD92:WD93" si="87">SUM(VY92:WC92)</f>
        <v>34</v>
      </c>
      <c r="WE92" s="353">
        <f t="shared" ref="WE92:WE93" si="88">IF(WD92=0,0,SUMPRODUCT($VY$75:$WC$75,VY92:WC92)/WD92)</f>
        <v>3.4411764705882355</v>
      </c>
      <c r="WF92" s="353">
        <v>3</v>
      </c>
      <c r="WG92" s="352">
        <v>4</v>
      </c>
      <c r="WH92" s="352">
        <v>11</v>
      </c>
      <c r="WI92" s="352">
        <v>6</v>
      </c>
      <c r="WJ92" s="352">
        <v>7</v>
      </c>
      <c r="WK92" s="352">
        <v>6</v>
      </c>
      <c r="WL92" s="352">
        <v>34</v>
      </c>
    </row>
    <row r="93" spans="411:610" x14ac:dyDescent="0.25">
      <c r="VQ93" s="23">
        <f t="shared" ref="VQ93:VR93" si="89">VQ77+VQ79</f>
        <v>0</v>
      </c>
      <c r="VR93" s="23">
        <f t="shared" si="89"/>
        <v>6</v>
      </c>
      <c r="VS93" s="20">
        <v>0.72972972972972971</v>
      </c>
      <c r="VT93" s="20">
        <f t="shared" si="86"/>
        <v>0.81081081081081086</v>
      </c>
      <c r="VU93" s="12">
        <f>VU77+VU79</f>
        <v>37</v>
      </c>
      <c r="VV93" s="23">
        <f>VV77+VV79</f>
        <v>30</v>
      </c>
      <c r="VW93" s="23">
        <f>VW77+VW79</f>
        <v>7</v>
      </c>
      <c r="VX93" s="31" t="s">
        <v>4959</v>
      </c>
      <c r="VY93" s="352">
        <f>VY77+VY79</f>
        <v>4</v>
      </c>
      <c r="VZ93" s="352">
        <f>VZ77+VZ79</f>
        <v>10</v>
      </c>
      <c r="WA93" s="352">
        <f>WA77+WA79</f>
        <v>6</v>
      </c>
      <c r="WB93" s="352">
        <f>WB77+WB79</f>
        <v>7</v>
      </c>
      <c r="WC93" s="352">
        <f>WC77+WC79</f>
        <v>10</v>
      </c>
      <c r="WD93" s="352">
        <f t="shared" si="87"/>
        <v>37</v>
      </c>
      <c r="WE93" s="353">
        <f t="shared" si="88"/>
        <v>3.2432432432432434</v>
      </c>
      <c r="WF93" s="353">
        <v>3.5945945945945947</v>
      </c>
      <c r="WG93" s="352">
        <v>4</v>
      </c>
      <c r="WH93" s="352">
        <v>5</v>
      </c>
      <c r="WI93" s="352">
        <v>7</v>
      </c>
      <c r="WJ93" s="352">
        <v>7</v>
      </c>
      <c r="WK93" s="352">
        <v>14</v>
      </c>
      <c r="WL93" s="352">
        <v>37</v>
      </c>
    </row>
    <row r="94" spans="411:610" x14ac:dyDescent="0.25">
      <c r="VQ94" s="12">
        <f>VQ82+VQ83</f>
        <v>0</v>
      </c>
      <c r="VR94" s="12">
        <f>VR82+VR83</f>
        <v>0</v>
      </c>
      <c r="VS94" s="20">
        <v>0</v>
      </c>
      <c r="VT94" s="20">
        <f t="shared" ref="VT94" si="90">IFERROR(VV94/VU94,0)</f>
        <v>0</v>
      </c>
      <c r="VU94" s="12">
        <f>VU82+VU83</f>
        <v>0</v>
      </c>
      <c r="VV94" s="12">
        <f>VV82+VV83</f>
        <v>0</v>
      </c>
      <c r="VW94" s="12">
        <f>VW82+VW83</f>
        <v>0</v>
      </c>
      <c r="VX94" s="31" t="s">
        <v>5384</v>
      </c>
      <c r="VY94" s="351">
        <f>VY82+VY83</f>
        <v>0</v>
      </c>
      <c r="VZ94" s="351">
        <f>VZ82+VZ83</f>
        <v>0</v>
      </c>
      <c r="WA94" s="351">
        <f>WA82+WA83</f>
        <v>0</v>
      </c>
      <c r="WB94" s="351">
        <f>WB82+WB83</f>
        <v>0</v>
      </c>
      <c r="WC94" s="351">
        <f>WC82+WC83</f>
        <v>0</v>
      </c>
      <c r="WD94" s="352">
        <f t="shared" ref="WD94" si="91">SUM(VY94:WC94)</f>
        <v>0</v>
      </c>
      <c r="WE94" s="353">
        <f t="shared" ref="WE94" si="92">IF(WD94=0,0,SUMPRODUCT($VY$75:$WC$75,VY94:WC94)/WD94)</f>
        <v>0</v>
      </c>
      <c r="WF94" s="353">
        <v>0</v>
      </c>
      <c r="WG94" s="351">
        <v>0</v>
      </c>
      <c r="WH94" s="351">
        <v>0</v>
      </c>
      <c r="WI94" s="351">
        <v>0</v>
      </c>
      <c r="WJ94" s="351">
        <v>0</v>
      </c>
      <c r="WK94" s="351">
        <v>0</v>
      </c>
      <c r="WL94" s="352">
        <v>0</v>
      </c>
    </row>
    <row r="95" spans="411:610" x14ac:dyDescent="0.25">
      <c r="VV95" s="2"/>
      <c r="VW95" s="2"/>
      <c r="VY95" s="364"/>
      <c r="VZ95" s="364"/>
      <c r="WA95" s="364"/>
      <c r="WB95" s="364"/>
      <c r="WC95" s="364"/>
      <c r="WD95" s="359"/>
      <c r="WE95" s="359"/>
      <c r="WF95" s="359"/>
      <c r="WG95" s="359"/>
      <c r="WH95" s="359"/>
      <c r="WI95" s="359"/>
      <c r="WJ95" s="359"/>
      <c r="WK95" s="359"/>
      <c r="WL95" s="359"/>
    </row>
    <row r="96" spans="411:610" x14ac:dyDescent="0.25">
      <c r="VS96" s="20">
        <v>1</v>
      </c>
      <c r="VT96" s="20">
        <f t="shared" ref="VT96:VT97" si="93">IFERROR(VV96/VU96,0)</f>
        <v>0.9</v>
      </c>
      <c r="VU96" s="12">
        <f t="shared" ref="VU96:VU97" si="94">VW96+VV96</f>
        <v>10</v>
      </c>
      <c r="VV96" s="23">
        <f>COUNTIFS($VW$2:$VW$72,VV$75,$VS$2:$VS$72,"&lt;1")</f>
        <v>9</v>
      </c>
      <c r="VW96" s="23">
        <f>COUNTIFS($VW$2:$VW$72,VW$75,$VS$2:$VS$72,"&lt;1")</f>
        <v>1</v>
      </c>
      <c r="VX96" s="31" t="s">
        <v>2631</v>
      </c>
      <c r="VY96" s="352">
        <f>COUNTIFS($VY$2:$VY$72,VY$75,$VS$2:$VS$72,"&lt;1")</f>
        <v>2</v>
      </c>
      <c r="VZ96" s="352">
        <f>COUNTIFS($VY$2:$VY$72,VZ$75,$VS$2:$VS$72,"&lt;1")</f>
        <v>2</v>
      </c>
      <c r="WA96" s="352">
        <f>COUNTIFS($VY$2:$VY$72,WA$75,$VS$2:$VS$72,"&lt;1")</f>
        <v>2</v>
      </c>
      <c r="WB96" s="352">
        <f>COUNTIFS($VY$2:$VY$72,WB$75,$VS$2:$VS$72,"&lt;1")</f>
        <v>2</v>
      </c>
      <c r="WC96" s="352">
        <f>COUNTIFS($VY$2:$VY$72,WC$75,$VS$2:$VS$72,"&lt;1")</f>
        <v>2</v>
      </c>
      <c r="WD96" s="352">
        <f>SUM(VY96:WC96)</f>
        <v>10</v>
      </c>
      <c r="WE96" s="353">
        <f>IF(WD96=0,0,SUMPRODUCT($VY$75:$WC$75,VY96:WC96)/WD96)</f>
        <v>3</v>
      </c>
      <c r="WF96" s="353">
        <v>2.8</v>
      </c>
      <c r="WG96" s="352">
        <v>3</v>
      </c>
      <c r="WH96" s="352">
        <v>1</v>
      </c>
      <c r="WI96" s="352">
        <v>2</v>
      </c>
      <c r="WJ96" s="352">
        <v>3</v>
      </c>
      <c r="WK96" s="352">
        <v>1</v>
      </c>
      <c r="WL96" s="352">
        <v>10</v>
      </c>
    </row>
    <row r="97" spans="591:610" x14ac:dyDescent="0.25">
      <c r="VS97" s="20">
        <v>0.77049180327868849</v>
      </c>
      <c r="VT97" s="20">
        <f t="shared" si="93"/>
        <v>0.78688524590163933</v>
      </c>
      <c r="VU97" s="12">
        <f t="shared" si="94"/>
        <v>61</v>
      </c>
      <c r="VV97" s="23">
        <f>COUNTIFS($VW$2:$VW$72,VV$75,$VS$2:$VS$72,"=1")</f>
        <v>48</v>
      </c>
      <c r="VW97" s="23">
        <f>COUNTIFS($VW$2:$VW$72,VW$75,$VS$2:$VS$72,"=1")</f>
        <v>13</v>
      </c>
      <c r="VX97" s="31" t="s">
        <v>2632</v>
      </c>
      <c r="VY97" s="352">
        <f>COUNTIFS($VY$2:$VY$72,VY$75,$VS$2:$VS$72,"=1")</f>
        <v>6</v>
      </c>
      <c r="VZ97" s="352">
        <f>COUNTIFS($VY$2:$VY$72,VZ$75,$VS$2:$VS$72,"=1")</f>
        <v>13</v>
      </c>
      <c r="WA97" s="352">
        <f>COUNTIFS($VY$2:$VY$72,WA$75,$VS$2:$VS$72,"=1")</f>
        <v>11</v>
      </c>
      <c r="WB97" s="352">
        <f>COUNTIFS($VY$2:$VY$72,WB$75,$VS$2:$VS$72,"=1")</f>
        <v>13</v>
      </c>
      <c r="WC97" s="352">
        <f>COUNTIFS($VY$2:$VY$72,WC$75,$VS$2:$VS$72,"=1")</f>
        <v>18</v>
      </c>
      <c r="WD97" s="352">
        <f>SUM(VY97:WC97)</f>
        <v>61</v>
      </c>
      <c r="WE97" s="353">
        <f>IF(WD97=0,0,SUMPRODUCT($VY$75:$WC$75,VY97:WC97)/WD97)</f>
        <v>3.3934426229508197</v>
      </c>
      <c r="WF97" s="353">
        <v>3.3934426229508197</v>
      </c>
      <c r="WG97" s="352">
        <v>5</v>
      </c>
      <c r="WH97" s="352">
        <v>15</v>
      </c>
      <c r="WI97" s="352">
        <v>11</v>
      </c>
      <c r="WJ97" s="352">
        <v>11</v>
      </c>
      <c r="WK97" s="352">
        <v>19</v>
      </c>
      <c r="WL97" s="352">
        <v>61</v>
      </c>
    </row>
    <row r="98" spans="591:610" x14ac:dyDescent="0.25">
      <c r="VS98" s="20"/>
      <c r="VT98" s="20"/>
      <c r="VU98" s="12"/>
      <c r="VV98" s="12"/>
      <c r="VW98" s="12"/>
      <c r="VX98" s="31"/>
      <c r="VY98" s="364"/>
      <c r="VZ98" s="364"/>
      <c r="WA98" s="364"/>
      <c r="WB98" s="364"/>
      <c r="WC98" s="364"/>
      <c r="WD98" s="364"/>
      <c r="WE98" s="365"/>
      <c r="WF98" s="365"/>
      <c r="WG98" s="359"/>
      <c r="WH98" s="359"/>
      <c r="WI98" s="359"/>
      <c r="WJ98" s="359"/>
      <c r="WK98" s="359"/>
      <c r="WL98" s="364"/>
    </row>
    <row r="99" spans="591:610" x14ac:dyDescent="0.25">
      <c r="VS99" s="20">
        <v>0</v>
      </c>
      <c r="VT99" s="20">
        <f t="shared" ref="VT99:VT100" si="95">IFERROR(VV99/VU99,0)</f>
        <v>0</v>
      </c>
      <c r="VU99" s="12">
        <f t="shared" ref="VU99:VU100" si="96">VW99+VV99</f>
        <v>0</v>
      </c>
      <c r="VV99" s="23">
        <f>COUNTIFS($VW$2:$VW$72,VV$75,$VR$2:$VR$72,"&lt;1")</f>
        <v>0</v>
      </c>
      <c r="VW99" s="23">
        <f>COUNTIFS($VW$2:$VW$72,VW$75,$VR$2:$VR$72,"&lt;1")</f>
        <v>0</v>
      </c>
      <c r="VX99" s="31" t="s">
        <v>2617</v>
      </c>
      <c r="VY99" s="352">
        <f>COUNTIFS($VY$2:$VY$72,VY$75,$VR$2:$VR$72,"&lt;1")</f>
        <v>0</v>
      </c>
      <c r="VZ99" s="352">
        <f>COUNTIFS($VY$2:$VY$72,VZ$75,$VR$2:$VR$72,"&lt;1")</f>
        <v>0</v>
      </c>
      <c r="WA99" s="352">
        <f>COUNTIFS($VY$2:$VY$72,WA$75,$VR$2:$VR$72,"&lt;1")</f>
        <v>0</v>
      </c>
      <c r="WB99" s="352">
        <f>COUNTIFS($VY$2:$VY$72,WB$75,$VR$2:$VR$72,"&lt;1")</f>
        <v>0</v>
      </c>
      <c r="WC99" s="352">
        <f>COUNTIFS($VY$2:$VY$72,WC$75,$VR$2:$VR$72,"&lt;1")</f>
        <v>0</v>
      </c>
      <c r="WD99" s="352">
        <f>SUM(VY99:WC99)</f>
        <v>0</v>
      </c>
      <c r="WE99" s="353">
        <f>IF(WD99=0,0,SUMPRODUCT($VY$75:$WC$75,VY99:WC99)/WD99)</f>
        <v>0</v>
      </c>
      <c r="WF99" s="353">
        <v>0</v>
      </c>
      <c r="WG99" s="352">
        <v>0</v>
      </c>
      <c r="WH99" s="352">
        <v>0</v>
      </c>
      <c r="WI99" s="352">
        <v>0</v>
      </c>
      <c r="WJ99" s="352">
        <v>0</v>
      </c>
      <c r="WK99" s="352">
        <v>0</v>
      </c>
      <c r="WL99" s="352">
        <v>0</v>
      </c>
    </row>
    <row r="100" spans="591:610" x14ac:dyDescent="0.25">
      <c r="VS100" s="20">
        <v>0.80281690140845074</v>
      </c>
      <c r="VT100" s="20">
        <f t="shared" si="95"/>
        <v>0.80281690140845074</v>
      </c>
      <c r="VU100" s="12">
        <f t="shared" si="96"/>
        <v>71</v>
      </c>
      <c r="VV100" s="23">
        <f>COUNTIFS($VW$2:$VW$72,VV$75,$VR$2:$VR$72,"=1")</f>
        <v>57</v>
      </c>
      <c r="VW100" s="23">
        <f>COUNTIFS($VW$2:$VW$72,VW$75,$VR$2:$VR$72,"=1")</f>
        <v>14</v>
      </c>
      <c r="VX100" s="31" t="s">
        <v>3291</v>
      </c>
      <c r="VY100" s="352">
        <f>COUNTIFS($VY$2:$VY$72,VY$75,$VR$2:$VR$72,"=1")</f>
        <v>8</v>
      </c>
      <c r="VZ100" s="352">
        <f>COUNTIFS($VY$2:$VY$72,VZ$75,$VR$2:$VR$72,"=1")</f>
        <v>15</v>
      </c>
      <c r="WA100" s="352">
        <f>COUNTIFS($VY$2:$VY$72,WA$75,$VR$2:$VR$72,"=1")</f>
        <v>13</v>
      </c>
      <c r="WB100" s="352">
        <f>COUNTIFS($VY$2:$VY$72,WB$75,$VR$2:$VR$72,"=1")</f>
        <v>15</v>
      </c>
      <c r="WC100" s="352">
        <f>COUNTIFS($VY$2:$VY$72,WC$75,$VR$2:$VR$72,"=1")</f>
        <v>20</v>
      </c>
      <c r="WD100" s="352">
        <f>SUM(VY100:WC100)</f>
        <v>71</v>
      </c>
      <c r="WE100" s="353">
        <f>IF(WD100=0,0,SUMPRODUCT($VY$75:$WC$75,VY100:WC100)/WD100)</f>
        <v>3.3380281690140845</v>
      </c>
      <c r="WF100" s="353">
        <v>3.3098591549295775</v>
      </c>
      <c r="WG100" s="352">
        <v>8</v>
      </c>
      <c r="WH100" s="352">
        <v>16</v>
      </c>
      <c r="WI100" s="352">
        <v>13</v>
      </c>
      <c r="WJ100" s="352">
        <v>14</v>
      </c>
      <c r="WK100" s="352">
        <v>20</v>
      </c>
      <c r="WL100" s="352">
        <v>71</v>
      </c>
    </row>
    <row r="101" spans="591:610" x14ac:dyDescent="0.25">
      <c r="VV101" s="2"/>
      <c r="VW101" s="2"/>
      <c r="VX101" s="31"/>
      <c r="VY101" s="364"/>
      <c r="VZ101" s="364"/>
      <c r="WA101" s="364"/>
      <c r="WB101" s="364"/>
      <c r="WC101" s="364"/>
      <c r="WD101" s="359"/>
      <c r="WE101" s="359"/>
      <c r="WF101" s="359"/>
      <c r="WG101" s="359"/>
      <c r="WH101" s="359"/>
      <c r="WI101" s="359"/>
      <c r="WJ101" s="359"/>
      <c r="WK101" s="359"/>
      <c r="WL101" s="359"/>
    </row>
    <row r="102" spans="591:610" x14ac:dyDescent="0.25">
      <c r="VS102" s="21">
        <v>0</v>
      </c>
      <c r="VT102" s="21">
        <f t="shared" ref="VT102:VT103" si="97">IF(VU102=0,0,VV102/VU102)</f>
        <v>0</v>
      </c>
      <c r="VU102" s="23">
        <f>VV102+VW102</f>
        <v>0</v>
      </c>
      <c r="VV102" s="23">
        <f>COUNTIFS($VW$2:$VW$72,VV$75,$VQ$2:$VQ$72,"&gt;1")</f>
        <v>0</v>
      </c>
      <c r="VW102" s="23">
        <f>COUNTIFS($VW$2:$VW$72,VW$75,$VQ$2:$VQ$72,"&gt;1")</f>
        <v>0</v>
      </c>
      <c r="VX102" s="31" t="s">
        <v>4960</v>
      </c>
      <c r="VY102" s="352">
        <f>COUNTIFS($VY$2:$VY$72,VY$75,$VQ$2:$VQ$72,"&gt;1")</f>
        <v>0</v>
      </c>
      <c r="VZ102" s="352">
        <f>COUNTIFS($VY$2:$VY$72,VZ$75,$VQ$2:$VQ$72,"&gt;1")</f>
        <v>0</v>
      </c>
      <c r="WA102" s="352">
        <f>COUNTIFS($VY$2:$VY$72,WA$75,$VQ$2:$VQ$72,"&gt;1")</f>
        <v>0</v>
      </c>
      <c r="WB102" s="352">
        <f>COUNTIFS($VY$2:$VY$72,WB$75,$VQ$2:$VQ$72,"&gt;1")</f>
        <v>0</v>
      </c>
      <c r="WC102" s="352">
        <f>COUNTIFS($VY$2:$VY$72,WC$75,$VQ$2:$VQ$72,"&gt;1")</f>
        <v>0</v>
      </c>
      <c r="WD102" s="352">
        <f>SUM(VY102:WC102)</f>
        <v>0</v>
      </c>
      <c r="WE102" s="353">
        <f>IF(WD102=0,0,SUMPRODUCT($VY$75:$WC$75,VY102:WC102)/WD102)</f>
        <v>0</v>
      </c>
      <c r="WF102" s="353">
        <v>0</v>
      </c>
      <c r="WG102" s="352">
        <v>0</v>
      </c>
      <c r="WH102" s="352">
        <v>0</v>
      </c>
      <c r="WI102" s="352">
        <v>0</v>
      </c>
      <c r="WJ102" s="352">
        <v>0</v>
      </c>
      <c r="WK102" s="352">
        <v>0</v>
      </c>
      <c r="WL102" s="352">
        <v>0</v>
      </c>
    </row>
    <row r="103" spans="591:610" x14ac:dyDescent="0.25">
      <c r="VS103" s="21">
        <v>0.80281690140845074</v>
      </c>
      <c r="VT103" s="21">
        <f t="shared" si="97"/>
        <v>0.80281690140845074</v>
      </c>
      <c r="VU103" s="23">
        <f>VV103+VW103</f>
        <v>71</v>
      </c>
      <c r="VV103" s="23">
        <f>COUNTIFS($VW$2:$VW$72,VV$75,$VQ$2:$VQ$72,"=1")</f>
        <v>57</v>
      </c>
      <c r="VW103" s="23">
        <f>COUNTIFS($VW$2:$VW$72,VW$75,$VQ$2:$VQ$72,"=1")</f>
        <v>14</v>
      </c>
      <c r="VX103" s="31" t="s">
        <v>4961</v>
      </c>
      <c r="VY103" s="352">
        <f>COUNTIFS($VY$2:$VY$72,VY$75,$VQ$2:$VQ$72,"=1")</f>
        <v>8</v>
      </c>
      <c r="VZ103" s="352">
        <f>COUNTIFS($VY$2:$VY$72,VZ$75,$VQ$2:$VQ$72,"=1")</f>
        <v>15</v>
      </c>
      <c r="WA103" s="352">
        <f>COUNTIFS($VY$2:$VY$72,WA$75,$VQ$2:$VQ$72,"=1")</f>
        <v>13</v>
      </c>
      <c r="WB103" s="352">
        <f>COUNTIFS($VY$2:$VY$72,WB$75,$VQ$2:$VQ$72,"=1")</f>
        <v>15</v>
      </c>
      <c r="WC103" s="352">
        <f>COUNTIFS($VY$2:$VY$72,WC$75,$VQ$2:$VQ$72,"=1")</f>
        <v>20</v>
      </c>
      <c r="WD103" s="352">
        <f>SUM(VY103:WC103)</f>
        <v>71</v>
      </c>
      <c r="WE103" s="353">
        <f>IF(WD103=0,0,SUMPRODUCT($VY$75:$WC$75,VY103:WC103)/WD103)</f>
        <v>3.3380281690140845</v>
      </c>
      <c r="WF103" s="353">
        <v>3.3098591549295775</v>
      </c>
      <c r="WG103" s="352">
        <v>8</v>
      </c>
      <c r="WH103" s="352">
        <v>16</v>
      </c>
      <c r="WI103" s="352">
        <v>13</v>
      </c>
      <c r="WJ103" s="352">
        <v>14</v>
      </c>
      <c r="WK103" s="352">
        <v>20</v>
      </c>
      <c r="WL103" s="352">
        <v>71</v>
      </c>
    </row>
    <row r="104" spans="591:610" x14ac:dyDescent="0.25">
      <c r="VV104" s="2"/>
      <c r="VW104" s="2"/>
      <c r="VX104" s="31"/>
      <c r="VY104" s="364"/>
      <c r="VZ104" s="364"/>
      <c r="WA104" s="364"/>
      <c r="WB104" s="364"/>
      <c r="WC104" s="364"/>
      <c r="WD104" s="359"/>
      <c r="WE104" s="359"/>
      <c r="WF104" s="359"/>
      <c r="WG104" s="364"/>
      <c r="WH104" s="364"/>
      <c r="WI104" s="364"/>
      <c r="WJ104" s="364"/>
      <c r="WK104" s="364"/>
      <c r="WL104" s="359"/>
    </row>
    <row r="105" spans="591:610" x14ac:dyDescent="0.25">
      <c r="VS105" s="20">
        <v>0.81132075471698117</v>
      </c>
      <c r="VT105" s="20">
        <f t="shared" ref="VT105:VT126" si="98">IFERROR(VV105/VU105,0)</f>
        <v>0.77358490566037741</v>
      </c>
      <c r="VU105" s="12">
        <f t="shared" ref="VU105:VU106" si="99">VW105+VV105</f>
        <v>53</v>
      </c>
      <c r="VV105" s="23">
        <f>COUNTIFS($VW$2:$VW$72,VV$75,$BW$2:$BW$72,$VX105)</f>
        <v>41</v>
      </c>
      <c r="VW105" s="23">
        <f>COUNTIFS($VW$2:$VW$72,VW$75,$BW$2:$BW$72,$VX105)</f>
        <v>12</v>
      </c>
      <c r="VX105" s="31" t="s">
        <v>18</v>
      </c>
      <c r="VY105" s="352">
        <f t="shared" ref="VY105:WC106" si="100">COUNTIFS($VY$2:$VY$72,VY$75,$BW$2:$BW$72,$VX105)</f>
        <v>6</v>
      </c>
      <c r="VZ105" s="352">
        <f t="shared" si="100"/>
        <v>10</v>
      </c>
      <c r="WA105" s="352">
        <f t="shared" si="100"/>
        <v>9</v>
      </c>
      <c r="WB105" s="352">
        <f t="shared" si="100"/>
        <v>12</v>
      </c>
      <c r="WC105" s="352">
        <f t="shared" si="100"/>
        <v>16</v>
      </c>
      <c r="WD105" s="352">
        <f>SUM(VY105:WC105)</f>
        <v>53</v>
      </c>
      <c r="WE105" s="353">
        <f>IF(WD105=0,0,SUMPRODUCT($VY$75:$WC$75,VY105:WC105)/WD105)</f>
        <v>3.4150943396226414</v>
      </c>
      <c r="WF105" s="353">
        <v>3.3018867924528301</v>
      </c>
      <c r="WG105" s="352">
        <v>6</v>
      </c>
      <c r="WH105" s="352">
        <v>13</v>
      </c>
      <c r="WI105" s="352">
        <v>9</v>
      </c>
      <c r="WJ105" s="352">
        <v>9</v>
      </c>
      <c r="WK105" s="352">
        <v>16</v>
      </c>
      <c r="WL105" s="352">
        <v>53</v>
      </c>
    </row>
    <row r="106" spans="591:610" x14ac:dyDescent="0.25">
      <c r="VS106" s="20">
        <v>0.77777777777777779</v>
      </c>
      <c r="VT106" s="20">
        <f t="shared" si="98"/>
        <v>0.88888888888888884</v>
      </c>
      <c r="VU106" s="12">
        <f t="shared" si="99"/>
        <v>18</v>
      </c>
      <c r="VV106" s="23">
        <f>COUNTIFS($VW$2:$VW$72,VV$75,$BW$2:$BW$72,$VX106)</f>
        <v>16</v>
      </c>
      <c r="VW106" s="23">
        <f>COUNTIFS($VW$2:$VW$72,VW$75,$BW$2:$BW$72,$VX106)</f>
        <v>2</v>
      </c>
      <c r="VX106" s="31" t="s">
        <v>126</v>
      </c>
      <c r="VY106" s="352">
        <f t="shared" si="100"/>
        <v>2</v>
      </c>
      <c r="VZ106" s="352">
        <f t="shared" si="100"/>
        <v>5</v>
      </c>
      <c r="WA106" s="352">
        <f t="shared" si="100"/>
        <v>4</v>
      </c>
      <c r="WB106" s="352">
        <f t="shared" si="100"/>
        <v>3</v>
      </c>
      <c r="WC106" s="352">
        <f t="shared" si="100"/>
        <v>4</v>
      </c>
      <c r="WD106" s="352">
        <f>SUM(VY106:WC106)</f>
        <v>18</v>
      </c>
      <c r="WE106" s="353">
        <f>IF(WD106=0,0,SUMPRODUCT($VY$75:$WC$75,VY106:WC106)/WD106)</f>
        <v>3.1111111111111112</v>
      </c>
      <c r="WF106" s="353">
        <v>3.3333333333333335</v>
      </c>
      <c r="WG106" s="352">
        <v>2</v>
      </c>
      <c r="WH106" s="352">
        <v>3</v>
      </c>
      <c r="WI106" s="352">
        <v>4</v>
      </c>
      <c r="WJ106" s="352">
        <v>5</v>
      </c>
      <c r="WK106" s="352">
        <v>4</v>
      </c>
      <c r="WL106" s="352">
        <v>18</v>
      </c>
    </row>
    <row r="107" spans="591:610" x14ac:dyDescent="0.25">
      <c r="VX107" s="31"/>
      <c r="VY107" s="359"/>
      <c r="VZ107" s="359"/>
      <c r="WA107" s="359"/>
      <c r="WB107" s="359"/>
      <c r="WC107" s="359"/>
      <c r="WD107" s="359"/>
      <c r="WE107" s="359"/>
      <c r="WF107" s="359"/>
      <c r="WG107" s="359"/>
      <c r="WH107" s="359"/>
      <c r="WI107" s="359"/>
      <c r="WJ107" s="359"/>
      <c r="WK107" s="359"/>
      <c r="WL107" s="359"/>
    </row>
    <row r="108" spans="591:610" x14ac:dyDescent="0.25">
      <c r="VS108" s="20">
        <v>0.7</v>
      </c>
      <c r="VT108" s="20">
        <f t="shared" si="98"/>
        <v>0.9</v>
      </c>
      <c r="VU108" s="12">
        <f>COUNTIF($VN$2:$VN$72,$VX108)</f>
        <v>10</v>
      </c>
      <c r="VV108" s="12">
        <f>COUNTIFS($VN$2:$VN$72,$VX108,$VW$2:$VW$72,VV$75)</f>
        <v>9</v>
      </c>
      <c r="VW108" s="12">
        <f t="shared" ref="VW108:VW114" si="101">COUNTIFS($VN$2:$VN$72,$VX108,$VW$2:$VW$72,VW$75)</f>
        <v>1</v>
      </c>
      <c r="VX108" s="31" t="s">
        <v>5411</v>
      </c>
      <c r="VY108" s="352">
        <f>COUNTIFS($VN$2:$VN$72,$VX108,$VY$2:$VY$72,VY$75)</f>
        <v>0</v>
      </c>
      <c r="VZ108" s="352">
        <f>COUNTIFS($VN$2:$VN$72,$VX108,$VY$2:$VY$72,VZ$75)</f>
        <v>2</v>
      </c>
      <c r="WA108" s="352">
        <f>COUNTIFS($VN$2:$VN$72,$VX108,$VY$2:$VY$72,WA$75)</f>
        <v>3</v>
      </c>
      <c r="WB108" s="352">
        <f>COUNTIFS($VN$2:$VN$72,$VX108,$VY$2:$VY$72,WB$75)</f>
        <v>2</v>
      </c>
      <c r="WC108" s="352">
        <f>COUNTIFS($VN$2:$VN$72,$VX108,$VY$2:$VY$72,WC$75)</f>
        <v>3</v>
      </c>
      <c r="WD108" s="352">
        <f t="shared" ref="WD108:WD114" si="102">SUM(VY108:WC108)</f>
        <v>10</v>
      </c>
      <c r="WE108" s="353">
        <f t="shared" ref="WE108:WE114" si="103">IF(WD108=0,0,SUMPRODUCT($VY$75:$WC$75,VY108:WC108)/WD108)</f>
        <v>3.6</v>
      </c>
      <c r="WF108" s="353">
        <v>3.9</v>
      </c>
      <c r="WG108" s="352">
        <v>0</v>
      </c>
      <c r="WH108" s="352">
        <v>1</v>
      </c>
      <c r="WI108" s="352">
        <v>2</v>
      </c>
      <c r="WJ108" s="352">
        <v>4</v>
      </c>
      <c r="WK108" s="352">
        <v>3</v>
      </c>
      <c r="WL108" s="352">
        <v>10</v>
      </c>
    </row>
    <row r="109" spans="591:610" x14ac:dyDescent="0.25">
      <c r="VS109" s="20">
        <v>0.77500000000000002</v>
      </c>
      <c r="VT109" s="20">
        <f t="shared" si="98"/>
        <v>0.75</v>
      </c>
      <c r="VU109" s="12">
        <f t="shared" ref="VU109:VU113" si="104">COUNTIF($VN$2:$VN$72,$VX109)</f>
        <v>40</v>
      </c>
      <c r="VV109" s="12">
        <f t="shared" ref="VV109:VV114" si="105">COUNTIFS($VN$2:$VN$72,$VX109,$VW$2:$VW$72,VV$75)</f>
        <v>30</v>
      </c>
      <c r="VW109" s="12">
        <f t="shared" si="101"/>
        <v>10</v>
      </c>
      <c r="VX109" s="31" t="s">
        <v>5409</v>
      </c>
      <c r="VY109" s="352">
        <f t="shared" ref="VY109:VY114" si="106">COUNTIFS($VN$2:$VN$72,$VX109,$VY$2:$VY$72,VY$75)</f>
        <v>5</v>
      </c>
      <c r="VZ109" s="352">
        <f t="shared" ref="VZ109:WC114" si="107">COUNTIFS($VN$2:$VN$72,$VX109,$VY$2:$VY$72,VZ$75)</f>
        <v>4</v>
      </c>
      <c r="WA109" s="352">
        <f t="shared" si="107"/>
        <v>8</v>
      </c>
      <c r="WB109" s="352">
        <f t="shared" si="107"/>
        <v>10</v>
      </c>
      <c r="WC109" s="352">
        <f t="shared" si="107"/>
        <v>13</v>
      </c>
      <c r="WD109" s="352">
        <f t="shared" si="102"/>
        <v>40</v>
      </c>
      <c r="WE109" s="353">
        <f t="shared" si="103"/>
        <v>3.55</v>
      </c>
      <c r="WF109" s="353">
        <v>3.4249999999999998</v>
      </c>
      <c r="WG109" s="352">
        <v>4</v>
      </c>
      <c r="WH109" s="352">
        <v>9</v>
      </c>
      <c r="WI109" s="352">
        <v>6</v>
      </c>
      <c r="WJ109" s="352">
        <v>8</v>
      </c>
      <c r="WK109" s="352">
        <v>13</v>
      </c>
      <c r="WL109" s="352">
        <v>40</v>
      </c>
    </row>
    <row r="110" spans="591:610" x14ac:dyDescent="0.25">
      <c r="VS110" s="20">
        <v>0.875</v>
      </c>
      <c r="VT110" s="20">
        <f t="shared" si="98"/>
        <v>0.875</v>
      </c>
      <c r="VU110" s="12">
        <f t="shared" si="104"/>
        <v>8</v>
      </c>
      <c r="VV110" s="12">
        <f t="shared" si="105"/>
        <v>7</v>
      </c>
      <c r="VW110" s="12">
        <f t="shared" si="101"/>
        <v>1</v>
      </c>
      <c r="VX110" s="31" t="s">
        <v>5408</v>
      </c>
      <c r="VY110" s="352">
        <f t="shared" si="106"/>
        <v>2</v>
      </c>
      <c r="VZ110" s="352">
        <f t="shared" si="107"/>
        <v>3</v>
      </c>
      <c r="WA110" s="352">
        <f t="shared" si="107"/>
        <v>1</v>
      </c>
      <c r="WB110" s="352">
        <f t="shared" si="107"/>
        <v>1</v>
      </c>
      <c r="WC110" s="352">
        <f t="shared" si="107"/>
        <v>1</v>
      </c>
      <c r="WD110" s="352">
        <f t="shared" si="102"/>
        <v>8</v>
      </c>
      <c r="WE110" s="353">
        <f t="shared" si="103"/>
        <v>2.5</v>
      </c>
      <c r="WF110" s="353">
        <v>2.625</v>
      </c>
      <c r="WG110" s="352">
        <v>2</v>
      </c>
      <c r="WH110" s="352">
        <v>2</v>
      </c>
      <c r="WI110" s="352">
        <v>2</v>
      </c>
      <c r="WJ110" s="352">
        <v>1</v>
      </c>
      <c r="WK110" s="352">
        <v>1</v>
      </c>
      <c r="WL110" s="352">
        <v>8</v>
      </c>
    </row>
    <row r="111" spans="591:610" x14ac:dyDescent="0.25">
      <c r="VS111" s="20">
        <v>0.91666666666666663</v>
      </c>
      <c r="VT111" s="20">
        <f t="shared" si="98"/>
        <v>0.83333333333333337</v>
      </c>
      <c r="VU111" s="12">
        <f t="shared" si="104"/>
        <v>12</v>
      </c>
      <c r="VV111" s="12">
        <f t="shared" si="105"/>
        <v>10</v>
      </c>
      <c r="VW111" s="12">
        <f t="shared" si="101"/>
        <v>2</v>
      </c>
      <c r="VX111" s="31" t="s">
        <v>5410</v>
      </c>
      <c r="VY111" s="352">
        <f t="shared" si="106"/>
        <v>1</v>
      </c>
      <c r="VZ111" s="352">
        <f t="shared" si="107"/>
        <v>6</v>
      </c>
      <c r="WA111" s="352">
        <f t="shared" si="107"/>
        <v>1</v>
      </c>
      <c r="WB111" s="352">
        <f t="shared" si="107"/>
        <v>1</v>
      </c>
      <c r="WC111" s="352">
        <f t="shared" si="107"/>
        <v>3</v>
      </c>
      <c r="WD111" s="352">
        <f t="shared" si="102"/>
        <v>12</v>
      </c>
      <c r="WE111" s="353">
        <f t="shared" si="103"/>
        <v>2.9166666666666665</v>
      </c>
      <c r="WF111" s="353">
        <v>2.75</v>
      </c>
      <c r="WG111" s="352">
        <v>2</v>
      </c>
      <c r="WH111" s="352">
        <v>4</v>
      </c>
      <c r="WI111" s="352">
        <v>3</v>
      </c>
      <c r="WJ111" s="352">
        <v>1</v>
      </c>
      <c r="WK111" s="352">
        <v>2</v>
      </c>
      <c r="WL111" s="352">
        <v>12</v>
      </c>
    </row>
    <row r="112" spans="591:610" x14ac:dyDescent="0.25">
      <c r="VS112" s="20">
        <v>0</v>
      </c>
      <c r="VT112" s="20">
        <f t="shared" ref="VT112:VT113" si="108">IFERROR(VV112/VU112,0)</f>
        <v>0</v>
      </c>
      <c r="VU112" s="12">
        <f t="shared" si="104"/>
        <v>0</v>
      </c>
      <c r="VV112" s="12">
        <f t="shared" si="105"/>
        <v>0</v>
      </c>
      <c r="VW112" s="12">
        <f t="shared" si="101"/>
        <v>0</v>
      </c>
      <c r="VX112" s="31" t="s">
        <v>5413</v>
      </c>
      <c r="VY112" s="352">
        <f t="shared" si="106"/>
        <v>0</v>
      </c>
      <c r="VZ112" s="352">
        <f t="shared" si="107"/>
        <v>0</v>
      </c>
      <c r="WA112" s="352">
        <f t="shared" si="107"/>
        <v>0</v>
      </c>
      <c r="WB112" s="352">
        <f t="shared" si="107"/>
        <v>0</v>
      </c>
      <c r="WC112" s="352">
        <f t="shared" si="107"/>
        <v>0</v>
      </c>
      <c r="WD112" s="352">
        <f t="shared" si="102"/>
        <v>0</v>
      </c>
      <c r="WE112" s="353">
        <f t="shared" si="103"/>
        <v>0</v>
      </c>
      <c r="WF112" s="353">
        <v>0</v>
      </c>
      <c r="WG112" s="352">
        <v>0</v>
      </c>
      <c r="WH112" s="352">
        <v>0</v>
      </c>
      <c r="WI112" s="352">
        <v>0</v>
      </c>
      <c r="WJ112" s="352">
        <v>0</v>
      </c>
      <c r="WK112" s="352">
        <v>0</v>
      </c>
      <c r="WL112" s="352">
        <v>0</v>
      </c>
    </row>
    <row r="113" spans="591:610" x14ac:dyDescent="0.25">
      <c r="VS113" s="20">
        <v>0</v>
      </c>
      <c r="VT113" s="20">
        <f t="shared" si="108"/>
        <v>0</v>
      </c>
      <c r="VU113" s="12">
        <f t="shared" si="104"/>
        <v>0</v>
      </c>
      <c r="VV113" s="12">
        <f t="shared" si="105"/>
        <v>0</v>
      </c>
      <c r="VW113" s="12">
        <f t="shared" si="101"/>
        <v>0</v>
      </c>
      <c r="VX113" s="31" t="s">
        <v>5414</v>
      </c>
      <c r="VY113" s="352">
        <f t="shared" si="106"/>
        <v>0</v>
      </c>
      <c r="VZ113" s="352">
        <f t="shared" si="107"/>
        <v>0</v>
      </c>
      <c r="WA113" s="352">
        <f t="shared" si="107"/>
        <v>0</v>
      </c>
      <c r="WB113" s="352">
        <f t="shared" si="107"/>
        <v>0</v>
      </c>
      <c r="WC113" s="352">
        <f t="shared" si="107"/>
        <v>0</v>
      </c>
      <c r="WD113" s="352">
        <f t="shared" si="102"/>
        <v>0</v>
      </c>
      <c r="WE113" s="353">
        <f t="shared" si="103"/>
        <v>0</v>
      </c>
      <c r="WF113" s="353">
        <v>0</v>
      </c>
      <c r="WG113" s="352">
        <v>0</v>
      </c>
      <c r="WH113" s="352">
        <v>0</v>
      </c>
      <c r="WI113" s="352">
        <v>0</v>
      </c>
      <c r="WJ113" s="352">
        <v>0</v>
      </c>
      <c r="WK113" s="352">
        <v>0</v>
      </c>
      <c r="WL113" s="352">
        <v>0</v>
      </c>
    </row>
    <row r="114" spans="591:610" x14ac:dyDescent="0.25">
      <c r="VS114" s="20">
        <v>1</v>
      </c>
      <c r="VT114" s="20">
        <f t="shared" si="98"/>
        <v>1</v>
      </c>
      <c r="VU114" s="12">
        <f>COUNTIF($VN$2:$VN$72,$VX114)</f>
        <v>1</v>
      </c>
      <c r="VV114" s="12">
        <f t="shared" si="105"/>
        <v>1</v>
      </c>
      <c r="VW114" s="12">
        <f t="shared" si="101"/>
        <v>0</v>
      </c>
      <c r="VX114" s="31" t="s">
        <v>5412</v>
      </c>
      <c r="VY114" s="352">
        <f t="shared" si="106"/>
        <v>0</v>
      </c>
      <c r="VZ114" s="352">
        <f t="shared" si="107"/>
        <v>0</v>
      </c>
      <c r="WA114" s="352">
        <f t="shared" si="107"/>
        <v>0</v>
      </c>
      <c r="WB114" s="352">
        <f t="shared" si="107"/>
        <v>1</v>
      </c>
      <c r="WC114" s="352">
        <f t="shared" si="107"/>
        <v>0</v>
      </c>
      <c r="WD114" s="352">
        <f t="shared" si="102"/>
        <v>1</v>
      </c>
      <c r="WE114" s="353">
        <f t="shared" si="103"/>
        <v>4</v>
      </c>
      <c r="WF114" s="353">
        <v>5</v>
      </c>
      <c r="WG114" s="352">
        <v>0</v>
      </c>
      <c r="WH114" s="352">
        <v>0</v>
      </c>
      <c r="WI114" s="352">
        <v>0</v>
      </c>
      <c r="WJ114" s="352">
        <v>0</v>
      </c>
      <c r="WK114" s="352">
        <v>1</v>
      </c>
      <c r="WL114" s="352">
        <v>1</v>
      </c>
    </row>
    <row r="115" spans="591:610" x14ac:dyDescent="0.25">
      <c r="VX115" s="31"/>
      <c r="VY115" s="359"/>
      <c r="VZ115" s="359"/>
      <c r="WA115" s="359"/>
      <c r="WB115" s="359"/>
      <c r="WC115" s="359"/>
      <c r="WD115" s="359"/>
      <c r="WE115" s="359"/>
      <c r="WF115" s="359"/>
      <c r="WG115" s="359"/>
      <c r="WH115" s="359"/>
      <c r="WI115" s="359"/>
      <c r="WJ115" s="359"/>
      <c r="WK115" s="359"/>
      <c r="WL115" s="359"/>
    </row>
    <row r="116" spans="591:610" x14ac:dyDescent="0.25">
      <c r="VS116" s="20">
        <v>1</v>
      </c>
      <c r="VT116" s="20">
        <f t="shared" si="98"/>
        <v>0.66666666666666663</v>
      </c>
      <c r="VU116" s="12">
        <f t="shared" ref="VU116:VU126" si="109">COUNTIF($VO$2:$VO$72,$VX116)</f>
        <v>3</v>
      </c>
      <c r="VV116" s="12">
        <f t="shared" ref="VV116:VW126" si="110">COUNTIFS($VO$2:$VO$72,$VX116,$VW$2:$VW$72,VV$75)</f>
        <v>2</v>
      </c>
      <c r="VW116" s="12">
        <f t="shared" si="110"/>
        <v>1</v>
      </c>
      <c r="VX116" s="31" t="s">
        <v>5432</v>
      </c>
      <c r="VY116" s="352">
        <f>COUNTIFS($VO$2:$VO$72,$VX116,$VY$2:$VY$72,VY$75)</f>
        <v>0</v>
      </c>
      <c r="VZ116" s="352">
        <f>COUNTIFS($VO$2:$VO$72,$VX116,$VY$2:$VY$72,VZ$75)</f>
        <v>1</v>
      </c>
      <c r="WA116" s="352">
        <f>COUNTIFS($VO$2:$VO$72,$VX116,$VY$2:$VY$72,WA$75)</f>
        <v>1</v>
      </c>
      <c r="WB116" s="352">
        <f>COUNTIFS($VO$2:$VO$72,$VX116,$VY$2:$VY$72,WB$75)</f>
        <v>0</v>
      </c>
      <c r="WC116" s="352">
        <f>COUNTIFS($VO$2:$VO$72,$VX116,$VY$2:$VY$72,WC$75)</f>
        <v>1</v>
      </c>
      <c r="WD116" s="352">
        <f t="shared" ref="WD116" si="111">SUM(VY116:WC116)</f>
        <v>3</v>
      </c>
      <c r="WE116" s="353">
        <f t="shared" ref="WE116" si="112">IF(WD116=0,0,SUMPRODUCT($VY$75:$WC$75,VY116:WC116)/WD116)</f>
        <v>3.3333333333333335</v>
      </c>
      <c r="WF116" s="353">
        <v>3</v>
      </c>
      <c r="WG116" s="352">
        <v>0</v>
      </c>
      <c r="WH116" s="352">
        <v>1</v>
      </c>
      <c r="WI116" s="352">
        <v>1</v>
      </c>
      <c r="WJ116" s="352">
        <v>1</v>
      </c>
      <c r="WK116" s="352">
        <v>0</v>
      </c>
      <c r="WL116" s="352">
        <v>3</v>
      </c>
    </row>
    <row r="117" spans="591:610" x14ac:dyDescent="0.25">
      <c r="VS117" s="20">
        <v>0.5714285714285714</v>
      </c>
      <c r="VT117" s="20">
        <f t="shared" si="98"/>
        <v>1</v>
      </c>
      <c r="VU117" s="12">
        <f t="shared" si="109"/>
        <v>7</v>
      </c>
      <c r="VV117" s="12">
        <f t="shared" si="110"/>
        <v>7</v>
      </c>
      <c r="VW117" s="12">
        <f t="shared" si="110"/>
        <v>0</v>
      </c>
      <c r="VX117" s="31" t="s">
        <v>5433</v>
      </c>
      <c r="VY117" s="352">
        <f t="shared" ref="VY117:WC126" si="113">COUNTIFS($VO$2:$VO$72,$VX117,$VY$2:$VY$72,VY$75)</f>
        <v>0</v>
      </c>
      <c r="VZ117" s="352">
        <f t="shared" si="113"/>
        <v>1</v>
      </c>
      <c r="WA117" s="352">
        <f t="shared" si="113"/>
        <v>2</v>
      </c>
      <c r="WB117" s="352">
        <f t="shared" si="113"/>
        <v>2</v>
      </c>
      <c r="WC117" s="352">
        <f t="shared" si="113"/>
        <v>2</v>
      </c>
      <c r="WD117" s="352">
        <f t="shared" ref="WD117:WD126" si="114">SUM(VY117:WC117)</f>
        <v>7</v>
      </c>
      <c r="WE117" s="353">
        <f t="shared" ref="WE117:WE126" si="115">IF(WD117=0,0,SUMPRODUCT($VY$75:$WC$75,VY117:WC117)/WD117)</f>
        <v>3.7142857142857144</v>
      </c>
      <c r="WF117" s="353">
        <v>4.2857142857142856</v>
      </c>
      <c r="WG117" s="352">
        <v>0</v>
      </c>
      <c r="WH117" s="352">
        <v>0</v>
      </c>
      <c r="WI117" s="352">
        <v>1</v>
      </c>
      <c r="WJ117" s="352">
        <v>3</v>
      </c>
      <c r="WK117" s="352">
        <v>3</v>
      </c>
      <c r="WL117" s="352">
        <v>7</v>
      </c>
    </row>
    <row r="118" spans="591:610" x14ac:dyDescent="0.25">
      <c r="VS118" s="20">
        <v>0.875</v>
      </c>
      <c r="VT118" s="20">
        <f t="shared" si="98"/>
        <v>0.83333333333333337</v>
      </c>
      <c r="VU118" s="12">
        <f t="shared" si="109"/>
        <v>24</v>
      </c>
      <c r="VV118" s="12">
        <f t="shared" si="110"/>
        <v>20</v>
      </c>
      <c r="VW118" s="12">
        <f t="shared" si="110"/>
        <v>4</v>
      </c>
      <c r="VX118" s="31" t="s">
        <v>5434</v>
      </c>
      <c r="VY118" s="352">
        <f t="shared" si="113"/>
        <v>3</v>
      </c>
      <c r="VZ118" s="352">
        <f t="shared" si="113"/>
        <v>2</v>
      </c>
      <c r="WA118" s="352">
        <f t="shared" si="113"/>
        <v>6</v>
      </c>
      <c r="WB118" s="352">
        <f t="shared" si="113"/>
        <v>7</v>
      </c>
      <c r="WC118" s="352">
        <f t="shared" si="113"/>
        <v>6</v>
      </c>
      <c r="WD118" s="352">
        <f t="shared" si="114"/>
        <v>24</v>
      </c>
      <c r="WE118" s="353">
        <f t="shared" si="115"/>
        <v>3.4583333333333335</v>
      </c>
      <c r="WF118" s="353">
        <v>2.9583333333333335</v>
      </c>
      <c r="WG118" s="352">
        <v>3</v>
      </c>
      <c r="WH118" s="352">
        <v>8</v>
      </c>
      <c r="WI118" s="352">
        <v>4</v>
      </c>
      <c r="WJ118" s="352">
        <v>5</v>
      </c>
      <c r="WK118" s="352">
        <v>4</v>
      </c>
      <c r="WL118" s="352">
        <v>24</v>
      </c>
    </row>
    <row r="119" spans="591:610" x14ac:dyDescent="0.25">
      <c r="VS119" s="20">
        <v>0.625</v>
      </c>
      <c r="VT119" s="20">
        <f t="shared" si="98"/>
        <v>0.625</v>
      </c>
      <c r="VU119" s="12">
        <f t="shared" si="109"/>
        <v>16</v>
      </c>
      <c r="VV119" s="12">
        <f t="shared" si="110"/>
        <v>10</v>
      </c>
      <c r="VW119" s="12">
        <f t="shared" si="110"/>
        <v>6</v>
      </c>
      <c r="VX119" s="31" t="s">
        <v>5435</v>
      </c>
      <c r="VY119" s="352">
        <f t="shared" si="113"/>
        <v>2</v>
      </c>
      <c r="VZ119" s="352">
        <f t="shared" si="113"/>
        <v>2</v>
      </c>
      <c r="WA119" s="352">
        <f t="shared" si="113"/>
        <v>2</v>
      </c>
      <c r="WB119" s="352">
        <f t="shared" si="113"/>
        <v>3</v>
      </c>
      <c r="WC119" s="352">
        <f t="shared" si="113"/>
        <v>7</v>
      </c>
      <c r="WD119" s="352">
        <f t="shared" si="114"/>
        <v>16</v>
      </c>
      <c r="WE119" s="353">
        <f t="shared" si="115"/>
        <v>3.6875</v>
      </c>
      <c r="WF119" s="353">
        <v>4.125</v>
      </c>
      <c r="WG119" s="352">
        <v>1</v>
      </c>
      <c r="WH119" s="352">
        <v>1</v>
      </c>
      <c r="WI119" s="352">
        <v>2</v>
      </c>
      <c r="WJ119" s="352">
        <v>3</v>
      </c>
      <c r="WK119" s="352">
        <v>9</v>
      </c>
      <c r="WL119" s="352">
        <v>16</v>
      </c>
    </row>
    <row r="120" spans="591:610" x14ac:dyDescent="0.25">
      <c r="VS120" s="20">
        <v>0</v>
      </c>
      <c r="VT120" s="20">
        <f t="shared" si="98"/>
        <v>0</v>
      </c>
      <c r="VU120" s="12">
        <f t="shared" si="109"/>
        <v>0</v>
      </c>
      <c r="VV120" s="12">
        <f t="shared" si="110"/>
        <v>0</v>
      </c>
      <c r="VW120" s="12">
        <f t="shared" si="110"/>
        <v>0</v>
      </c>
      <c r="VX120" s="31" t="s">
        <v>5437</v>
      </c>
      <c r="VY120" s="352">
        <f t="shared" si="113"/>
        <v>0</v>
      </c>
      <c r="VZ120" s="352">
        <f t="shared" si="113"/>
        <v>0</v>
      </c>
      <c r="WA120" s="352">
        <f t="shared" si="113"/>
        <v>0</v>
      </c>
      <c r="WB120" s="352">
        <f t="shared" si="113"/>
        <v>0</v>
      </c>
      <c r="WC120" s="352">
        <f t="shared" si="113"/>
        <v>0</v>
      </c>
      <c r="WD120" s="352">
        <f t="shared" si="114"/>
        <v>0</v>
      </c>
      <c r="WE120" s="353">
        <f t="shared" si="115"/>
        <v>0</v>
      </c>
      <c r="WF120" s="353">
        <v>0</v>
      </c>
      <c r="WG120" s="352">
        <v>0</v>
      </c>
      <c r="WH120" s="352">
        <v>0</v>
      </c>
      <c r="WI120" s="352">
        <v>0</v>
      </c>
      <c r="WJ120" s="352">
        <v>0</v>
      </c>
      <c r="WK120" s="352">
        <v>0</v>
      </c>
      <c r="WL120" s="352">
        <v>0</v>
      </c>
    </row>
    <row r="121" spans="591:610" x14ac:dyDescent="0.25">
      <c r="VS121" s="20">
        <v>0.875</v>
      </c>
      <c r="VT121" s="20">
        <f t="shared" si="98"/>
        <v>0.875</v>
      </c>
      <c r="VU121" s="12">
        <f t="shared" si="109"/>
        <v>8</v>
      </c>
      <c r="VV121" s="12">
        <f t="shared" si="110"/>
        <v>7</v>
      </c>
      <c r="VW121" s="12">
        <f t="shared" si="110"/>
        <v>1</v>
      </c>
      <c r="VX121" s="31" t="s">
        <v>5436</v>
      </c>
      <c r="VY121" s="352">
        <f t="shared" si="113"/>
        <v>2</v>
      </c>
      <c r="VZ121" s="352">
        <f t="shared" si="113"/>
        <v>3</v>
      </c>
      <c r="WA121" s="352">
        <f t="shared" si="113"/>
        <v>1</v>
      </c>
      <c r="WB121" s="352">
        <f t="shared" si="113"/>
        <v>1</v>
      </c>
      <c r="WC121" s="352">
        <f t="shared" si="113"/>
        <v>1</v>
      </c>
      <c r="WD121" s="352">
        <f t="shared" si="114"/>
        <v>8</v>
      </c>
      <c r="WE121" s="353">
        <f t="shared" si="115"/>
        <v>2.5</v>
      </c>
      <c r="WF121" s="353">
        <v>2.625</v>
      </c>
      <c r="WG121" s="352">
        <v>2</v>
      </c>
      <c r="WH121" s="352">
        <v>2</v>
      </c>
      <c r="WI121" s="352">
        <v>2</v>
      </c>
      <c r="WJ121" s="352">
        <v>1</v>
      </c>
      <c r="WK121" s="352">
        <v>1</v>
      </c>
      <c r="WL121" s="352">
        <v>8</v>
      </c>
    </row>
    <row r="122" spans="591:610" x14ac:dyDescent="0.25">
      <c r="VS122" s="20">
        <v>0.83333333333333337</v>
      </c>
      <c r="VT122" s="20">
        <f t="shared" si="98"/>
        <v>0.66666666666666663</v>
      </c>
      <c r="VU122" s="12">
        <f t="shared" si="109"/>
        <v>6</v>
      </c>
      <c r="VV122" s="12">
        <f t="shared" si="110"/>
        <v>4</v>
      </c>
      <c r="VW122" s="12">
        <f t="shared" si="110"/>
        <v>2</v>
      </c>
      <c r="VX122" s="31" t="s">
        <v>5438</v>
      </c>
      <c r="VY122" s="352">
        <f t="shared" si="113"/>
        <v>1</v>
      </c>
      <c r="VZ122" s="352">
        <f t="shared" si="113"/>
        <v>2</v>
      </c>
      <c r="WA122" s="352">
        <f t="shared" si="113"/>
        <v>0</v>
      </c>
      <c r="WB122" s="352">
        <f t="shared" si="113"/>
        <v>0</v>
      </c>
      <c r="WC122" s="352">
        <f t="shared" si="113"/>
        <v>3</v>
      </c>
      <c r="WD122" s="352">
        <f t="shared" si="114"/>
        <v>6</v>
      </c>
      <c r="WE122" s="353">
        <f t="shared" si="115"/>
        <v>3.3333333333333335</v>
      </c>
      <c r="WF122" s="353">
        <v>2.8333333333333335</v>
      </c>
      <c r="WG122" s="352">
        <v>1</v>
      </c>
      <c r="WH122" s="352">
        <v>2</v>
      </c>
      <c r="WI122" s="352">
        <v>1</v>
      </c>
      <c r="WJ122" s="352">
        <v>1</v>
      </c>
      <c r="WK122" s="352">
        <v>1</v>
      </c>
      <c r="WL122" s="352">
        <v>6</v>
      </c>
    </row>
    <row r="123" spans="591:610" x14ac:dyDescent="0.25">
      <c r="VS123" s="20">
        <v>1</v>
      </c>
      <c r="VT123" s="20">
        <f t="shared" si="98"/>
        <v>1</v>
      </c>
      <c r="VU123" s="12">
        <f t="shared" si="109"/>
        <v>6</v>
      </c>
      <c r="VV123" s="12">
        <f t="shared" si="110"/>
        <v>6</v>
      </c>
      <c r="VW123" s="12">
        <f t="shared" si="110"/>
        <v>0</v>
      </c>
      <c r="VX123" s="31" t="s">
        <v>5439</v>
      </c>
      <c r="VY123" s="352">
        <f t="shared" si="113"/>
        <v>0</v>
      </c>
      <c r="VZ123" s="352">
        <f t="shared" si="113"/>
        <v>4</v>
      </c>
      <c r="WA123" s="352">
        <f t="shared" si="113"/>
        <v>1</v>
      </c>
      <c r="WB123" s="352">
        <f t="shared" si="113"/>
        <v>1</v>
      </c>
      <c r="WC123" s="352">
        <f t="shared" si="113"/>
        <v>0</v>
      </c>
      <c r="WD123" s="352">
        <f t="shared" si="114"/>
        <v>6</v>
      </c>
      <c r="WE123" s="353">
        <f t="shared" si="115"/>
        <v>2.5</v>
      </c>
      <c r="WF123" s="353">
        <v>2.6666666666666665</v>
      </c>
      <c r="WG123" s="352">
        <v>1</v>
      </c>
      <c r="WH123" s="352">
        <v>2</v>
      </c>
      <c r="WI123" s="352">
        <v>2</v>
      </c>
      <c r="WJ123" s="352">
        <v>0</v>
      </c>
      <c r="WK123" s="352">
        <v>1</v>
      </c>
      <c r="WL123" s="352">
        <v>6</v>
      </c>
    </row>
    <row r="124" spans="591:610" x14ac:dyDescent="0.25">
      <c r="VS124" s="20">
        <v>0</v>
      </c>
      <c r="VT124" s="20">
        <f t="shared" si="98"/>
        <v>0</v>
      </c>
      <c r="VU124" s="12">
        <f t="shared" si="109"/>
        <v>0</v>
      </c>
      <c r="VV124" s="12">
        <f t="shared" si="110"/>
        <v>0</v>
      </c>
      <c r="VW124" s="12">
        <f t="shared" si="110"/>
        <v>0</v>
      </c>
      <c r="VX124" s="31" t="s">
        <v>5440</v>
      </c>
      <c r="VY124" s="352">
        <f t="shared" si="113"/>
        <v>0</v>
      </c>
      <c r="VZ124" s="352">
        <f t="shared" si="113"/>
        <v>0</v>
      </c>
      <c r="WA124" s="352">
        <f t="shared" si="113"/>
        <v>0</v>
      </c>
      <c r="WB124" s="352">
        <f t="shared" si="113"/>
        <v>0</v>
      </c>
      <c r="WC124" s="352">
        <f t="shared" si="113"/>
        <v>0</v>
      </c>
      <c r="WD124" s="352">
        <f t="shared" si="114"/>
        <v>0</v>
      </c>
      <c r="WE124" s="353">
        <f t="shared" si="115"/>
        <v>0</v>
      </c>
      <c r="WF124" s="353">
        <v>0</v>
      </c>
      <c r="WG124" s="352">
        <v>0</v>
      </c>
      <c r="WH124" s="352">
        <v>0</v>
      </c>
      <c r="WI124" s="352">
        <v>0</v>
      </c>
      <c r="WJ124" s="352">
        <v>0</v>
      </c>
      <c r="WK124" s="352">
        <v>0</v>
      </c>
      <c r="WL124" s="352">
        <v>0</v>
      </c>
    </row>
    <row r="125" spans="591:610" x14ac:dyDescent="0.25">
      <c r="VS125" s="20">
        <v>0</v>
      </c>
      <c r="VT125" s="20">
        <f t="shared" si="98"/>
        <v>0</v>
      </c>
      <c r="VU125" s="12">
        <f t="shared" si="109"/>
        <v>0</v>
      </c>
      <c r="VV125" s="12">
        <f t="shared" si="110"/>
        <v>0</v>
      </c>
      <c r="VW125" s="12">
        <f t="shared" si="110"/>
        <v>0</v>
      </c>
      <c r="VX125" s="31" t="s">
        <v>5441</v>
      </c>
      <c r="VY125" s="352">
        <f t="shared" si="113"/>
        <v>0</v>
      </c>
      <c r="VZ125" s="352">
        <f t="shared" si="113"/>
        <v>0</v>
      </c>
      <c r="WA125" s="352">
        <f t="shared" si="113"/>
        <v>0</v>
      </c>
      <c r="WB125" s="352">
        <f t="shared" si="113"/>
        <v>0</v>
      </c>
      <c r="WC125" s="352">
        <f t="shared" si="113"/>
        <v>0</v>
      </c>
      <c r="WD125" s="352">
        <f t="shared" si="114"/>
        <v>0</v>
      </c>
      <c r="WE125" s="353">
        <f t="shared" si="115"/>
        <v>0</v>
      </c>
      <c r="WF125" s="353">
        <v>0</v>
      </c>
      <c r="WG125" s="352">
        <v>0</v>
      </c>
      <c r="WH125" s="352">
        <v>0</v>
      </c>
      <c r="WI125" s="352">
        <v>0</v>
      </c>
      <c r="WJ125" s="352">
        <v>0</v>
      </c>
      <c r="WK125" s="352">
        <v>0</v>
      </c>
      <c r="WL125" s="352">
        <v>0</v>
      </c>
    </row>
    <row r="126" spans="591:610" x14ac:dyDescent="0.25">
      <c r="VS126" s="20">
        <v>1</v>
      </c>
      <c r="VT126" s="20">
        <f t="shared" si="98"/>
        <v>1</v>
      </c>
      <c r="VU126" s="12">
        <f t="shared" si="109"/>
        <v>1</v>
      </c>
      <c r="VV126" s="12">
        <f t="shared" si="110"/>
        <v>1</v>
      </c>
      <c r="VW126" s="12">
        <f t="shared" si="110"/>
        <v>0</v>
      </c>
      <c r="VX126" s="31" t="s">
        <v>5442</v>
      </c>
      <c r="VY126" s="352">
        <f t="shared" si="113"/>
        <v>0</v>
      </c>
      <c r="VZ126" s="352">
        <f t="shared" si="113"/>
        <v>0</v>
      </c>
      <c r="WA126" s="352">
        <f t="shared" si="113"/>
        <v>0</v>
      </c>
      <c r="WB126" s="352">
        <f t="shared" si="113"/>
        <v>1</v>
      </c>
      <c r="WC126" s="352">
        <f t="shared" si="113"/>
        <v>0</v>
      </c>
      <c r="WD126" s="352">
        <f t="shared" si="114"/>
        <v>1</v>
      </c>
      <c r="WE126" s="353">
        <f t="shared" si="115"/>
        <v>4</v>
      </c>
      <c r="WF126" s="353">
        <v>5</v>
      </c>
      <c r="WG126" s="352">
        <v>0</v>
      </c>
      <c r="WH126" s="352">
        <v>0</v>
      </c>
      <c r="WI126" s="352">
        <v>0</v>
      </c>
      <c r="WJ126" s="352">
        <v>0</v>
      </c>
      <c r="WK126" s="352">
        <v>1</v>
      </c>
      <c r="WL126" s="352">
        <v>1</v>
      </c>
    </row>
    <row r="127" spans="591:610" x14ac:dyDescent="0.25">
      <c r="VX127" s="31"/>
      <c r="VY127" s="359"/>
      <c r="VZ127" s="359"/>
      <c r="WA127" s="359"/>
      <c r="WB127" s="359"/>
      <c r="WC127" s="359"/>
      <c r="WD127" s="359"/>
      <c r="WE127" s="359"/>
      <c r="WF127" s="359"/>
      <c r="WG127" s="359"/>
      <c r="WH127" s="359"/>
      <c r="WI127" s="359"/>
      <c r="WJ127" s="359"/>
      <c r="WK127" s="359"/>
      <c r="WL127" s="359"/>
    </row>
    <row r="128" spans="591:610" x14ac:dyDescent="0.25">
      <c r="VX128" s="31"/>
      <c r="VY128" s="359"/>
      <c r="VZ128" s="359"/>
      <c r="WA128" s="359"/>
      <c r="WB128" s="359"/>
      <c r="WC128" s="359"/>
      <c r="WD128" s="359"/>
      <c r="WE128" s="359"/>
      <c r="WF128" s="359"/>
      <c r="WG128" s="359"/>
      <c r="WH128" s="359"/>
      <c r="WI128" s="359"/>
      <c r="WJ128" s="359"/>
      <c r="WK128" s="359"/>
      <c r="WL128" s="359"/>
    </row>
    <row r="129" spans="591:610" x14ac:dyDescent="0.25">
      <c r="VV129" s="12"/>
      <c r="VW129" s="12"/>
      <c r="VX129" s="31" t="s">
        <v>2636</v>
      </c>
      <c r="VY129" s="359"/>
      <c r="VZ129" s="359"/>
      <c r="WA129" s="359"/>
      <c r="WB129" s="359"/>
      <c r="WC129" s="359"/>
      <c r="WD129" s="359"/>
      <c r="WE129" s="359"/>
      <c r="WF129" s="359"/>
      <c r="WG129" s="359"/>
      <c r="WH129" s="359"/>
      <c r="WI129" s="359"/>
      <c r="WJ129" s="359"/>
      <c r="WK129" s="359"/>
      <c r="WL129" s="359"/>
    </row>
    <row r="130" spans="591:610" x14ac:dyDescent="0.25">
      <c r="VS130" s="20">
        <v>0.5714285714285714</v>
      </c>
      <c r="VT130" s="20">
        <f t="shared" ref="VT130:VT136" si="116">IFERROR(VV130/VU130,0)</f>
        <v>0.7142857142857143</v>
      </c>
      <c r="VU130" s="12">
        <f t="shared" ref="VU130:VU136" si="117">VW130+VV130</f>
        <v>7</v>
      </c>
      <c r="VV130" s="23">
        <f>COUNTIFS($VW$2:$VW$72,VV$75,$VM$2:$VM$72,"&lt;="&amp;$VX130)</f>
        <v>5</v>
      </c>
      <c r="VW130" s="23">
        <f>COUNTIFS($VW$2:$VW$72,VW$75,$VM$2:$VM$72,"&lt;="&amp;$VX130)</f>
        <v>2</v>
      </c>
      <c r="VX130" s="47">
        <v>1</v>
      </c>
      <c r="VY130" s="352">
        <f>COUNTIFS($VY$2:$VY$72,VY$75,$VM$2:$VM$72,"&lt;="&amp;$VX130)</f>
        <v>1</v>
      </c>
      <c r="VZ130" s="352">
        <f>COUNTIFS($VY$2:$VY$72,VZ$75,$VM$2:$VM$72,"&lt;="&amp;$VX130)</f>
        <v>1</v>
      </c>
      <c r="WA130" s="352">
        <f>COUNTIFS($VY$2:$VY$72,WA$75,$VM$2:$VM$72,"&lt;="&amp;$VX130)</f>
        <v>0</v>
      </c>
      <c r="WB130" s="352">
        <f>COUNTIFS($VY$2:$VY$72,WB$75,$VM$2:$VM$72,"&lt;="&amp;$VX130)</f>
        <v>1</v>
      </c>
      <c r="WC130" s="352">
        <f>COUNTIFS($VY$2:$VY$72,WC$75,$VM$2:$VM$72,"&lt;="&amp;$VX130)</f>
        <v>4</v>
      </c>
      <c r="WD130" s="352">
        <f t="shared" ref="WD130:WD136" si="118">SUM(VY130:WC130)</f>
        <v>7</v>
      </c>
      <c r="WE130" s="353">
        <f t="shared" ref="WE130:WE136" si="119">IF(WD130=0,0,SUMPRODUCT($VY$75:$WC$75,VY130:WC130)/WD130)</f>
        <v>3.8571428571428572</v>
      </c>
      <c r="WF130" s="353">
        <v>3.7142857142857144</v>
      </c>
      <c r="WG130" s="352">
        <v>1</v>
      </c>
      <c r="WH130" s="352">
        <v>1</v>
      </c>
      <c r="WI130" s="352">
        <v>0</v>
      </c>
      <c r="WJ130" s="352">
        <v>2</v>
      </c>
      <c r="WK130" s="352">
        <v>3</v>
      </c>
      <c r="WL130" s="352">
        <v>7</v>
      </c>
    </row>
    <row r="131" spans="591:610" x14ac:dyDescent="0.25">
      <c r="VS131" s="20">
        <v>1</v>
      </c>
      <c r="VT131" s="20">
        <f t="shared" si="116"/>
        <v>1</v>
      </c>
      <c r="VU131" s="12">
        <f t="shared" si="117"/>
        <v>3</v>
      </c>
      <c r="VV131" s="23">
        <f>MAX(0,COUNTIFS($VW$2:$VW$72,VV$75,$VM$2:$VM$72,"&lt;="&amp;$VX131)-SUM(VV$130:VV130))</f>
        <v>3</v>
      </c>
      <c r="VW131" s="23">
        <f>MAX(0,COUNTIFS($VW$2:$VW$72,VW$75,$VM$2:$VM$72,"&lt;="&amp;$VX131)-SUM(VW$130:VW130))</f>
        <v>0</v>
      </c>
      <c r="VX131" s="47">
        <f>VX130+0.25</f>
        <v>1.25</v>
      </c>
      <c r="VY131" s="352">
        <f>MAX(0,COUNTIFS($VY$2:$VY$72,VY$75,$VM$2:$VM$72,"&lt;="&amp;$VX131)-SUM(VY$130:VY130))</f>
        <v>0</v>
      </c>
      <c r="VZ131" s="352">
        <f>MAX(0,COUNTIFS($VY$2:$VY$72,VZ$75,$VM$2:$VM$72,"&lt;="&amp;$VX131)-SUM(VZ$130:VZ130))</f>
        <v>1</v>
      </c>
      <c r="WA131" s="352">
        <f>MAX(0,COUNTIFS($VY$2:$VY$72,WA$75,$VM$2:$VM$72,"&lt;="&amp;$VX131)-SUM(WA$130:WA130))</f>
        <v>2</v>
      </c>
      <c r="WB131" s="352">
        <f>MAX(0,COUNTIFS($VY$2:$VY$72,WB$75,$VM$2:$VM$72,"&lt;="&amp;$VX131)-SUM(WB$130:WB130))</f>
        <v>0</v>
      </c>
      <c r="WC131" s="352">
        <f>MAX(0,COUNTIFS($VY$2:$VY$72,WC$75,$VM$2:$VM$72,"&lt;="&amp;$VX131)-SUM(WC$130:WC130))</f>
        <v>0</v>
      </c>
      <c r="WD131" s="352">
        <f t="shared" si="118"/>
        <v>3</v>
      </c>
      <c r="WE131" s="353">
        <f t="shared" si="119"/>
        <v>2.6666666666666665</v>
      </c>
      <c r="WF131" s="353">
        <v>3.3333333333333335</v>
      </c>
      <c r="WG131" s="352">
        <v>0</v>
      </c>
      <c r="WH131" s="352">
        <v>0</v>
      </c>
      <c r="WI131" s="352">
        <v>2</v>
      </c>
      <c r="WJ131" s="352">
        <v>1</v>
      </c>
      <c r="WK131" s="352">
        <v>0</v>
      </c>
      <c r="WL131" s="352">
        <v>3</v>
      </c>
    </row>
    <row r="132" spans="591:610" x14ac:dyDescent="0.25">
      <c r="VS132" s="20">
        <v>0.7857142857142857</v>
      </c>
      <c r="VT132" s="20">
        <f t="shared" si="116"/>
        <v>0.8571428571428571</v>
      </c>
      <c r="VU132" s="12">
        <f t="shared" si="117"/>
        <v>14</v>
      </c>
      <c r="VV132" s="23">
        <f>MAX(0,COUNTIFS($VW$2:$VW$72,VV$75,$VM$2:$VM$72,"&lt;="&amp;$VX132)-SUM(VV$130:VV131))</f>
        <v>12</v>
      </c>
      <c r="VW132" s="23">
        <f>MAX(0,COUNTIFS($VW$2:$VW$72,VW$75,$VM$2:$VM$72,"&lt;="&amp;$VX132)-SUM(VW$130:VW131))</f>
        <v>2</v>
      </c>
      <c r="VX132" s="47">
        <f>VX131+0.25</f>
        <v>1.5</v>
      </c>
      <c r="VY132" s="352">
        <f>MAX(0,COUNTIFS($VY$2:$VY$72,VY$75,$VM$2:$VM$72,"&lt;="&amp;$VX132)-SUM(VY$130:VY131))</f>
        <v>3</v>
      </c>
      <c r="VZ132" s="352">
        <f>MAX(0,COUNTIFS($VY$2:$VY$72,VZ$75,$VM$2:$VM$72,"&lt;="&amp;$VX132)-SUM(VZ$130:VZ131))</f>
        <v>4</v>
      </c>
      <c r="WA132" s="352">
        <f>MAX(0,COUNTIFS($VY$2:$VY$72,WA$75,$VM$2:$VM$72,"&lt;="&amp;$VX132)-SUM(WA$130:WA131))</f>
        <v>2</v>
      </c>
      <c r="WB132" s="352">
        <f>MAX(0,COUNTIFS($VY$2:$VY$72,WB$75,$VM$2:$VM$72,"&lt;="&amp;$VX132)-SUM(WB$130:WB131))</f>
        <v>3</v>
      </c>
      <c r="WC132" s="352">
        <f>MAX(0,COUNTIFS($VY$2:$VY$72,WC$75,$VM$2:$VM$72,"&lt;="&amp;$VX132)-SUM(WC$130:WC131))</f>
        <v>2</v>
      </c>
      <c r="WD132" s="352">
        <f t="shared" si="118"/>
        <v>14</v>
      </c>
      <c r="WE132" s="353">
        <f t="shared" si="119"/>
        <v>2.7857142857142856</v>
      </c>
      <c r="WF132" s="353">
        <v>3</v>
      </c>
      <c r="WG132" s="352">
        <v>3</v>
      </c>
      <c r="WH132" s="352">
        <v>3</v>
      </c>
      <c r="WI132" s="352">
        <v>2</v>
      </c>
      <c r="WJ132" s="352">
        <v>3</v>
      </c>
      <c r="WK132" s="352">
        <v>3</v>
      </c>
      <c r="WL132" s="352">
        <v>14</v>
      </c>
    </row>
    <row r="133" spans="591:610" x14ac:dyDescent="0.25">
      <c r="VS133" s="20">
        <v>0.8</v>
      </c>
      <c r="VT133" s="20">
        <f t="shared" si="116"/>
        <v>0.7</v>
      </c>
      <c r="VU133" s="12">
        <f t="shared" si="117"/>
        <v>10</v>
      </c>
      <c r="VV133" s="23">
        <f>MAX(0,COUNTIFS($VW$2:$VW$72,VV$75,$VM$2:$VM$72,"&lt;="&amp;$VX133)-SUM(VV$130:VV132))</f>
        <v>7</v>
      </c>
      <c r="VW133" s="23">
        <f>MAX(0,COUNTIFS($VW$2:$VW$72,VW$75,$VM$2:$VM$72,"&lt;="&amp;$VX133)-SUM(VW$130:VW132))</f>
        <v>3</v>
      </c>
      <c r="VX133" s="47">
        <f>VX132+0.25</f>
        <v>1.75</v>
      </c>
      <c r="VY133" s="352">
        <f>MAX(0,COUNTIFS($VY$2:$VY$72,VY$75,$VM$2:$VM$72,"&lt;="&amp;$VX133)-SUM(VY$130:VY132))</f>
        <v>1</v>
      </c>
      <c r="VZ133" s="352">
        <f>MAX(0,COUNTIFS($VY$2:$VY$72,VZ$75,$VM$2:$VM$72,"&lt;="&amp;$VX133)-SUM(VZ$130:VZ132))</f>
        <v>2</v>
      </c>
      <c r="WA133" s="352">
        <f>MAX(0,COUNTIFS($VY$2:$VY$72,WA$75,$VM$2:$VM$72,"&lt;="&amp;$VX133)-SUM(WA$130:WA132))</f>
        <v>1</v>
      </c>
      <c r="WB133" s="352">
        <f>MAX(0,COUNTIFS($VY$2:$VY$72,WB$75,$VM$2:$VM$72,"&lt;="&amp;$VX133)-SUM(WB$130:WB132))</f>
        <v>1</v>
      </c>
      <c r="WC133" s="352">
        <f>MAX(0,COUNTIFS($VY$2:$VY$72,WC$75,$VM$2:$VM$72,"&lt;="&amp;$VX133)-SUM(WC$130:WC132))</f>
        <v>5</v>
      </c>
      <c r="WD133" s="352">
        <f t="shared" si="118"/>
        <v>10</v>
      </c>
      <c r="WE133" s="353">
        <f t="shared" si="119"/>
        <v>3.7</v>
      </c>
      <c r="WF133" s="353">
        <v>3.4</v>
      </c>
      <c r="WG133" s="352">
        <v>1</v>
      </c>
      <c r="WH133" s="352">
        <v>2</v>
      </c>
      <c r="WI133" s="352">
        <v>2</v>
      </c>
      <c r="WJ133" s="352">
        <v>2</v>
      </c>
      <c r="WK133" s="352">
        <v>3</v>
      </c>
      <c r="WL133" s="352">
        <v>10</v>
      </c>
    </row>
    <row r="134" spans="591:610" x14ac:dyDescent="0.25">
      <c r="VS134" s="20">
        <v>0.8571428571428571</v>
      </c>
      <c r="VT134" s="20">
        <f t="shared" si="116"/>
        <v>0.80952380952380953</v>
      </c>
      <c r="VU134" s="12">
        <f t="shared" si="117"/>
        <v>21</v>
      </c>
      <c r="VV134" s="23">
        <f>MAX(0,COUNTIFS($VW$2:$VW$72,VV$75,$VM$2:$VM$72,"&lt;="&amp;$VX134)-SUM(VV$130:VV133))</f>
        <v>17</v>
      </c>
      <c r="VW134" s="23">
        <f>MAX(0,COUNTIFS($VW$2:$VW$72,VW$75,$VM$2:$VM$72,"&lt;="&amp;$VX134)-SUM(VW$130:VW133))</f>
        <v>4</v>
      </c>
      <c r="VX134" s="47">
        <f>VX133+0.25</f>
        <v>2</v>
      </c>
      <c r="VY134" s="352">
        <f>MAX(0,COUNTIFS($VY$2:$VY$72,VY$75,$VM$2:$VM$72,"&lt;="&amp;$VX134)-SUM(VY$130:VY133))</f>
        <v>1</v>
      </c>
      <c r="VZ134" s="352">
        <f>MAX(0,COUNTIFS($VY$2:$VY$72,VZ$75,$VM$2:$VM$72,"&lt;="&amp;$VX134)-SUM(VZ$130:VZ133))</f>
        <v>3</v>
      </c>
      <c r="WA134" s="352">
        <f>MAX(0,COUNTIFS($VY$2:$VY$72,WA$75,$VM$2:$VM$72,"&lt;="&amp;$VX134)-SUM(WA$130:WA133))</f>
        <v>4</v>
      </c>
      <c r="WB134" s="352">
        <f>MAX(0,COUNTIFS($VY$2:$VY$72,WB$75,$VM$2:$VM$72,"&lt;="&amp;$VX134)-SUM(WB$130:WB133))</f>
        <v>7</v>
      </c>
      <c r="WC134" s="352">
        <f>MAX(0,COUNTIFS($VY$2:$VY$72,WC$75,$VM$2:$VM$72,"&lt;="&amp;$VX134)-SUM(WC$130:WC133))</f>
        <v>6</v>
      </c>
      <c r="WD134" s="352">
        <f t="shared" si="118"/>
        <v>21</v>
      </c>
      <c r="WE134" s="353">
        <f t="shared" si="119"/>
        <v>3.6666666666666665</v>
      </c>
      <c r="WF134" s="353">
        <v>3.4285714285714284</v>
      </c>
      <c r="WG134" s="352">
        <v>1</v>
      </c>
      <c r="WH134" s="352">
        <v>5</v>
      </c>
      <c r="WI134" s="352">
        <v>5</v>
      </c>
      <c r="WJ134" s="352">
        <v>4</v>
      </c>
      <c r="WK134" s="352">
        <v>6</v>
      </c>
      <c r="WL134" s="352">
        <v>21</v>
      </c>
    </row>
    <row r="135" spans="591:610" x14ac:dyDescent="0.25">
      <c r="VS135" s="20">
        <v>0.75</v>
      </c>
      <c r="VT135" s="20">
        <f t="shared" si="116"/>
        <v>0.75</v>
      </c>
      <c r="VU135" s="12">
        <f t="shared" si="117"/>
        <v>4</v>
      </c>
      <c r="VV135" s="23">
        <f>MAX(0,COUNTIFS($VW$2:$VW$72,VV$75,$VM$2:$VM$72,"&lt;="&amp;$VX135)-SUM(VV$130:VV134))</f>
        <v>3</v>
      </c>
      <c r="VW135" s="23">
        <f>MAX(0,COUNTIFS($VW$2:$VW$72,VW$75,$VM$2:$VM$72,"&lt;="&amp;$VX135)-SUM(VW$130:VW134))</f>
        <v>1</v>
      </c>
      <c r="VX135" s="47">
        <f>VX134+0.25</f>
        <v>2.25</v>
      </c>
      <c r="VY135" s="352">
        <f>MAX(0,COUNTIFS($VY$2:$VY$72,VY$75,$VM$2:$VM$72,"&lt;="&amp;$VX135)-SUM(VY$130:VY134))</f>
        <v>1</v>
      </c>
      <c r="VZ135" s="352">
        <f>MAX(0,COUNTIFS($VY$2:$VY$72,VZ$75,$VM$2:$VM$72,"&lt;="&amp;$VX135)-SUM(VZ$130:VZ134))</f>
        <v>1</v>
      </c>
      <c r="WA135" s="352">
        <f>MAX(0,COUNTIFS($VY$2:$VY$72,WA$75,$VM$2:$VM$72,"&lt;="&amp;$VX135)-SUM(WA$130:WA134))</f>
        <v>0</v>
      </c>
      <c r="WB135" s="352">
        <f>MAX(0,COUNTIFS($VY$2:$VY$72,WB$75,$VM$2:$VM$72,"&lt;="&amp;$VX135)-SUM(WB$130:WB134))</f>
        <v>1</v>
      </c>
      <c r="WC135" s="352">
        <f>MAX(0,COUNTIFS($VY$2:$VY$72,WC$75,$VM$2:$VM$72,"&lt;="&amp;$VX135)-SUM(WC$130:WC134))</f>
        <v>1</v>
      </c>
      <c r="WD135" s="352">
        <f t="shared" si="118"/>
        <v>4</v>
      </c>
      <c r="WE135" s="353">
        <f t="shared" si="119"/>
        <v>3</v>
      </c>
      <c r="WF135" s="353">
        <v>3</v>
      </c>
      <c r="WG135" s="352">
        <v>1</v>
      </c>
      <c r="WH135" s="352">
        <v>1</v>
      </c>
      <c r="WI135" s="352">
        <v>0</v>
      </c>
      <c r="WJ135" s="352">
        <v>1</v>
      </c>
      <c r="WK135" s="352">
        <v>1</v>
      </c>
      <c r="WL135" s="352">
        <v>4</v>
      </c>
    </row>
    <row r="136" spans="591:610" x14ac:dyDescent="0.25">
      <c r="VS136" s="20">
        <v>0.83333333333333337</v>
      </c>
      <c r="VT136" s="20">
        <f t="shared" si="116"/>
        <v>0.83333333333333337</v>
      </c>
      <c r="VU136" s="12">
        <f t="shared" si="117"/>
        <v>12</v>
      </c>
      <c r="VV136" s="23">
        <f>MAX(0,COUNTIFS($VW$2:$VW$72,VV$75,$VM$2:$VM$72,"&lt;="&amp;$VX136)-SUM(VV$130:VV135))</f>
        <v>10</v>
      </c>
      <c r="VW136" s="23">
        <f>MAX(0,COUNTIFS($VW$2:$VW$72,VW$75,$VM$2:$VM$72,"&lt;="&amp;$VX136)-SUM(VW$130:VW135))</f>
        <v>2</v>
      </c>
      <c r="VX136" s="47">
        <f>IF(MAX(VM2:VM72)&gt;VX135,MAX(VM2:VM72),"NA")</f>
        <v>2.5</v>
      </c>
      <c r="VY136" s="352">
        <f>MAX(0,COUNTIFS($VY$2:$VY$72,VY$75,$VM$2:$VM$72,"&lt;="&amp;$VX136)-SUM(VY$130:VY135))</f>
        <v>1</v>
      </c>
      <c r="VZ136" s="352">
        <f>MAX(0,COUNTIFS($VY$2:$VY$72,VZ$75,$VM$2:$VM$72,"&lt;="&amp;$VX136)-SUM(VZ$130:VZ135))</f>
        <v>3</v>
      </c>
      <c r="WA136" s="352">
        <f>MAX(0,COUNTIFS($VY$2:$VY$72,WA$75,$VM$2:$VM$72,"&lt;="&amp;$VX136)-SUM(WA$130:WA135))</f>
        <v>4</v>
      </c>
      <c r="WB136" s="352">
        <f>MAX(0,COUNTIFS($VY$2:$VY$72,WB$75,$VM$2:$VM$72,"&lt;="&amp;$VX136)-SUM(WB$130:WB135))</f>
        <v>2</v>
      </c>
      <c r="WC136" s="352">
        <f>MAX(0,COUNTIFS($VY$2:$VY$72,WC$75,$VM$2:$VM$72,"&lt;="&amp;$VX136)-SUM(WC$130:WC135))</f>
        <v>2</v>
      </c>
      <c r="WD136" s="352">
        <f t="shared" si="118"/>
        <v>12</v>
      </c>
      <c r="WE136" s="353">
        <f t="shared" si="119"/>
        <v>3.0833333333333335</v>
      </c>
      <c r="WF136" s="353">
        <v>3.25</v>
      </c>
      <c r="WG136" s="352">
        <v>1</v>
      </c>
      <c r="WH136" s="352">
        <v>4</v>
      </c>
      <c r="WI136" s="352">
        <v>2</v>
      </c>
      <c r="WJ136" s="352">
        <v>1</v>
      </c>
      <c r="WK136" s="352">
        <v>4</v>
      </c>
      <c r="WL136" s="352">
        <v>12</v>
      </c>
    </row>
    <row r="137" spans="591:610" x14ac:dyDescent="0.25">
      <c r="VX137" s="46"/>
      <c r="VY137" s="359"/>
      <c r="VZ137" s="359"/>
      <c r="WA137" s="359"/>
      <c r="WB137" s="359"/>
      <c r="WC137" s="359"/>
      <c r="WD137" s="359"/>
      <c r="WE137" s="359"/>
      <c r="WF137" s="359"/>
      <c r="WG137" s="359"/>
      <c r="WH137" s="359"/>
      <c r="WI137" s="359"/>
      <c r="WJ137" s="359"/>
      <c r="WK137" s="359"/>
      <c r="WL137" s="359"/>
    </row>
    <row r="138" spans="591:610" x14ac:dyDescent="0.25">
      <c r="VS138" s="449" t="s">
        <v>2638</v>
      </c>
      <c r="VT138" s="448"/>
      <c r="VU138" s="86"/>
      <c r="VV138" s="449" t="s">
        <v>2639</v>
      </c>
      <c r="VW138" s="448"/>
      <c r="VX138" s="349"/>
      <c r="VY138" s="449" t="s">
        <v>2639</v>
      </c>
      <c r="VZ138" s="447"/>
      <c r="WA138" s="447"/>
      <c r="WB138" s="447"/>
      <c r="WC138" s="448"/>
      <c r="WD138" s="447" t="s">
        <v>2638</v>
      </c>
      <c r="WE138" s="447"/>
      <c r="WF138" s="447"/>
      <c r="WG138" s="447"/>
      <c r="WH138" s="448"/>
      <c r="WI138" s="9"/>
      <c r="WJ138" s="9"/>
      <c r="WK138" s="9"/>
      <c r="WL138" s="9"/>
    </row>
    <row r="139" spans="591:610" x14ac:dyDescent="0.25">
      <c r="VS139" s="353">
        <v>1.96689738188384</v>
      </c>
      <c r="VT139" s="353">
        <v>1.9014084507042253</v>
      </c>
      <c r="VU139" s="359"/>
      <c r="VV139" s="353">
        <f>IFERROR(SUMIFS($VL$2:$VL$72,$VW$2:$VW$72,VV$75,$BW$2:$BW$72,$VX139)/SUMIFS($IZ$2:$IZ$72,$VW$2:$VW$72,VV$75,$BW$2:$BW$72,$VX139),0)</f>
        <v>1.9748980232193285</v>
      </c>
      <c r="VW139" s="353">
        <f>IFERROR(SUMIFS($VL$2:$VL$72,$VW$2:$VW$72,VW$75,$BW$2:$BW$72,$VX139)/SUMIFS($IZ$2:$IZ$72,$VW$2:$VW$72,VW$75,$BW$2:$BW$72,$VX139),0)</f>
        <v>1.88</v>
      </c>
      <c r="VX139" s="98" t="s">
        <v>18</v>
      </c>
      <c r="VY139" s="353">
        <f t="shared" ref="VY139:WC140" si="120">IFERROR(SUMIFS($VL$2:$VL$72,$VY$2:$VY$72,VY$75,$BW$2:$BW$72,$VX139)/SUMIFS($IZ$2:$IZ$72,$VY$2:$VY$72,VY$75,$BW$2:$BW$72,$VX139),0)</f>
        <v>1.8067542213883678</v>
      </c>
      <c r="VZ139" s="353">
        <f t="shared" si="120"/>
        <v>1.9533742331288344</v>
      </c>
      <c r="WA139" s="353">
        <f t="shared" si="120"/>
        <v>2.1737288135593222</v>
      </c>
      <c r="WB139" s="353">
        <f t="shared" si="120"/>
        <v>1.9905325443786983</v>
      </c>
      <c r="WC139" s="366">
        <f t="shared" si="120"/>
        <v>1.8614514608859567</v>
      </c>
      <c r="WD139" s="353">
        <v>1.7839388145315487</v>
      </c>
      <c r="WE139" s="353">
        <v>2.0428015564202333</v>
      </c>
      <c r="WF139" s="353">
        <v>1.9727403156384504</v>
      </c>
      <c r="WG139" s="353">
        <v>1.9150326797385622</v>
      </c>
      <c r="WH139" s="366">
        <v>1.9700544464609799</v>
      </c>
      <c r="WI139" s="9"/>
      <c r="WJ139" s="9"/>
      <c r="WK139" s="9"/>
      <c r="WL139" s="9"/>
    </row>
    <row r="140" spans="591:610" x14ac:dyDescent="0.25">
      <c r="VS140" s="357">
        <v>1.2480686695278971</v>
      </c>
      <c r="VT140" s="357">
        <v>1.1295681063122924</v>
      </c>
      <c r="VU140" s="368"/>
      <c r="VV140" s="357">
        <f>IFERROR(SUMIFS($VL$2:$VL$72,$VW$2:$VW$72,VV$75,$BW$2:$BW$72,$VX140)/SUMIFS($IZ$2:$IZ$72,$VW$2:$VW$72,VV$75,$BW$2:$BW$72,$VX140),0)</f>
        <v>1.2469879518072289</v>
      </c>
      <c r="VW140" s="357">
        <f>IFERROR(SUMIFS($VL$2:$VL$72,$VW$2:$VW$72,VW$75,$BW$2:$BW$72,$VX140)/SUMIFS($IZ$2:$IZ$72,$VW$2:$VW$72,VW$75,$BW$2:$BW$72,$VX140),0)</f>
        <v>1</v>
      </c>
      <c r="VX140" s="350" t="s">
        <v>126</v>
      </c>
      <c r="VY140" s="357">
        <f t="shared" si="120"/>
        <v>1.2259615384615385</v>
      </c>
      <c r="VZ140" s="357">
        <f t="shared" si="120"/>
        <v>1.3248259860788862</v>
      </c>
      <c r="WA140" s="357">
        <f t="shared" si="120"/>
        <v>1.2466666666666666</v>
      </c>
      <c r="WB140" s="357">
        <f t="shared" si="120"/>
        <v>1.2827004219409284</v>
      </c>
      <c r="WC140" s="367">
        <f t="shared" si="120"/>
        <v>1</v>
      </c>
      <c r="WD140" s="357">
        <v>1.2259615384615385</v>
      </c>
      <c r="WE140" s="357">
        <v>1.3424124513618676</v>
      </c>
      <c r="WF140" s="357">
        <v>1.264516129032258</v>
      </c>
      <c r="WG140" s="357">
        <v>1.1846153846153846</v>
      </c>
      <c r="WH140" s="367">
        <v>1.1295681063122924</v>
      </c>
      <c r="WI140" s="9"/>
      <c r="WJ140" s="9"/>
      <c r="WK140" s="9"/>
      <c r="WL140" s="9"/>
    </row>
    <row r="141" spans="591:610" x14ac:dyDescent="0.25">
      <c r="VS141" s="353">
        <v>1.7803030303030303</v>
      </c>
      <c r="VT141" s="353">
        <v>1.6542553191489362</v>
      </c>
      <c r="VU141" s="359"/>
      <c r="VV141" s="353">
        <f>IFERROR(SUMIF($VW$2:$VW$72,VV$75,$VL$2:$VL$72)/SUMIF($VW$2:$VW$72,VV$75,$IZ$2:$IZ$72),0)</f>
        <v>1.760797342192691</v>
      </c>
      <c r="VW141" s="353">
        <f>IFERROR(SUMIF($VW$2:$VW$72,VW$75,$VL$2:$VL$72)/SUMIF($VW$2:$VW$72,VW$75,$IZ$2:$IZ$72),0)</f>
        <v>1.7469879518072289</v>
      </c>
      <c r="VX141" s="98" t="s">
        <v>2637</v>
      </c>
      <c r="VY141" s="353">
        <f>IFERROR(SUMIF($VY$2:$VY$72,VY$75,$VL$2:$VL$72)/SUMIF($VY$2:$VY$72,VY$75,$IZ$2:$IZ$72),0)</f>
        <v>1.6437246963562753</v>
      </c>
      <c r="VZ141" s="353">
        <f>IFERROR(SUMIF($VY$2:$VY$72,VZ$75,$VL$2:$VL$72)/SUMIF($VY$2:$VY$72,VZ$75,$IZ$2:$IZ$72),0)</f>
        <v>1.7359550561797752</v>
      </c>
      <c r="WA141" s="353">
        <f>IFERROR(SUMIF($VY$2:$VY$72,WA$75,$VL$2:$VL$72)/SUMIF($VY$2:$VY$72,WA$75,$IZ$2:$IZ$72),0)</f>
        <v>1.8978174603174602</v>
      </c>
      <c r="WB141" s="353">
        <f>IFERROR(SUMIF($VY$2:$VY$72,WB$75,$VL$2:$VL$72)/SUMIF($VY$2:$VY$72,WB$75,$IZ$2:$IZ$72),0)</f>
        <v>1.8354898336414047</v>
      </c>
      <c r="WC141" s="366">
        <f>IFERROR(SUMIF($VY$2:$VY$72,WC$75,$VL$2:$VL$72)/SUMIF($VY$2:$VY$72,WC$75,$IZ$2:$IZ$72),0)</f>
        <v>1.6765358993338269</v>
      </c>
      <c r="WD141" s="353">
        <v>1.6251709986320109</v>
      </c>
      <c r="WE141" s="353">
        <v>1.9027237354085602</v>
      </c>
      <c r="WF141" s="353">
        <v>1.7547169811320755</v>
      </c>
      <c r="WG141" s="353">
        <v>1.6307385229540918</v>
      </c>
      <c r="WH141" s="366">
        <v>1.789736279401283</v>
      </c>
      <c r="WI141" s="9"/>
      <c r="WJ141" s="9"/>
      <c r="WK141" s="9"/>
      <c r="WL141" s="9"/>
    </row>
    <row r="142" spans="591:610" x14ac:dyDescent="0.25">
      <c r="VS142" s="9"/>
      <c r="VT142" s="9"/>
      <c r="VU142" s="9"/>
      <c r="VV142" s="9"/>
      <c r="VW142" s="9"/>
      <c r="VX142" s="9"/>
      <c r="VY142" s="347">
        <v>1</v>
      </c>
      <c r="VZ142" s="347">
        <v>2</v>
      </c>
      <c r="WA142" s="347">
        <v>3</v>
      </c>
      <c r="WB142" s="347">
        <v>4</v>
      </c>
      <c r="WC142" s="348">
        <v>5</v>
      </c>
      <c r="WD142" s="347">
        <v>1</v>
      </c>
      <c r="WE142" s="347">
        <v>2</v>
      </c>
      <c r="WF142" s="347">
        <v>3</v>
      </c>
      <c r="WG142" s="347">
        <v>4</v>
      </c>
      <c r="WH142" s="347">
        <v>5</v>
      </c>
      <c r="WI142" s="9"/>
      <c r="WJ142" s="9"/>
      <c r="WK142" s="9"/>
      <c r="WL142" s="9"/>
    </row>
  </sheetData>
  <sheetProtection algorithmName="SHA-512" hashValue="fFRxlIGW6d/SIcW4iGpXRtSZEKwbfI75Txyq1cu3FJtuw0yScld6NBIStAKvAni95ACIBfqyDxChBt2vRXC/LA==" saltValue="Qs9fQN4f8j1oyNkCs9Kr+w==" spinCount="100000" sheet="1" objects="1" scenarios="1" formatColumns="0"/>
  <autoFilter ref="A1:VK72" xr:uid="{974C54F8-36DF-4E6B-8755-3F9D456541C3}"/>
  <sortState xmlns:xlrd2="http://schemas.microsoft.com/office/spreadsheetml/2017/richdata2" ref="VX184:VX254">
    <sortCondition ref="VX184:VX254"/>
  </sortState>
  <mergeCells count="78">
    <mergeCell ref="VV74:VW74"/>
    <mergeCell ref="VS138:VT138"/>
    <mergeCell ref="VV138:VW138"/>
    <mergeCell ref="VY74:WC74"/>
    <mergeCell ref="VY138:WC138"/>
    <mergeCell ref="WD138:WH138"/>
    <mergeCell ref="WG74:WK74"/>
    <mergeCell ref="WK2:WM2"/>
    <mergeCell ref="WK3:WM3"/>
    <mergeCell ref="WK4:WM4"/>
    <mergeCell ref="WK5:WM5"/>
    <mergeCell ref="WK6:WM6"/>
    <mergeCell ref="WK7:WM7"/>
    <mergeCell ref="WK8:WM8"/>
    <mergeCell ref="WK9:WM9"/>
    <mergeCell ref="WK10:WM10"/>
    <mergeCell ref="WK11:WM11"/>
    <mergeCell ref="WK12:WM12"/>
    <mergeCell ref="WK13:WM13"/>
    <mergeCell ref="WK14:WM14"/>
    <mergeCell ref="WK15:WM15"/>
    <mergeCell ref="WK16:WM16"/>
    <mergeCell ref="WK17:WM17"/>
    <mergeCell ref="WK18:WM18"/>
    <mergeCell ref="WK19:WM19"/>
    <mergeCell ref="WK20:WM20"/>
    <mergeCell ref="WK21:WM21"/>
    <mergeCell ref="WK22:WM22"/>
    <mergeCell ref="WK23:WM23"/>
    <mergeCell ref="WK24:WM24"/>
    <mergeCell ref="WK25:WM25"/>
    <mergeCell ref="WK26:WM26"/>
    <mergeCell ref="WK27:WM27"/>
    <mergeCell ref="WK28:WM28"/>
    <mergeCell ref="WK29:WM29"/>
    <mergeCell ref="WK30:WM30"/>
    <mergeCell ref="WK31:WM31"/>
    <mergeCell ref="WK32:WM32"/>
    <mergeCell ref="WK33:WM33"/>
    <mergeCell ref="WK34:WM34"/>
    <mergeCell ref="WK35:WM35"/>
    <mergeCell ref="WK36:WM36"/>
    <mergeCell ref="WK37:WM37"/>
    <mergeCell ref="WK38:WM38"/>
    <mergeCell ref="WK39:WM39"/>
    <mergeCell ref="WK40:WM40"/>
    <mergeCell ref="WK41:WM41"/>
    <mergeCell ref="WK42:WM42"/>
    <mergeCell ref="WK43:WM43"/>
    <mergeCell ref="WK44:WM44"/>
    <mergeCell ref="WK45:WM45"/>
    <mergeCell ref="WK46:WM46"/>
    <mergeCell ref="WK47:WM47"/>
    <mergeCell ref="WK48:WM48"/>
    <mergeCell ref="WK49:WM49"/>
    <mergeCell ref="WK50:WM50"/>
    <mergeCell ref="WK51:WM51"/>
    <mergeCell ref="WK52:WM52"/>
    <mergeCell ref="WK53:WM53"/>
    <mergeCell ref="WK54:WM54"/>
    <mergeCell ref="WK55:WM55"/>
    <mergeCell ref="WK56:WM56"/>
    <mergeCell ref="WK57:WM57"/>
    <mergeCell ref="WK58:WM58"/>
    <mergeCell ref="WK59:WM59"/>
    <mergeCell ref="WK60:WM60"/>
    <mergeCell ref="WK61:WM61"/>
    <mergeCell ref="WK62:WM62"/>
    <mergeCell ref="WK63:WM63"/>
    <mergeCell ref="WK64:WM64"/>
    <mergeCell ref="WK65:WM65"/>
    <mergeCell ref="WK66:WM66"/>
    <mergeCell ref="WK72:WM72"/>
    <mergeCell ref="WK67:WM67"/>
    <mergeCell ref="WK68:WM68"/>
    <mergeCell ref="WK69:WM69"/>
    <mergeCell ref="WK70:WM70"/>
    <mergeCell ref="WK71:WM71"/>
  </mergeCells>
  <conditionalFormatting sqref="VW2:VW72">
    <cfRule type="cellIs" dxfId="293" priority="94" operator="equal">
      <formula>"B"</formula>
    </cfRule>
  </conditionalFormatting>
  <conditionalFormatting sqref="OU76:OU77">
    <cfRule type="cellIs" dxfId="292" priority="93" operator="equal">
      <formula>"Yes"</formula>
    </cfRule>
  </conditionalFormatting>
  <conditionalFormatting sqref="VU88">
    <cfRule type="cellIs" dxfId="291" priority="92" operator="equal">
      <formula>"Yes"</formula>
    </cfRule>
  </conditionalFormatting>
  <conditionalFormatting sqref="VU88">
    <cfRule type="cellIs" dxfId="290" priority="91" operator="equal">
      <formula>"B"</formula>
    </cfRule>
  </conditionalFormatting>
  <conditionalFormatting sqref="VI76:VI77">
    <cfRule type="cellIs" dxfId="289" priority="90" operator="equal">
      <formula>"Yes"</formula>
    </cfRule>
  </conditionalFormatting>
  <conditionalFormatting sqref="VI75:VI83 OU74:OU83">
    <cfRule type="cellIs" dxfId="288" priority="83" operator="notEqual">
      <formula>$OU74</formula>
    </cfRule>
  </conditionalFormatting>
  <conditionalFormatting sqref="VX139:VX140">
    <cfRule type="cellIs" dxfId="287" priority="81" operator="equal">
      <formula>"Yes"</formula>
    </cfRule>
  </conditionalFormatting>
  <conditionalFormatting sqref="VX39:VX72">
    <cfRule type="expression" dxfId="286" priority="78">
      <formula>$VS39&lt;1</formula>
    </cfRule>
  </conditionalFormatting>
  <conditionalFormatting sqref="VU90">
    <cfRule type="cellIs" dxfId="285" priority="70" operator="equal">
      <formula>"Yes"</formula>
    </cfRule>
  </conditionalFormatting>
  <conditionalFormatting sqref="VU90">
    <cfRule type="cellIs" dxfId="284" priority="69" operator="equal">
      <formula>"B"</formula>
    </cfRule>
  </conditionalFormatting>
  <conditionalFormatting sqref="VV98:VW98">
    <cfRule type="cellIs" dxfId="283" priority="63" operator="equal">
      <formula>"Yes"</formula>
    </cfRule>
  </conditionalFormatting>
  <conditionalFormatting sqref="VV76:VV84 VW77:VW84">
    <cfRule type="cellIs" dxfId="282" priority="62" operator="equal">
      <formula>"Yes"</formula>
    </cfRule>
  </conditionalFormatting>
  <conditionalFormatting sqref="VV76:VV84 VW77:VW84 VV98:VW98">
    <cfRule type="cellIs" dxfId="281" priority="61" operator="equal">
      <formula>"B"</formula>
    </cfRule>
  </conditionalFormatting>
  <conditionalFormatting sqref="VX84">
    <cfRule type="cellIs" dxfId="280" priority="60" operator="equal">
      <formula>"Yes"</formula>
    </cfRule>
  </conditionalFormatting>
  <conditionalFormatting sqref="VV76:VW83">
    <cfRule type="cellIs" dxfId="279" priority="59" operator="equal">
      <formula>"Yes"</formula>
    </cfRule>
  </conditionalFormatting>
  <conditionalFormatting sqref="VV76:VW83">
    <cfRule type="cellIs" dxfId="278" priority="58" operator="equal">
      <formula>"B"</formula>
    </cfRule>
  </conditionalFormatting>
  <conditionalFormatting sqref="VX105:VX106">
    <cfRule type="cellIs" dxfId="277" priority="57" operator="equal">
      <formula>"Yes"</formula>
    </cfRule>
  </conditionalFormatting>
  <conditionalFormatting sqref="VY86:WC88">
    <cfRule type="cellIs" dxfId="276" priority="52" operator="equal">
      <formula>"Yes"</formula>
    </cfRule>
  </conditionalFormatting>
  <conditionalFormatting sqref="VY86:WC88">
    <cfRule type="cellIs" dxfId="275" priority="51" operator="equal">
      <formula>"B"</formula>
    </cfRule>
  </conditionalFormatting>
  <conditionalFormatting sqref="VY86:WC88">
    <cfRule type="cellIs" dxfId="274" priority="50" operator="equal">
      <formula>"Yes"</formula>
    </cfRule>
  </conditionalFormatting>
  <conditionalFormatting sqref="VY86:WC88">
    <cfRule type="cellIs" dxfId="273" priority="49" operator="equal">
      <formula>"B"</formula>
    </cfRule>
  </conditionalFormatting>
  <conditionalFormatting sqref="VY84:WC84">
    <cfRule type="cellIs" dxfId="272" priority="48" operator="equal">
      <formula>"Yes"</formula>
    </cfRule>
  </conditionalFormatting>
  <conditionalFormatting sqref="VY84:WC84">
    <cfRule type="cellIs" dxfId="271" priority="47" operator="equal">
      <formula>"B"</formula>
    </cfRule>
  </conditionalFormatting>
  <conditionalFormatting sqref="VY90:WC90">
    <cfRule type="cellIs" dxfId="270" priority="46" operator="equal">
      <formula>"Yes"</formula>
    </cfRule>
  </conditionalFormatting>
  <conditionalFormatting sqref="VY90:WC90">
    <cfRule type="cellIs" dxfId="269" priority="45" operator="equal">
      <formula>"B"</formula>
    </cfRule>
  </conditionalFormatting>
  <conditionalFormatting sqref="VY90:WC90">
    <cfRule type="cellIs" dxfId="268" priority="44" operator="equal">
      <formula>"Yes"</formula>
    </cfRule>
  </conditionalFormatting>
  <conditionalFormatting sqref="VY90:WC90">
    <cfRule type="cellIs" dxfId="267" priority="43" operator="equal">
      <formula>"B"</formula>
    </cfRule>
  </conditionalFormatting>
  <conditionalFormatting sqref="WB105:WB106">
    <cfRule type="cellIs" dxfId="266" priority="42" operator="equal">
      <formula>"Yes"</formula>
    </cfRule>
  </conditionalFormatting>
  <conditionalFormatting sqref="WB139:WB140">
    <cfRule type="cellIs" dxfId="265" priority="41" operator="equal">
      <formula>"Yes"</formula>
    </cfRule>
  </conditionalFormatting>
  <conditionalFormatting sqref="WG139:WG140">
    <cfRule type="cellIs" dxfId="264" priority="40" operator="equal">
      <formula>"Yes"</formula>
    </cfRule>
  </conditionalFormatting>
  <conditionalFormatting sqref="OY75:OY83">
    <cfRule type="cellIs" dxfId="263" priority="39" operator="notEqual">
      <formula>$OU75</formula>
    </cfRule>
  </conditionalFormatting>
  <conditionalFormatting sqref="OY76:OY77">
    <cfRule type="cellIs" dxfId="262" priority="38" operator="equal">
      <formula>"Yes"</formula>
    </cfRule>
  </conditionalFormatting>
  <conditionalFormatting sqref="WG84:WK84">
    <cfRule type="cellIs" dxfId="261" priority="37" operator="equal">
      <formula>"Yes"</formula>
    </cfRule>
  </conditionalFormatting>
  <conditionalFormatting sqref="WG84:WK84">
    <cfRule type="cellIs" dxfId="260" priority="36" operator="equal">
      <formula>"B"</formula>
    </cfRule>
  </conditionalFormatting>
  <conditionalFormatting sqref="WJ105:WJ106">
    <cfRule type="cellIs" dxfId="259" priority="35" operator="equal">
      <formula>"Yes"</formula>
    </cfRule>
  </conditionalFormatting>
  <conditionalFormatting sqref="WI2:WI72">
    <cfRule type="cellIs" dxfId="258" priority="27" operator="greaterThan">
      <formula>4</formula>
    </cfRule>
    <cfRule type="cellIs" dxfId="257" priority="28" operator="equal">
      <formula>4</formula>
    </cfRule>
    <cfRule type="cellIs" dxfId="256" priority="29" operator="equal">
      <formula>3</formula>
    </cfRule>
    <cfRule type="cellIs" dxfId="255" priority="30" operator="equal">
      <formula>2</formula>
    </cfRule>
    <cfRule type="cellIs" dxfId="254" priority="31" operator="equal">
      <formula>1</formula>
    </cfRule>
  </conditionalFormatting>
  <conditionalFormatting sqref="VX2:VX72">
    <cfRule type="expression" dxfId="253" priority="26">
      <formula>VS2&lt;1</formula>
    </cfRule>
  </conditionalFormatting>
  <conditionalFormatting sqref="VV108:VW114">
    <cfRule type="cellIs" dxfId="252" priority="25" operator="equal">
      <formula>"Yes"</formula>
    </cfRule>
  </conditionalFormatting>
  <conditionalFormatting sqref="VV108:VW114">
    <cfRule type="cellIs" dxfId="251" priority="24" operator="equal">
      <formula>"B"</formula>
    </cfRule>
  </conditionalFormatting>
  <conditionalFormatting sqref="VV108:VW114">
    <cfRule type="cellIs" dxfId="250" priority="23" operator="equal">
      <formula>"Yes"</formula>
    </cfRule>
  </conditionalFormatting>
  <conditionalFormatting sqref="VV108:VW114">
    <cfRule type="cellIs" dxfId="249" priority="22" operator="equal">
      <formula>"B"</formula>
    </cfRule>
  </conditionalFormatting>
  <conditionalFormatting sqref="WK2:WK72">
    <cfRule type="expression" dxfId="248" priority="21">
      <formula>AND($VR2&gt;0,$VR2&lt;1)</formula>
    </cfRule>
  </conditionalFormatting>
  <conditionalFormatting sqref="VV116:VW126">
    <cfRule type="cellIs" dxfId="247" priority="20" operator="equal">
      <formula>"Yes"</formula>
    </cfRule>
  </conditionalFormatting>
  <conditionalFormatting sqref="VV116:VW126">
    <cfRule type="cellIs" dxfId="246" priority="19" operator="equal">
      <formula>"B"</formula>
    </cfRule>
  </conditionalFormatting>
  <conditionalFormatting sqref="VV116:VW126">
    <cfRule type="cellIs" dxfId="245" priority="18" operator="equal">
      <formula>"Yes"</formula>
    </cfRule>
  </conditionalFormatting>
  <conditionalFormatting sqref="VV116:VW126">
    <cfRule type="cellIs" dxfId="244" priority="17" operator="equal">
      <formula>"B"</formula>
    </cfRule>
  </conditionalFormatting>
  <conditionalFormatting sqref="WG86:WK88">
    <cfRule type="cellIs" dxfId="243" priority="16" operator="equal">
      <formula>"Yes"</formula>
    </cfRule>
  </conditionalFormatting>
  <conditionalFormatting sqref="WG86:WK88">
    <cfRule type="cellIs" dxfId="242" priority="15" operator="equal">
      <formula>"B"</formula>
    </cfRule>
  </conditionalFormatting>
  <conditionalFormatting sqref="WG86:WK88">
    <cfRule type="cellIs" dxfId="241" priority="14" operator="equal">
      <formula>"Yes"</formula>
    </cfRule>
  </conditionalFormatting>
  <conditionalFormatting sqref="WG86:WK88">
    <cfRule type="cellIs" dxfId="240" priority="13" operator="equal">
      <formula>"B"</formula>
    </cfRule>
  </conditionalFormatting>
  <conditionalFormatting sqref="WG90:WK90">
    <cfRule type="cellIs" dxfId="239" priority="12" operator="equal">
      <formula>"Yes"</formula>
    </cfRule>
  </conditionalFormatting>
  <conditionalFormatting sqref="WG90:WK90">
    <cfRule type="cellIs" dxfId="238" priority="11" operator="equal">
      <formula>"B"</formula>
    </cfRule>
  </conditionalFormatting>
  <conditionalFormatting sqref="WG90:WK90">
    <cfRule type="cellIs" dxfId="237" priority="10" operator="equal">
      <formula>"Yes"</formula>
    </cfRule>
  </conditionalFormatting>
  <conditionalFormatting sqref="WG90:WK90">
    <cfRule type="cellIs" dxfId="236" priority="9" operator="equal">
      <formula>"B"</formula>
    </cfRule>
  </conditionalFormatting>
  <conditionalFormatting sqref="VY89:WC89">
    <cfRule type="cellIs" dxfId="235" priority="8" operator="equal">
      <formula>"Yes"</formula>
    </cfRule>
  </conditionalFormatting>
  <conditionalFormatting sqref="VY89:WC89">
    <cfRule type="cellIs" dxfId="234" priority="7" operator="equal">
      <formula>"B"</formula>
    </cfRule>
  </conditionalFormatting>
  <conditionalFormatting sqref="VY89:WC89">
    <cfRule type="cellIs" dxfId="233" priority="6" operator="equal">
      <formula>"Yes"</formula>
    </cfRule>
  </conditionalFormatting>
  <conditionalFormatting sqref="VY89:WC89">
    <cfRule type="cellIs" dxfId="232" priority="5" operator="equal">
      <formula>"B"</formula>
    </cfRule>
  </conditionalFormatting>
  <conditionalFormatting sqref="WG89:WK89">
    <cfRule type="cellIs" dxfId="231" priority="4" operator="equal">
      <formula>"Yes"</formula>
    </cfRule>
  </conditionalFormatting>
  <conditionalFormatting sqref="WG89:WK89">
    <cfRule type="cellIs" dxfId="230" priority="3" operator="equal">
      <formula>"B"</formula>
    </cfRule>
  </conditionalFormatting>
  <conditionalFormatting sqref="WG89:WK89">
    <cfRule type="cellIs" dxfId="229" priority="2" operator="equal">
      <formula>"Yes"</formula>
    </cfRule>
  </conditionalFormatting>
  <conditionalFormatting sqref="WG89:WK89">
    <cfRule type="cellIs" dxfId="228" priority="1" operator="equal">
      <formula>"B"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5A50-F6DE-4587-9427-CB463EF9A3E5}">
  <sheetPr codeName="Sheet3"/>
  <dimension ref="A1:WX186"/>
  <sheetViews>
    <sheetView zoomScale="90" zoomScaleNormal="90" workbookViewId="0">
      <pane xSplit="2" ySplit="1" topLeftCell="VP73" activePane="bottomRight" state="frozen"/>
      <selection activeCell="VO2" sqref="VO2:VO72"/>
      <selection pane="topRight" activeCell="VO2" sqref="VO2:VO72"/>
      <selection pane="bottomLeft" activeCell="VO2" sqref="VO2:VO72"/>
      <selection pane="bottomRight" activeCell="VX75" sqref="VX75"/>
    </sheetView>
  </sheetViews>
  <sheetFormatPr defaultRowHeight="15" x14ac:dyDescent="0.25"/>
  <cols>
    <col min="1" max="2" width="15.7109375" customWidth="1"/>
    <col min="3" max="3" width="20.7109375" customWidth="1"/>
    <col min="4" max="4" width="21" hidden="1" customWidth="1"/>
    <col min="5" max="5" width="28.140625" hidden="1" customWidth="1"/>
    <col min="6" max="6" width="28.5703125" hidden="1" customWidth="1"/>
    <col min="7" max="7" width="34.140625" hidden="1" customWidth="1"/>
    <col min="8" max="8" width="34.5703125" hidden="1" customWidth="1"/>
    <col min="9" max="9" width="29.28515625" hidden="1" customWidth="1"/>
    <col min="10" max="10" width="29.85546875" hidden="1" customWidth="1"/>
    <col min="11" max="11" width="25.140625" hidden="1" customWidth="1"/>
    <col min="12" max="12" width="25.5703125" hidden="1" customWidth="1"/>
    <col min="13" max="13" width="27.28515625" hidden="1" customWidth="1"/>
    <col min="14" max="14" width="27.7109375" hidden="1" customWidth="1"/>
    <col min="15" max="15" width="31.28515625" hidden="1" customWidth="1"/>
    <col min="16" max="16" width="31.7109375" hidden="1" customWidth="1"/>
    <col min="17" max="17" width="26.7109375" hidden="1" customWidth="1"/>
    <col min="18" max="18" width="27.28515625" hidden="1" customWidth="1"/>
    <col min="19" max="19" width="30.140625" hidden="1" customWidth="1"/>
    <col min="20" max="20" width="30.5703125" hidden="1" customWidth="1"/>
    <col min="21" max="21" width="31.140625" hidden="1" customWidth="1"/>
    <col min="22" max="22" width="31.5703125" hidden="1" customWidth="1"/>
    <col min="23" max="23" width="27.140625" hidden="1" customWidth="1"/>
    <col min="24" max="24" width="27.5703125" hidden="1" customWidth="1"/>
    <col min="25" max="25" width="12.5703125" hidden="1" customWidth="1"/>
    <col min="26" max="28" width="17.28515625" hidden="1" customWidth="1"/>
    <col min="29" max="29" width="19.28515625" hidden="1" customWidth="1"/>
    <col min="30" max="30" width="17.140625" hidden="1" customWidth="1"/>
    <col min="31" max="31" width="12.28515625" hidden="1" customWidth="1"/>
    <col min="32" max="32" width="18.140625" hidden="1" customWidth="1"/>
    <col min="33" max="33" width="26.7109375" hidden="1" customWidth="1"/>
    <col min="34" max="34" width="28.140625" hidden="1" customWidth="1"/>
    <col min="35" max="35" width="29.140625" hidden="1" customWidth="1"/>
    <col min="36" max="36" width="25.42578125" hidden="1" customWidth="1"/>
    <col min="37" max="37" width="26" hidden="1" customWidth="1"/>
    <col min="38" max="38" width="33.28515625" hidden="1" customWidth="1"/>
    <col min="39" max="39" width="26.5703125" hidden="1" customWidth="1"/>
    <col min="40" max="40" width="26.140625" hidden="1" customWidth="1"/>
    <col min="41" max="41" width="16.7109375" hidden="1" customWidth="1"/>
    <col min="42" max="42" width="32.7109375" hidden="1" customWidth="1"/>
    <col min="43" max="43" width="40.85546875" hidden="1" customWidth="1"/>
    <col min="44" max="44" width="25.42578125" hidden="1" customWidth="1"/>
    <col min="45" max="45" width="33" hidden="1" customWidth="1"/>
    <col min="46" max="46" width="20.7109375" hidden="1" customWidth="1"/>
    <col min="47" max="47" width="22.28515625" hidden="1" customWidth="1"/>
    <col min="48" max="48" width="18" hidden="1" customWidth="1"/>
    <col min="49" max="49" width="18.28515625" hidden="1" customWidth="1"/>
    <col min="50" max="50" width="17.85546875" hidden="1" customWidth="1"/>
    <col min="51" max="51" width="19.28515625" hidden="1" customWidth="1"/>
    <col min="52" max="52" width="19" hidden="1" customWidth="1"/>
    <col min="53" max="53" width="18.5703125" hidden="1" customWidth="1"/>
    <col min="54" max="54" width="18.28515625" hidden="1" customWidth="1"/>
    <col min="55" max="55" width="20.28515625" hidden="1" customWidth="1"/>
    <col min="56" max="56" width="19.85546875" hidden="1" customWidth="1"/>
    <col min="57" max="57" width="21.140625" hidden="1" customWidth="1"/>
    <col min="58" max="58" width="20.7109375" hidden="1" customWidth="1"/>
    <col min="59" max="59" width="18.42578125" hidden="1" customWidth="1"/>
    <col min="60" max="60" width="18.140625" hidden="1" customWidth="1"/>
    <col min="61" max="61" width="20.140625" hidden="1" customWidth="1"/>
    <col min="62" max="62" width="19.7109375" hidden="1" customWidth="1"/>
    <col min="63" max="63" width="18.7109375" hidden="1" customWidth="1"/>
    <col min="64" max="64" width="18.28515625" hidden="1" customWidth="1"/>
    <col min="65" max="65" width="20.7109375" hidden="1" customWidth="1"/>
    <col min="66" max="66" width="20.28515625" hidden="1" customWidth="1"/>
    <col min="67" max="67" width="21.85546875" hidden="1" customWidth="1"/>
    <col min="68" max="68" width="21.42578125" hidden="1" customWidth="1"/>
    <col min="69" max="69" width="26.42578125" hidden="1" customWidth="1"/>
    <col min="70" max="70" width="16" hidden="1" customWidth="1"/>
    <col min="71" max="71" width="17.28515625" hidden="1" customWidth="1"/>
    <col min="72" max="72" width="13.7109375" hidden="1" customWidth="1"/>
    <col min="73" max="73" width="25.5703125" hidden="1" customWidth="1"/>
    <col min="74" max="74" width="21.7109375" customWidth="1"/>
    <col min="75" max="75" width="16.7109375" customWidth="1"/>
    <col min="76" max="76" width="28.28515625" hidden="1" customWidth="1"/>
    <col min="77" max="77" width="26.85546875" hidden="1" customWidth="1"/>
    <col min="78" max="78" width="29" hidden="1" customWidth="1"/>
    <col min="79" max="79" width="21" hidden="1" customWidth="1"/>
    <col min="80" max="80" width="32.7109375" hidden="1" customWidth="1"/>
    <col min="81" max="81" width="31.7109375" hidden="1" customWidth="1"/>
    <col min="82" max="82" width="26.42578125" hidden="1" customWidth="1"/>
    <col min="83" max="83" width="28.7109375" customWidth="1"/>
    <col min="84" max="84" width="22.28515625" hidden="1" customWidth="1"/>
    <col min="85" max="85" width="40.5703125" hidden="1" customWidth="1"/>
    <col min="86" max="86" width="33.42578125" hidden="1" customWidth="1"/>
    <col min="87" max="87" width="35.7109375" hidden="1" customWidth="1"/>
    <col min="88" max="88" width="30.7109375" hidden="1" customWidth="1"/>
    <col min="89" max="89" width="24.5703125" hidden="1" customWidth="1"/>
    <col min="90" max="90" width="40.5703125" hidden="1" customWidth="1"/>
    <col min="91" max="91" width="43.28515625" hidden="1" customWidth="1"/>
    <col min="92" max="92" width="33.85546875" hidden="1" customWidth="1"/>
    <col min="93" max="93" width="27" hidden="1" customWidth="1"/>
    <col min="94" max="94" width="28.5703125" hidden="1" customWidth="1"/>
    <col min="95" max="95" width="23.7109375" hidden="1" customWidth="1"/>
    <col min="96" max="96" width="81.28515625" hidden="1" customWidth="1"/>
    <col min="97" max="97" width="23.28515625" hidden="1" customWidth="1"/>
    <col min="98" max="98" width="80.140625" hidden="1" customWidth="1"/>
    <col min="99" max="99" width="80.7109375" hidden="1" customWidth="1"/>
    <col min="100" max="100" width="40.28515625" hidden="1" customWidth="1"/>
    <col min="101" max="101" width="29.28515625" hidden="1" customWidth="1"/>
    <col min="102" max="102" width="29.85546875" hidden="1" customWidth="1"/>
    <col min="103" max="103" width="81.7109375" hidden="1" customWidth="1"/>
    <col min="104" max="104" width="26.7109375" hidden="1" customWidth="1"/>
    <col min="105" max="105" width="81.28515625" hidden="1" customWidth="1"/>
    <col min="106" max="106" width="26.28515625" hidden="1" customWidth="1"/>
    <col min="107" max="107" width="82" hidden="1" customWidth="1"/>
    <col min="108" max="108" width="80.7109375" hidden="1" customWidth="1"/>
    <col min="109" max="109" width="25.28515625" hidden="1" customWidth="1"/>
    <col min="110" max="110" width="33.85546875" hidden="1" customWidth="1"/>
    <col min="111" max="111" width="27.7109375" hidden="1" customWidth="1"/>
    <col min="112" max="112" width="53.42578125" hidden="1" customWidth="1"/>
    <col min="113" max="113" width="24.5703125" hidden="1" customWidth="1"/>
    <col min="114" max="114" width="81.28515625" hidden="1" customWidth="1"/>
    <col min="115" max="115" width="24.140625" hidden="1" customWidth="1"/>
    <col min="116" max="116" width="82" hidden="1" customWidth="1"/>
    <col min="117" max="117" width="80.7109375" hidden="1" customWidth="1"/>
    <col min="118" max="118" width="15.7109375" customWidth="1"/>
    <col min="119" max="119" width="30.28515625" hidden="1" customWidth="1"/>
    <col min="120" max="120" width="32.42578125" hidden="1" customWidth="1"/>
    <col min="121" max="121" width="30.28515625" hidden="1" customWidth="1"/>
    <col min="122" max="122" width="36.140625" hidden="1" customWidth="1"/>
    <col min="123" max="123" width="22.85546875" hidden="1" customWidth="1"/>
    <col min="124" max="124" width="32.85546875" hidden="1" customWidth="1"/>
    <col min="125" max="125" width="17.28515625" hidden="1" customWidth="1"/>
    <col min="126" max="126" width="18.42578125" hidden="1" customWidth="1"/>
    <col min="127" max="127" width="21.42578125" hidden="1" customWidth="1"/>
    <col min="128" max="128" width="19.5703125" hidden="1" customWidth="1"/>
    <col min="129" max="129" width="22.7109375" hidden="1" customWidth="1"/>
    <col min="130" max="130" width="30.5703125" hidden="1" customWidth="1"/>
    <col min="131" max="131" width="37.42578125" hidden="1" customWidth="1"/>
    <col min="132" max="132" width="32.28515625" hidden="1" customWidth="1"/>
    <col min="133" max="133" width="24.7109375" hidden="1" customWidth="1"/>
    <col min="134" max="134" width="44.28515625" hidden="1" customWidth="1"/>
    <col min="135" max="135" width="22" hidden="1" customWidth="1"/>
    <col min="136" max="136" width="81.5703125" hidden="1" customWidth="1"/>
    <col min="137" max="137" width="21.7109375" hidden="1" customWidth="1"/>
    <col min="138" max="138" width="82.5703125" hidden="1" customWidth="1"/>
    <col min="139" max="139" width="80.7109375" hidden="1" customWidth="1"/>
    <col min="140" max="140" width="29.28515625" hidden="1" customWidth="1"/>
    <col min="141" max="141" width="37.7109375" hidden="1" customWidth="1"/>
    <col min="142" max="142" width="47.140625" hidden="1" customWidth="1"/>
    <col min="143" max="143" width="24.7109375" hidden="1" customWidth="1"/>
    <col min="144" max="144" width="81.5703125" hidden="1" customWidth="1"/>
    <col min="145" max="145" width="24.42578125" hidden="1" customWidth="1"/>
    <col min="146" max="146" width="82.5703125" hidden="1" customWidth="1"/>
    <col min="147" max="147" width="80.7109375" hidden="1" customWidth="1"/>
    <col min="148" max="148" width="31.42578125" hidden="1" customWidth="1"/>
    <col min="149" max="149" width="33.5703125" hidden="1" customWidth="1"/>
    <col min="150" max="150" width="31.28515625" hidden="1" customWidth="1"/>
    <col min="151" max="151" width="39.5703125" hidden="1" customWidth="1"/>
    <col min="152" max="152" width="29.7109375" hidden="1" customWidth="1"/>
    <col min="153" max="153" width="25.5703125" hidden="1" customWidth="1"/>
    <col min="154" max="154" width="26.7109375" hidden="1" customWidth="1"/>
    <col min="155" max="155" width="24.85546875" hidden="1" customWidth="1"/>
    <col min="156" max="156" width="27.85546875" hidden="1" customWidth="1"/>
    <col min="157" max="157" width="31" hidden="1" customWidth="1"/>
    <col min="158" max="158" width="31.85546875" hidden="1" customWidth="1"/>
    <col min="159" max="159" width="32.140625" hidden="1" customWidth="1"/>
    <col min="160" max="160" width="34.28515625" hidden="1" customWidth="1"/>
    <col min="161" max="161" width="32" hidden="1" customWidth="1"/>
    <col min="162" max="162" width="40.28515625" hidden="1" customWidth="1"/>
    <col min="163" max="163" width="32.28515625" hidden="1" customWidth="1"/>
    <col min="164" max="164" width="26.28515625" hidden="1" customWidth="1"/>
    <col min="165" max="165" width="27.42578125" hidden="1" customWidth="1"/>
    <col min="166" max="166" width="30.5703125" hidden="1" customWidth="1"/>
    <col min="167" max="167" width="28.5703125" hidden="1" customWidth="1"/>
    <col min="168" max="168" width="31.7109375" hidden="1" customWidth="1"/>
    <col min="169" max="169" width="31.28515625" hidden="1" customWidth="1"/>
    <col min="170" max="170" width="33.7109375" customWidth="1"/>
    <col min="171" max="171" width="24.7109375" customWidth="1"/>
    <col min="172" max="172" width="28.28515625" hidden="1" customWidth="1"/>
    <col min="173" max="173" width="20.28515625" hidden="1" customWidth="1"/>
    <col min="174" max="174" width="36.7109375" hidden="1" customWidth="1"/>
    <col min="175" max="175" width="35" hidden="1" customWidth="1"/>
    <col min="176" max="176" width="27.5703125" hidden="1" customWidth="1"/>
    <col min="177" max="177" width="25.7109375" hidden="1" customWidth="1"/>
    <col min="178" max="178" width="23.28515625" hidden="1" customWidth="1"/>
    <col min="179" max="179" width="32.7109375" hidden="1" customWidth="1"/>
    <col min="180" max="180" width="30.42578125" hidden="1" customWidth="1"/>
    <col min="181" max="181" width="33.85546875" hidden="1" customWidth="1"/>
    <col min="182" max="182" width="81.7109375" hidden="1" customWidth="1"/>
    <col min="183" max="183" width="79.28515625" hidden="1" customWidth="1"/>
    <col min="184" max="186" width="3.7109375" hidden="1" customWidth="1"/>
    <col min="187" max="187" width="20.7109375" customWidth="1"/>
    <col min="188" max="188" width="15.28515625" hidden="1" customWidth="1"/>
    <col min="189" max="189" width="20.7109375" customWidth="1"/>
    <col min="190" max="190" width="20.7109375" hidden="1" customWidth="1"/>
    <col min="191" max="193" width="20.7109375" customWidth="1"/>
    <col min="194" max="194" width="20.7109375" hidden="1" customWidth="1"/>
    <col min="195" max="198" width="18.7109375" hidden="1" customWidth="1"/>
    <col min="199" max="199" width="29" hidden="1" customWidth="1"/>
    <col min="200" max="200" width="12.7109375" customWidth="1"/>
    <col min="201" max="201" width="14.7109375" customWidth="1"/>
    <col min="202" max="202" width="82.42578125" hidden="1" customWidth="1"/>
    <col min="203" max="203" width="31.28515625" hidden="1" customWidth="1"/>
    <col min="204" max="204" width="17.85546875" hidden="1" customWidth="1"/>
    <col min="205" max="205" width="15.5703125" hidden="1" customWidth="1"/>
    <col min="206" max="206" width="17.140625" hidden="1" customWidth="1"/>
    <col min="207" max="207" width="80.28515625" hidden="1" customWidth="1"/>
    <col min="208" max="208" width="18.5703125" hidden="1" customWidth="1"/>
    <col min="209" max="209" width="15.85546875" hidden="1" customWidth="1"/>
    <col min="210" max="210" width="17.28515625" hidden="1" customWidth="1"/>
    <col min="211" max="211" width="24.42578125" hidden="1" customWidth="1"/>
    <col min="212" max="212" width="23.28515625" hidden="1" customWidth="1"/>
    <col min="213" max="213" width="18.42578125" hidden="1" customWidth="1"/>
    <col min="214" max="214" width="20" hidden="1" customWidth="1"/>
    <col min="215" max="215" width="23.42578125" hidden="1" customWidth="1"/>
    <col min="216" max="216" width="20.5703125" hidden="1" customWidth="1"/>
    <col min="217" max="217" width="18.42578125" hidden="1" customWidth="1"/>
    <col min="218" max="218" width="20" hidden="1" customWidth="1"/>
    <col min="219" max="219" width="23.42578125" hidden="1" customWidth="1"/>
    <col min="220" max="220" width="18.42578125" hidden="1" customWidth="1"/>
    <col min="221" max="221" width="20" hidden="1" customWidth="1"/>
    <col min="222" max="222" width="23.42578125" hidden="1" customWidth="1"/>
    <col min="223" max="223" width="19.5703125" hidden="1" customWidth="1"/>
    <col min="224" max="224" width="21.140625" hidden="1" customWidth="1"/>
    <col min="225" max="225" width="24.5703125" hidden="1" customWidth="1"/>
    <col min="226" max="226" width="22.7109375" hidden="1" customWidth="1"/>
    <col min="227" max="227" width="17.140625" hidden="1" customWidth="1"/>
    <col min="228" max="228" width="18.7109375" hidden="1" customWidth="1"/>
    <col min="229" max="229" width="22.28515625" hidden="1" customWidth="1"/>
    <col min="230" max="230" width="20.28515625" hidden="1" customWidth="1"/>
    <col min="231" max="231" width="27.85546875" hidden="1" customWidth="1"/>
    <col min="232" max="232" width="34.140625" hidden="1" customWidth="1"/>
    <col min="233" max="233" width="42.28515625" hidden="1" customWidth="1"/>
    <col min="234" max="234" width="19.7109375" hidden="1" customWidth="1"/>
    <col min="235" max="235" width="17.7109375" hidden="1" customWidth="1"/>
    <col min="236" max="236" width="37.140625" hidden="1" customWidth="1"/>
    <col min="237" max="237" width="47.140625" hidden="1" customWidth="1"/>
    <col min="238" max="238" width="19.7109375" hidden="1" customWidth="1"/>
    <col min="239" max="239" width="17.85546875" hidden="1" customWidth="1"/>
    <col min="240" max="240" width="34.140625" hidden="1" customWidth="1"/>
    <col min="241" max="241" width="42.28515625" hidden="1" customWidth="1"/>
    <col min="242" max="242" width="21.7109375" hidden="1" customWidth="1"/>
    <col min="243" max="243" width="19.7109375" hidden="1" customWidth="1"/>
    <col min="244" max="244" width="27.28515625" hidden="1" customWidth="1"/>
    <col min="245" max="245" width="39.7109375" hidden="1" customWidth="1"/>
    <col min="246" max="246" width="18.7109375" hidden="1" customWidth="1"/>
    <col min="247" max="247" width="16.7109375" hidden="1" customWidth="1"/>
    <col min="248" max="248" width="11" hidden="1" customWidth="1"/>
    <col min="249" max="249" width="18.5703125" hidden="1" customWidth="1"/>
    <col min="250" max="250" width="19.85546875" hidden="1" customWidth="1"/>
    <col min="251" max="251" width="24.7109375" hidden="1" customWidth="1"/>
    <col min="252" max="252" width="35.5703125" hidden="1" customWidth="1"/>
    <col min="253" max="253" width="28" hidden="1" customWidth="1"/>
    <col min="254" max="254" width="31.85546875" hidden="1" customWidth="1"/>
    <col min="255" max="255" width="30.28515625" hidden="1" customWidth="1"/>
    <col min="256" max="256" width="21.140625" hidden="1" customWidth="1"/>
    <col min="257" max="257" width="25.28515625" hidden="1" customWidth="1"/>
    <col min="258" max="258" width="31.5703125" hidden="1" customWidth="1"/>
    <col min="259" max="259" width="36.28515625" hidden="1" customWidth="1"/>
    <col min="260" max="260" width="12.7109375" customWidth="1"/>
    <col min="261" max="261" width="82.28515625" hidden="1" customWidth="1"/>
    <col min="262" max="262" width="49.7109375" hidden="1" customWidth="1"/>
    <col min="263" max="263" width="21.28515625" hidden="1" customWidth="1"/>
    <col min="264" max="264" width="16.28515625" hidden="1" customWidth="1"/>
    <col min="265" max="265" width="16" hidden="1" customWidth="1"/>
    <col min="266" max="266" width="28.7109375" hidden="1" customWidth="1"/>
    <col min="267" max="268" width="3.7109375" hidden="1" customWidth="1"/>
    <col min="269" max="269" width="22.7109375" customWidth="1"/>
    <col min="270" max="270" width="24.28515625" hidden="1" customWidth="1"/>
    <col min="271" max="271" width="28.28515625" hidden="1" customWidth="1"/>
    <col min="272" max="272" width="27" hidden="1" customWidth="1"/>
    <col min="273" max="273" width="29.5703125" hidden="1" customWidth="1"/>
    <col min="274" max="274" width="28.42578125" hidden="1" customWidth="1"/>
    <col min="275" max="275" width="28.7109375" hidden="1" customWidth="1"/>
    <col min="276" max="276" width="31.7109375" hidden="1" customWidth="1"/>
    <col min="277" max="277" width="30.28515625" hidden="1" customWidth="1"/>
    <col min="278" max="278" width="27.5703125" hidden="1" customWidth="1"/>
    <col min="279" max="279" width="30" hidden="1" customWidth="1"/>
    <col min="280" max="281" width="3.7109375" hidden="1" customWidth="1"/>
    <col min="282" max="282" width="22.7109375" customWidth="1"/>
    <col min="283" max="283" width="20.7109375" hidden="1" customWidth="1"/>
    <col min="284" max="284" width="22.85546875" hidden="1" customWidth="1"/>
    <col min="285" max="285" width="33.5703125" hidden="1" customWidth="1"/>
    <col min="286" max="292" width="23.42578125" hidden="1" customWidth="1"/>
    <col min="293" max="295" width="20.7109375" customWidth="1"/>
    <col min="296" max="296" width="30.7109375" hidden="1" customWidth="1"/>
    <col min="297" max="298" width="20.7109375" customWidth="1"/>
    <col min="299" max="302" width="30.7109375" hidden="1" customWidth="1"/>
    <col min="303" max="303" width="78.85546875" hidden="1" customWidth="1"/>
    <col min="304" max="304" width="30.5703125" hidden="1" customWidth="1"/>
    <col min="305" max="305" width="33.28515625" hidden="1" customWidth="1"/>
    <col min="306" max="306" width="22.28515625" hidden="1" customWidth="1"/>
    <col min="307" max="307" width="21.28515625" hidden="1" customWidth="1"/>
    <col min="308" max="308" width="22.7109375" hidden="1" customWidth="1"/>
    <col min="309" max="309" width="41.28515625" hidden="1" customWidth="1"/>
    <col min="310" max="310" width="28" hidden="1" customWidth="1"/>
    <col min="311" max="311" width="27.7109375" hidden="1" customWidth="1"/>
    <col min="312" max="312" width="26.85546875" hidden="1" customWidth="1"/>
    <col min="313" max="314" width="31.42578125" hidden="1" customWidth="1"/>
    <col min="315" max="315" width="32.85546875" hidden="1" customWidth="1"/>
    <col min="316" max="316" width="25.5703125" hidden="1" customWidth="1"/>
    <col min="317" max="317" width="25.140625" hidden="1" customWidth="1"/>
    <col min="318" max="318" width="28.42578125" hidden="1" customWidth="1"/>
    <col min="319" max="319" width="26.140625" hidden="1" customWidth="1"/>
    <col min="320" max="320" width="23.140625" hidden="1" customWidth="1"/>
    <col min="321" max="321" width="24.7109375" hidden="1" customWidth="1"/>
    <col min="322" max="322" width="20.5703125" hidden="1" customWidth="1"/>
    <col min="323" max="323" width="41.5703125" hidden="1" customWidth="1"/>
    <col min="324" max="324" width="29.7109375" hidden="1" customWidth="1"/>
    <col min="325" max="325" width="35.28515625" hidden="1" customWidth="1"/>
    <col min="326" max="326" width="29" hidden="1" customWidth="1"/>
    <col min="327" max="327" width="31.28515625" hidden="1" customWidth="1"/>
    <col min="328" max="328" width="45.7109375" hidden="1" customWidth="1"/>
    <col min="329" max="329" width="42.28515625" hidden="1" customWidth="1"/>
    <col min="330" max="330" width="35.85546875" hidden="1" customWidth="1"/>
    <col min="331" max="331" width="39.85546875" hidden="1" customWidth="1"/>
    <col min="332" max="332" width="31.42578125" hidden="1" customWidth="1"/>
    <col min="333" max="333" width="34.5703125" hidden="1" customWidth="1"/>
    <col min="334" max="334" width="30.85546875" hidden="1" customWidth="1"/>
    <col min="335" max="335" width="30.7109375" hidden="1" customWidth="1"/>
    <col min="336" max="336" width="32.85546875" hidden="1" customWidth="1"/>
    <col min="337" max="337" width="18.5703125" hidden="1" customWidth="1"/>
    <col min="338" max="338" width="35.7109375" hidden="1" customWidth="1"/>
    <col min="339" max="339" width="13.28515625" hidden="1" customWidth="1"/>
    <col min="340" max="340" width="30.42578125" hidden="1" customWidth="1"/>
    <col min="341" max="341" width="30.7109375" customWidth="1"/>
    <col min="342" max="342" width="29.140625" hidden="1" customWidth="1"/>
    <col min="343" max="344" width="19.7109375" hidden="1" customWidth="1"/>
    <col min="345" max="345" width="18.28515625" hidden="1" customWidth="1"/>
    <col min="346" max="346" width="35.42578125" hidden="1" customWidth="1"/>
    <col min="347" max="347" width="16.7109375" hidden="1" customWidth="1"/>
    <col min="348" max="348" width="34" hidden="1" customWidth="1"/>
    <col min="349" max="349" width="31" hidden="1" customWidth="1"/>
    <col min="350" max="350" width="27.7109375" hidden="1" customWidth="1"/>
    <col min="351" max="351" width="14.85546875" hidden="1" customWidth="1"/>
    <col min="352" max="352" width="32.140625" hidden="1" customWidth="1"/>
    <col min="353" max="353" width="27.28515625" hidden="1" customWidth="1"/>
    <col min="354" max="354" width="24" hidden="1" customWidth="1"/>
    <col min="355" max="355" width="24.28515625" hidden="1" customWidth="1"/>
    <col min="356" max="356" width="13" hidden="1" customWidth="1"/>
    <col min="357" max="357" width="36.140625" hidden="1" customWidth="1"/>
    <col min="358" max="358" width="14.28515625" hidden="1" customWidth="1"/>
    <col min="359" max="359" width="31.42578125" hidden="1" customWidth="1"/>
    <col min="360" max="360" width="30.28515625" hidden="1" customWidth="1"/>
    <col min="361" max="362" width="31.42578125" hidden="1" customWidth="1"/>
    <col min="363" max="363" width="14" hidden="1" customWidth="1"/>
    <col min="364" max="364" width="31.28515625" hidden="1" customWidth="1"/>
    <col min="365" max="365" width="21.7109375" hidden="1" customWidth="1"/>
    <col min="366" max="366" width="39" hidden="1" customWidth="1"/>
    <col min="367" max="367" width="20.7109375" hidden="1" customWidth="1"/>
    <col min="368" max="368" width="38.140625" hidden="1" customWidth="1"/>
    <col min="369" max="369" width="12.85546875" hidden="1" customWidth="1"/>
    <col min="370" max="370" width="30.140625" hidden="1" customWidth="1"/>
    <col min="371" max="371" width="22.7109375" hidden="1" customWidth="1"/>
    <col min="372" max="372" width="33.42578125" hidden="1" customWidth="1"/>
    <col min="373" max="373" width="40" bestFit="1" customWidth="1"/>
    <col min="374" max="376" width="23.7109375" hidden="1" customWidth="1"/>
    <col min="377" max="377" width="24.7109375" customWidth="1"/>
    <col min="378" max="378" width="25.28515625" hidden="1" customWidth="1"/>
    <col min="379" max="379" width="17.7109375" customWidth="1"/>
    <col min="380" max="380" width="17.7109375" hidden="1" customWidth="1"/>
    <col min="381" max="381" width="53.140625" hidden="1" customWidth="1"/>
    <col min="382" max="382" width="17.7109375" customWidth="1"/>
    <col min="383" max="383" width="18.140625" hidden="1" customWidth="1"/>
    <col min="384" max="384" width="8.7109375" customWidth="1"/>
    <col min="385" max="385" width="25.85546875" hidden="1" customWidth="1"/>
    <col min="386" max="386" width="16" hidden="1" customWidth="1"/>
    <col min="387" max="387" width="82.7109375" hidden="1" customWidth="1"/>
    <col min="388" max="388" width="24.7109375" hidden="1" customWidth="1"/>
    <col min="389" max="389" width="78.28515625" hidden="1" customWidth="1"/>
    <col min="390" max="390" width="17.7109375" hidden="1" customWidth="1"/>
    <col min="391" max="391" width="78.85546875" hidden="1" customWidth="1"/>
    <col min="392" max="393" width="55.7109375" hidden="1" customWidth="1"/>
    <col min="394" max="394" width="17.5703125" hidden="1" customWidth="1"/>
    <col min="395" max="395" width="80.85546875" hidden="1" customWidth="1"/>
    <col min="396" max="396" width="23.85546875" hidden="1" customWidth="1"/>
    <col min="397" max="397" width="32.5703125" hidden="1" customWidth="1"/>
    <col min="398" max="399" width="23.85546875" hidden="1" customWidth="1"/>
    <col min="400" max="400" width="23.42578125" hidden="1" customWidth="1"/>
    <col min="401" max="401" width="21.42578125" hidden="1" customWidth="1"/>
    <col min="402" max="402" width="25.28515625" hidden="1" customWidth="1"/>
    <col min="403" max="403" width="25.42578125" hidden="1" customWidth="1"/>
    <col min="404" max="404" width="29.140625" hidden="1" customWidth="1"/>
    <col min="405" max="405" width="32.140625" hidden="1" customWidth="1"/>
    <col min="406" max="406" width="21.42578125" hidden="1" customWidth="1"/>
    <col min="407" max="407" width="30.140625" hidden="1" customWidth="1"/>
    <col min="408" max="408" width="29.42578125" hidden="1" customWidth="1"/>
    <col min="409" max="409" width="32.42578125" hidden="1" customWidth="1"/>
    <col min="410" max="411" width="18.7109375" customWidth="1"/>
    <col min="412" max="413" width="39.7109375" hidden="1" customWidth="1"/>
    <col min="414" max="414" width="22.7109375" customWidth="1"/>
    <col min="415" max="415" width="27.7109375" customWidth="1"/>
    <col min="416" max="416" width="28.7109375" hidden="1" customWidth="1"/>
    <col min="417" max="417" width="25" hidden="1" customWidth="1"/>
    <col min="418" max="418" width="30.28515625" hidden="1" customWidth="1"/>
    <col min="419" max="419" width="26.5703125" hidden="1" customWidth="1"/>
    <col min="420" max="420" width="27.7109375" hidden="1" customWidth="1"/>
    <col min="421" max="421" width="29.28515625" hidden="1" customWidth="1"/>
    <col min="422" max="422" width="25.7109375" hidden="1" customWidth="1"/>
    <col min="423" max="423" width="20.5703125" hidden="1" customWidth="1"/>
    <col min="424" max="424" width="22.28515625" hidden="1" customWidth="1"/>
    <col min="425" max="425" width="18.5703125" hidden="1" customWidth="1"/>
    <col min="426" max="426" width="22.5703125" hidden="1" customWidth="1"/>
    <col min="427" max="427" width="24.140625" hidden="1" customWidth="1"/>
    <col min="428" max="428" width="20.42578125" hidden="1" customWidth="1"/>
    <col min="429" max="429" width="32.28515625" hidden="1" customWidth="1"/>
    <col min="430" max="430" width="33.7109375" hidden="1" customWidth="1"/>
    <col min="431" max="431" width="30.28515625" hidden="1" customWidth="1"/>
    <col min="432" max="432" width="22.7109375" hidden="1" customWidth="1"/>
    <col min="433" max="433" width="24.28515625" hidden="1" customWidth="1"/>
    <col min="434" max="434" width="20.7109375" hidden="1" customWidth="1"/>
    <col min="435" max="435" width="17.7109375" hidden="1" customWidth="1"/>
    <col min="436" max="436" width="36.5703125" hidden="1" customWidth="1"/>
    <col min="437" max="437" width="38.28515625" hidden="1" customWidth="1"/>
    <col min="438" max="438" width="34.5703125" hidden="1" customWidth="1"/>
    <col min="439" max="439" width="27.140625" hidden="1" customWidth="1"/>
    <col min="440" max="440" width="28.7109375" hidden="1" customWidth="1"/>
    <col min="441" max="441" width="25" hidden="1" customWidth="1"/>
    <col min="442" max="442" width="18" hidden="1" customWidth="1"/>
    <col min="443" max="443" width="19.5703125" hidden="1" customWidth="1"/>
    <col min="444" max="444" width="21.140625" hidden="1" customWidth="1"/>
    <col min="445" max="445" width="17.5703125" hidden="1" customWidth="1"/>
    <col min="446" max="446" width="20.85546875" hidden="1" customWidth="1"/>
    <col min="447" max="447" width="22.5703125" hidden="1" customWidth="1"/>
    <col min="448" max="448" width="18.85546875" hidden="1" customWidth="1"/>
    <col min="449" max="449" width="23.28515625" hidden="1" customWidth="1"/>
    <col min="450" max="450" width="24.85546875" hidden="1" customWidth="1"/>
    <col min="451" max="451" width="21.28515625" hidden="1" customWidth="1"/>
    <col min="452" max="452" width="25.140625" hidden="1" customWidth="1"/>
    <col min="453" max="453" width="26.85546875" hidden="1" customWidth="1"/>
    <col min="454" max="454" width="23.140625" hidden="1" customWidth="1"/>
    <col min="455" max="455" width="27.42578125" hidden="1" customWidth="1"/>
    <col min="456" max="456" width="29" hidden="1" customWidth="1"/>
    <col min="457" max="457" width="25.28515625" hidden="1" customWidth="1"/>
    <col min="458" max="458" width="23.42578125" hidden="1" customWidth="1"/>
    <col min="459" max="459" width="25" hidden="1" customWidth="1"/>
    <col min="460" max="460" width="21.28515625" hidden="1" customWidth="1"/>
    <col min="461" max="461" width="37.7109375" hidden="1" customWidth="1"/>
    <col min="462" max="462" width="39.42578125" hidden="1" customWidth="1"/>
    <col min="463" max="463" width="35.7109375" hidden="1" customWidth="1"/>
    <col min="464" max="464" width="26.5703125" hidden="1" customWidth="1"/>
    <col min="465" max="465" width="28.140625" hidden="1" customWidth="1"/>
    <col min="466" max="466" width="24.42578125" hidden="1" customWidth="1"/>
    <col min="467" max="467" width="17.7109375" hidden="1" customWidth="1"/>
    <col min="468" max="468" width="36.7109375" hidden="1" customWidth="1"/>
    <col min="469" max="469" width="38.28515625" hidden="1" customWidth="1"/>
    <col min="470" max="470" width="34.7109375" hidden="1" customWidth="1"/>
    <col min="471" max="471" width="37.42578125" hidden="1" customWidth="1"/>
    <col min="472" max="472" width="33.7109375" hidden="1" customWidth="1"/>
    <col min="473" max="473" width="24.28515625" hidden="1" customWidth="1"/>
    <col min="474" max="474" width="26" hidden="1" customWidth="1"/>
    <col min="475" max="475" width="22.28515625" hidden="1" customWidth="1"/>
    <col min="476" max="476" width="23.7109375" hidden="1" customWidth="1"/>
    <col min="477" max="477" width="25.28515625" hidden="1" customWidth="1"/>
    <col min="478" max="478" width="26" hidden="1" customWidth="1"/>
    <col min="479" max="479" width="19.28515625" hidden="1" customWidth="1"/>
    <col min="480" max="480" width="16.5703125" hidden="1" customWidth="1"/>
    <col min="481" max="481" width="27.5703125" hidden="1" customWidth="1"/>
    <col min="482" max="482" width="29.140625" hidden="1" customWidth="1"/>
    <col min="483" max="483" width="25.42578125" hidden="1" customWidth="1"/>
    <col min="484" max="484" width="25.140625" hidden="1" customWidth="1"/>
    <col min="485" max="485" width="19.85546875" hidden="1" customWidth="1"/>
    <col min="486" max="486" width="31.140625" hidden="1" customWidth="1"/>
    <col min="487" max="487" width="32.7109375" hidden="1" customWidth="1"/>
    <col min="488" max="488" width="29" hidden="1" customWidth="1"/>
    <col min="489" max="489" width="24" hidden="1" customWidth="1"/>
    <col min="490" max="490" width="21.7109375" hidden="1" customWidth="1"/>
    <col min="491" max="491" width="23.7109375" hidden="1" customWidth="1"/>
    <col min="492" max="492" width="25.28515625" hidden="1" customWidth="1"/>
    <col min="493" max="493" width="21.7109375" hidden="1" customWidth="1"/>
    <col min="494" max="494" width="20.85546875" hidden="1" customWidth="1"/>
    <col min="495" max="495" width="17" hidden="1" customWidth="1"/>
    <col min="496" max="496" width="13.42578125" hidden="1" customWidth="1"/>
    <col min="497" max="497" width="13.28515625" hidden="1" customWidth="1"/>
    <col min="498" max="498" width="17.5703125" hidden="1" customWidth="1"/>
    <col min="499" max="499" width="13.85546875" hidden="1" customWidth="1"/>
    <col min="500" max="500" width="15.140625" hidden="1" customWidth="1"/>
    <col min="501" max="501" width="16.7109375" hidden="1" customWidth="1"/>
    <col min="502" max="502" width="13.140625" hidden="1" customWidth="1"/>
    <col min="503" max="503" width="35" hidden="1" customWidth="1"/>
    <col min="504" max="504" width="78.140625" hidden="1" customWidth="1"/>
    <col min="505" max="505" width="81.42578125" hidden="1" customWidth="1"/>
    <col min="506" max="506" width="55.5703125" hidden="1" customWidth="1"/>
    <col min="507" max="507" width="25.140625" hidden="1" customWidth="1"/>
    <col min="508" max="508" width="25.85546875" hidden="1" customWidth="1"/>
    <col min="509" max="509" width="26" hidden="1" customWidth="1"/>
    <col min="510" max="510" width="26.7109375" hidden="1" customWidth="1"/>
    <col min="511" max="511" width="25.42578125" hidden="1" customWidth="1"/>
    <col min="512" max="515" width="26.28515625" hidden="1" customWidth="1"/>
    <col min="516" max="516" width="26.7109375" hidden="1" customWidth="1"/>
    <col min="517" max="517" width="20.5703125" hidden="1" customWidth="1"/>
    <col min="518" max="518" width="38.7109375" hidden="1" customWidth="1"/>
    <col min="519" max="519" width="23.85546875" hidden="1" customWidth="1"/>
    <col min="520" max="520" width="29.28515625" hidden="1" customWidth="1"/>
    <col min="521" max="521" width="28.28515625" hidden="1" customWidth="1"/>
    <col min="522" max="522" width="28.7109375" hidden="1" customWidth="1"/>
    <col min="523" max="523" width="24.28515625" hidden="1" customWidth="1"/>
    <col min="524" max="524" width="25.28515625" hidden="1" customWidth="1"/>
    <col min="525" max="525" width="24.140625" hidden="1" customWidth="1"/>
    <col min="526" max="526" width="24.7109375" hidden="1" customWidth="1"/>
    <col min="527" max="527" width="24.85546875" hidden="1" customWidth="1"/>
    <col min="528" max="528" width="25.5703125" hidden="1" customWidth="1"/>
    <col min="529" max="529" width="24.42578125" hidden="1" customWidth="1"/>
    <col min="530" max="533" width="25.140625" hidden="1" customWidth="1"/>
    <col min="534" max="534" width="25.7109375" hidden="1" customWidth="1"/>
    <col min="535" max="535" width="19.5703125" hidden="1" customWidth="1"/>
    <col min="536" max="536" width="38.7109375" hidden="1" customWidth="1"/>
    <col min="537" max="537" width="22.85546875" hidden="1" customWidth="1"/>
    <col min="538" max="538" width="28.28515625" hidden="1" customWidth="1"/>
    <col min="539" max="539" width="27.28515625" hidden="1" customWidth="1"/>
    <col min="540" max="540" width="27.7109375" hidden="1" customWidth="1"/>
    <col min="541" max="541" width="22.42578125" hidden="1" customWidth="1"/>
    <col min="542" max="542" width="23.28515625" hidden="1" customWidth="1"/>
    <col min="543" max="543" width="24.28515625" hidden="1" customWidth="1"/>
    <col min="544" max="544" width="14.5703125" hidden="1" customWidth="1"/>
    <col min="545" max="545" width="17.85546875" hidden="1" customWidth="1"/>
    <col min="546" max="546" width="19.85546875" hidden="1" customWidth="1"/>
    <col min="547" max="547" width="25.42578125" hidden="1" customWidth="1"/>
    <col min="548" max="548" width="24.42578125" hidden="1" customWidth="1"/>
    <col min="549" max="549" width="21.42578125" hidden="1" customWidth="1"/>
    <col min="550" max="550" width="15.85546875" hidden="1" customWidth="1"/>
    <col min="551" max="551" width="20.140625" hidden="1" customWidth="1"/>
    <col min="552" max="552" width="14.85546875" hidden="1" customWidth="1"/>
    <col min="553" max="553" width="23.5703125" hidden="1" customWidth="1"/>
    <col min="554" max="554" width="14.140625" hidden="1" customWidth="1"/>
    <col min="555" max="555" width="27.7109375" hidden="1" customWidth="1"/>
    <col min="556" max="556" width="25.140625" hidden="1" customWidth="1"/>
    <col min="557" max="557" width="17.5703125" hidden="1" customWidth="1"/>
    <col min="558" max="558" width="17.28515625" hidden="1" customWidth="1"/>
    <col min="559" max="559" width="31.5703125" hidden="1" customWidth="1"/>
    <col min="560" max="560" width="18.140625" hidden="1" customWidth="1"/>
    <col min="561" max="561" width="32.140625" hidden="1" customWidth="1"/>
    <col min="562" max="562" width="17" hidden="1" customWidth="1"/>
    <col min="563" max="563" width="31.140625" hidden="1" customWidth="1"/>
    <col min="564" max="564" width="29.42578125" hidden="1" customWidth="1"/>
    <col min="565" max="565" width="17.7109375" hidden="1" customWidth="1"/>
    <col min="566" max="566" width="17.5703125" hidden="1" customWidth="1"/>
    <col min="567" max="567" width="31.7109375" hidden="1" customWidth="1"/>
    <col min="568" max="568" width="36.42578125" hidden="1" customWidth="1"/>
    <col min="569" max="569" width="18.7109375" hidden="1" customWidth="1"/>
    <col min="570" max="570" width="20.5703125" hidden="1" customWidth="1"/>
    <col min="571" max="571" width="29" hidden="1" customWidth="1"/>
    <col min="572" max="572" width="33.5703125" hidden="1" customWidth="1"/>
    <col min="573" max="573" width="29.7109375" hidden="1" customWidth="1"/>
    <col min="574" max="574" width="81.28515625" hidden="1" customWidth="1"/>
    <col min="575" max="577" width="23.7109375" hidden="1" customWidth="1"/>
    <col min="578" max="578" width="21.85546875" hidden="1" customWidth="1"/>
    <col min="579" max="579" width="86.7109375" hidden="1" customWidth="1"/>
    <col min="580" max="580" width="82.7109375" hidden="1" customWidth="1"/>
    <col min="581" max="581" width="25.7109375" customWidth="1"/>
    <col min="582" max="582" width="81" hidden="1" customWidth="1"/>
    <col min="583" max="583" width="84.7109375" hidden="1" customWidth="1"/>
    <col min="584" max="585" width="9.7109375" customWidth="1"/>
    <col min="586" max="586" width="15.5703125" customWidth="1"/>
    <col min="587" max="587" width="20.85546875" bestFit="1" customWidth="1"/>
    <col min="588" max="589" width="13.7109375" customWidth="1"/>
    <col min="590" max="592" width="9.7109375" customWidth="1"/>
    <col min="593" max="593" width="15.7109375" customWidth="1"/>
    <col min="594" max="594" width="13.7109375" customWidth="1"/>
    <col min="595" max="595" width="9.7109375" customWidth="1"/>
    <col min="596" max="596" width="23.7109375" customWidth="1"/>
    <col min="597" max="604" width="9.7109375" customWidth="1"/>
  </cols>
  <sheetData>
    <row r="1" spans="1:622" x14ac:dyDescent="0.25">
      <c r="A1" s="1" t="s">
        <v>0</v>
      </c>
      <c r="B1" s="10" t="s">
        <v>1</v>
      </c>
      <c r="C1" s="10" t="s">
        <v>2027</v>
      </c>
      <c r="D1" s="1" t="s">
        <v>2028</v>
      </c>
      <c r="E1" s="1" t="s">
        <v>2029</v>
      </c>
      <c r="F1" s="1" t="s">
        <v>2030</v>
      </c>
      <c r="G1" s="1" t="s">
        <v>2031</v>
      </c>
      <c r="H1" s="1" t="s">
        <v>2032</v>
      </c>
      <c r="I1" s="1" t="s">
        <v>2033</v>
      </c>
      <c r="J1" s="1" t="s">
        <v>2034</v>
      </c>
      <c r="K1" s="1" t="s">
        <v>2035</v>
      </c>
      <c r="L1" s="1" t="s">
        <v>2036</v>
      </c>
      <c r="M1" s="1" t="s">
        <v>2037</v>
      </c>
      <c r="N1" s="1" t="s">
        <v>2038</v>
      </c>
      <c r="O1" s="1" t="s">
        <v>2039</v>
      </c>
      <c r="P1" s="1" t="s">
        <v>2040</v>
      </c>
      <c r="Q1" s="1" t="s">
        <v>2041</v>
      </c>
      <c r="R1" s="1" t="s">
        <v>2042</v>
      </c>
      <c r="S1" s="1" t="s">
        <v>2043</v>
      </c>
      <c r="T1" s="1" t="s">
        <v>2044</v>
      </c>
      <c r="U1" s="1" t="s">
        <v>2045</v>
      </c>
      <c r="V1" s="1" t="s">
        <v>2046</v>
      </c>
      <c r="W1" s="1" t="s">
        <v>2047</v>
      </c>
      <c r="X1" s="1" t="s">
        <v>2048</v>
      </c>
      <c r="Y1" s="1" t="s">
        <v>2049</v>
      </c>
      <c r="Z1" s="1" t="s">
        <v>2050</v>
      </c>
      <c r="AA1" s="1" t="s">
        <v>2051</v>
      </c>
      <c r="AB1" s="1" t="s">
        <v>2052</v>
      </c>
      <c r="AC1" s="1" t="s">
        <v>2053</v>
      </c>
      <c r="AD1" s="1" t="s">
        <v>2054</v>
      </c>
      <c r="AE1" s="1" t="s">
        <v>2055</v>
      </c>
      <c r="AF1" s="1" t="s">
        <v>2056</v>
      </c>
      <c r="AG1" s="1" t="s">
        <v>2057</v>
      </c>
      <c r="AH1" s="1" t="s">
        <v>2058</v>
      </c>
      <c r="AI1" s="1" t="s">
        <v>2059</v>
      </c>
      <c r="AJ1" s="1" t="s">
        <v>2060</v>
      </c>
      <c r="AK1" s="1" t="s">
        <v>2061</v>
      </c>
      <c r="AL1" s="11" t="s">
        <v>2062</v>
      </c>
      <c r="AM1" s="11" t="s">
        <v>2063</v>
      </c>
      <c r="AN1" s="11" t="s">
        <v>2064</v>
      </c>
      <c r="AO1" s="11" t="s">
        <v>2065</v>
      </c>
      <c r="AP1" s="11" t="s">
        <v>2066</v>
      </c>
      <c r="AQ1" s="11" t="s">
        <v>2067</v>
      </c>
      <c r="AR1" s="11" t="s">
        <v>2068</v>
      </c>
      <c r="AS1" s="11" t="s">
        <v>2069</v>
      </c>
      <c r="AT1" s="1" t="s">
        <v>2070</v>
      </c>
      <c r="AU1" s="1" t="s">
        <v>2071</v>
      </c>
      <c r="AV1" s="1" t="s">
        <v>2072</v>
      </c>
      <c r="AW1" s="1" t="s">
        <v>2073</v>
      </c>
      <c r="AX1" s="1" t="s">
        <v>2074</v>
      </c>
      <c r="AY1" s="1" t="s">
        <v>2075</v>
      </c>
      <c r="AZ1" s="1" t="s">
        <v>2076</v>
      </c>
      <c r="BA1" s="1" t="s">
        <v>2077</v>
      </c>
      <c r="BB1" s="1" t="s">
        <v>2078</v>
      </c>
      <c r="BC1" s="1" t="s">
        <v>2079</v>
      </c>
      <c r="BD1" s="1" t="s">
        <v>2080</v>
      </c>
      <c r="BE1" s="1" t="s">
        <v>2081</v>
      </c>
      <c r="BF1" s="1" t="s">
        <v>2082</v>
      </c>
      <c r="BG1" s="1" t="s">
        <v>2083</v>
      </c>
      <c r="BH1" s="1" t="s">
        <v>2084</v>
      </c>
      <c r="BI1" s="1" t="s">
        <v>2085</v>
      </c>
      <c r="BJ1" s="1" t="s">
        <v>2086</v>
      </c>
      <c r="BK1" s="1" t="s">
        <v>2087</v>
      </c>
      <c r="BL1" s="1" t="s">
        <v>2088</v>
      </c>
      <c r="BM1" s="1" t="s">
        <v>2089</v>
      </c>
      <c r="BN1" s="1" t="s">
        <v>2090</v>
      </c>
      <c r="BO1" s="1" t="s">
        <v>2091</v>
      </c>
      <c r="BP1" s="1" t="s">
        <v>2092</v>
      </c>
      <c r="BQ1" s="1" t="s">
        <v>2093</v>
      </c>
      <c r="BR1" s="1" t="s">
        <v>2094</v>
      </c>
      <c r="BS1" s="1" t="s">
        <v>2095</v>
      </c>
      <c r="BT1" s="1" t="s">
        <v>2096</v>
      </c>
      <c r="BU1" s="1" t="s">
        <v>2097</v>
      </c>
      <c r="BV1" s="10" t="s">
        <v>2098</v>
      </c>
      <c r="BW1" s="10" t="s">
        <v>2</v>
      </c>
      <c r="BX1" s="1" t="s">
        <v>2099</v>
      </c>
      <c r="BY1" s="1" t="s">
        <v>2100</v>
      </c>
      <c r="BZ1" s="1" t="s">
        <v>2101</v>
      </c>
      <c r="CA1" s="1" t="s">
        <v>2102</v>
      </c>
      <c r="CB1" s="1" t="s">
        <v>2103</v>
      </c>
      <c r="CC1" s="1" t="s">
        <v>2104</v>
      </c>
      <c r="CD1" s="1" t="s">
        <v>2105</v>
      </c>
      <c r="CE1" s="10" t="s">
        <v>2106</v>
      </c>
      <c r="CF1" s="1" t="s">
        <v>2107</v>
      </c>
      <c r="CG1" s="1" t="s">
        <v>2108</v>
      </c>
      <c r="CH1" s="1" t="s">
        <v>2109</v>
      </c>
      <c r="CI1" s="1" t="s">
        <v>2110</v>
      </c>
      <c r="CJ1" s="1" t="s">
        <v>2111</v>
      </c>
      <c r="CK1" s="1" t="s">
        <v>2112</v>
      </c>
      <c r="CL1" s="1" t="s">
        <v>2113</v>
      </c>
      <c r="CM1" s="1" t="s">
        <v>2114</v>
      </c>
      <c r="CN1" s="1" t="s">
        <v>2115</v>
      </c>
      <c r="CO1" s="1" t="s">
        <v>2116</v>
      </c>
      <c r="CP1" s="1" t="s">
        <v>2117</v>
      </c>
      <c r="CQ1" s="1" t="s">
        <v>2118</v>
      </c>
      <c r="CR1" s="1" t="s">
        <v>2119</v>
      </c>
      <c r="CS1" s="1" t="s">
        <v>2120</v>
      </c>
      <c r="CT1" s="1" t="s">
        <v>2121</v>
      </c>
      <c r="CU1" s="1" t="s">
        <v>2122</v>
      </c>
      <c r="CV1" s="1" t="s">
        <v>2123</v>
      </c>
      <c r="CW1" s="1" t="s">
        <v>2124</v>
      </c>
      <c r="CX1" s="1" t="s">
        <v>2125</v>
      </c>
      <c r="CY1" s="1" t="s">
        <v>2126</v>
      </c>
      <c r="CZ1" s="1" t="s">
        <v>2127</v>
      </c>
      <c r="DA1" s="1" t="s">
        <v>2128</v>
      </c>
      <c r="DB1" s="1" t="s">
        <v>2129</v>
      </c>
      <c r="DC1" s="1" t="s">
        <v>2130</v>
      </c>
      <c r="DD1" s="1" t="s">
        <v>2131</v>
      </c>
      <c r="DE1" s="1" t="s">
        <v>2132</v>
      </c>
      <c r="DF1" s="1" t="s">
        <v>2133</v>
      </c>
      <c r="DG1" s="1" t="s">
        <v>2134</v>
      </c>
      <c r="DH1" s="1" t="s">
        <v>2135</v>
      </c>
      <c r="DI1" s="1" t="s">
        <v>2136</v>
      </c>
      <c r="DJ1" s="1" t="s">
        <v>2137</v>
      </c>
      <c r="DK1" s="1" t="s">
        <v>2138</v>
      </c>
      <c r="DL1" s="1" t="s">
        <v>2139</v>
      </c>
      <c r="DM1" s="1" t="s">
        <v>2140</v>
      </c>
      <c r="DN1" s="10" t="s">
        <v>2141</v>
      </c>
      <c r="DO1" s="1" t="s">
        <v>2142</v>
      </c>
      <c r="DP1" s="1" t="s">
        <v>2143</v>
      </c>
      <c r="DQ1" s="1" t="s">
        <v>2144</v>
      </c>
      <c r="DR1" s="1" t="s">
        <v>2145</v>
      </c>
      <c r="DS1" s="1" t="s">
        <v>2146</v>
      </c>
      <c r="DT1" s="1" t="s">
        <v>2147</v>
      </c>
      <c r="DU1" s="1" t="s">
        <v>2148</v>
      </c>
      <c r="DV1" s="1" t="s">
        <v>2149</v>
      </c>
      <c r="DW1" s="1" t="s">
        <v>2150</v>
      </c>
      <c r="DX1" s="1" t="s">
        <v>2151</v>
      </c>
      <c r="DY1" s="1" t="s">
        <v>2152</v>
      </c>
      <c r="DZ1" s="1" t="s">
        <v>2153</v>
      </c>
      <c r="EA1" s="1" t="s">
        <v>2154</v>
      </c>
      <c r="EB1" s="1" t="s">
        <v>2155</v>
      </c>
      <c r="EC1" s="1" t="s">
        <v>2156</v>
      </c>
      <c r="ED1" s="1" t="s">
        <v>2157</v>
      </c>
      <c r="EE1" s="1" t="s">
        <v>2158</v>
      </c>
      <c r="EF1" s="1" t="s">
        <v>2159</v>
      </c>
      <c r="EG1" s="1" t="s">
        <v>2160</v>
      </c>
      <c r="EH1" s="1" t="s">
        <v>2161</v>
      </c>
      <c r="EI1" s="1" t="s">
        <v>2162</v>
      </c>
      <c r="EJ1" s="1" t="s">
        <v>2163</v>
      </c>
      <c r="EK1" s="1" t="s">
        <v>2164</v>
      </c>
      <c r="EL1" s="1" t="s">
        <v>2165</v>
      </c>
      <c r="EM1" s="1" t="s">
        <v>2166</v>
      </c>
      <c r="EN1" s="1" t="s">
        <v>2167</v>
      </c>
      <c r="EO1" s="1" t="s">
        <v>2168</v>
      </c>
      <c r="EP1" s="1" t="s">
        <v>2169</v>
      </c>
      <c r="EQ1" s="1" t="s">
        <v>2170</v>
      </c>
      <c r="ER1" s="1" t="s">
        <v>2171</v>
      </c>
      <c r="ES1" s="1" t="s">
        <v>2172</v>
      </c>
      <c r="ET1" s="1" t="s">
        <v>2173</v>
      </c>
      <c r="EU1" s="1" t="s">
        <v>2174</v>
      </c>
      <c r="EV1" s="1" t="s">
        <v>2175</v>
      </c>
      <c r="EW1" s="1" t="s">
        <v>2176</v>
      </c>
      <c r="EX1" s="1" t="s">
        <v>2177</v>
      </c>
      <c r="EY1" s="1" t="s">
        <v>2178</v>
      </c>
      <c r="EZ1" s="1" t="s">
        <v>2179</v>
      </c>
      <c r="FA1" s="1" t="s">
        <v>2180</v>
      </c>
      <c r="FB1" s="1" t="s">
        <v>2181</v>
      </c>
      <c r="FC1" s="1" t="s">
        <v>2182</v>
      </c>
      <c r="FD1" s="1" t="s">
        <v>2183</v>
      </c>
      <c r="FE1" s="1" t="s">
        <v>2184</v>
      </c>
      <c r="FF1" s="1" t="s">
        <v>2185</v>
      </c>
      <c r="FG1" s="1" t="s">
        <v>2186</v>
      </c>
      <c r="FH1" s="1" t="s">
        <v>2187</v>
      </c>
      <c r="FI1" s="1" t="s">
        <v>2188</v>
      </c>
      <c r="FJ1" s="1" t="s">
        <v>2189</v>
      </c>
      <c r="FK1" s="1" t="s">
        <v>2190</v>
      </c>
      <c r="FL1" s="1" t="s">
        <v>2191</v>
      </c>
      <c r="FM1" s="1" t="s">
        <v>2192</v>
      </c>
      <c r="FN1" s="10" t="s">
        <v>2193</v>
      </c>
      <c r="FO1" s="10" t="s">
        <v>2194</v>
      </c>
      <c r="FP1" s="1" t="s">
        <v>2195</v>
      </c>
      <c r="FQ1" s="1" t="s">
        <v>2196</v>
      </c>
      <c r="FR1" s="1" t="s">
        <v>2197</v>
      </c>
      <c r="FS1" s="1" t="s">
        <v>2198</v>
      </c>
      <c r="FT1" s="1" t="s">
        <v>2199</v>
      </c>
      <c r="FU1" s="1" t="s">
        <v>2200</v>
      </c>
      <c r="FV1" s="1" t="s">
        <v>2201</v>
      </c>
      <c r="FW1" s="1" t="s">
        <v>2202</v>
      </c>
      <c r="FX1" s="1" t="s">
        <v>2203</v>
      </c>
      <c r="FY1" s="1" t="s">
        <v>2204</v>
      </c>
      <c r="FZ1" s="1" t="s">
        <v>2205</v>
      </c>
      <c r="GA1" s="1" t="s">
        <v>2206</v>
      </c>
      <c r="GB1" s="1"/>
      <c r="GC1" s="1"/>
      <c r="GD1" s="1"/>
      <c r="GE1" s="10" t="s">
        <v>3</v>
      </c>
      <c r="GF1" s="1" t="s">
        <v>2208</v>
      </c>
      <c r="GG1" s="59" t="s">
        <v>2207</v>
      </c>
      <c r="GH1" s="1" t="s">
        <v>2209</v>
      </c>
      <c r="GI1" s="59" t="s">
        <v>2210</v>
      </c>
      <c r="GJ1" s="59" t="s">
        <v>2211</v>
      </c>
      <c r="GK1" s="59" t="s">
        <v>2640</v>
      </c>
      <c r="GL1" s="38" t="s">
        <v>2212</v>
      </c>
      <c r="GM1" s="38" t="s">
        <v>4168</v>
      </c>
      <c r="GN1" s="38" t="s">
        <v>4169</v>
      </c>
      <c r="GO1" s="38" t="s">
        <v>4170</v>
      </c>
      <c r="GP1" s="37" t="s">
        <v>4171</v>
      </c>
      <c r="GQ1" s="1" t="s">
        <v>2213</v>
      </c>
      <c r="GR1" s="10" t="s">
        <v>4</v>
      </c>
      <c r="GS1" s="10" t="s">
        <v>2214</v>
      </c>
      <c r="GT1" s="1" t="s">
        <v>2215</v>
      </c>
      <c r="GU1" s="1" t="s">
        <v>2216</v>
      </c>
      <c r="GV1" s="1" t="s">
        <v>2217</v>
      </c>
      <c r="GW1" s="1" t="s">
        <v>2218</v>
      </c>
      <c r="GX1" s="1" t="s">
        <v>2219</v>
      </c>
      <c r="GY1" s="1" t="s">
        <v>2220</v>
      </c>
      <c r="GZ1" s="1" t="s">
        <v>2222</v>
      </c>
      <c r="HA1" s="1" t="s">
        <v>2223</v>
      </c>
      <c r="HB1" s="1" t="s">
        <v>2224</v>
      </c>
      <c r="HC1" s="1" t="s">
        <v>2225</v>
      </c>
      <c r="HD1" s="1" t="s">
        <v>2226</v>
      </c>
      <c r="HE1" s="1" t="s">
        <v>2227</v>
      </c>
      <c r="HF1" s="1" t="s">
        <v>2228</v>
      </c>
      <c r="HG1" s="1" t="s">
        <v>2229</v>
      </c>
      <c r="HH1" s="1" t="s">
        <v>2230</v>
      </c>
      <c r="HI1" s="1" t="s">
        <v>2231</v>
      </c>
      <c r="HJ1" s="1" t="s">
        <v>2232</v>
      </c>
      <c r="HK1" s="1" t="s">
        <v>2233</v>
      </c>
      <c r="HL1" s="1" t="s">
        <v>2234</v>
      </c>
      <c r="HM1" s="1" t="s">
        <v>2235</v>
      </c>
      <c r="HN1" s="1" t="s">
        <v>2236</v>
      </c>
      <c r="HO1" s="1" t="s">
        <v>2641</v>
      </c>
      <c r="HP1" s="1" t="s">
        <v>2642</v>
      </c>
      <c r="HQ1" s="1" t="s">
        <v>2643</v>
      </c>
      <c r="HR1" s="1" t="s">
        <v>2644</v>
      </c>
      <c r="HS1" s="1" t="s">
        <v>2241</v>
      </c>
      <c r="HT1" s="1" t="s">
        <v>2242</v>
      </c>
      <c r="HU1" s="1" t="s">
        <v>2243</v>
      </c>
      <c r="HV1" s="1" t="s">
        <v>2244</v>
      </c>
      <c r="HW1" s="1" t="s">
        <v>2245</v>
      </c>
      <c r="HX1" s="1" t="s">
        <v>2248</v>
      </c>
      <c r="HY1" s="1" t="s">
        <v>2249</v>
      </c>
      <c r="HZ1" s="1" t="s">
        <v>2250</v>
      </c>
      <c r="IA1" s="1" t="s">
        <v>2251</v>
      </c>
      <c r="IB1" s="1" t="s">
        <v>2252</v>
      </c>
      <c r="IC1" s="1" t="s">
        <v>2253</v>
      </c>
      <c r="ID1" s="1" t="s">
        <v>2254</v>
      </c>
      <c r="IE1" s="1" t="s">
        <v>2255</v>
      </c>
      <c r="IF1" s="1" t="s">
        <v>2256</v>
      </c>
      <c r="IG1" s="1" t="s">
        <v>2257</v>
      </c>
      <c r="IH1" s="1" t="s">
        <v>2258</v>
      </c>
      <c r="II1" s="1" t="s">
        <v>2259</v>
      </c>
      <c r="IJ1" s="1" t="s">
        <v>2260</v>
      </c>
      <c r="IK1" s="1" t="s">
        <v>2261</v>
      </c>
      <c r="IL1" s="1" t="s">
        <v>2262</v>
      </c>
      <c r="IM1" s="1" t="s">
        <v>2263</v>
      </c>
      <c r="IN1" s="1" t="s">
        <v>5</v>
      </c>
      <c r="IO1" s="1" t="s">
        <v>2268</v>
      </c>
      <c r="IP1" s="1" t="s">
        <v>2269</v>
      </c>
      <c r="IQ1" s="1" t="s">
        <v>2270</v>
      </c>
      <c r="IR1" s="1" t="s">
        <v>2271</v>
      </c>
      <c r="IS1" s="1" t="s">
        <v>2272</v>
      </c>
      <c r="IT1" s="1" t="s">
        <v>2273</v>
      </c>
      <c r="IU1" s="1" t="s">
        <v>2274</v>
      </c>
      <c r="IV1" s="1" t="s">
        <v>2275</v>
      </c>
      <c r="IW1" s="1" t="s">
        <v>2276</v>
      </c>
      <c r="IX1" s="1" t="s">
        <v>2280</v>
      </c>
      <c r="IY1" s="1" t="s">
        <v>2281</v>
      </c>
      <c r="IZ1" s="10" t="s">
        <v>2282</v>
      </c>
      <c r="JA1" s="1" t="s">
        <v>2283</v>
      </c>
      <c r="JB1" s="1" t="s">
        <v>2284</v>
      </c>
      <c r="JC1" s="1" t="s">
        <v>2285</v>
      </c>
      <c r="JD1" s="1" t="s">
        <v>2287</v>
      </c>
      <c r="JE1" s="1" t="s">
        <v>2289</v>
      </c>
      <c r="JF1" s="1" t="s">
        <v>2290</v>
      </c>
      <c r="JG1" s="1"/>
      <c r="JH1" s="1"/>
      <c r="JI1" s="10" t="s">
        <v>2291</v>
      </c>
      <c r="JJ1" s="1" t="s">
        <v>2292</v>
      </c>
      <c r="JK1" s="1" t="s">
        <v>2293</v>
      </c>
      <c r="JL1" s="1" t="s">
        <v>2294</v>
      </c>
      <c r="JM1" s="1" t="s">
        <v>2295</v>
      </c>
      <c r="JN1" s="1" t="s">
        <v>2297</v>
      </c>
      <c r="JO1" s="1" t="s">
        <v>2298</v>
      </c>
      <c r="JP1" s="1" t="s">
        <v>2299</v>
      </c>
      <c r="JQ1" s="1" t="s">
        <v>2300</v>
      </c>
      <c r="JR1" s="1" t="s">
        <v>2301</v>
      </c>
      <c r="JS1" s="1" t="s">
        <v>2302</v>
      </c>
      <c r="JT1" s="1"/>
      <c r="JU1" s="1"/>
      <c r="JV1" s="10" t="s">
        <v>2303</v>
      </c>
      <c r="JW1" s="1" t="s">
        <v>2304</v>
      </c>
      <c r="JX1" s="1" t="s">
        <v>2305</v>
      </c>
      <c r="JY1" s="1" t="s">
        <v>2306</v>
      </c>
      <c r="JZ1" s="1" t="s">
        <v>2307</v>
      </c>
      <c r="KA1" s="1"/>
      <c r="KB1" s="1"/>
      <c r="KC1" s="1"/>
      <c r="KD1" s="1"/>
      <c r="KE1" s="1"/>
      <c r="KF1" s="1"/>
      <c r="KG1" s="11" t="s">
        <v>2308</v>
      </c>
      <c r="KH1" s="11" t="s">
        <v>2309</v>
      </c>
      <c r="KI1" s="11" t="s">
        <v>2310</v>
      </c>
      <c r="KJ1" s="1" t="s">
        <v>2311</v>
      </c>
      <c r="KK1" s="11" t="s">
        <v>2312</v>
      </c>
      <c r="KL1" s="11" t="s">
        <v>2313</v>
      </c>
      <c r="KM1" s="1" t="s">
        <v>2314</v>
      </c>
      <c r="KN1" s="1" t="s">
        <v>4179</v>
      </c>
      <c r="KO1" s="1" t="s">
        <v>2315</v>
      </c>
      <c r="KP1" s="1" t="s">
        <v>2316</v>
      </c>
      <c r="KQ1" s="1" t="s">
        <v>2317</v>
      </c>
      <c r="KR1" s="1" t="s">
        <v>2318</v>
      </c>
      <c r="KS1" s="1" t="s">
        <v>2319</v>
      </c>
      <c r="KT1" s="1" t="s">
        <v>2320</v>
      </c>
      <c r="KU1" s="1" t="s">
        <v>2321</v>
      </c>
      <c r="KV1" s="1" t="s">
        <v>2322</v>
      </c>
      <c r="KW1" s="1" t="s">
        <v>2323</v>
      </c>
      <c r="KX1" s="1" t="s">
        <v>2324</v>
      </c>
      <c r="KY1" s="1" t="s">
        <v>2325</v>
      </c>
      <c r="KZ1" s="1" t="s">
        <v>2326</v>
      </c>
      <c r="LA1" s="1" t="s">
        <v>2327</v>
      </c>
      <c r="LB1" s="1" t="s">
        <v>2328</v>
      </c>
      <c r="LC1" s="1" t="s">
        <v>2329</v>
      </c>
      <c r="LD1" s="1" t="s">
        <v>2330</v>
      </c>
      <c r="LE1" s="1" t="s">
        <v>2331</v>
      </c>
      <c r="LF1" s="1" t="s">
        <v>2332</v>
      </c>
      <c r="LG1" s="1" t="s">
        <v>2333</v>
      </c>
      <c r="LH1" s="1" t="s">
        <v>2334</v>
      </c>
      <c r="LI1" s="1" t="s">
        <v>2335</v>
      </c>
      <c r="LJ1" s="1" t="s">
        <v>2336</v>
      </c>
      <c r="LK1" s="1" t="s">
        <v>2337</v>
      </c>
      <c r="LL1" s="1" t="s">
        <v>2338</v>
      </c>
      <c r="LM1" s="1" t="s">
        <v>2339</v>
      </c>
      <c r="LN1" s="1" t="s">
        <v>2340</v>
      </c>
      <c r="LO1" s="1" t="s">
        <v>2341</v>
      </c>
      <c r="LP1" s="1" t="s">
        <v>2342</v>
      </c>
      <c r="LQ1" s="1" t="s">
        <v>2343</v>
      </c>
      <c r="LR1" s="1" t="s">
        <v>2344</v>
      </c>
      <c r="LS1" s="1" t="s">
        <v>2345</v>
      </c>
      <c r="LT1" s="1" t="s">
        <v>2346</v>
      </c>
      <c r="LU1" s="1" t="s">
        <v>2347</v>
      </c>
      <c r="LV1" s="1" t="s">
        <v>2348</v>
      </c>
      <c r="LW1" s="1" t="s">
        <v>2349</v>
      </c>
      <c r="LX1" s="1" t="s">
        <v>2350</v>
      </c>
      <c r="LY1" s="1" t="s">
        <v>2351</v>
      </c>
      <c r="LZ1" s="1" t="s">
        <v>2352</v>
      </c>
      <c r="MA1" s="1" t="s">
        <v>2353</v>
      </c>
      <c r="MB1" s="1" t="s">
        <v>2354</v>
      </c>
      <c r="MC1" s="1" t="s">
        <v>2355</v>
      </c>
      <c r="MD1" s="1" t="s">
        <v>2356</v>
      </c>
      <c r="ME1" s="1" t="s">
        <v>2357</v>
      </c>
      <c r="MF1" s="1" t="s">
        <v>2358</v>
      </c>
      <c r="MG1" s="1" t="s">
        <v>2359</v>
      </c>
      <c r="MH1" s="1" t="s">
        <v>2360</v>
      </c>
      <c r="MI1" s="1" t="s">
        <v>2361</v>
      </c>
      <c r="MJ1" s="1" t="s">
        <v>2362</v>
      </c>
      <c r="MK1" s="1" t="s">
        <v>2363</v>
      </c>
      <c r="ML1" s="1" t="s">
        <v>2364</v>
      </c>
      <c r="MM1" s="1" t="s">
        <v>2365</v>
      </c>
      <c r="MN1" s="1" t="s">
        <v>2366</v>
      </c>
      <c r="MO1" s="1" t="s">
        <v>2367</v>
      </c>
      <c r="MP1" s="1" t="s">
        <v>2368</v>
      </c>
      <c r="MQ1" s="1" t="s">
        <v>2369</v>
      </c>
      <c r="MR1" s="1" t="s">
        <v>2370</v>
      </c>
      <c r="MS1" s="1" t="s">
        <v>2371</v>
      </c>
      <c r="MT1" s="1" t="s">
        <v>2372</v>
      </c>
      <c r="MU1" s="1" t="s">
        <v>2373</v>
      </c>
      <c r="MV1" s="1" t="s">
        <v>2374</v>
      </c>
      <c r="MW1" s="1" t="s">
        <v>2375</v>
      </c>
      <c r="MX1" s="1" t="s">
        <v>2376</v>
      </c>
      <c r="MY1" s="1" t="s">
        <v>2377</v>
      </c>
      <c r="MZ1" s="1" t="s">
        <v>2378</v>
      </c>
      <c r="NA1" s="1" t="s">
        <v>2379</v>
      </c>
      <c r="NB1" s="1" t="s">
        <v>2380</v>
      </c>
      <c r="NC1" s="1" t="s">
        <v>2381</v>
      </c>
      <c r="ND1" s="1" t="s">
        <v>2382</v>
      </c>
      <c r="NE1" s="1" t="s">
        <v>2383</v>
      </c>
      <c r="NF1" s="1" t="s">
        <v>2384</v>
      </c>
      <c r="NG1" s="1" t="s">
        <v>2385</v>
      </c>
      <c r="NH1" s="1" t="s">
        <v>2386</v>
      </c>
      <c r="NI1" s="10" t="s">
        <v>2387</v>
      </c>
      <c r="NJ1" s="1" t="s">
        <v>2389</v>
      </c>
      <c r="NK1" s="1"/>
      <c r="NL1" s="1"/>
      <c r="NM1" s="63" t="s">
        <v>2390</v>
      </c>
      <c r="NN1" s="1" t="s">
        <v>2391</v>
      </c>
      <c r="NO1" s="63" t="s">
        <v>2392</v>
      </c>
      <c r="NP1" s="1" t="s">
        <v>2393</v>
      </c>
      <c r="NQ1" s="1" t="s">
        <v>2394</v>
      </c>
      <c r="NR1" s="63" t="s">
        <v>2395</v>
      </c>
      <c r="NS1" s="1"/>
      <c r="NT1" s="63" t="s">
        <v>6</v>
      </c>
      <c r="NU1" s="1" t="s">
        <v>2397</v>
      </c>
      <c r="NV1" s="1" t="s">
        <v>2398</v>
      </c>
      <c r="NW1" s="1" t="s">
        <v>2399</v>
      </c>
      <c r="NX1" s="1" t="s">
        <v>2400</v>
      </c>
      <c r="NY1" s="1" t="s">
        <v>2401</v>
      </c>
      <c r="NZ1" s="1" t="s">
        <v>2402</v>
      </c>
      <c r="OA1" s="1" t="s">
        <v>2403</v>
      </c>
      <c r="OB1" s="1" t="s">
        <v>2404</v>
      </c>
      <c r="OC1" s="1" t="s">
        <v>2405</v>
      </c>
      <c r="OD1" s="1" t="s">
        <v>2406</v>
      </c>
      <c r="OE1" s="1" t="s">
        <v>2407</v>
      </c>
      <c r="OF1" s="1" t="s">
        <v>2409</v>
      </c>
      <c r="OG1" s="1" t="s">
        <v>2410</v>
      </c>
      <c r="OH1" s="1" t="s">
        <v>2413</v>
      </c>
      <c r="OI1" s="1" t="s">
        <v>2414</v>
      </c>
      <c r="OJ1" s="1" t="s">
        <v>2415</v>
      </c>
      <c r="OK1" s="1" t="s">
        <v>2416</v>
      </c>
      <c r="OL1" s="1" t="s">
        <v>2417</v>
      </c>
      <c r="OM1" s="1" t="s">
        <v>2418</v>
      </c>
      <c r="ON1" s="1" t="s">
        <v>2419</v>
      </c>
      <c r="OO1" s="1" t="s">
        <v>2420</v>
      </c>
      <c r="OP1" s="1" t="s">
        <v>2425</v>
      </c>
      <c r="OQ1" s="1" t="s">
        <v>2426</v>
      </c>
      <c r="OR1" s="1" t="s">
        <v>2427</v>
      </c>
      <c r="OS1" s="1" t="s">
        <v>2428</v>
      </c>
      <c r="OT1" s="10" t="s">
        <v>2429</v>
      </c>
      <c r="OU1" s="10" t="s">
        <v>2430</v>
      </c>
      <c r="OV1" s="1" t="s">
        <v>2431</v>
      </c>
      <c r="OW1" s="1"/>
      <c r="OX1" s="10" t="s">
        <v>2432</v>
      </c>
      <c r="OY1" s="10" t="s">
        <v>2433</v>
      </c>
      <c r="OZ1" s="1" t="s">
        <v>2434</v>
      </c>
      <c r="PA1" s="1" t="s">
        <v>2435</v>
      </c>
      <c r="PB1" s="1" t="s">
        <v>2645</v>
      </c>
      <c r="PC1" s="1" t="s">
        <v>2646</v>
      </c>
      <c r="PD1" s="1" t="s">
        <v>2436</v>
      </c>
      <c r="PE1" s="1" t="s">
        <v>2437</v>
      </c>
      <c r="PF1" s="1" t="s">
        <v>2438</v>
      </c>
      <c r="PG1" s="1" t="s">
        <v>2439</v>
      </c>
      <c r="PH1" s="1" t="s">
        <v>2440</v>
      </c>
      <c r="PI1" s="1" t="s">
        <v>2441</v>
      </c>
      <c r="PJ1" s="1" t="s">
        <v>2442</v>
      </c>
      <c r="PK1" s="1" t="s">
        <v>2443</v>
      </c>
      <c r="PL1" s="1" t="s">
        <v>2444</v>
      </c>
      <c r="PM1" s="1" t="s">
        <v>2445</v>
      </c>
      <c r="PN1" s="1" t="s">
        <v>2446</v>
      </c>
      <c r="PO1" s="1" t="s">
        <v>2447</v>
      </c>
      <c r="PP1" s="1" t="s">
        <v>2448</v>
      </c>
      <c r="PQ1" s="1" t="s">
        <v>2449</v>
      </c>
      <c r="PR1" s="1" t="s">
        <v>2450</v>
      </c>
      <c r="PS1" s="1" t="s">
        <v>2451</v>
      </c>
      <c r="PT1" s="1" t="s">
        <v>2452</v>
      </c>
      <c r="PU1" s="1" t="s">
        <v>2453</v>
      </c>
      <c r="PV1" s="1" t="s">
        <v>2454</v>
      </c>
      <c r="PW1" s="1" t="s">
        <v>2455</v>
      </c>
      <c r="PX1" s="1" t="s">
        <v>2456</v>
      </c>
      <c r="PY1" s="1" t="s">
        <v>2457</v>
      </c>
      <c r="PZ1" s="1" t="s">
        <v>2458</v>
      </c>
      <c r="QA1" s="1" t="s">
        <v>2459</v>
      </c>
      <c r="QB1" s="1" t="s">
        <v>2460</v>
      </c>
      <c r="QC1" s="1" t="s">
        <v>2461</v>
      </c>
      <c r="QD1" s="1" t="s">
        <v>2462</v>
      </c>
      <c r="QE1" s="1" t="s">
        <v>2463</v>
      </c>
      <c r="QF1" s="1" t="s">
        <v>2464</v>
      </c>
      <c r="QG1" s="1" t="s">
        <v>2465</v>
      </c>
      <c r="QH1" s="1" t="s">
        <v>2466</v>
      </c>
      <c r="QI1" s="1" t="s">
        <v>2467</v>
      </c>
      <c r="QJ1" s="1" t="s">
        <v>2468</v>
      </c>
      <c r="QK1" s="1" t="s">
        <v>2469</v>
      </c>
      <c r="QL1" s="1" t="s">
        <v>2470</v>
      </c>
      <c r="QM1" s="1" t="s">
        <v>2471</v>
      </c>
      <c r="QN1" s="1" t="s">
        <v>2472</v>
      </c>
      <c r="QO1" s="1" t="s">
        <v>2473</v>
      </c>
      <c r="QP1" s="1" t="s">
        <v>2474</v>
      </c>
      <c r="QQ1" s="1" t="s">
        <v>2475</v>
      </c>
      <c r="QR1" s="1" t="s">
        <v>2476</v>
      </c>
      <c r="QS1" s="1" t="s">
        <v>2477</v>
      </c>
      <c r="QT1" s="1" t="s">
        <v>2478</v>
      </c>
      <c r="QU1" s="1" t="s">
        <v>2479</v>
      </c>
      <c r="QV1" s="1" t="s">
        <v>2480</v>
      </c>
      <c r="QW1" s="1" t="s">
        <v>2481</v>
      </c>
      <c r="QX1" s="1" t="s">
        <v>2482</v>
      </c>
      <c r="QY1" s="1" t="s">
        <v>2483</v>
      </c>
      <c r="QZ1" s="1" t="s">
        <v>2484</v>
      </c>
      <c r="RA1" s="1" t="s">
        <v>2485</v>
      </c>
      <c r="RB1" s="1" t="s">
        <v>2486</v>
      </c>
      <c r="RC1" s="1" t="s">
        <v>2487</v>
      </c>
      <c r="RD1" s="1" t="s">
        <v>2488</v>
      </c>
      <c r="RE1" s="1" t="s">
        <v>2489</v>
      </c>
      <c r="RF1" s="1" t="s">
        <v>2490</v>
      </c>
      <c r="RG1" s="1" t="s">
        <v>2491</v>
      </c>
      <c r="RH1" s="1" t="s">
        <v>2492</v>
      </c>
      <c r="RI1" s="1" t="s">
        <v>2493</v>
      </c>
      <c r="RJ1" s="1" t="s">
        <v>2494</v>
      </c>
      <c r="RK1" s="1" t="s">
        <v>2495</v>
      </c>
      <c r="RL1" s="1" t="s">
        <v>2497</v>
      </c>
      <c r="RM1" s="1" t="s">
        <v>2499</v>
      </c>
      <c r="RN1" s="1" t="s">
        <v>2500</v>
      </c>
      <c r="RO1" s="1" t="s">
        <v>2501</v>
      </c>
      <c r="RP1" s="1" t="s">
        <v>2504</v>
      </c>
      <c r="RQ1" s="1" t="s">
        <v>2505</v>
      </c>
      <c r="RR1" s="1" t="s">
        <v>2506</v>
      </c>
      <c r="RS1" s="1" t="s">
        <v>2507</v>
      </c>
      <c r="RT1" s="1" t="s">
        <v>2508</v>
      </c>
      <c r="RU1" s="1" t="s">
        <v>2509</v>
      </c>
      <c r="RV1" s="1" t="s">
        <v>2510</v>
      </c>
      <c r="RW1" s="1" t="s">
        <v>2511</v>
      </c>
      <c r="RX1" s="1" t="s">
        <v>2512</v>
      </c>
      <c r="RY1" s="1" t="s">
        <v>2513</v>
      </c>
      <c r="RZ1" s="1" t="s">
        <v>2514</v>
      </c>
      <c r="SA1" s="1" t="s">
        <v>2515</v>
      </c>
      <c r="SB1" s="1" t="s">
        <v>2516</v>
      </c>
      <c r="SC1" s="1" t="s">
        <v>2517</v>
      </c>
      <c r="SD1" s="1" t="s">
        <v>2518</v>
      </c>
      <c r="SE1" s="1" t="s">
        <v>2519</v>
      </c>
      <c r="SF1" s="1" t="s">
        <v>2520</v>
      </c>
      <c r="SG1" s="1" t="s">
        <v>2521</v>
      </c>
      <c r="SH1" s="1" t="s">
        <v>2522</v>
      </c>
      <c r="SI1" s="1" t="s">
        <v>2523</v>
      </c>
      <c r="SJ1" s="1" t="s">
        <v>2524</v>
      </c>
      <c r="SK1" s="1" t="s">
        <v>2525</v>
      </c>
      <c r="SL1" s="1" t="s">
        <v>2526</v>
      </c>
      <c r="SM1" s="1" t="s">
        <v>2528</v>
      </c>
      <c r="SN1" s="1" t="s">
        <v>2529</v>
      </c>
      <c r="SO1" s="1" t="s">
        <v>2530</v>
      </c>
      <c r="SP1" s="1" t="s">
        <v>2531</v>
      </c>
      <c r="SQ1" s="1" t="s">
        <v>2532</v>
      </c>
      <c r="SR1" s="1" t="s">
        <v>2533</v>
      </c>
      <c r="SS1" s="1" t="s">
        <v>2536</v>
      </c>
      <c r="ST1" s="1" t="s">
        <v>2537</v>
      </c>
      <c r="SU1" s="1" t="s">
        <v>2538</v>
      </c>
      <c r="SV1" s="1" t="s">
        <v>2539</v>
      </c>
      <c r="SW1" s="1" t="s">
        <v>2540</v>
      </c>
      <c r="SX1" s="1" t="s">
        <v>2541</v>
      </c>
      <c r="SY1" s="1" t="s">
        <v>2542</v>
      </c>
      <c r="SZ1" s="1" t="s">
        <v>2543</v>
      </c>
      <c r="TA1" s="1" t="s">
        <v>2547</v>
      </c>
      <c r="TB1" s="1" t="s">
        <v>2548</v>
      </c>
      <c r="TC1" s="1" t="s">
        <v>2549</v>
      </c>
      <c r="TD1" s="1" t="s">
        <v>2550</v>
      </c>
      <c r="TE1" s="1" t="s">
        <v>2551</v>
      </c>
      <c r="TF1" s="1" t="s">
        <v>2552</v>
      </c>
      <c r="TG1" s="1" t="s">
        <v>2553</v>
      </c>
      <c r="TH1" s="1" t="s">
        <v>2554</v>
      </c>
      <c r="TI1" s="1" t="s">
        <v>2555</v>
      </c>
      <c r="TJ1" s="1" t="s">
        <v>2556</v>
      </c>
      <c r="TK1" s="1" t="s">
        <v>2559</v>
      </c>
      <c r="TL1" s="1" t="s">
        <v>2560</v>
      </c>
      <c r="TM1" s="1" t="s">
        <v>2561</v>
      </c>
      <c r="TN1" s="1" t="s">
        <v>2562</v>
      </c>
      <c r="TO1" s="1" t="s">
        <v>2563</v>
      </c>
      <c r="TP1" s="1" t="s">
        <v>2564</v>
      </c>
      <c r="TQ1" s="1" t="s">
        <v>2565</v>
      </c>
      <c r="TR1" s="1" t="s">
        <v>2566</v>
      </c>
      <c r="TS1" s="1" t="s">
        <v>2570</v>
      </c>
      <c r="TT1" s="1" t="s">
        <v>2571</v>
      </c>
      <c r="TU1" s="1" t="s">
        <v>2572</v>
      </c>
      <c r="TV1" s="1" t="s">
        <v>2573</v>
      </c>
      <c r="TW1" s="1" t="s">
        <v>2574</v>
      </c>
      <c r="TX1" s="1" t="s">
        <v>2575</v>
      </c>
      <c r="TY1" s="1" t="s">
        <v>2576</v>
      </c>
      <c r="TZ1" s="1" t="s">
        <v>2577</v>
      </c>
      <c r="UA1" s="1" t="s">
        <v>2578</v>
      </c>
      <c r="UB1" s="1" t="s">
        <v>2579</v>
      </c>
      <c r="UC1" s="1" t="s">
        <v>2580</v>
      </c>
      <c r="UD1" s="1" t="s">
        <v>2581</v>
      </c>
      <c r="UE1" s="1" t="s">
        <v>2582</v>
      </c>
      <c r="UF1" s="1" t="s">
        <v>2583</v>
      </c>
      <c r="UG1" s="1" t="s">
        <v>2584</v>
      </c>
      <c r="UH1" s="1" t="s">
        <v>2585</v>
      </c>
      <c r="UI1" s="1" t="s">
        <v>2586</v>
      </c>
      <c r="UJ1" s="1" t="s">
        <v>2587</v>
      </c>
      <c r="UK1" s="1" t="s">
        <v>2588</v>
      </c>
      <c r="UL1" s="1" t="s">
        <v>2589</v>
      </c>
      <c r="UM1" s="1" t="s">
        <v>2590</v>
      </c>
      <c r="UN1" s="1" t="s">
        <v>2591</v>
      </c>
      <c r="UO1" s="1" t="s">
        <v>2592</v>
      </c>
      <c r="UP1" s="1" t="s">
        <v>2647</v>
      </c>
      <c r="UQ1" s="1" t="s">
        <v>2593</v>
      </c>
      <c r="UR1" s="1" t="s">
        <v>2594</v>
      </c>
      <c r="US1" s="1" t="s">
        <v>2595</v>
      </c>
      <c r="UT1" s="1" t="s">
        <v>2596</v>
      </c>
      <c r="UU1" s="1" t="s">
        <v>2597</v>
      </c>
      <c r="UV1" s="1" t="s">
        <v>2598</v>
      </c>
      <c r="UW1" s="1" t="s">
        <v>2599</v>
      </c>
      <c r="UX1" s="1" t="s">
        <v>2648</v>
      </c>
      <c r="UY1" s="1" t="s">
        <v>2603</v>
      </c>
      <c r="UZ1" s="1" t="s">
        <v>2605</v>
      </c>
      <c r="VA1" s="1" t="s">
        <v>2607</v>
      </c>
      <c r="VB1" s="1" t="s">
        <v>2649</v>
      </c>
      <c r="VC1" s="1" t="s">
        <v>2608</v>
      </c>
      <c r="VD1" s="1" t="s">
        <v>2609</v>
      </c>
      <c r="VE1" s="1" t="s">
        <v>2610</v>
      </c>
      <c r="VF1" s="1" t="s">
        <v>2650</v>
      </c>
      <c r="VG1" s="1" t="s">
        <v>2611</v>
      </c>
      <c r="VH1" s="1" t="s">
        <v>2612</v>
      </c>
      <c r="VI1" s="10" t="s">
        <v>2613</v>
      </c>
      <c r="VJ1" s="1" t="s">
        <v>2614</v>
      </c>
      <c r="VK1" s="1" t="s">
        <v>2615</v>
      </c>
      <c r="VL1" s="1" t="s">
        <v>2634</v>
      </c>
      <c r="VM1" s="1" t="s">
        <v>2635</v>
      </c>
      <c r="VN1" s="1" t="s">
        <v>5406</v>
      </c>
      <c r="VO1" s="1" t="s">
        <v>5443</v>
      </c>
      <c r="VP1" s="1" t="s">
        <v>2616</v>
      </c>
      <c r="VQ1" s="1" t="s">
        <v>4202</v>
      </c>
      <c r="VR1" s="1" t="s">
        <v>2617</v>
      </c>
      <c r="VS1" s="1" t="s">
        <v>2618</v>
      </c>
      <c r="VT1" s="1" t="s">
        <v>2619</v>
      </c>
      <c r="VU1" s="1" t="s">
        <v>2620</v>
      </c>
      <c r="VV1" s="1" t="s">
        <v>2626</v>
      </c>
      <c r="VW1" s="12">
        <v>29</v>
      </c>
      <c r="VX1" s="36" t="s">
        <v>2618</v>
      </c>
      <c r="VY1" s="1" t="s">
        <v>4203</v>
      </c>
      <c r="WA1" s="1" t="s">
        <v>5398</v>
      </c>
      <c r="WB1" s="1" t="s">
        <v>4960</v>
      </c>
      <c r="WC1" s="98" t="s">
        <v>2617</v>
      </c>
      <c r="WD1" s="98" t="s">
        <v>2618</v>
      </c>
      <c r="WE1" s="98" t="s">
        <v>2628</v>
      </c>
      <c r="WF1" s="98" t="s">
        <v>701</v>
      </c>
      <c r="WG1" s="98" t="s">
        <v>5399</v>
      </c>
      <c r="WH1" s="98" t="s">
        <v>5400</v>
      </c>
      <c r="WI1" s="98" t="s">
        <v>4945</v>
      </c>
      <c r="WJ1" s="13"/>
      <c r="WK1" s="25"/>
      <c r="WN1" s="106"/>
      <c r="WO1" s="202"/>
      <c r="WP1" s="382" t="s">
        <v>5416</v>
      </c>
      <c r="WQ1" s="382" t="s">
        <v>2627</v>
      </c>
      <c r="WR1" s="382" t="s">
        <v>2617</v>
      </c>
      <c r="WS1" s="382" t="s">
        <v>2618</v>
      </c>
      <c r="WT1" s="382" t="s">
        <v>5415</v>
      </c>
      <c r="WU1" s="382" t="s">
        <v>2623</v>
      </c>
      <c r="WV1" s="382" t="s">
        <v>2621</v>
      </c>
      <c r="WW1" s="382" t="s">
        <v>2628</v>
      </c>
      <c r="WX1" s="383" t="s">
        <v>4945</v>
      </c>
    </row>
    <row r="2" spans="1:622" x14ac:dyDescent="0.25">
      <c r="A2" s="2">
        <v>9538</v>
      </c>
      <c r="B2" s="2" t="s">
        <v>2651</v>
      </c>
      <c r="C2" s="2" t="s">
        <v>2652</v>
      </c>
      <c r="D2" s="3">
        <v>45152</v>
      </c>
      <c r="E2" s="2" t="s">
        <v>9</v>
      </c>
      <c r="F2" s="2">
        <v>3</v>
      </c>
      <c r="G2" s="2" t="s">
        <v>9</v>
      </c>
      <c r="H2" s="2">
        <v>3</v>
      </c>
      <c r="I2" s="2" t="s">
        <v>9</v>
      </c>
      <c r="J2" s="2">
        <v>1</v>
      </c>
      <c r="K2" s="2" t="s">
        <v>9</v>
      </c>
      <c r="L2" s="2">
        <v>3</v>
      </c>
      <c r="M2" s="2" t="s">
        <v>10</v>
      </c>
      <c r="N2" s="2">
        <v>0</v>
      </c>
      <c r="O2" s="2" t="s">
        <v>10</v>
      </c>
      <c r="P2" s="2">
        <v>0</v>
      </c>
      <c r="Q2" s="2" t="s">
        <v>11</v>
      </c>
      <c r="R2" s="2">
        <v>0</v>
      </c>
      <c r="S2" s="2" t="s">
        <v>9</v>
      </c>
      <c r="T2" s="2">
        <v>2</v>
      </c>
      <c r="U2" s="2" t="s">
        <v>9</v>
      </c>
      <c r="V2" s="2">
        <v>2</v>
      </c>
      <c r="W2" s="2" t="s">
        <v>9</v>
      </c>
      <c r="X2" s="2">
        <v>2</v>
      </c>
      <c r="Y2" s="2" t="s">
        <v>12</v>
      </c>
      <c r="Z2" s="2" t="s">
        <v>604</v>
      </c>
      <c r="AA2" s="2" t="s">
        <v>604</v>
      </c>
      <c r="AB2" s="2" t="s">
        <v>2653</v>
      </c>
      <c r="AC2" s="2" t="s">
        <v>15</v>
      </c>
      <c r="AD2" s="2" t="s">
        <v>15</v>
      </c>
      <c r="AE2" s="2" t="s">
        <v>15</v>
      </c>
      <c r="AF2" s="2">
        <v>3</v>
      </c>
      <c r="AG2" s="2" t="s">
        <v>2654</v>
      </c>
      <c r="AH2" s="2" t="s">
        <v>17</v>
      </c>
      <c r="AI2" s="4">
        <v>0.15833</v>
      </c>
      <c r="AJ2" s="2" t="s">
        <v>17</v>
      </c>
      <c r="AK2" s="2" t="s">
        <v>9</v>
      </c>
      <c r="AL2" s="2" t="s">
        <v>17</v>
      </c>
      <c r="AM2" s="2" t="s">
        <v>17</v>
      </c>
      <c r="AN2" s="2" t="s">
        <v>17</v>
      </c>
      <c r="AO2" s="2" t="s">
        <v>17</v>
      </c>
      <c r="AP2" s="2" t="s">
        <v>17</v>
      </c>
      <c r="AQ2" s="2" t="s">
        <v>17</v>
      </c>
      <c r="AR2" s="2" t="s">
        <v>9</v>
      </c>
      <c r="AS2" s="2" t="s">
        <v>17</v>
      </c>
      <c r="AT2" s="2">
        <v>5</v>
      </c>
      <c r="AU2" s="5">
        <v>75000</v>
      </c>
      <c r="AV2" s="5">
        <v>640000</v>
      </c>
      <c r="AW2" s="2">
        <v>0</v>
      </c>
      <c r="AX2" s="2">
        <v>11</v>
      </c>
      <c r="AY2" s="2">
        <v>0</v>
      </c>
      <c r="AZ2" s="2">
        <v>18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1</v>
      </c>
      <c r="BG2" s="2">
        <v>0</v>
      </c>
      <c r="BH2" s="2">
        <v>0</v>
      </c>
      <c r="BI2" s="2">
        <v>13</v>
      </c>
      <c r="BJ2" s="2">
        <v>1</v>
      </c>
      <c r="BK2" s="2">
        <v>0</v>
      </c>
      <c r="BL2" s="2">
        <v>2</v>
      </c>
      <c r="BM2" s="2">
        <v>0</v>
      </c>
      <c r="BN2" s="2">
        <v>11</v>
      </c>
      <c r="BO2" s="2">
        <v>11</v>
      </c>
      <c r="BP2" s="2">
        <v>0</v>
      </c>
      <c r="BQ2" s="2">
        <v>10</v>
      </c>
      <c r="BR2" s="2">
        <v>13.12</v>
      </c>
      <c r="BS2" s="2">
        <v>0</v>
      </c>
      <c r="BT2" s="4">
        <v>0.06</v>
      </c>
      <c r="BU2" s="2" t="s">
        <v>9</v>
      </c>
      <c r="BV2" s="6">
        <v>160113.71</v>
      </c>
      <c r="BW2" s="2" t="s">
        <v>126</v>
      </c>
      <c r="BX2" s="2" t="s">
        <v>17</v>
      </c>
      <c r="BY2" s="2" t="s">
        <v>17</v>
      </c>
      <c r="BZ2" s="2" t="s">
        <v>17</v>
      </c>
      <c r="CA2" s="2" t="s">
        <v>17</v>
      </c>
      <c r="CB2" s="2" t="s">
        <v>17</v>
      </c>
      <c r="CC2" s="2" t="s">
        <v>17</v>
      </c>
      <c r="CD2" s="2" t="s">
        <v>17</v>
      </c>
      <c r="CE2" s="2" t="s">
        <v>2655</v>
      </c>
      <c r="CF2" s="2" t="s">
        <v>17</v>
      </c>
      <c r="CG2" s="2" t="s">
        <v>2656</v>
      </c>
      <c r="CH2" s="2"/>
      <c r="CI2" s="2"/>
      <c r="CJ2" s="2" t="s">
        <v>9</v>
      </c>
      <c r="CK2" s="2" t="s">
        <v>2657</v>
      </c>
      <c r="CL2" s="2" t="s">
        <v>2656</v>
      </c>
      <c r="CM2" s="2" t="s">
        <v>2658</v>
      </c>
      <c r="CN2" s="2" t="s">
        <v>1822</v>
      </c>
      <c r="CO2" s="2" t="s">
        <v>24</v>
      </c>
      <c r="CP2" s="2"/>
      <c r="CQ2" s="2">
        <v>87</v>
      </c>
      <c r="CR2" s="2" t="s">
        <v>2659</v>
      </c>
      <c r="CS2" s="2">
        <v>2020</v>
      </c>
      <c r="CT2" s="2" t="s">
        <v>26</v>
      </c>
      <c r="CU2" s="2" t="s">
        <v>27</v>
      </c>
      <c r="CV2" s="2" t="s">
        <v>2660</v>
      </c>
      <c r="CW2" s="2" t="s">
        <v>2661</v>
      </c>
      <c r="CX2" s="2" t="s">
        <v>853</v>
      </c>
      <c r="CY2" s="2"/>
      <c r="CZ2" s="2">
        <v>204</v>
      </c>
      <c r="DA2" s="2" t="s">
        <v>2659</v>
      </c>
      <c r="DB2" s="2">
        <v>2020</v>
      </c>
      <c r="DC2" s="2" t="s">
        <v>26</v>
      </c>
      <c r="DD2" s="2" t="s">
        <v>27</v>
      </c>
      <c r="DE2" s="2" t="s">
        <v>2662</v>
      </c>
      <c r="DF2" s="2" t="s">
        <v>2661</v>
      </c>
      <c r="DG2" s="2" t="s">
        <v>853</v>
      </c>
      <c r="DH2" s="2"/>
      <c r="DI2" s="2">
        <v>204</v>
      </c>
      <c r="DJ2" s="2" t="s">
        <v>2659</v>
      </c>
      <c r="DK2" s="2">
        <v>2021</v>
      </c>
      <c r="DL2" s="2" t="s">
        <v>26</v>
      </c>
      <c r="DM2" s="2" t="s">
        <v>27</v>
      </c>
      <c r="DN2" s="2" t="s">
        <v>2663</v>
      </c>
      <c r="DO2" s="2" t="s">
        <v>2664</v>
      </c>
      <c r="DP2" s="2"/>
      <c r="DQ2" s="2" t="s">
        <v>2665</v>
      </c>
      <c r="DR2" s="2" t="s">
        <v>2666</v>
      </c>
      <c r="DS2" s="2">
        <v>1</v>
      </c>
      <c r="DT2" s="2" t="s">
        <v>2667</v>
      </c>
      <c r="DU2" s="2" t="s">
        <v>2668</v>
      </c>
      <c r="DV2" s="2" t="s">
        <v>39</v>
      </c>
      <c r="DW2" s="2">
        <v>33326</v>
      </c>
      <c r="DX2" s="2" t="s">
        <v>2669</v>
      </c>
      <c r="DY2" s="2"/>
      <c r="DZ2" s="2" t="s">
        <v>2670</v>
      </c>
      <c r="EA2" s="2" t="s">
        <v>2666</v>
      </c>
      <c r="EB2" s="2" t="s">
        <v>2671</v>
      </c>
      <c r="EC2" s="2" t="s">
        <v>2661</v>
      </c>
      <c r="ED2" s="2" t="s">
        <v>44</v>
      </c>
      <c r="EE2" s="2">
        <v>182</v>
      </c>
      <c r="EF2" s="2" t="s">
        <v>2672</v>
      </c>
      <c r="EG2" s="2">
        <v>5</v>
      </c>
      <c r="EH2" s="2" t="s">
        <v>46</v>
      </c>
      <c r="EI2" s="2" t="s">
        <v>47</v>
      </c>
      <c r="EJ2" s="2" t="s">
        <v>2673</v>
      </c>
      <c r="EK2" s="2" t="s">
        <v>2661</v>
      </c>
      <c r="EL2" s="2" t="s">
        <v>44</v>
      </c>
      <c r="EM2" s="2">
        <v>194</v>
      </c>
      <c r="EN2" s="2" t="s">
        <v>2672</v>
      </c>
      <c r="EO2" s="2">
        <v>7</v>
      </c>
      <c r="EP2" s="2" t="s">
        <v>46</v>
      </c>
      <c r="EQ2" s="2" t="s">
        <v>47</v>
      </c>
      <c r="ER2" s="2" t="s">
        <v>2674</v>
      </c>
      <c r="ES2" s="2"/>
      <c r="ET2" s="2" t="s">
        <v>2675</v>
      </c>
      <c r="EU2" s="2" t="s">
        <v>2656</v>
      </c>
      <c r="EV2" s="2" t="s">
        <v>2676</v>
      </c>
      <c r="EW2" s="2" t="s">
        <v>299</v>
      </c>
      <c r="EX2" s="2" t="s">
        <v>39</v>
      </c>
      <c r="EY2" s="2">
        <v>33133</v>
      </c>
      <c r="EZ2" s="2" t="s">
        <v>2677</v>
      </c>
      <c r="FA2" s="2"/>
      <c r="FB2" s="2" t="s">
        <v>2678</v>
      </c>
      <c r="FC2" s="2" t="s">
        <v>2679</v>
      </c>
      <c r="FD2" s="2"/>
      <c r="FE2" s="2" t="s">
        <v>2680</v>
      </c>
      <c r="FF2" s="2" t="s">
        <v>2656</v>
      </c>
      <c r="FG2" s="2" t="s">
        <v>2676</v>
      </c>
      <c r="FH2" s="2" t="s">
        <v>299</v>
      </c>
      <c r="FI2" s="2" t="s">
        <v>39</v>
      </c>
      <c r="FJ2" s="2">
        <v>33133</v>
      </c>
      <c r="FK2" s="2" t="s">
        <v>2681</v>
      </c>
      <c r="FL2" s="2"/>
      <c r="FM2" s="2" t="s">
        <v>2682</v>
      </c>
      <c r="FN2" s="2" t="s">
        <v>2683</v>
      </c>
      <c r="FO2" s="2" t="s">
        <v>63</v>
      </c>
      <c r="FP2" s="2" t="s">
        <v>64</v>
      </c>
      <c r="FQ2" s="2" t="s">
        <v>9</v>
      </c>
      <c r="FR2" s="2" t="s">
        <v>17</v>
      </c>
      <c r="FS2" s="2" t="s">
        <v>17</v>
      </c>
      <c r="FT2" s="2" t="s">
        <v>9</v>
      </c>
      <c r="FU2" s="2">
        <v>0</v>
      </c>
      <c r="FV2" s="2">
        <v>0</v>
      </c>
      <c r="FW2" s="4">
        <v>0</v>
      </c>
      <c r="FX2" s="4">
        <v>0</v>
      </c>
      <c r="FY2" s="2" t="s">
        <v>65</v>
      </c>
      <c r="FZ2" s="2" t="s">
        <v>66</v>
      </c>
      <c r="GA2" s="2" t="s">
        <v>67</v>
      </c>
      <c r="GB2" s="2"/>
      <c r="GC2" s="2"/>
      <c r="GD2" s="2"/>
      <c r="GE2" s="2" t="s">
        <v>2684</v>
      </c>
      <c r="GF2" s="2"/>
      <c r="GG2" s="2"/>
      <c r="GH2" s="2"/>
      <c r="GI2" s="2"/>
      <c r="GJ2" s="2"/>
      <c r="GK2" s="2">
        <v>120</v>
      </c>
      <c r="GL2" s="2"/>
      <c r="GM2" s="2"/>
      <c r="GN2" s="2"/>
      <c r="GO2" s="2"/>
      <c r="GP2" s="2"/>
      <c r="GQ2" s="2">
        <v>120</v>
      </c>
      <c r="GR2" s="2" t="s">
        <v>2685</v>
      </c>
      <c r="GS2" s="2" t="s">
        <v>2686</v>
      </c>
      <c r="GT2" s="2" t="s">
        <v>2687</v>
      </c>
      <c r="GU2" s="2" t="s">
        <v>2688</v>
      </c>
      <c r="GV2" s="2" t="s">
        <v>17</v>
      </c>
      <c r="GW2" s="2">
        <v>26.772829999999999</v>
      </c>
      <c r="GX2" s="2">
        <v>-80.054100000000005</v>
      </c>
      <c r="GY2" s="2"/>
      <c r="GZ2" s="2" t="s">
        <v>17</v>
      </c>
      <c r="HA2" s="2">
        <v>0</v>
      </c>
      <c r="HB2" s="2" t="s">
        <v>17</v>
      </c>
      <c r="HC2" s="2" t="s">
        <v>17</v>
      </c>
      <c r="HD2" s="2">
        <v>0</v>
      </c>
      <c r="HE2" s="2">
        <v>26.773399999999999</v>
      </c>
      <c r="HF2" s="2">
        <v>-80.054961000000006</v>
      </c>
      <c r="HG2" s="2">
        <v>7.0000000000000007E-2</v>
      </c>
      <c r="HH2" s="2">
        <v>5</v>
      </c>
      <c r="HI2" s="2">
        <v>26.773114</v>
      </c>
      <c r="HJ2" s="2">
        <v>-80.055155999999997</v>
      </c>
      <c r="HK2" s="2">
        <v>7.0000000000000007E-2</v>
      </c>
      <c r="HL2" s="2">
        <v>26.767852000000001</v>
      </c>
      <c r="HM2" s="2">
        <v>-80.061008000000001</v>
      </c>
      <c r="HN2" s="2">
        <v>0.55000000000000004</v>
      </c>
      <c r="HO2" s="2"/>
      <c r="HP2" s="2"/>
      <c r="HQ2" s="2"/>
      <c r="HR2" s="2"/>
      <c r="HS2" s="2"/>
      <c r="HT2" s="2"/>
      <c r="HU2" s="2"/>
      <c r="HV2" s="2"/>
      <c r="HW2" s="2" t="s">
        <v>73</v>
      </c>
      <c r="HX2" s="2" t="s">
        <v>112</v>
      </c>
      <c r="HY2" s="2" t="s">
        <v>2689</v>
      </c>
      <c r="HZ2" s="2">
        <v>0.75</v>
      </c>
      <c r="IA2" s="2">
        <v>2.5</v>
      </c>
      <c r="IB2" s="2"/>
      <c r="IC2" s="2"/>
      <c r="ID2" s="2"/>
      <c r="IE2" s="2"/>
      <c r="IF2" s="2" t="s">
        <v>1118</v>
      </c>
      <c r="IG2" s="2" t="s">
        <v>2690</v>
      </c>
      <c r="IH2" s="2">
        <v>0.71</v>
      </c>
      <c r="II2" s="2">
        <v>3</v>
      </c>
      <c r="IJ2" s="2" t="s">
        <v>2691</v>
      </c>
      <c r="IK2" s="2" t="s">
        <v>2692</v>
      </c>
      <c r="IL2" s="2">
        <v>1.02</v>
      </c>
      <c r="IM2" s="2">
        <v>2.5</v>
      </c>
      <c r="IN2" s="2" t="s">
        <v>17</v>
      </c>
      <c r="IO2" s="2"/>
      <c r="IP2" s="2" t="s">
        <v>79</v>
      </c>
      <c r="IQ2" s="2">
        <v>5</v>
      </c>
      <c r="IR2" s="2">
        <v>8</v>
      </c>
      <c r="IS2" s="2">
        <v>0</v>
      </c>
      <c r="IT2" s="2">
        <v>13</v>
      </c>
      <c r="IU2" s="2" t="s">
        <v>9</v>
      </c>
      <c r="IV2" s="2" t="s">
        <v>17</v>
      </c>
      <c r="IW2" s="2" t="s">
        <v>17</v>
      </c>
      <c r="IX2" s="2" t="s">
        <v>9</v>
      </c>
      <c r="IY2" s="2">
        <v>13</v>
      </c>
      <c r="IZ2" s="2">
        <v>120</v>
      </c>
      <c r="JA2" s="2" t="s">
        <v>2693</v>
      </c>
      <c r="JB2" s="2" t="s">
        <v>82</v>
      </c>
      <c r="JC2" s="2"/>
      <c r="JD2" s="2"/>
      <c r="JE2" s="2"/>
      <c r="JF2" s="7">
        <v>0</v>
      </c>
      <c r="JG2" s="7"/>
      <c r="JH2" s="7"/>
      <c r="JI2" s="2">
        <v>0</v>
      </c>
      <c r="JJ2" s="7">
        <v>0</v>
      </c>
      <c r="JK2" s="2">
        <v>0</v>
      </c>
      <c r="JL2" s="7">
        <v>0</v>
      </c>
      <c r="JM2" s="2">
        <v>19</v>
      </c>
      <c r="JN2" s="2"/>
      <c r="JO2" s="2">
        <v>77</v>
      </c>
      <c r="JP2" s="2"/>
      <c r="JQ2" s="2">
        <v>24</v>
      </c>
      <c r="JR2" s="2">
        <v>0</v>
      </c>
      <c r="JS2" s="2">
        <v>0</v>
      </c>
      <c r="JT2" s="2"/>
      <c r="JU2" s="2"/>
      <c r="JV2" s="2">
        <v>120</v>
      </c>
      <c r="JW2" s="4">
        <v>1</v>
      </c>
      <c r="JX2" s="2">
        <v>120</v>
      </c>
      <c r="JY2" s="4">
        <v>0.59250000000000003</v>
      </c>
      <c r="JZ2" s="2">
        <v>0</v>
      </c>
      <c r="KA2" s="2"/>
      <c r="KB2" s="2"/>
      <c r="KC2" s="2"/>
      <c r="KD2" s="2"/>
      <c r="KE2" s="2"/>
      <c r="KF2" s="2"/>
      <c r="KG2" s="2"/>
      <c r="KH2" s="2">
        <v>108</v>
      </c>
      <c r="KI2" s="2">
        <v>12</v>
      </c>
      <c r="KJ2" s="2"/>
      <c r="KK2" s="2"/>
      <c r="KL2" s="2"/>
      <c r="KM2" s="2"/>
      <c r="KN2" s="2"/>
      <c r="KO2" s="2"/>
      <c r="KP2" s="2"/>
      <c r="KQ2" s="2" t="s">
        <v>83</v>
      </c>
      <c r="KR2" s="2"/>
      <c r="KS2" s="2" t="s">
        <v>73</v>
      </c>
      <c r="KT2" s="2">
        <v>1</v>
      </c>
      <c r="KU2" s="2" t="s">
        <v>84</v>
      </c>
      <c r="KV2" s="2" t="s">
        <v>85</v>
      </c>
      <c r="KW2" s="2" t="s">
        <v>86</v>
      </c>
      <c r="KX2" s="2" t="s">
        <v>17</v>
      </c>
      <c r="KY2" s="2" t="s">
        <v>17</v>
      </c>
      <c r="KZ2" s="2" t="s">
        <v>17</v>
      </c>
      <c r="LA2" s="2" t="s">
        <v>17</v>
      </c>
      <c r="LB2" s="2" t="s">
        <v>17</v>
      </c>
      <c r="LC2" s="2" t="s">
        <v>17</v>
      </c>
      <c r="LD2" s="2" t="s">
        <v>17</v>
      </c>
      <c r="LE2" s="2" t="s">
        <v>17</v>
      </c>
      <c r="LF2" s="2" t="s">
        <v>17</v>
      </c>
      <c r="LG2" s="2" t="s">
        <v>17</v>
      </c>
      <c r="LH2" s="2" t="s">
        <v>17</v>
      </c>
      <c r="LI2" s="2" t="s">
        <v>17</v>
      </c>
      <c r="LJ2" s="2" t="s">
        <v>87</v>
      </c>
      <c r="LK2" s="2" t="s">
        <v>17</v>
      </c>
      <c r="LL2" s="2" t="s">
        <v>17</v>
      </c>
      <c r="LM2" s="2">
        <v>0</v>
      </c>
      <c r="LN2" s="2" t="s">
        <v>17</v>
      </c>
      <c r="LO2" s="2" t="s">
        <v>17</v>
      </c>
      <c r="LP2" s="2" t="s">
        <v>17</v>
      </c>
      <c r="LQ2" s="2" t="s">
        <v>17</v>
      </c>
      <c r="LR2" s="2" t="s">
        <v>17</v>
      </c>
      <c r="LS2" s="2" t="s">
        <v>17</v>
      </c>
      <c r="LT2" s="2" t="s">
        <v>9</v>
      </c>
      <c r="LU2" s="2" t="s">
        <v>9</v>
      </c>
      <c r="LV2" s="2" t="s">
        <v>17</v>
      </c>
      <c r="LW2" s="2" t="s">
        <v>9</v>
      </c>
      <c r="LX2" s="2" t="s">
        <v>17</v>
      </c>
      <c r="LY2" s="5">
        <v>6500000</v>
      </c>
      <c r="LZ2" s="5">
        <v>0</v>
      </c>
      <c r="MA2" s="5">
        <v>8400000</v>
      </c>
      <c r="MB2" s="5">
        <v>0</v>
      </c>
      <c r="MC2" s="5">
        <v>0</v>
      </c>
      <c r="MD2" s="5">
        <v>0</v>
      </c>
      <c r="ME2" s="5">
        <v>10000000</v>
      </c>
      <c r="MF2" s="5">
        <v>0</v>
      </c>
      <c r="MG2" s="5">
        <v>0</v>
      </c>
      <c r="MH2" s="5">
        <v>0</v>
      </c>
      <c r="MI2" s="5">
        <v>0</v>
      </c>
      <c r="MJ2" s="5">
        <v>0</v>
      </c>
      <c r="MK2" s="5">
        <v>0</v>
      </c>
      <c r="ML2" s="2">
        <v>0</v>
      </c>
      <c r="MM2" s="5">
        <v>0</v>
      </c>
      <c r="MN2" s="5">
        <v>0</v>
      </c>
      <c r="MO2" s="2">
        <v>0</v>
      </c>
      <c r="MP2" s="2">
        <v>0</v>
      </c>
      <c r="MQ2" s="2">
        <v>0</v>
      </c>
      <c r="MR2" s="5">
        <v>2950000</v>
      </c>
      <c r="MS2" s="5">
        <v>0</v>
      </c>
      <c r="MT2" s="5">
        <v>4600000</v>
      </c>
      <c r="MU2" s="5">
        <v>0</v>
      </c>
      <c r="MV2" s="5">
        <v>0</v>
      </c>
      <c r="MW2" s="5">
        <v>0</v>
      </c>
      <c r="MX2" s="5">
        <v>0</v>
      </c>
      <c r="MY2" s="5">
        <v>2500000</v>
      </c>
      <c r="MZ2" s="5">
        <v>0</v>
      </c>
      <c r="NA2" s="5">
        <v>5000000</v>
      </c>
      <c r="NB2" s="5">
        <v>0</v>
      </c>
      <c r="NC2" s="5">
        <v>0</v>
      </c>
      <c r="ND2" s="5">
        <v>0</v>
      </c>
      <c r="NE2" s="5">
        <v>0</v>
      </c>
      <c r="NF2" s="5">
        <v>0</v>
      </c>
      <c r="NG2" s="5">
        <v>2992500</v>
      </c>
      <c r="NH2" s="5">
        <v>2992500</v>
      </c>
      <c r="NI2" s="5">
        <v>2992500</v>
      </c>
      <c r="NJ2" s="2" t="s">
        <v>17</v>
      </c>
      <c r="NK2" s="2"/>
      <c r="NL2" s="2"/>
      <c r="NM2" s="2" t="s">
        <v>17</v>
      </c>
      <c r="NN2" s="2"/>
      <c r="NO2" s="2" t="s">
        <v>17</v>
      </c>
      <c r="NP2" s="2"/>
      <c r="NQ2" s="2"/>
      <c r="NR2" s="2" t="s">
        <v>17</v>
      </c>
      <c r="NS2" s="2"/>
      <c r="NT2" s="2" t="s">
        <v>17</v>
      </c>
      <c r="NU2" s="2"/>
      <c r="NV2" s="2"/>
      <c r="NW2" s="2"/>
      <c r="NX2" s="2" t="s">
        <v>17</v>
      </c>
      <c r="NY2" s="2"/>
      <c r="NZ2" s="2"/>
      <c r="OA2" s="2" t="s">
        <v>118</v>
      </c>
      <c r="OB2" s="2" t="s">
        <v>118</v>
      </c>
      <c r="OC2" s="2" t="s">
        <v>118</v>
      </c>
      <c r="OD2" s="2" t="s">
        <v>9</v>
      </c>
      <c r="OE2" s="2" t="s">
        <v>320</v>
      </c>
      <c r="OF2" s="2" t="s">
        <v>17</v>
      </c>
      <c r="OG2" s="2"/>
      <c r="OH2" s="2" t="s">
        <v>17</v>
      </c>
      <c r="OI2" s="2" t="s">
        <v>17</v>
      </c>
      <c r="OJ2" s="2" t="s">
        <v>85</v>
      </c>
      <c r="OK2" s="6">
        <v>0</v>
      </c>
      <c r="OL2" s="6">
        <v>0</v>
      </c>
      <c r="OM2" s="2" t="s">
        <v>93</v>
      </c>
      <c r="ON2" s="2" t="s">
        <v>93</v>
      </c>
      <c r="OO2" s="6">
        <v>0</v>
      </c>
      <c r="OP2" s="6">
        <v>0</v>
      </c>
      <c r="OQ2" s="4">
        <v>0</v>
      </c>
      <c r="OR2" s="6">
        <v>0</v>
      </c>
      <c r="OS2" s="4">
        <v>0</v>
      </c>
      <c r="OT2" s="2" t="s">
        <v>17</v>
      </c>
      <c r="OU2" s="2" t="s">
        <v>17</v>
      </c>
      <c r="OV2" s="2"/>
      <c r="OW2" s="2"/>
      <c r="OX2" s="5">
        <v>19213646</v>
      </c>
      <c r="OY2" s="6">
        <v>160113.71</v>
      </c>
      <c r="OZ2" s="2"/>
      <c r="PA2" s="2"/>
      <c r="PB2" s="2"/>
      <c r="PC2" s="2"/>
      <c r="PD2" s="8">
        <v>19512000</v>
      </c>
      <c r="PE2" s="2"/>
      <c r="PF2" s="8">
        <v>19512000</v>
      </c>
      <c r="PG2" s="8">
        <v>1500000</v>
      </c>
      <c r="PH2" s="2"/>
      <c r="PI2" s="8">
        <v>1500000</v>
      </c>
      <c r="PJ2" s="2"/>
      <c r="PK2" s="2"/>
      <c r="PL2" s="2"/>
      <c r="PM2" s="8">
        <v>21012000</v>
      </c>
      <c r="PN2" s="2"/>
      <c r="PO2" s="8">
        <v>21012000</v>
      </c>
      <c r="PP2" s="8">
        <v>2941680</v>
      </c>
      <c r="PQ2" s="2"/>
      <c r="PR2" s="8">
        <v>2941680</v>
      </c>
      <c r="PS2" s="6">
        <v>2941680</v>
      </c>
      <c r="PT2" s="8">
        <v>23953680</v>
      </c>
      <c r="PU2" s="2"/>
      <c r="PV2" s="8">
        <v>23953680</v>
      </c>
      <c r="PW2" s="8">
        <v>1197684</v>
      </c>
      <c r="PX2" s="2"/>
      <c r="PY2" s="8">
        <v>1197684</v>
      </c>
      <c r="PZ2" s="6">
        <v>1197684</v>
      </c>
      <c r="QA2" s="8">
        <v>1878610</v>
      </c>
      <c r="QB2" s="8">
        <v>425759</v>
      </c>
      <c r="QC2" s="8">
        <v>2304369</v>
      </c>
      <c r="QD2" s="8">
        <v>405536</v>
      </c>
      <c r="QE2" s="2"/>
      <c r="QF2" s="8">
        <v>405536</v>
      </c>
      <c r="QG2" s="8">
        <v>433623</v>
      </c>
      <c r="QH2" s="2"/>
      <c r="QI2" s="8">
        <v>433623</v>
      </c>
      <c r="QJ2" s="8">
        <v>150000</v>
      </c>
      <c r="QK2" s="8">
        <v>477325</v>
      </c>
      <c r="QL2" s="8">
        <v>627325</v>
      </c>
      <c r="QM2" s="2"/>
      <c r="QN2" s="2"/>
      <c r="QO2" s="2"/>
      <c r="QP2" s="8">
        <v>150000</v>
      </c>
      <c r="QQ2" s="2"/>
      <c r="QR2" s="8">
        <v>150000</v>
      </c>
      <c r="QS2" s="8">
        <v>3017769</v>
      </c>
      <c r="QT2" s="8">
        <v>903084</v>
      </c>
      <c r="QU2" s="8">
        <v>3920853</v>
      </c>
      <c r="QV2" s="8">
        <v>144638</v>
      </c>
      <c r="QW2" s="8">
        <v>8788</v>
      </c>
      <c r="QX2" s="8">
        <v>153426</v>
      </c>
      <c r="QY2" s="6">
        <v>196042.65</v>
      </c>
      <c r="QZ2" s="8">
        <v>1350000</v>
      </c>
      <c r="RA2" s="8">
        <v>1215000</v>
      </c>
      <c r="RB2" s="8">
        <v>2565000</v>
      </c>
      <c r="RC2" s="8">
        <v>221915</v>
      </c>
      <c r="RD2" s="8">
        <v>221915</v>
      </c>
      <c r="RE2" s="2"/>
      <c r="RF2" s="2"/>
      <c r="RG2" s="2"/>
      <c r="RH2" s="8">
        <v>1350000</v>
      </c>
      <c r="RI2" s="8">
        <v>1436915</v>
      </c>
      <c r="RJ2" s="8">
        <v>2786915</v>
      </c>
      <c r="RK2" s="2"/>
      <c r="RL2" s="2"/>
      <c r="RM2" s="8">
        <v>29663771</v>
      </c>
      <c r="RN2" s="8">
        <v>2348787</v>
      </c>
      <c r="RO2" s="8">
        <v>32012558</v>
      </c>
      <c r="RP2" s="2">
        <v>0</v>
      </c>
      <c r="RQ2" s="6">
        <v>0</v>
      </c>
      <c r="RR2" s="8">
        <v>5072483</v>
      </c>
      <c r="RS2" s="2"/>
      <c r="RT2" s="8">
        <v>5072483</v>
      </c>
      <c r="RU2" s="6">
        <v>5122009</v>
      </c>
      <c r="RV2" s="6">
        <v>0</v>
      </c>
      <c r="RW2" s="8">
        <v>5072483</v>
      </c>
      <c r="RX2" s="2"/>
      <c r="RY2" s="8">
        <v>5072483</v>
      </c>
      <c r="RZ2" s="6">
        <v>5122009</v>
      </c>
      <c r="SA2" s="8">
        <v>420000</v>
      </c>
      <c r="SB2" s="8">
        <v>420000</v>
      </c>
      <c r="SC2" s="6">
        <v>420000</v>
      </c>
      <c r="SD2" s="2">
        <v>99</v>
      </c>
      <c r="SE2" s="2">
        <v>99</v>
      </c>
      <c r="SF2" s="8">
        <v>34736254</v>
      </c>
      <c r="SG2" s="8">
        <v>2768886</v>
      </c>
      <c r="SH2" s="8">
        <v>37505140</v>
      </c>
      <c r="SI2" s="2" t="s">
        <v>2694</v>
      </c>
      <c r="SJ2" s="2"/>
      <c r="SK2" s="2" t="s">
        <v>2695</v>
      </c>
      <c r="SL2" s="2"/>
      <c r="SM2" s="8">
        <v>25000000</v>
      </c>
      <c r="SN2" s="2" t="s">
        <v>95</v>
      </c>
      <c r="SO2" s="8">
        <v>640000</v>
      </c>
      <c r="SP2" s="2" t="s">
        <v>180</v>
      </c>
      <c r="SQ2" s="2"/>
      <c r="SR2" s="2"/>
      <c r="SS2" s="2" t="s">
        <v>96</v>
      </c>
      <c r="ST2" s="2" t="s">
        <v>96</v>
      </c>
      <c r="SU2" s="2" t="s">
        <v>96</v>
      </c>
      <c r="SV2" s="2" t="s">
        <v>96</v>
      </c>
      <c r="SW2" s="8">
        <v>7181282</v>
      </c>
      <c r="SX2" s="2"/>
      <c r="SY2" s="2"/>
      <c r="SZ2" s="2"/>
      <c r="TA2" s="8">
        <v>4683858</v>
      </c>
      <c r="TB2" s="8">
        <v>37505140</v>
      </c>
      <c r="TC2" s="2">
        <v>0</v>
      </c>
      <c r="TD2" s="2" t="s">
        <v>9</v>
      </c>
      <c r="TE2" s="8">
        <v>6580000</v>
      </c>
      <c r="TF2" s="2" t="s">
        <v>95</v>
      </c>
      <c r="TG2" s="8">
        <v>640000</v>
      </c>
      <c r="TH2" s="2" t="s">
        <v>180</v>
      </c>
      <c r="TI2" s="2"/>
      <c r="TJ2" s="2"/>
      <c r="TK2" s="2" t="s">
        <v>96</v>
      </c>
      <c r="TL2" s="2" t="s">
        <v>96</v>
      </c>
      <c r="TM2" s="2" t="s">
        <v>96</v>
      </c>
      <c r="TN2" s="2" t="s">
        <v>96</v>
      </c>
      <c r="TO2" s="8">
        <v>28725127</v>
      </c>
      <c r="TP2" s="2"/>
      <c r="TQ2" s="2"/>
      <c r="TR2" s="2"/>
      <c r="TS2" s="8">
        <v>1560013</v>
      </c>
      <c r="TT2" s="8">
        <v>37505140</v>
      </c>
      <c r="TU2" s="6">
        <v>7220000</v>
      </c>
      <c r="TV2" s="2">
        <v>0</v>
      </c>
      <c r="TW2" s="2" t="s">
        <v>9</v>
      </c>
      <c r="TX2" s="2">
        <v>120</v>
      </c>
      <c r="TY2" s="5">
        <v>310000</v>
      </c>
      <c r="TZ2" s="6">
        <v>413333.33</v>
      </c>
      <c r="UA2" s="6">
        <v>413333.33</v>
      </c>
      <c r="UB2" s="6">
        <v>438133.33</v>
      </c>
      <c r="UC2" s="6">
        <v>52576000</v>
      </c>
      <c r="UD2" s="6">
        <v>8412160</v>
      </c>
      <c r="UE2" s="2" t="s">
        <v>97</v>
      </c>
      <c r="UF2" s="6">
        <v>8412160</v>
      </c>
      <c r="UG2" s="6">
        <v>60988160</v>
      </c>
      <c r="UH2" s="6">
        <v>37085041</v>
      </c>
      <c r="UI2" s="4">
        <v>0.99990000000000001</v>
      </c>
      <c r="UJ2" s="2" t="s">
        <v>9</v>
      </c>
      <c r="UK2" s="6">
        <v>640000</v>
      </c>
      <c r="UL2" s="6">
        <v>24308.14</v>
      </c>
      <c r="UM2" s="6">
        <v>615691.86</v>
      </c>
      <c r="UN2" s="2"/>
      <c r="UO2" s="6">
        <v>0</v>
      </c>
      <c r="UP2" s="2"/>
      <c r="UQ2" s="6">
        <v>0</v>
      </c>
      <c r="UR2" s="6">
        <v>0</v>
      </c>
      <c r="US2" s="6">
        <v>640000</v>
      </c>
      <c r="UT2" s="6">
        <v>24308.14</v>
      </c>
      <c r="UU2" s="6">
        <v>615691.86</v>
      </c>
      <c r="UV2" s="2" t="s">
        <v>2696</v>
      </c>
      <c r="UW2" s="2" t="s">
        <v>182</v>
      </c>
      <c r="UX2" s="2" t="s">
        <v>9</v>
      </c>
      <c r="UY2" s="2" t="s">
        <v>17</v>
      </c>
      <c r="UZ2" s="2" t="s">
        <v>17</v>
      </c>
      <c r="VA2" s="2" t="s">
        <v>17</v>
      </c>
      <c r="VB2" s="2" t="s">
        <v>2697</v>
      </c>
      <c r="VC2" s="2" t="s">
        <v>17</v>
      </c>
      <c r="VD2" s="2" t="s">
        <v>17</v>
      </c>
      <c r="VE2" s="2" t="s">
        <v>17</v>
      </c>
      <c r="VF2" s="2"/>
      <c r="VG2" s="2" t="s">
        <v>2698</v>
      </c>
      <c r="VH2" s="2" t="s">
        <v>2699</v>
      </c>
      <c r="VI2" s="388" t="s">
        <v>2657</v>
      </c>
      <c r="VJ2" s="2" t="s">
        <v>98</v>
      </c>
      <c r="VK2" s="2" t="s">
        <v>1247</v>
      </c>
      <c r="VL2" s="23">
        <f t="shared" ref="VL2:VL30" si="0">VM2*IZ2</f>
        <v>132</v>
      </c>
      <c r="VM2" s="17">
        <f t="shared" ref="VM2:VM30" si="1">(KG2+KH2+2*(KI2+KK2)+3*KL2)/IZ2</f>
        <v>1.1000000000000001</v>
      </c>
      <c r="VN2" s="17" t="str">
        <f t="shared" ref="VN2:VN30" si="2">IF(GG2+GH2=MAX(GG2:GO2),"NC-GA-",IF(GI2+GJ2=MAX(GG2:GO2),"NC-MR-",IF(GK2=MAX(GG2:GO2),"NC-HR-",IF(GL2+GM2=MAX(GG2:GO2),"NC-OT-",IF(GN2+GO2=MAX(GG2:GO2),"AR-GA-","Nothing")))))&amp;IF(BW2="Family","F","E")</f>
        <v>NC-HR-E</v>
      </c>
      <c r="VO2" s="17" t="str">
        <f>VN2&amp;"-"&amp;RIGHT(VX2,3)</f>
        <v>NC-HR-E-ESS</v>
      </c>
      <c r="VP2" s="12">
        <v>9</v>
      </c>
      <c r="VQ2" s="57">
        <v>1</v>
      </c>
      <c r="VR2" s="14">
        <f t="shared" ref="VR2:VR30" si="3">IF(GR2="Broward",Broward_A,1)</f>
        <v>1</v>
      </c>
      <c r="VS2" s="14">
        <f t="shared" ref="VS2:VS30" si="4">IF(OR(OT2="Yes",OU2="Yes"),PHA_A,1)</f>
        <v>1</v>
      </c>
      <c r="VT2" s="12">
        <f t="shared" ref="VT2:VT30" si="5">(GG2*NC_GA_A*ESSC_A+GH2*NC_GA_A+GI2*NC_MR_A*ESSC_A+GJ2*NC_MR_A+GK2*NC_HR_A*ESSC_A+GL2*NC_OT_A*ESSC_A+GM2*NC_OT_A+GN2*1+GO2*1)/(GG2+GH2+GI2+GJ2+GK2+GL2+GM2+GN2+GO2)</f>
        <v>0.88350000000000006</v>
      </c>
      <c r="VU2" s="29">
        <f t="shared" ref="VU2:VU30" si="6">NI2*VP2*VR2*VS2*VT2*IF(BW2="Elderly Non-ALF",Elderly_A,1)</f>
        <v>23794863.75</v>
      </c>
      <c r="VV2" s="29">
        <f t="shared" ref="VV2:VV30" si="7">VU2/(JI2+JV2)</f>
        <v>198290.53125</v>
      </c>
      <c r="VW2" s="12" t="str">
        <f>IF(RANK(VV2,VV$2:VV$30,1)&lt;=ROUNDUP(80%*VW$1,0),"A","B")</f>
        <v>A</v>
      </c>
      <c r="VX2" s="12" t="str">
        <f t="shared" ref="VX2:VX20" si="8">IF(GG2=MAX(GG2:GO2),"NC-GA-ESS",IF(GH2=MAX(GG2:GO2),"NC-GA-Non",IF(GI2=MAX(GG2:GO2),"NC-MR-ESS",IF(GJ2=MAX(GG2:GO2),"NC-MR-Non",IF(GK2=MAX(GG2:GO2),"NC-HR-ESS",IF(GL2=MAX(GG2:GO2),"NC-OT-ESS",IF(GM2=MAX(GG2:GO2),"NC-OT-Non",IF(GN2=MAX(GG2:GO2),"AR-GA-ESS",IF(GO2=MAX(GG2:GO2),"AR-GA-Non","Nothing")))))))))</f>
        <v>NC-HR-ESS</v>
      </c>
      <c r="VY2" s="351">
        <f>IF(RANK(VV2,VV$2:VV$30,1)&lt;=ROUNDUP(10%*VW$1,0),1,IF(RANK(VV2,VV$2:VV$30,1)&lt;=ROUNDUP(30%*VW$1,0),2,IF(RANK(VV2,VV$2:VV$30,1)&lt;=ROUNDUP(50%*VW$1,0),3,IF(RANK(VV2,VV$2:VV$30,1)&lt;=ROUNDUP(70%*VW$1,0),4,5))))</f>
        <v>1</v>
      </c>
      <c r="VZ2" s="12"/>
      <c r="WA2" s="12">
        <f>IF(BW2="Elderly Non-ALF",1,0)</f>
        <v>1</v>
      </c>
      <c r="WB2" s="12">
        <f>IF(OR(VQ2=1,N(VQ2)=0),0,1)</f>
        <v>0</v>
      </c>
      <c r="WC2" s="12">
        <f>IF(OR(VR2=1,N(VR2)=0),0,1)</f>
        <v>0</v>
      </c>
      <c r="WD2" s="12">
        <f>IF(OR(VS2=1,N(VS2)=0),0,1)</f>
        <v>0</v>
      </c>
      <c r="WE2" s="12">
        <f>IF(GG2+GI2+GK2+GL2&gt;0,1,0)</f>
        <v>1</v>
      </c>
      <c r="WF2" s="12">
        <f t="shared" ref="WF2:WF30" si="9">IF(GG2+GH2&gt;0,1,0)</f>
        <v>0</v>
      </c>
      <c r="WG2" s="12">
        <f t="shared" ref="WG2:WG30" si="10">IF(GI2+GJ2&gt;0,1,0)</f>
        <v>0</v>
      </c>
      <c r="WH2" s="12">
        <f t="shared" ref="WH2:WH30" si="11">IF(GK2&gt;1,1,0)</f>
        <v>1</v>
      </c>
      <c r="WI2" s="31">
        <f t="shared" ref="WI2:WI30" si="12">SUM(WA2:WH2)</f>
        <v>3</v>
      </c>
      <c r="WJ2" s="2"/>
      <c r="WK2" s="444" t="str">
        <f t="shared" ref="WK2:WK30" si="13">VX2&amp;"-"&amp;IF(VQ2&gt;1,"BBY","BBN")&amp;"-"&amp;IF(VR2=1,"BRN","BRY")&amp;"-"&amp;IF(VS2=1,"NPH","PHA")&amp;"-"&amp;IF(BW2="Family","F","E")</f>
        <v>NC-HR-ESS-BBN-BRN-NPH-E</v>
      </c>
      <c r="WL2" s="444"/>
      <c r="WM2" s="444"/>
      <c r="WN2" s="12"/>
      <c r="WO2" s="380" t="s">
        <v>5416</v>
      </c>
      <c r="WP2" s="384"/>
      <c r="WQ2" s="144">
        <f>COUNTIFS($WA$2:$WA$72,"=1",$WB$2:$WB$72,"=1")</f>
        <v>0</v>
      </c>
      <c r="WR2" s="144">
        <f>COUNTIFS($WA$2:$WA$72,"=1",$WC$2:$WC$72,"=1")</f>
        <v>2</v>
      </c>
      <c r="WS2" s="144">
        <f>COUNTIFS($WA$2:$WA$72,"=1",$WD$2:$WD$72,"=1")</f>
        <v>2</v>
      </c>
      <c r="WT2" s="144">
        <f>COUNTIFS($WA$2:$WA$72,"=1",$WF$2:$WF$72,"=1")</f>
        <v>2</v>
      </c>
      <c r="WU2" s="144">
        <f>COUNTIFS($WA$2:$WA$72,"=1",$WG$2:$WG$72,"=1")</f>
        <v>7</v>
      </c>
      <c r="WV2" s="144">
        <f>COUNTIFS($WA$2:$WA$72,"=1",$WH$2:$WH$72,"=1")</f>
        <v>3</v>
      </c>
      <c r="WW2" s="144">
        <f>COUNTIFS($WA$2:$WA$72,"=1",$WE$2:$WE$72,"=1")</f>
        <v>11</v>
      </c>
      <c r="WX2" s="205">
        <f>COUNTIF($WA$2:$WA$72,"=1")</f>
        <v>12</v>
      </c>
    </row>
    <row r="3" spans="1:622" x14ac:dyDescent="0.25">
      <c r="A3" s="2">
        <v>9578</v>
      </c>
      <c r="B3" s="2" t="s">
        <v>2700</v>
      </c>
      <c r="C3" s="2" t="s">
        <v>2652</v>
      </c>
      <c r="D3" s="3">
        <v>45152</v>
      </c>
      <c r="E3" s="2" t="s">
        <v>9</v>
      </c>
      <c r="F3" s="2">
        <v>3</v>
      </c>
      <c r="G3" s="2" t="s">
        <v>9</v>
      </c>
      <c r="H3" s="2">
        <v>3</v>
      </c>
      <c r="I3" s="2" t="s">
        <v>9</v>
      </c>
      <c r="J3" s="2">
        <v>3</v>
      </c>
      <c r="K3" s="2" t="s">
        <v>9</v>
      </c>
      <c r="L3" s="2">
        <v>3</v>
      </c>
      <c r="M3" s="2" t="s">
        <v>10</v>
      </c>
      <c r="N3" s="2">
        <v>0</v>
      </c>
      <c r="O3" s="2" t="s">
        <v>10</v>
      </c>
      <c r="P3" s="2">
        <v>0</v>
      </c>
      <c r="Q3" s="2" t="s">
        <v>11</v>
      </c>
      <c r="R3" s="2">
        <v>0</v>
      </c>
      <c r="S3" s="2" t="s">
        <v>9</v>
      </c>
      <c r="T3" s="2">
        <v>2</v>
      </c>
      <c r="U3" s="2" t="s">
        <v>9</v>
      </c>
      <c r="V3" s="2">
        <v>2</v>
      </c>
      <c r="W3" s="2" t="s">
        <v>9</v>
      </c>
      <c r="X3" s="2">
        <v>2</v>
      </c>
      <c r="Y3" s="2" t="s">
        <v>12</v>
      </c>
      <c r="Z3" s="2" t="s">
        <v>771</v>
      </c>
      <c r="AA3" s="2" t="s">
        <v>1128</v>
      </c>
      <c r="AB3" s="2" t="s">
        <v>15</v>
      </c>
      <c r="AC3" s="2" t="s">
        <v>15</v>
      </c>
      <c r="AD3" s="2" t="s">
        <v>15</v>
      </c>
      <c r="AE3" s="2" t="s">
        <v>15</v>
      </c>
      <c r="AF3" s="2">
        <v>2</v>
      </c>
      <c r="AG3" s="2" t="s">
        <v>772</v>
      </c>
      <c r="AH3" s="2" t="s">
        <v>17</v>
      </c>
      <c r="AI3" s="4">
        <v>0.15</v>
      </c>
      <c r="AJ3" s="2" t="s">
        <v>17</v>
      </c>
      <c r="AK3" s="2" t="s">
        <v>9</v>
      </c>
      <c r="AL3" s="2" t="s">
        <v>17</v>
      </c>
      <c r="AM3" s="2" t="s">
        <v>9</v>
      </c>
      <c r="AN3" s="2" t="s">
        <v>17</v>
      </c>
      <c r="AO3" s="2" t="s">
        <v>17</v>
      </c>
      <c r="AP3" s="2" t="s">
        <v>17</v>
      </c>
      <c r="AQ3" s="2" t="s">
        <v>17</v>
      </c>
      <c r="AR3" s="2" t="s">
        <v>17</v>
      </c>
      <c r="AS3" s="2" t="s">
        <v>17</v>
      </c>
      <c r="AT3" s="2">
        <v>5</v>
      </c>
      <c r="AU3" s="5">
        <v>100000</v>
      </c>
      <c r="AV3" s="5">
        <v>640000</v>
      </c>
      <c r="AW3" s="2">
        <v>0</v>
      </c>
      <c r="AX3" s="2">
        <v>9</v>
      </c>
      <c r="AY3" s="2">
        <v>0</v>
      </c>
      <c r="AZ3" s="2">
        <v>18</v>
      </c>
      <c r="BA3" s="2">
        <v>0</v>
      </c>
      <c r="BB3" s="2">
        <v>0</v>
      </c>
      <c r="BC3" s="2">
        <v>1</v>
      </c>
      <c r="BD3" s="2">
        <v>4</v>
      </c>
      <c r="BE3" s="2">
        <v>0</v>
      </c>
      <c r="BF3" s="2">
        <v>1</v>
      </c>
      <c r="BG3" s="2">
        <v>0</v>
      </c>
      <c r="BH3" s="2">
        <v>0</v>
      </c>
      <c r="BI3" s="2">
        <v>13</v>
      </c>
      <c r="BJ3" s="2">
        <v>1</v>
      </c>
      <c r="BK3" s="2">
        <v>0</v>
      </c>
      <c r="BL3" s="2">
        <v>3</v>
      </c>
      <c r="BM3" s="2">
        <v>0</v>
      </c>
      <c r="BN3" s="2">
        <v>11</v>
      </c>
      <c r="BO3" s="2">
        <v>11</v>
      </c>
      <c r="BP3" s="2">
        <v>0</v>
      </c>
      <c r="BQ3" s="2">
        <v>10</v>
      </c>
      <c r="BR3" s="2">
        <v>11.93</v>
      </c>
      <c r="BS3" s="2">
        <v>0</v>
      </c>
      <c r="BT3" s="4">
        <v>0.06</v>
      </c>
      <c r="BU3" s="2" t="s">
        <v>9</v>
      </c>
      <c r="BV3" s="6">
        <v>160575.03</v>
      </c>
      <c r="BW3" s="2" t="s">
        <v>18</v>
      </c>
      <c r="BX3" s="2" t="s">
        <v>17</v>
      </c>
      <c r="BY3" s="2" t="s">
        <v>17</v>
      </c>
      <c r="BZ3" s="2" t="s">
        <v>17</v>
      </c>
      <c r="CA3" s="2" t="s">
        <v>17</v>
      </c>
      <c r="CB3" s="2" t="s">
        <v>17</v>
      </c>
      <c r="CC3" s="2" t="s">
        <v>17</v>
      </c>
      <c r="CD3" s="2" t="s">
        <v>17</v>
      </c>
      <c r="CE3" s="2" t="s">
        <v>2701</v>
      </c>
      <c r="CF3" s="2" t="s">
        <v>17</v>
      </c>
      <c r="CG3" s="2" t="s">
        <v>2702</v>
      </c>
      <c r="CH3" s="2"/>
      <c r="CI3" s="2"/>
      <c r="CJ3" s="2" t="s">
        <v>9</v>
      </c>
      <c r="CK3" s="2" t="s">
        <v>2703</v>
      </c>
      <c r="CL3" s="2" t="s">
        <v>2702</v>
      </c>
      <c r="CM3" s="2" t="s">
        <v>2704</v>
      </c>
      <c r="CN3" s="2" t="s">
        <v>2705</v>
      </c>
      <c r="CO3" s="2" t="s">
        <v>24</v>
      </c>
      <c r="CP3" s="2"/>
      <c r="CQ3" s="2">
        <v>190</v>
      </c>
      <c r="CR3" s="2" t="s">
        <v>2659</v>
      </c>
      <c r="CS3" s="2">
        <v>2021</v>
      </c>
      <c r="CT3" s="2" t="s">
        <v>26</v>
      </c>
      <c r="CU3" s="2" t="s">
        <v>27</v>
      </c>
      <c r="CV3" s="2" t="s">
        <v>2706</v>
      </c>
      <c r="CW3" s="2" t="s">
        <v>2707</v>
      </c>
      <c r="CX3" s="2" t="s">
        <v>24</v>
      </c>
      <c r="CY3" s="2"/>
      <c r="CZ3" s="2">
        <v>123</v>
      </c>
      <c r="DA3" s="2" t="s">
        <v>2659</v>
      </c>
      <c r="DB3" s="2">
        <v>2020</v>
      </c>
      <c r="DC3" s="2" t="s">
        <v>30</v>
      </c>
      <c r="DD3" s="2" t="s">
        <v>27</v>
      </c>
      <c r="DE3" s="2" t="s">
        <v>2708</v>
      </c>
      <c r="DF3" s="2" t="s">
        <v>2705</v>
      </c>
      <c r="DG3" s="2" t="s">
        <v>24</v>
      </c>
      <c r="DH3" s="2"/>
      <c r="DI3" s="2">
        <v>134</v>
      </c>
      <c r="DJ3" s="2" t="s">
        <v>2659</v>
      </c>
      <c r="DK3" s="2">
        <v>2020</v>
      </c>
      <c r="DL3" s="2" t="s">
        <v>30</v>
      </c>
      <c r="DM3" s="2" t="s">
        <v>27</v>
      </c>
      <c r="DN3" s="2" t="s">
        <v>2663</v>
      </c>
      <c r="DO3" s="2" t="s">
        <v>2709</v>
      </c>
      <c r="DP3" s="2" t="s">
        <v>2710</v>
      </c>
      <c r="DQ3" s="2" t="s">
        <v>2711</v>
      </c>
      <c r="DR3" s="2" t="s">
        <v>2712</v>
      </c>
      <c r="DS3" s="2">
        <v>1</v>
      </c>
      <c r="DT3" s="2" t="s">
        <v>2713</v>
      </c>
      <c r="DU3" s="2" t="s">
        <v>2714</v>
      </c>
      <c r="DV3" s="2" t="s">
        <v>39</v>
      </c>
      <c r="DW3" s="2">
        <v>33016</v>
      </c>
      <c r="DX3" s="2" t="s">
        <v>2715</v>
      </c>
      <c r="DY3" s="2"/>
      <c r="DZ3" s="2" t="s">
        <v>2716</v>
      </c>
      <c r="EA3" s="2" t="s">
        <v>2717</v>
      </c>
      <c r="EB3" s="2" t="s">
        <v>2718</v>
      </c>
      <c r="EC3" s="2" t="s">
        <v>330</v>
      </c>
      <c r="ED3" s="2" t="s">
        <v>44</v>
      </c>
      <c r="EE3" s="2">
        <v>336</v>
      </c>
      <c r="EF3" s="2" t="s">
        <v>2672</v>
      </c>
      <c r="EG3" s="2">
        <v>20</v>
      </c>
      <c r="EH3" s="2" t="s">
        <v>46</v>
      </c>
      <c r="EI3" s="2" t="s">
        <v>47</v>
      </c>
      <c r="EJ3" s="2" t="s">
        <v>2719</v>
      </c>
      <c r="EK3" s="2" t="s">
        <v>2720</v>
      </c>
      <c r="EL3" s="2" t="s">
        <v>44</v>
      </c>
      <c r="EM3" s="2">
        <v>150</v>
      </c>
      <c r="EN3" s="2" t="s">
        <v>2672</v>
      </c>
      <c r="EO3" s="2">
        <v>8</v>
      </c>
      <c r="EP3" s="2" t="s">
        <v>46</v>
      </c>
      <c r="EQ3" s="2" t="s">
        <v>47</v>
      </c>
      <c r="ER3" s="2" t="s">
        <v>2709</v>
      </c>
      <c r="ES3" s="2" t="s">
        <v>2710</v>
      </c>
      <c r="ET3" s="2" t="s">
        <v>2711</v>
      </c>
      <c r="EU3" s="2" t="s">
        <v>2712</v>
      </c>
      <c r="EV3" s="2" t="s">
        <v>2713</v>
      </c>
      <c r="EW3" s="2" t="s">
        <v>2714</v>
      </c>
      <c r="EX3" s="2" t="s">
        <v>39</v>
      </c>
      <c r="EY3" s="2">
        <v>33016</v>
      </c>
      <c r="EZ3" s="2" t="s">
        <v>2715</v>
      </c>
      <c r="FA3" s="2"/>
      <c r="FB3" s="2" t="s">
        <v>2716</v>
      </c>
      <c r="FC3" s="2" t="s">
        <v>2721</v>
      </c>
      <c r="FD3" s="2" t="s">
        <v>400</v>
      </c>
      <c r="FE3" s="2" t="s">
        <v>2722</v>
      </c>
      <c r="FF3" s="2" t="s">
        <v>2712</v>
      </c>
      <c r="FG3" s="2" t="s">
        <v>2713</v>
      </c>
      <c r="FH3" s="2" t="s">
        <v>2714</v>
      </c>
      <c r="FI3" s="2" t="s">
        <v>39</v>
      </c>
      <c r="FJ3" s="2">
        <v>33016</v>
      </c>
      <c r="FK3" s="2" t="s">
        <v>2723</v>
      </c>
      <c r="FL3" s="2"/>
      <c r="FM3" s="2" t="s">
        <v>2724</v>
      </c>
      <c r="FN3" s="2" t="s">
        <v>2725</v>
      </c>
      <c r="FO3" s="2" t="s">
        <v>63</v>
      </c>
      <c r="FP3" s="2" t="s">
        <v>64</v>
      </c>
      <c r="FQ3" s="2" t="s">
        <v>9</v>
      </c>
      <c r="FR3" s="2" t="s">
        <v>17</v>
      </c>
      <c r="FS3" s="2" t="s">
        <v>17</v>
      </c>
      <c r="FT3" s="2" t="s">
        <v>9</v>
      </c>
      <c r="FU3" s="2">
        <v>0</v>
      </c>
      <c r="FV3" s="2">
        <v>0</v>
      </c>
      <c r="FW3" s="4">
        <v>0</v>
      </c>
      <c r="FX3" s="4">
        <v>0</v>
      </c>
      <c r="FY3" s="2" t="s">
        <v>65</v>
      </c>
      <c r="FZ3" s="2" t="s">
        <v>66</v>
      </c>
      <c r="GA3" s="2" t="s">
        <v>67</v>
      </c>
      <c r="GB3" s="2"/>
      <c r="GC3" s="2"/>
      <c r="GD3" s="2"/>
      <c r="GE3" s="2" t="s">
        <v>1612</v>
      </c>
      <c r="GF3" s="2"/>
      <c r="GG3" s="2"/>
      <c r="GH3" s="2"/>
      <c r="GI3" s="2">
        <v>120</v>
      </c>
      <c r="GJ3" s="2"/>
      <c r="GK3" s="2"/>
      <c r="GL3" s="2"/>
      <c r="GM3" s="2"/>
      <c r="GN3" s="2"/>
      <c r="GO3" s="2"/>
      <c r="GP3" s="2"/>
      <c r="GQ3" s="2">
        <v>120</v>
      </c>
      <c r="GR3" s="2" t="s">
        <v>2617</v>
      </c>
      <c r="GS3" s="2" t="s">
        <v>2686</v>
      </c>
      <c r="GT3" s="2" t="s">
        <v>2726</v>
      </c>
      <c r="GU3" s="2" t="s">
        <v>2727</v>
      </c>
      <c r="GV3" s="2" t="s">
        <v>17</v>
      </c>
      <c r="GW3" s="2">
        <v>26.177222</v>
      </c>
      <c r="GX3" s="2">
        <v>-80.272221999999999</v>
      </c>
      <c r="GY3" s="2"/>
      <c r="GZ3" s="2" t="s">
        <v>17</v>
      </c>
      <c r="HA3" s="2">
        <v>0</v>
      </c>
      <c r="HB3" s="2" t="s">
        <v>17</v>
      </c>
      <c r="HC3" s="2"/>
      <c r="HD3" s="2">
        <v>0</v>
      </c>
      <c r="HE3" s="2">
        <v>26.177275000000002</v>
      </c>
      <c r="HF3" s="2">
        <v>-80.267657999999997</v>
      </c>
      <c r="HG3" s="2">
        <v>0.28000000000000003</v>
      </c>
      <c r="HH3" s="2">
        <v>4</v>
      </c>
      <c r="HI3" s="2">
        <v>26.178308000000001</v>
      </c>
      <c r="HJ3" s="2">
        <v>-80.267996999999994</v>
      </c>
      <c r="HK3" s="2">
        <v>0.27</v>
      </c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 t="s">
        <v>73</v>
      </c>
      <c r="HX3" s="2" t="s">
        <v>112</v>
      </c>
      <c r="HY3" s="2" t="s">
        <v>2728</v>
      </c>
      <c r="HZ3" s="2">
        <v>0.98</v>
      </c>
      <c r="IA3" s="2">
        <v>2.5</v>
      </c>
      <c r="IB3" s="2" t="s">
        <v>115</v>
      </c>
      <c r="IC3" s="2" t="s">
        <v>2728</v>
      </c>
      <c r="ID3" s="2">
        <v>0.98</v>
      </c>
      <c r="IE3" s="2">
        <v>2.5</v>
      </c>
      <c r="IF3" s="2"/>
      <c r="IG3" s="2"/>
      <c r="IH3" s="2"/>
      <c r="II3" s="2"/>
      <c r="IJ3" s="2" t="s">
        <v>2729</v>
      </c>
      <c r="IK3" s="2" t="s">
        <v>2730</v>
      </c>
      <c r="IL3" s="2">
        <v>0.64</v>
      </c>
      <c r="IM3" s="2">
        <v>3.5</v>
      </c>
      <c r="IN3" s="2" t="s">
        <v>17</v>
      </c>
      <c r="IO3" s="2"/>
      <c r="IP3" s="2" t="s">
        <v>79</v>
      </c>
      <c r="IQ3" s="2">
        <v>4</v>
      </c>
      <c r="IR3" s="2">
        <v>8.5</v>
      </c>
      <c r="IS3" s="2">
        <v>0</v>
      </c>
      <c r="IT3" s="2">
        <v>12.5</v>
      </c>
      <c r="IU3" s="2" t="s">
        <v>17</v>
      </c>
      <c r="IV3" s="2" t="s">
        <v>17</v>
      </c>
      <c r="IW3" s="2" t="s">
        <v>17</v>
      </c>
      <c r="IX3" s="2" t="s">
        <v>9</v>
      </c>
      <c r="IY3" s="2">
        <v>12.5</v>
      </c>
      <c r="IZ3" s="2">
        <v>120</v>
      </c>
      <c r="JA3" s="2" t="s">
        <v>2731</v>
      </c>
      <c r="JB3" s="2" t="s">
        <v>82</v>
      </c>
      <c r="JC3" s="2"/>
      <c r="JD3" s="2"/>
      <c r="JE3" s="2"/>
      <c r="JF3" s="7">
        <v>0</v>
      </c>
      <c r="JG3" s="7"/>
      <c r="JH3" s="7"/>
      <c r="JI3" s="2">
        <v>0</v>
      </c>
      <c r="JJ3" s="7">
        <v>0</v>
      </c>
      <c r="JK3" s="2">
        <v>0</v>
      </c>
      <c r="JL3" s="7">
        <v>0</v>
      </c>
      <c r="JM3" s="2">
        <v>18</v>
      </c>
      <c r="JN3" s="2"/>
      <c r="JO3" s="2">
        <v>48</v>
      </c>
      <c r="JP3" s="2">
        <v>54</v>
      </c>
      <c r="JQ3" s="2"/>
      <c r="JR3" s="2">
        <v>0</v>
      </c>
      <c r="JS3" s="2">
        <v>0</v>
      </c>
      <c r="JT3" s="2"/>
      <c r="JU3" s="2"/>
      <c r="JV3" s="2">
        <v>120</v>
      </c>
      <c r="JW3" s="4">
        <v>1</v>
      </c>
      <c r="JX3" s="2">
        <v>120</v>
      </c>
      <c r="JY3" s="4">
        <v>0.6</v>
      </c>
      <c r="JZ3" s="2">
        <v>0</v>
      </c>
      <c r="KA3" s="2"/>
      <c r="KB3" s="2"/>
      <c r="KC3" s="2"/>
      <c r="KD3" s="2"/>
      <c r="KE3" s="2"/>
      <c r="KF3" s="2"/>
      <c r="KG3" s="2"/>
      <c r="KH3" s="2">
        <v>10</v>
      </c>
      <c r="KI3" s="2"/>
      <c r="KJ3" s="2"/>
      <c r="KK3" s="2">
        <v>100</v>
      </c>
      <c r="KL3" s="2">
        <v>10</v>
      </c>
      <c r="KM3" s="2"/>
      <c r="KN3" s="2"/>
      <c r="KO3" s="2"/>
      <c r="KP3" s="2"/>
      <c r="KQ3" s="2" t="s">
        <v>83</v>
      </c>
      <c r="KR3" s="2" t="s">
        <v>73</v>
      </c>
      <c r="KS3" s="2"/>
      <c r="KT3" s="2">
        <v>1</v>
      </c>
      <c r="KU3" s="2" t="s">
        <v>84</v>
      </c>
      <c r="KV3" s="2" t="s">
        <v>85</v>
      </c>
      <c r="KW3" s="2" t="s">
        <v>86</v>
      </c>
      <c r="KX3" s="2" t="s">
        <v>17</v>
      </c>
      <c r="KY3" s="2" t="s">
        <v>17</v>
      </c>
      <c r="KZ3" s="2" t="s">
        <v>17</v>
      </c>
      <c r="LA3" s="2" t="s">
        <v>17</v>
      </c>
      <c r="LB3" s="2" t="s">
        <v>17</v>
      </c>
      <c r="LC3" s="2" t="s">
        <v>17</v>
      </c>
      <c r="LD3" s="2" t="s">
        <v>17</v>
      </c>
      <c r="LE3" s="2" t="s">
        <v>17</v>
      </c>
      <c r="LF3" s="2" t="s">
        <v>17</v>
      </c>
      <c r="LG3" s="2" t="s">
        <v>17</v>
      </c>
      <c r="LH3" s="2" t="s">
        <v>17</v>
      </c>
      <c r="LI3" s="2" t="s">
        <v>17</v>
      </c>
      <c r="LJ3" s="2" t="s">
        <v>87</v>
      </c>
      <c r="LK3" s="2" t="s">
        <v>17</v>
      </c>
      <c r="LL3" s="2" t="s">
        <v>17</v>
      </c>
      <c r="LM3" s="2">
        <v>0</v>
      </c>
      <c r="LN3" s="2" t="s">
        <v>17</v>
      </c>
      <c r="LO3" s="2" t="s">
        <v>9</v>
      </c>
      <c r="LP3" s="2" t="s">
        <v>9</v>
      </c>
      <c r="LQ3" s="2" t="s">
        <v>17</v>
      </c>
      <c r="LR3" s="2" t="s">
        <v>9</v>
      </c>
      <c r="LS3" s="2" t="s">
        <v>17</v>
      </c>
      <c r="LT3" s="2" t="s">
        <v>17</v>
      </c>
      <c r="LU3" s="2" t="s">
        <v>17</v>
      </c>
      <c r="LV3" s="2" t="s">
        <v>17</v>
      </c>
      <c r="LW3" s="2" t="s">
        <v>17</v>
      </c>
      <c r="LX3" s="2" t="s">
        <v>17</v>
      </c>
      <c r="LY3" s="5">
        <v>6500000</v>
      </c>
      <c r="LZ3" s="5">
        <v>0</v>
      </c>
      <c r="MA3" s="5">
        <v>8400000</v>
      </c>
      <c r="MB3" s="5">
        <v>0</v>
      </c>
      <c r="MC3" s="5">
        <v>0</v>
      </c>
      <c r="MD3" s="5">
        <v>0</v>
      </c>
      <c r="ME3" s="5">
        <v>10000000</v>
      </c>
      <c r="MF3" s="5">
        <v>0</v>
      </c>
      <c r="MG3" s="5">
        <v>0</v>
      </c>
      <c r="MH3" s="5">
        <v>0</v>
      </c>
      <c r="MI3" s="5">
        <v>0</v>
      </c>
      <c r="MJ3" s="5">
        <v>0</v>
      </c>
      <c r="MK3" s="5">
        <v>0</v>
      </c>
      <c r="ML3" s="2">
        <v>0</v>
      </c>
      <c r="MM3" s="5">
        <v>0</v>
      </c>
      <c r="MN3" s="5">
        <v>0</v>
      </c>
      <c r="MO3" s="2">
        <v>0</v>
      </c>
      <c r="MP3" s="2">
        <v>0</v>
      </c>
      <c r="MQ3" s="2">
        <v>0</v>
      </c>
      <c r="MR3" s="5">
        <v>2950000</v>
      </c>
      <c r="MS3" s="5">
        <v>0</v>
      </c>
      <c r="MT3" s="5">
        <v>4600000</v>
      </c>
      <c r="MU3" s="5">
        <v>0</v>
      </c>
      <c r="MV3" s="5">
        <v>0</v>
      </c>
      <c r="MW3" s="5">
        <v>0</v>
      </c>
      <c r="MX3" s="5">
        <v>0</v>
      </c>
      <c r="MY3" s="5">
        <v>2500000</v>
      </c>
      <c r="MZ3" s="5">
        <v>0</v>
      </c>
      <c r="NA3" s="5">
        <v>5000000</v>
      </c>
      <c r="NB3" s="5">
        <v>0</v>
      </c>
      <c r="NC3" s="5">
        <v>0</v>
      </c>
      <c r="ND3" s="5">
        <v>0</v>
      </c>
      <c r="NE3" s="5">
        <v>0</v>
      </c>
      <c r="NF3" s="5">
        <v>0</v>
      </c>
      <c r="NG3" s="5">
        <v>3458400</v>
      </c>
      <c r="NH3" s="5">
        <v>3290000</v>
      </c>
      <c r="NI3" s="5">
        <v>3290000</v>
      </c>
      <c r="NJ3" s="2" t="s">
        <v>17</v>
      </c>
      <c r="NK3" s="2"/>
      <c r="NL3" s="2"/>
      <c r="NM3" s="2" t="s">
        <v>17</v>
      </c>
      <c r="NN3" s="2"/>
      <c r="NO3" s="2" t="s">
        <v>9</v>
      </c>
      <c r="NP3" s="2">
        <v>33351</v>
      </c>
      <c r="NQ3" s="2" t="s">
        <v>2732</v>
      </c>
      <c r="NR3" s="2" t="s">
        <v>17</v>
      </c>
      <c r="NS3" s="2"/>
      <c r="NT3" s="2" t="s">
        <v>17</v>
      </c>
      <c r="NU3" s="2"/>
      <c r="NV3" s="2"/>
      <c r="NW3" s="2"/>
      <c r="NX3" s="2" t="s">
        <v>9</v>
      </c>
      <c r="NY3" s="2" t="s">
        <v>119</v>
      </c>
      <c r="NZ3" s="2">
        <v>601.16</v>
      </c>
      <c r="OA3" s="2" t="s">
        <v>2733</v>
      </c>
      <c r="OB3" s="2" t="s">
        <v>2734</v>
      </c>
      <c r="OC3" s="2" t="s">
        <v>2734</v>
      </c>
      <c r="OD3" s="2" t="s">
        <v>17</v>
      </c>
      <c r="OE3" s="2" t="s">
        <v>119</v>
      </c>
      <c r="OF3" s="2" t="s">
        <v>9</v>
      </c>
      <c r="OG3" s="2" t="s">
        <v>557</v>
      </c>
      <c r="OH3" s="2" t="s">
        <v>17</v>
      </c>
      <c r="OI3" s="2" t="s">
        <v>17</v>
      </c>
      <c r="OJ3" s="2" t="s">
        <v>85</v>
      </c>
      <c r="OK3" s="6">
        <v>0</v>
      </c>
      <c r="OL3" s="6">
        <v>0</v>
      </c>
      <c r="OM3" s="2" t="s">
        <v>93</v>
      </c>
      <c r="ON3" s="2" t="s">
        <v>93</v>
      </c>
      <c r="OO3" s="6">
        <v>0</v>
      </c>
      <c r="OP3" s="6">
        <v>0</v>
      </c>
      <c r="OQ3" s="4">
        <v>0</v>
      </c>
      <c r="OR3" s="6">
        <v>0</v>
      </c>
      <c r="OS3" s="4">
        <v>0</v>
      </c>
      <c r="OT3" s="2" t="s">
        <v>17</v>
      </c>
      <c r="OU3" s="2" t="s">
        <v>17</v>
      </c>
      <c r="OV3" s="2"/>
      <c r="OW3" s="2"/>
      <c r="OX3" s="5">
        <v>19269004</v>
      </c>
      <c r="OY3" s="6">
        <v>160575.03</v>
      </c>
      <c r="OZ3" s="2"/>
      <c r="PA3" s="2"/>
      <c r="PB3" s="2"/>
      <c r="PC3" s="2"/>
      <c r="PD3" s="8">
        <v>21727800</v>
      </c>
      <c r="PE3" s="8">
        <v>495000</v>
      </c>
      <c r="PF3" s="8">
        <v>22222800</v>
      </c>
      <c r="PG3" s="2"/>
      <c r="PH3" s="2"/>
      <c r="PI3" s="2"/>
      <c r="PJ3" s="2"/>
      <c r="PK3" s="2"/>
      <c r="PL3" s="2"/>
      <c r="PM3" s="8">
        <v>21727800</v>
      </c>
      <c r="PN3" s="8">
        <v>495000</v>
      </c>
      <c r="PO3" s="8">
        <v>22222800</v>
      </c>
      <c r="PP3" s="8">
        <v>3041892</v>
      </c>
      <c r="PQ3" s="8">
        <v>69299</v>
      </c>
      <c r="PR3" s="8">
        <v>3111191</v>
      </c>
      <c r="PS3" s="6">
        <v>3111192</v>
      </c>
      <c r="PT3" s="8">
        <v>24769692</v>
      </c>
      <c r="PU3" s="8">
        <v>564299</v>
      </c>
      <c r="PV3" s="8">
        <v>25333991</v>
      </c>
      <c r="PW3" s="8">
        <v>1266699</v>
      </c>
      <c r="PX3" s="2"/>
      <c r="PY3" s="8">
        <v>1266699</v>
      </c>
      <c r="PZ3" s="6">
        <v>1266699.55</v>
      </c>
      <c r="QA3" s="8">
        <v>1148500</v>
      </c>
      <c r="QB3" s="8">
        <v>170000</v>
      </c>
      <c r="QC3" s="8">
        <v>1318500</v>
      </c>
      <c r="QD3" s="8">
        <v>144000</v>
      </c>
      <c r="QE3" s="2"/>
      <c r="QF3" s="8">
        <v>144000</v>
      </c>
      <c r="QG3" s="8">
        <v>834000</v>
      </c>
      <c r="QH3" s="2"/>
      <c r="QI3" s="8">
        <v>834000</v>
      </c>
      <c r="QJ3" s="2"/>
      <c r="QK3" s="8">
        <v>496000</v>
      </c>
      <c r="QL3" s="8">
        <v>496000</v>
      </c>
      <c r="QM3" s="2"/>
      <c r="QN3" s="2"/>
      <c r="QO3" s="2"/>
      <c r="QP3" s="8">
        <v>228000</v>
      </c>
      <c r="QQ3" s="2"/>
      <c r="QR3" s="8">
        <v>228000</v>
      </c>
      <c r="QS3" s="8">
        <v>2354500</v>
      </c>
      <c r="QT3" s="8">
        <v>666000</v>
      </c>
      <c r="QU3" s="8">
        <v>3020500</v>
      </c>
      <c r="QV3" s="2"/>
      <c r="QW3" s="8">
        <v>151024</v>
      </c>
      <c r="QX3" s="8">
        <v>151024</v>
      </c>
      <c r="QY3" s="6">
        <v>151025</v>
      </c>
      <c r="QZ3" s="8">
        <v>1725625</v>
      </c>
      <c r="RA3" s="2"/>
      <c r="RB3" s="8">
        <v>1725625</v>
      </c>
      <c r="RC3" s="8">
        <v>152250</v>
      </c>
      <c r="RD3" s="8">
        <v>152250</v>
      </c>
      <c r="RE3" s="2"/>
      <c r="RF3" s="8">
        <v>40000</v>
      </c>
      <c r="RG3" s="8">
        <v>40000</v>
      </c>
      <c r="RH3" s="8">
        <v>1725625</v>
      </c>
      <c r="RI3" s="8">
        <v>192250</v>
      </c>
      <c r="RJ3" s="8">
        <v>1917875</v>
      </c>
      <c r="RK3" s="2"/>
      <c r="RL3" s="2"/>
      <c r="RM3" s="8">
        <v>30116516</v>
      </c>
      <c r="RN3" s="8">
        <v>1573573</v>
      </c>
      <c r="RO3" s="8">
        <v>31690089</v>
      </c>
      <c r="RP3" s="2">
        <v>0</v>
      </c>
      <c r="RQ3" s="6">
        <v>0</v>
      </c>
      <c r="RR3" s="8">
        <v>5070413</v>
      </c>
      <c r="RS3" s="2"/>
      <c r="RT3" s="8">
        <v>5070413</v>
      </c>
      <c r="RU3" s="6">
        <v>5070414</v>
      </c>
      <c r="RV3" s="6">
        <v>0</v>
      </c>
      <c r="RW3" s="8">
        <v>5070413</v>
      </c>
      <c r="RX3" s="2"/>
      <c r="RY3" s="8">
        <v>5070413</v>
      </c>
      <c r="RZ3" s="6">
        <v>5070414</v>
      </c>
      <c r="SA3" s="8">
        <v>392995</v>
      </c>
      <c r="SB3" s="8">
        <v>392995</v>
      </c>
      <c r="SC3" s="6">
        <v>420000</v>
      </c>
      <c r="SD3" s="8">
        <v>3200000</v>
      </c>
      <c r="SE3" s="8">
        <v>3200000</v>
      </c>
      <c r="SF3" s="8">
        <v>35186929</v>
      </c>
      <c r="SG3" s="8">
        <v>5166568</v>
      </c>
      <c r="SH3" s="8">
        <v>40353497</v>
      </c>
      <c r="SI3" s="2"/>
      <c r="SJ3" s="2"/>
      <c r="SK3" s="2" t="s">
        <v>2735</v>
      </c>
      <c r="SL3" s="2" t="s">
        <v>2736</v>
      </c>
      <c r="SM3" s="8">
        <v>25000000</v>
      </c>
      <c r="SN3" s="2" t="s">
        <v>95</v>
      </c>
      <c r="SO3" s="2"/>
      <c r="SP3" s="2"/>
      <c r="SQ3" s="2"/>
      <c r="SR3" s="2"/>
      <c r="SS3" s="2" t="s">
        <v>96</v>
      </c>
      <c r="ST3" s="2" t="s">
        <v>96</v>
      </c>
      <c r="SU3" s="2" t="s">
        <v>96</v>
      </c>
      <c r="SV3" s="2" t="s">
        <v>96</v>
      </c>
      <c r="SW3" s="8">
        <v>12246695</v>
      </c>
      <c r="SX3" s="2" t="s">
        <v>2737</v>
      </c>
      <c r="SY3" s="8">
        <v>100000</v>
      </c>
      <c r="SZ3" s="2" t="s">
        <v>180</v>
      </c>
      <c r="TA3" s="8">
        <v>3006802</v>
      </c>
      <c r="TB3" s="8">
        <v>40353497</v>
      </c>
      <c r="TC3" s="2">
        <v>0</v>
      </c>
      <c r="TD3" s="2" t="s">
        <v>9</v>
      </c>
      <c r="TE3" s="8">
        <v>9100000</v>
      </c>
      <c r="TF3" s="2" t="s">
        <v>95</v>
      </c>
      <c r="TG3" s="2"/>
      <c r="TH3" s="2"/>
      <c r="TI3" s="2"/>
      <c r="TJ3" s="2"/>
      <c r="TK3" s="2" t="s">
        <v>96</v>
      </c>
      <c r="TL3" s="2" t="s">
        <v>96</v>
      </c>
      <c r="TM3" s="2" t="s">
        <v>96</v>
      </c>
      <c r="TN3" s="2" t="s">
        <v>96</v>
      </c>
      <c r="TO3" s="8">
        <v>30616740</v>
      </c>
      <c r="TP3" s="2" t="s">
        <v>2738</v>
      </c>
      <c r="TQ3" s="8">
        <v>100000</v>
      </c>
      <c r="TR3" s="2" t="s">
        <v>180</v>
      </c>
      <c r="TS3" s="8">
        <v>536757</v>
      </c>
      <c r="TT3" s="8">
        <v>40353497</v>
      </c>
      <c r="TU3" s="6">
        <v>9200000</v>
      </c>
      <c r="TV3" s="2">
        <v>0</v>
      </c>
      <c r="TW3" s="2" t="s">
        <v>9</v>
      </c>
      <c r="TX3" s="2">
        <v>120</v>
      </c>
      <c r="TY3" s="5">
        <v>290000</v>
      </c>
      <c r="TZ3" s="6">
        <v>386666.67</v>
      </c>
      <c r="UA3" s="6">
        <v>386666.67</v>
      </c>
      <c r="UB3" s="6">
        <v>409866.67</v>
      </c>
      <c r="UC3" s="6">
        <v>49184000</v>
      </c>
      <c r="UD3" s="6">
        <v>7869440</v>
      </c>
      <c r="UE3" s="2" t="s">
        <v>97</v>
      </c>
      <c r="UF3" s="6">
        <v>7869440</v>
      </c>
      <c r="UG3" s="6">
        <v>57053440</v>
      </c>
      <c r="UH3" s="6">
        <v>36760502</v>
      </c>
      <c r="UI3" s="4">
        <v>0.99990000000000001</v>
      </c>
      <c r="UJ3" s="2" t="s">
        <v>9</v>
      </c>
      <c r="UK3" s="2"/>
      <c r="UL3" s="2"/>
      <c r="UM3" s="6">
        <v>0</v>
      </c>
      <c r="UN3" s="6">
        <v>100000</v>
      </c>
      <c r="UO3" s="6">
        <v>100000</v>
      </c>
      <c r="UP3" s="2"/>
      <c r="UQ3" s="6">
        <v>0</v>
      </c>
      <c r="UR3" s="6">
        <v>0</v>
      </c>
      <c r="US3" s="6">
        <v>100000</v>
      </c>
      <c r="UT3" s="6">
        <v>0</v>
      </c>
      <c r="UU3" s="6">
        <v>100000</v>
      </c>
      <c r="UV3" s="2" t="s">
        <v>2739</v>
      </c>
      <c r="UW3" s="2" t="s">
        <v>453</v>
      </c>
      <c r="UX3" s="2" t="s">
        <v>17</v>
      </c>
      <c r="UY3" s="2" t="s">
        <v>17</v>
      </c>
      <c r="UZ3" s="2" t="s">
        <v>17</v>
      </c>
      <c r="VA3" s="2" t="s">
        <v>17</v>
      </c>
      <c r="VB3" s="2" t="s">
        <v>2740</v>
      </c>
      <c r="VC3" s="2" t="s">
        <v>17</v>
      </c>
      <c r="VD3" s="2" t="s">
        <v>17</v>
      </c>
      <c r="VE3" s="2" t="s">
        <v>17</v>
      </c>
      <c r="VF3" s="2"/>
      <c r="VG3" s="2" t="s">
        <v>2741</v>
      </c>
      <c r="VH3" s="2"/>
      <c r="VI3" s="388" t="s">
        <v>2742</v>
      </c>
      <c r="VJ3" s="2" t="s">
        <v>98</v>
      </c>
      <c r="VK3" s="2" t="s">
        <v>536</v>
      </c>
      <c r="VL3" s="23">
        <f t="shared" si="0"/>
        <v>240</v>
      </c>
      <c r="VM3" s="17">
        <f t="shared" si="1"/>
        <v>2</v>
      </c>
      <c r="VN3" s="17" t="str">
        <f t="shared" si="2"/>
        <v>NC-MR-F</v>
      </c>
      <c r="VO3" s="17" t="str">
        <f t="shared" ref="VO3:VO30" si="14">VN3&amp;"-"&amp;RIGHT(VX3,3)</f>
        <v>NC-MR-F-ESS</v>
      </c>
      <c r="VP3" s="12">
        <v>9</v>
      </c>
      <c r="VQ3" s="57">
        <v>1</v>
      </c>
      <c r="VR3" s="14">
        <f t="shared" si="3"/>
        <v>0.88</v>
      </c>
      <c r="VS3" s="14">
        <f t="shared" si="4"/>
        <v>1</v>
      </c>
      <c r="VT3" s="12">
        <f t="shared" si="5"/>
        <v>0.90210000000000001</v>
      </c>
      <c r="VU3" s="29">
        <f t="shared" si="6"/>
        <v>23505839.280000001</v>
      </c>
      <c r="VV3" s="29">
        <f t="shared" si="7"/>
        <v>195881.99400000001</v>
      </c>
      <c r="VW3" s="12" t="str">
        <f t="shared" ref="VW3:VW30" si="15">IF(RANK(VV3,VV$2:VV$30,1)&lt;=ROUNDUP(80%*VW$1,0),"A","B")</f>
        <v>A</v>
      </c>
      <c r="VX3" s="12" t="str">
        <f t="shared" si="8"/>
        <v>NC-MR-ESS</v>
      </c>
      <c r="VY3" s="351">
        <f t="shared" ref="VY3:VY30" si="16">IF(RANK(VV3,VV$2:VV$30,1)&lt;=ROUNDUP(10%*VW$1,0),1,IF(RANK(VV3,VV$2:VV$30,1)&lt;=ROUNDUP(30%*VW$1,0),2,IF(RANK(VV3,VV$2:VV$30,1)&lt;=ROUNDUP(50%*VW$1,0),3,IF(RANK(VV3,VV$2:VV$30,1)&lt;=ROUNDUP(70%*VW$1,0),4,5))))</f>
        <v>1</v>
      </c>
      <c r="VZ3" s="12"/>
      <c r="WA3" s="12">
        <f t="shared" ref="WA3:WA30" si="17">IF(BW3="Elderly Non-ALF",1,0)</f>
        <v>0</v>
      </c>
      <c r="WB3" s="12">
        <f t="shared" ref="WB3:WB30" si="18">IF(OR(VQ3=1,N(VQ3)=0),0,1)</f>
        <v>0</v>
      </c>
      <c r="WC3" s="12">
        <f t="shared" ref="WC3:WC30" si="19">IF(OR(VR3=1,N(VR3)=0),0,1)</f>
        <v>1</v>
      </c>
      <c r="WD3" s="12">
        <f t="shared" ref="WD3:WD30" si="20">IF(OR(VS3=1,N(VS3)=0),0,1)</f>
        <v>0</v>
      </c>
      <c r="WE3" s="12">
        <f t="shared" ref="WE3:WE30" si="21">IF(GG3+GI3+GK3+GL3&gt;0,1,0)</f>
        <v>1</v>
      </c>
      <c r="WF3" s="12">
        <f t="shared" si="9"/>
        <v>0</v>
      </c>
      <c r="WG3" s="12">
        <f t="shared" si="10"/>
        <v>1</v>
      </c>
      <c r="WH3" s="12">
        <f t="shared" si="11"/>
        <v>0</v>
      </c>
      <c r="WI3" s="31">
        <f t="shared" si="12"/>
        <v>3</v>
      </c>
      <c r="WJ3" s="2"/>
      <c r="WK3" s="444" t="str">
        <f t="shared" si="13"/>
        <v>NC-MR-ESS-BBN-BRY-NPH-F</v>
      </c>
      <c r="WL3" s="444"/>
      <c r="WM3" s="444"/>
      <c r="WN3" s="12"/>
      <c r="WO3" s="380" t="s">
        <v>2627</v>
      </c>
      <c r="WP3" s="144">
        <f>COUNTIFS($WB$2:$WB$72,"=1",$WA$2:$WA$72,"=1")</f>
        <v>0</v>
      </c>
      <c r="WQ3" s="384"/>
      <c r="WR3" s="144">
        <f>COUNTIFS($WB$2:$WB$72,"=1",$WC$2:$WC$72,"=1")</f>
        <v>0</v>
      </c>
      <c r="WS3" s="144">
        <f>COUNTIFS($WB$2:$WB$72,"=1",$WD$2:$WD$72,"=1")</f>
        <v>0</v>
      </c>
      <c r="WT3" s="144">
        <f>COUNTIFS($WB$2:$WB$72,"=1",$WF$2:$WF$72,"=1")</f>
        <v>0</v>
      </c>
      <c r="WU3" s="144">
        <f>COUNTIFS($WB$2:$WB$72,"=1",$WG$2:$WG$72,"=1")</f>
        <v>0</v>
      </c>
      <c r="WV3" s="144">
        <f>COUNTIFS($WB$2:$WB$72,"=1",$WH$2:$WH$72,"=1")</f>
        <v>0</v>
      </c>
      <c r="WW3" s="144">
        <f>COUNTIFS($WB$2:$WB$72,"=1",$WE$2:$WE$72,"=1")</f>
        <v>0</v>
      </c>
      <c r="WX3" s="205">
        <f>COUNTIF($WB$2:$WB$72,"=1")</f>
        <v>0</v>
      </c>
    </row>
    <row r="4" spans="1:622" x14ac:dyDescent="0.25">
      <c r="A4" s="2">
        <v>9601</v>
      </c>
      <c r="B4" s="2" t="s">
        <v>2743</v>
      </c>
      <c r="C4" s="2" t="s">
        <v>2652</v>
      </c>
      <c r="D4" s="3">
        <v>45152</v>
      </c>
      <c r="E4" s="2" t="s">
        <v>9</v>
      </c>
      <c r="F4" s="2">
        <v>3</v>
      </c>
      <c r="G4" s="2" t="s">
        <v>9</v>
      </c>
      <c r="H4" s="2">
        <v>3</v>
      </c>
      <c r="I4" s="2" t="s">
        <v>9</v>
      </c>
      <c r="J4" s="2">
        <v>2</v>
      </c>
      <c r="K4" s="2" t="s">
        <v>9</v>
      </c>
      <c r="L4" s="2">
        <v>3</v>
      </c>
      <c r="M4" s="2" t="s">
        <v>10</v>
      </c>
      <c r="N4" s="2">
        <v>0</v>
      </c>
      <c r="O4" s="2" t="s">
        <v>10</v>
      </c>
      <c r="P4" s="2">
        <v>0</v>
      </c>
      <c r="Q4" s="2" t="s">
        <v>11</v>
      </c>
      <c r="R4" s="2">
        <v>0</v>
      </c>
      <c r="S4" s="2" t="s">
        <v>9</v>
      </c>
      <c r="T4" s="2">
        <v>2</v>
      </c>
      <c r="U4" s="2" t="s">
        <v>9</v>
      </c>
      <c r="V4" s="2">
        <v>2</v>
      </c>
      <c r="W4" s="2" t="s">
        <v>9</v>
      </c>
      <c r="X4" s="2">
        <v>2</v>
      </c>
      <c r="Y4" s="2" t="s">
        <v>12</v>
      </c>
      <c r="Z4" s="2" t="s">
        <v>1667</v>
      </c>
      <c r="AA4" s="2" t="s">
        <v>604</v>
      </c>
      <c r="AB4" s="2" t="s">
        <v>15</v>
      </c>
      <c r="AC4" s="2" t="s">
        <v>15</v>
      </c>
      <c r="AD4" s="2" t="s">
        <v>15</v>
      </c>
      <c r="AE4" s="2" t="s">
        <v>15</v>
      </c>
      <c r="AF4" s="2">
        <v>2</v>
      </c>
      <c r="AG4" s="2" t="s">
        <v>539</v>
      </c>
      <c r="AH4" s="2" t="s">
        <v>17</v>
      </c>
      <c r="AI4" s="4">
        <v>0.25</v>
      </c>
      <c r="AJ4" s="2" t="s">
        <v>17</v>
      </c>
      <c r="AK4" s="2" t="s">
        <v>9</v>
      </c>
      <c r="AL4" s="2" t="s">
        <v>17</v>
      </c>
      <c r="AM4" s="2" t="s">
        <v>17</v>
      </c>
      <c r="AN4" s="2" t="s">
        <v>17</v>
      </c>
      <c r="AO4" s="2" t="s">
        <v>17</v>
      </c>
      <c r="AP4" s="2" t="s">
        <v>9</v>
      </c>
      <c r="AQ4" s="2" t="s">
        <v>17</v>
      </c>
      <c r="AR4" s="2" t="s">
        <v>9</v>
      </c>
      <c r="AS4" s="2" t="s">
        <v>9</v>
      </c>
      <c r="AT4" s="2">
        <v>5</v>
      </c>
      <c r="AU4" s="5">
        <v>75000</v>
      </c>
      <c r="AV4" s="5">
        <v>640000</v>
      </c>
      <c r="AW4" s="2">
        <v>0</v>
      </c>
      <c r="AX4" s="2">
        <v>9</v>
      </c>
      <c r="AY4" s="2">
        <v>0</v>
      </c>
      <c r="AZ4" s="2">
        <v>18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1</v>
      </c>
      <c r="BG4" s="2">
        <v>0</v>
      </c>
      <c r="BH4" s="2">
        <v>0</v>
      </c>
      <c r="BI4" s="2">
        <v>13</v>
      </c>
      <c r="BJ4" s="2">
        <v>1</v>
      </c>
      <c r="BK4" s="2">
        <v>0</v>
      </c>
      <c r="BL4" s="2">
        <v>3</v>
      </c>
      <c r="BM4" s="2">
        <v>0</v>
      </c>
      <c r="BN4" s="2">
        <v>12</v>
      </c>
      <c r="BO4" s="2">
        <v>11</v>
      </c>
      <c r="BP4" s="2">
        <v>0</v>
      </c>
      <c r="BQ4" s="2">
        <v>10</v>
      </c>
      <c r="BR4" s="2">
        <v>13.55</v>
      </c>
      <c r="BS4" s="2">
        <v>0</v>
      </c>
      <c r="BT4" s="4">
        <v>0.06</v>
      </c>
      <c r="BU4" s="2" t="s">
        <v>9</v>
      </c>
      <c r="BV4" s="6">
        <v>161675.79999999999</v>
      </c>
      <c r="BW4" s="2" t="s">
        <v>18</v>
      </c>
      <c r="BX4" s="2" t="s">
        <v>17</v>
      </c>
      <c r="BY4" s="2" t="s">
        <v>17</v>
      </c>
      <c r="BZ4" s="2" t="s">
        <v>17</v>
      </c>
      <c r="CA4" s="2" t="s">
        <v>17</v>
      </c>
      <c r="CB4" s="2" t="s">
        <v>17</v>
      </c>
      <c r="CC4" s="2" t="s">
        <v>17</v>
      </c>
      <c r="CD4" s="2" t="s">
        <v>17</v>
      </c>
      <c r="CE4" s="2" t="s">
        <v>2744</v>
      </c>
      <c r="CF4" s="2" t="s">
        <v>17</v>
      </c>
      <c r="CG4" s="2" t="s">
        <v>2745</v>
      </c>
      <c r="CH4" s="2" t="s">
        <v>2746</v>
      </c>
      <c r="CI4" s="2"/>
      <c r="CJ4" s="2" t="s">
        <v>9</v>
      </c>
      <c r="CK4" s="2" t="s">
        <v>1523</v>
      </c>
      <c r="CL4" s="2" t="s">
        <v>2745</v>
      </c>
      <c r="CM4" s="2" t="s">
        <v>2747</v>
      </c>
      <c r="CN4" s="2" t="s">
        <v>1243</v>
      </c>
      <c r="CO4" s="2" t="s">
        <v>24</v>
      </c>
      <c r="CP4" s="2"/>
      <c r="CQ4" s="2">
        <v>192</v>
      </c>
      <c r="CR4" s="2" t="s">
        <v>2748</v>
      </c>
      <c r="CS4" s="2">
        <v>2021</v>
      </c>
      <c r="CT4" s="2" t="s">
        <v>26</v>
      </c>
      <c r="CU4" s="2" t="s">
        <v>27</v>
      </c>
      <c r="CV4" s="2" t="s">
        <v>1276</v>
      </c>
      <c r="CW4" s="2" t="s">
        <v>1277</v>
      </c>
      <c r="CX4" s="2" t="s">
        <v>24</v>
      </c>
      <c r="CY4" s="2"/>
      <c r="CZ4" s="2">
        <v>144</v>
      </c>
      <c r="DA4" s="2" t="s">
        <v>2748</v>
      </c>
      <c r="DB4" s="2">
        <v>2020</v>
      </c>
      <c r="DC4" s="2" t="s">
        <v>30</v>
      </c>
      <c r="DD4" s="2" t="s">
        <v>27</v>
      </c>
      <c r="DE4" s="2" t="s">
        <v>1278</v>
      </c>
      <c r="DF4" s="2" t="s">
        <v>1279</v>
      </c>
      <c r="DG4" s="2" t="s">
        <v>853</v>
      </c>
      <c r="DH4" s="2"/>
      <c r="DI4" s="2">
        <v>404</v>
      </c>
      <c r="DJ4" s="2" t="s">
        <v>2748</v>
      </c>
      <c r="DK4" s="2">
        <v>2018</v>
      </c>
      <c r="DL4" s="2" t="s">
        <v>26</v>
      </c>
      <c r="DM4" s="2" t="s">
        <v>27</v>
      </c>
      <c r="DN4" s="2" t="s">
        <v>2663</v>
      </c>
      <c r="DO4" s="2" t="s">
        <v>2749</v>
      </c>
      <c r="DP4" s="2"/>
      <c r="DQ4" s="2" t="s">
        <v>2750</v>
      </c>
      <c r="DR4" s="2" t="s">
        <v>2751</v>
      </c>
      <c r="DS4" s="2">
        <v>1</v>
      </c>
      <c r="DT4" s="2" t="s">
        <v>2752</v>
      </c>
      <c r="DU4" s="2" t="s">
        <v>627</v>
      </c>
      <c r="DV4" s="2" t="s">
        <v>39</v>
      </c>
      <c r="DW4" s="2">
        <v>33405</v>
      </c>
      <c r="DX4" s="2" t="s">
        <v>2753</v>
      </c>
      <c r="DY4" s="2">
        <v>1104</v>
      </c>
      <c r="DZ4" s="2" t="s">
        <v>2754</v>
      </c>
      <c r="EA4" s="2" t="s">
        <v>2751</v>
      </c>
      <c r="EB4" s="2" t="s">
        <v>2755</v>
      </c>
      <c r="EC4" s="2" t="s">
        <v>2756</v>
      </c>
      <c r="ED4" s="2" t="s">
        <v>44</v>
      </c>
      <c r="EE4" s="2">
        <v>99</v>
      </c>
      <c r="EF4" s="2" t="s">
        <v>2757</v>
      </c>
      <c r="EG4" s="2">
        <v>6</v>
      </c>
      <c r="EH4" s="2" t="s">
        <v>46</v>
      </c>
      <c r="EI4" s="2" t="s">
        <v>47</v>
      </c>
      <c r="EJ4" s="2" t="s">
        <v>2758</v>
      </c>
      <c r="EK4" s="2" t="s">
        <v>2756</v>
      </c>
      <c r="EL4" s="2" t="s">
        <v>44</v>
      </c>
      <c r="EM4" s="2">
        <v>125</v>
      </c>
      <c r="EN4" s="2" t="s">
        <v>2757</v>
      </c>
      <c r="EO4" s="2">
        <v>5</v>
      </c>
      <c r="EP4" s="2" t="s">
        <v>46</v>
      </c>
      <c r="EQ4" s="2" t="s">
        <v>47</v>
      </c>
      <c r="ER4" s="2" t="s">
        <v>1293</v>
      </c>
      <c r="ES4" s="2"/>
      <c r="ET4" s="2" t="s">
        <v>1294</v>
      </c>
      <c r="EU4" s="2" t="s">
        <v>2759</v>
      </c>
      <c r="EV4" s="2" t="s">
        <v>1801</v>
      </c>
      <c r="EW4" s="2" t="s">
        <v>1297</v>
      </c>
      <c r="EX4" s="2" t="s">
        <v>39</v>
      </c>
      <c r="EY4" s="2">
        <v>33444</v>
      </c>
      <c r="EZ4" s="2" t="s">
        <v>2760</v>
      </c>
      <c r="FA4" s="2"/>
      <c r="FB4" s="2" t="s">
        <v>1299</v>
      </c>
      <c r="FC4" s="2" t="s">
        <v>50</v>
      </c>
      <c r="FD4" s="2"/>
      <c r="FE4" s="2" t="s">
        <v>2761</v>
      </c>
      <c r="FF4" s="2" t="s">
        <v>2762</v>
      </c>
      <c r="FG4" s="2" t="s">
        <v>1801</v>
      </c>
      <c r="FH4" s="2" t="s">
        <v>1297</v>
      </c>
      <c r="FI4" s="2" t="s">
        <v>39</v>
      </c>
      <c r="FJ4" s="2">
        <v>33444</v>
      </c>
      <c r="FK4" s="2" t="s">
        <v>2763</v>
      </c>
      <c r="FL4" s="2"/>
      <c r="FM4" s="2" t="s">
        <v>2764</v>
      </c>
      <c r="FN4" s="2" t="s">
        <v>2765</v>
      </c>
      <c r="FO4" s="2" t="s">
        <v>63</v>
      </c>
      <c r="FP4" s="2" t="s">
        <v>64</v>
      </c>
      <c r="FQ4" s="2" t="s">
        <v>9</v>
      </c>
      <c r="FR4" s="2" t="s">
        <v>17</v>
      </c>
      <c r="FS4" s="2" t="s">
        <v>17</v>
      </c>
      <c r="FT4" s="2" t="s">
        <v>9</v>
      </c>
      <c r="FU4" s="2">
        <v>0</v>
      </c>
      <c r="FV4" s="2">
        <v>0</v>
      </c>
      <c r="FW4" s="4">
        <v>0</v>
      </c>
      <c r="FX4" s="4">
        <v>0</v>
      </c>
      <c r="FY4" s="2" t="s">
        <v>65</v>
      </c>
      <c r="FZ4" s="2" t="s">
        <v>66</v>
      </c>
      <c r="GA4" s="2" t="s">
        <v>67</v>
      </c>
      <c r="GB4" s="2"/>
      <c r="GC4" s="2"/>
      <c r="GD4" s="2"/>
      <c r="GE4" s="2" t="s">
        <v>68</v>
      </c>
      <c r="GF4" s="2">
        <v>124</v>
      </c>
      <c r="GG4" s="2">
        <v>124</v>
      </c>
      <c r="GH4" s="2"/>
      <c r="GI4" s="2"/>
      <c r="GJ4" s="2"/>
      <c r="GK4" s="2"/>
      <c r="GL4" s="2"/>
      <c r="GM4" s="2"/>
      <c r="GN4" s="2"/>
      <c r="GO4" s="2"/>
      <c r="GP4" s="2"/>
      <c r="GQ4" s="2">
        <v>124</v>
      </c>
      <c r="GR4" s="2" t="s">
        <v>2685</v>
      </c>
      <c r="GS4" s="2" t="s">
        <v>2686</v>
      </c>
      <c r="GT4" s="2" t="s">
        <v>2766</v>
      </c>
      <c r="GU4" s="2" t="s">
        <v>627</v>
      </c>
      <c r="GV4" s="2" t="s">
        <v>17</v>
      </c>
      <c r="GW4" s="2">
        <v>26.677579999999999</v>
      </c>
      <c r="GX4" s="2">
        <v>-80.060033000000004</v>
      </c>
      <c r="GY4" s="2"/>
      <c r="GZ4" s="2" t="s">
        <v>9</v>
      </c>
      <c r="HA4" s="2">
        <v>3</v>
      </c>
      <c r="HB4" s="2" t="s">
        <v>17</v>
      </c>
      <c r="HC4" s="2"/>
      <c r="HD4" s="2">
        <v>0</v>
      </c>
      <c r="HE4" s="2">
        <v>26.676549999999999</v>
      </c>
      <c r="HF4" s="2">
        <v>-80.060685000000007</v>
      </c>
      <c r="HG4" s="2">
        <v>0.08</v>
      </c>
      <c r="HH4" s="2">
        <v>4</v>
      </c>
      <c r="HI4" s="2">
        <v>26.676807</v>
      </c>
      <c r="HJ4" s="2">
        <v>-80.060862</v>
      </c>
      <c r="HK4" s="2">
        <v>7.0000000000000007E-2</v>
      </c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 t="s">
        <v>73</v>
      </c>
      <c r="HX4" s="2" t="s">
        <v>2767</v>
      </c>
      <c r="HY4" s="2" t="s">
        <v>2768</v>
      </c>
      <c r="HZ4" s="2">
        <v>0.22</v>
      </c>
      <c r="IA4" s="2">
        <v>4</v>
      </c>
      <c r="IB4" s="2"/>
      <c r="IC4" s="2"/>
      <c r="ID4" s="2"/>
      <c r="IE4" s="2"/>
      <c r="IF4" s="2" t="s">
        <v>2767</v>
      </c>
      <c r="IG4" s="2" t="s">
        <v>2768</v>
      </c>
      <c r="IH4" s="2">
        <v>0.22</v>
      </c>
      <c r="II4" s="2">
        <v>4</v>
      </c>
      <c r="IJ4" s="2" t="s">
        <v>2769</v>
      </c>
      <c r="IK4" s="2" t="s">
        <v>2770</v>
      </c>
      <c r="IL4" s="2">
        <v>0.16</v>
      </c>
      <c r="IM4" s="2">
        <v>4</v>
      </c>
      <c r="IN4" s="2" t="s">
        <v>17</v>
      </c>
      <c r="IO4" s="2"/>
      <c r="IP4" s="2" t="s">
        <v>79</v>
      </c>
      <c r="IQ4" s="2">
        <v>4</v>
      </c>
      <c r="IR4" s="2">
        <v>12</v>
      </c>
      <c r="IS4" s="2">
        <v>3</v>
      </c>
      <c r="IT4" s="2">
        <v>19</v>
      </c>
      <c r="IU4" s="2" t="s">
        <v>9</v>
      </c>
      <c r="IV4" s="2" t="s">
        <v>17</v>
      </c>
      <c r="IW4" s="2" t="s">
        <v>17</v>
      </c>
      <c r="IX4" s="2" t="s">
        <v>9</v>
      </c>
      <c r="IY4" s="2">
        <v>16</v>
      </c>
      <c r="IZ4" s="2">
        <v>124</v>
      </c>
      <c r="JA4" s="2" t="s">
        <v>2731</v>
      </c>
      <c r="JB4" s="2" t="s">
        <v>82</v>
      </c>
      <c r="JC4" s="2"/>
      <c r="JD4" s="2"/>
      <c r="JE4" s="2"/>
      <c r="JF4" s="7">
        <v>0</v>
      </c>
      <c r="JG4" s="7"/>
      <c r="JH4" s="7"/>
      <c r="JI4" s="2">
        <v>0</v>
      </c>
      <c r="JJ4" s="7">
        <v>0</v>
      </c>
      <c r="JK4" s="2">
        <v>0</v>
      </c>
      <c r="JL4" s="7">
        <v>0</v>
      </c>
      <c r="JM4" s="2">
        <v>31</v>
      </c>
      <c r="JN4" s="2"/>
      <c r="JO4" s="2">
        <v>31</v>
      </c>
      <c r="JP4" s="2">
        <v>31</v>
      </c>
      <c r="JQ4" s="2">
        <v>31</v>
      </c>
      <c r="JR4" s="2">
        <v>0</v>
      </c>
      <c r="JS4" s="2">
        <v>0</v>
      </c>
      <c r="JT4" s="2"/>
      <c r="JU4" s="2"/>
      <c r="JV4" s="2">
        <v>124</v>
      </c>
      <c r="JW4" s="4">
        <v>1</v>
      </c>
      <c r="JX4" s="2">
        <v>124</v>
      </c>
      <c r="JY4" s="4">
        <v>0.6</v>
      </c>
      <c r="JZ4" s="2">
        <v>0</v>
      </c>
      <c r="KA4" s="2"/>
      <c r="KB4" s="2"/>
      <c r="KC4" s="2"/>
      <c r="KD4" s="2"/>
      <c r="KE4" s="2"/>
      <c r="KF4" s="2"/>
      <c r="KG4" s="2"/>
      <c r="KH4" s="2">
        <v>24</v>
      </c>
      <c r="KI4" s="2"/>
      <c r="KJ4" s="2"/>
      <c r="KK4" s="2">
        <v>76</v>
      </c>
      <c r="KL4" s="2">
        <v>24</v>
      </c>
      <c r="KM4" s="2"/>
      <c r="KN4" s="2"/>
      <c r="KO4" s="2"/>
      <c r="KP4" s="2"/>
      <c r="KQ4" s="2" t="s">
        <v>83</v>
      </c>
      <c r="KR4" s="2" t="s">
        <v>73</v>
      </c>
      <c r="KS4" s="2"/>
      <c r="KT4" s="2">
        <v>4</v>
      </c>
      <c r="KU4" s="2" t="s">
        <v>84</v>
      </c>
      <c r="KV4" s="2" t="s">
        <v>85</v>
      </c>
      <c r="KW4" s="2" t="s">
        <v>86</v>
      </c>
      <c r="KX4" s="2" t="s">
        <v>17</v>
      </c>
      <c r="KY4" s="2" t="s">
        <v>17</v>
      </c>
      <c r="KZ4" s="2" t="s">
        <v>17</v>
      </c>
      <c r="LA4" s="2" t="s">
        <v>17</v>
      </c>
      <c r="LB4" s="2" t="s">
        <v>17</v>
      </c>
      <c r="LC4" s="2" t="s">
        <v>17</v>
      </c>
      <c r="LD4" s="2" t="s">
        <v>17</v>
      </c>
      <c r="LE4" s="2" t="s">
        <v>17</v>
      </c>
      <c r="LF4" s="2" t="s">
        <v>17</v>
      </c>
      <c r="LG4" s="2" t="s">
        <v>17</v>
      </c>
      <c r="LH4" s="2" t="s">
        <v>17</v>
      </c>
      <c r="LI4" s="2" t="s">
        <v>17</v>
      </c>
      <c r="LJ4" s="2" t="s">
        <v>87</v>
      </c>
      <c r="LK4" s="2" t="s">
        <v>17</v>
      </c>
      <c r="LL4" s="2" t="s">
        <v>17</v>
      </c>
      <c r="LM4" s="2">
        <v>0</v>
      </c>
      <c r="LN4" s="2" t="s">
        <v>17</v>
      </c>
      <c r="LO4" s="2" t="s">
        <v>9</v>
      </c>
      <c r="LP4" s="2" t="s">
        <v>9</v>
      </c>
      <c r="LQ4" s="2" t="s">
        <v>17</v>
      </c>
      <c r="LR4" s="2" t="s">
        <v>9</v>
      </c>
      <c r="LS4" s="2" t="s">
        <v>17</v>
      </c>
      <c r="LT4" s="2" t="s">
        <v>17</v>
      </c>
      <c r="LU4" s="2" t="s">
        <v>17</v>
      </c>
      <c r="LV4" s="2" t="s">
        <v>17</v>
      </c>
      <c r="LW4" s="2" t="s">
        <v>17</v>
      </c>
      <c r="LX4" s="2" t="s">
        <v>17</v>
      </c>
      <c r="LY4" s="5">
        <v>6500000</v>
      </c>
      <c r="LZ4" s="5">
        <v>0</v>
      </c>
      <c r="MA4" s="5">
        <v>8400000</v>
      </c>
      <c r="MB4" s="5">
        <v>0</v>
      </c>
      <c r="MC4" s="5">
        <v>0</v>
      </c>
      <c r="MD4" s="5">
        <v>0</v>
      </c>
      <c r="ME4" s="5">
        <v>10000000</v>
      </c>
      <c r="MF4" s="5">
        <v>0</v>
      </c>
      <c r="MG4" s="5">
        <v>0</v>
      </c>
      <c r="MH4" s="5">
        <v>0</v>
      </c>
      <c r="MI4" s="5">
        <v>0</v>
      </c>
      <c r="MJ4" s="5">
        <v>0</v>
      </c>
      <c r="MK4" s="5">
        <v>0</v>
      </c>
      <c r="ML4" s="2">
        <v>0</v>
      </c>
      <c r="MM4" s="5">
        <v>0</v>
      </c>
      <c r="MN4" s="5">
        <v>0</v>
      </c>
      <c r="MO4" s="2">
        <v>0</v>
      </c>
      <c r="MP4" s="2">
        <v>0</v>
      </c>
      <c r="MQ4" s="2">
        <v>0</v>
      </c>
      <c r="MR4" s="5">
        <v>2950000</v>
      </c>
      <c r="MS4" s="5">
        <v>0</v>
      </c>
      <c r="MT4" s="5">
        <v>4600000</v>
      </c>
      <c r="MU4" s="5">
        <v>0</v>
      </c>
      <c r="MV4" s="5">
        <v>0</v>
      </c>
      <c r="MW4" s="5">
        <v>0</v>
      </c>
      <c r="MX4" s="5">
        <v>0</v>
      </c>
      <c r="MY4" s="5">
        <v>2500000</v>
      </c>
      <c r="MZ4" s="5">
        <v>0</v>
      </c>
      <c r="NA4" s="5">
        <v>5000000</v>
      </c>
      <c r="NB4" s="5">
        <v>0</v>
      </c>
      <c r="NC4" s="5">
        <v>0</v>
      </c>
      <c r="ND4" s="5">
        <v>0</v>
      </c>
      <c r="NE4" s="5">
        <v>0</v>
      </c>
      <c r="NF4" s="5">
        <v>0</v>
      </c>
      <c r="NG4" s="5">
        <v>2992500</v>
      </c>
      <c r="NH4" s="5">
        <v>2992500</v>
      </c>
      <c r="NI4" s="5">
        <v>2992500</v>
      </c>
      <c r="NJ4" s="2" t="s">
        <v>17</v>
      </c>
      <c r="NK4" s="2"/>
      <c r="NL4" s="2"/>
      <c r="NM4" s="2" t="s">
        <v>17</v>
      </c>
      <c r="NN4" s="2"/>
      <c r="NO4" s="2" t="s">
        <v>17</v>
      </c>
      <c r="NP4" s="2"/>
      <c r="NQ4" s="2"/>
      <c r="NR4" s="2" t="s">
        <v>17</v>
      </c>
      <c r="NS4" s="2"/>
      <c r="NT4" s="2" t="s">
        <v>17</v>
      </c>
      <c r="NU4" s="2"/>
      <c r="NV4" s="2"/>
      <c r="NW4" s="2"/>
      <c r="NX4" s="2" t="s">
        <v>9</v>
      </c>
      <c r="NY4" s="2" t="s">
        <v>88</v>
      </c>
      <c r="NZ4" s="2">
        <v>33</v>
      </c>
      <c r="OA4" s="2" t="s">
        <v>2771</v>
      </c>
      <c r="OB4" s="2" t="s">
        <v>2772</v>
      </c>
      <c r="OC4" s="2" t="s">
        <v>2772</v>
      </c>
      <c r="OD4" s="2" t="s">
        <v>9</v>
      </c>
      <c r="OE4" s="2" t="s">
        <v>320</v>
      </c>
      <c r="OF4" s="2" t="s">
        <v>17</v>
      </c>
      <c r="OG4" s="2"/>
      <c r="OH4" s="2" t="s">
        <v>17</v>
      </c>
      <c r="OI4" s="2" t="s">
        <v>17</v>
      </c>
      <c r="OJ4" s="2" t="s">
        <v>85</v>
      </c>
      <c r="OK4" s="6">
        <v>0</v>
      </c>
      <c r="OL4" s="6">
        <v>0</v>
      </c>
      <c r="OM4" s="2" t="s">
        <v>93</v>
      </c>
      <c r="ON4" s="2" t="s">
        <v>93</v>
      </c>
      <c r="OO4" s="6">
        <v>0</v>
      </c>
      <c r="OP4" s="6">
        <v>0</v>
      </c>
      <c r="OQ4" s="4">
        <v>0</v>
      </c>
      <c r="OR4" s="6">
        <v>0</v>
      </c>
      <c r="OS4" s="4">
        <v>0</v>
      </c>
      <c r="OT4" s="2" t="s">
        <v>9</v>
      </c>
      <c r="OU4" s="2" t="s">
        <v>9</v>
      </c>
      <c r="OV4" s="2" t="s">
        <v>2751</v>
      </c>
      <c r="OW4" s="2"/>
      <c r="OX4" s="5">
        <v>20047799</v>
      </c>
      <c r="OY4" s="6">
        <v>161675.79999999999</v>
      </c>
      <c r="OZ4" s="8">
        <v>500000</v>
      </c>
      <c r="PA4" s="8">
        <v>500000</v>
      </c>
      <c r="PB4" s="2"/>
      <c r="PC4" s="2"/>
      <c r="PD4" s="8">
        <v>26211551</v>
      </c>
      <c r="PE4" s="2"/>
      <c r="PF4" s="8">
        <v>26211551</v>
      </c>
      <c r="PG4" s="2"/>
      <c r="PH4" s="2"/>
      <c r="PI4" s="2"/>
      <c r="PJ4" s="2"/>
      <c r="PK4" s="2"/>
      <c r="PL4" s="2"/>
      <c r="PM4" s="8">
        <v>26211551</v>
      </c>
      <c r="PN4" s="8">
        <v>500000</v>
      </c>
      <c r="PO4" s="8">
        <v>26711551</v>
      </c>
      <c r="PP4" s="8">
        <v>3739617</v>
      </c>
      <c r="PQ4" s="2"/>
      <c r="PR4" s="8">
        <v>3739617</v>
      </c>
      <c r="PS4" s="6">
        <v>3739617</v>
      </c>
      <c r="PT4" s="8">
        <v>29951168</v>
      </c>
      <c r="PU4" s="8">
        <v>500000</v>
      </c>
      <c r="PV4" s="8">
        <v>30451168</v>
      </c>
      <c r="PW4" s="8">
        <v>1522558</v>
      </c>
      <c r="PX4" s="2"/>
      <c r="PY4" s="8">
        <v>1522558</v>
      </c>
      <c r="PZ4" s="6">
        <v>1522558.4</v>
      </c>
      <c r="QA4" s="8">
        <v>1386000</v>
      </c>
      <c r="QB4" s="8">
        <v>217500</v>
      </c>
      <c r="QC4" s="8">
        <v>1603500</v>
      </c>
      <c r="QD4" s="8">
        <v>380640</v>
      </c>
      <c r="QE4" s="8">
        <v>248000</v>
      </c>
      <c r="QF4" s="8">
        <v>628640</v>
      </c>
      <c r="QG4" s="8">
        <v>1390000</v>
      </c>
      <c r="QH4" s="2"/>
      <c r="QI4" s="8">
        <v>1390000</v>
      </c>
      <c r="QJ4" s="2"/>
      <c r="QK4" s="8">
        <v>586587</v>
      </c>
      <c r="QL4" s="8">
        <v>586587</v>
      </c>
      <c r="QM4" s="8">
        <v>124000</v>
      </c>
      <c r="QN4" s="2"/>
      <c r="QO4" s="8">
        <v>124000</v>
      </c>
      <c r="QP4" s="8">
        <v>2248236</v>
      </c>
      <c r="QQ4" s="8">
        <v>883637</v>
      </c>
      <c r="QR4" s="8">
        <v>3131873</v>
      </c>
      <c r="QS4" s="8">
        <v>5528876</v>
      </c>
      <c r="QT4" s="8">
        <v>1935724</v>
      </c>
      <c r="QU4" s="8">
        <v>7464600</v>
      </c>
      <c r="QV4" s="8">
        <v>199007</v>
      </c>
      <c r="QW4" s="2"/>
      <c r="QX4" s="8">
        <v>199007</v>
      </c>
      <c r="QY4" s="6">
        <v>373230</v>
      </c>
      <c r="QZ4" s="8">
        <v>262500</v>
      </c>
      <c r="RA4" s="2"/>
      <c r="RB4" s="8">
        <v>262500</v>
      </c>
      <c r="RC4" s="8">
        <v>170610</v>
      </c>
      <c r="RD4" s="8">
        <v>170610</v>
      </c>
      <c r="RE4" s="2"/>
      <c r="RF4" s="2"/>
      <c r="RG4" s="2"/>
      <c r="RH4" s="8">
        <v>262500</v>
      </c>
      <c r="RI4" s="8">
        <v>170610</v>
      </c>
      <c r="RJ4" s="8">
        <v>433110</v>
      </c>
      <c r="RK4" s="2"/>
      <c r="RL4" s="2"/>
      <c r="RM4" s="8">
        <v>37464109</v>
      </c>
      <c r="RN4" s="8">
        <v>2606334</v>
      </c>
      <c r="RO4" s="8">
        <v>40070443</v>
      </c>
      <c r="RP4" s="2">
        <v>0</v>
      </c>
      <c r="RQ4" s="6">
        <v>0</v>
      </c>
      <c r="RR4" s="8">
        <v>6411270</v>
      </c>
      <c r="RS4" s="2"/>
      <c r="RT4" s="8">
        <v>6411270</v>
      </c>
      <c r="RU4" s="6">
        <v>6411270</v>
      </c>
      <c r="RV4" s="6">
        <v>0</v>
      </c>
      <c r="RW4" s="8">
        <v>6411270</v>
      </c>
      <c r="RX4" s="2"/>
      <c r="RY4" s="8">
        <v>6411270</v>
      </c>
      <c r="RZ4" s="6">
        <v>6411270</v>
      </c>
      <c r="SA4" s="8">
        <v>434000</v>
      </c>
      <c r="SB4" s="8">
        <v>434000</v>
      </c>
      <c r="SC4" s="6">
        <v>434000</v>
      </c>
      <c r="SD4" s="8">
        <v>930000</v>
      </c>
      <c r="SE4" s="8">
        <v>930000</v>
      </c>
      <c r="SF4" s="8">
        <v>43875379</v>
      </c>
      <c r="SG4" s="8">
        <v>3970334</v>
      </c>
      <c r="SH4" s="8">
        <v>47845713</v>
      </c>
      <c r="SI4" s="2"/>
      <c r="SJ4" s="2"/>
      <c r="SK4" s="2" t="s">
        <v>2773</v>
      </c>
      <c r="SL4" s="2"/>
      <c r="SM4" s="8">
        <v>35000000</v>
      </c>
      <c r="SN4" s="2" t="s">
        <v>95</v>
      </c>
      <c r="SO4" s="8">
        <v>640000</v>
      </c>
      <c r="SP4" s="2" t="s">
        <v>180</v>
      </c>
      <c r="SQ4" s="8">
        <v>930000</v>
      </c>
      <c r="SR4" s="2" t="s">
        <v>1316</v>
      </c>
      <c r="SS4" s="2" t="s">
        <v>96</v>
      </c>
      <c r="ST4" s="2" t="s">
        <v>96</v>
      </c>
      <c r="SU4" s="2" t="s">
        <v>96</v>
      </c>
      <c r="SV4" s="2" t="s">
        <v>96</v>
      </c>
      <c r="SW4" s="8">
        <v>5685181</v>
      </c>
      <c r="SX4" s="2"/>
      <c r="SY4" s="2"/>
      <c r="SZ4" s="2"/>
      <c r="TA4" s="8">
        <v>5590532</v>
      </c>
      <c r="TB4" s="8">
        <v>47845713</v>
      </c>
      <c r="TC4" s="2">
        <v>0</v>
      </c>
      <c r="TD4" s="2" t="s">
        <v>9</v>
      </c>
      <c r="TE4" s="8">
        <v>15510000</v>
      </c>
      <c r="TF4" s="2" t="s">
        <v>95</v>
      </c>
      <c r="TG4" s="8">
        <v>640000</v>
      </c>
      <c r="TH4" s="2" t="s">
        <v>180</v>
      </c>
      <c r="TI4" s="8">
        <v>930000</v>
      </c>
      <c r="TJ4" s="2" t="s">
        <v>1316</v>
      </c>
      <c r="TK4" s="2" t="s">
        <v>96</v>
      </c>
      <c r="TL4" s="2" t="s">
        <v>96</v>
      </c>
      <c r="TM4" s="2" t="s">
        <v>96</v>
      </c>
      <c r="TN4" s="2" t="s">
        <v>96</v>
      </c>
      <c r="TO4" s="8">
        <v>28425907</v>
      </c>
      <c r="TP4" s="2"/>
      <c r="TQ4" s="2"/>
      <c r="TR4" s="2"/>
      <c r="TS4" s="8">
        <v>2339806</v>
      </c>
      <c r="TT4" s="8">
        <v>47845713</v>
      </c>
      <c r="TU4" s="6">
        <v>17080000</v>
      </c>
      <c r="TV4" s="2">
        <v>0</v>
      </c>
      <c r="TW4" s="2" t="s">
        <v>9</v>
      </c>
      <c r="TX4" s="2">
        <v>124</v>
      </c>
      <c r="TY4" s="5">
        <v>260000</v>
      </c>
      <c r="TZ4" s="6">
        <v>346666.67</v>
      </c>
      <c r="UA4" s="6">
        <v>354166.67</v>
      </c>
      <c r="UB4" s="6">
        <v>375416.67</v>
      </c>
      <c r="UC4" s="6">
        <v>46551666.670000002</v>
      </c>
      <c r="UD4" s="6">
        <v>7448266</v>
      </c>
      <c r="UE4" s="2" t="s">
        <v>97</v>
      </c>
      <c r="UF4" s="6">
        <v>7448266</v>
      </c>
      <c r="UG4" s="6">
        <v>53999932.670000002</v>
      </c>
      <c r="UH4" s="6">
        <v>45857713</v>
      </c>
      <c r="UI4" s="4">
        <v>0.99990000000000001</v>
      </c>
      <c r="UJ4" s="2" t="s">
        <v>9</v>
      </c>
      <c r="UK4" s="6">
        <v>640000</v>
      </c>
      <c r="UL4" s="2"/>
      <c r="UM4" s="6">
        <v>640000</v>
      </c>
      <c r="UN4" s="2"/>
      <c r="UO4" s="6">
        <v>0</v>
      </c>
      <c r="UP4" s="2"/>
      <c r="UQ4" s="6">
        <v>0</v>
      </c>
      <c r="UR4" s="6">
        <v>0</v>
      </c>
      <c r="US4" s="6">
        <v>640000</v>
      </c>
      <c r="UT4" s="6">
        <v>0</v>
      </c>
      <c r="UU4" s="6">
        <v>640000</v>
      </c>
      <c r="UV4" s="2" t="s">
        <v>2774</v>
      </c>
      <c r="UW4" s="2" t="s">
        <v>182</v>
      </c>
      <c r="UX4" s="2" t="s">
        <v>9</v>
      </c>
      <c r="UY4" s="2" t="s">
        <v>17</v>
      </c>
      <c r="UZ4" s="2" t="s">
        <v>17</v>
      </c>
      <c r="VA4" s="2" t="s">
        <v>17</v>
      </c>
      <c r="VB4" s="2" t="s">
        <v>2697</v>
      </c>
      <c r="VC4" s="2" t="s">
        <v>17</v>
      </c>
      <c r="VD4" s="2" t="s">
        <v>17</v>
      </c>
      <c r="VE4" s="2" t="s">
        <v>17</v>
      </c>
      <c r="VF4" s="2"/>
      <c r="VG4" s="2" t="s">
        <v>2775</v>
      </c>
      <c r="VH4" s="2"/>
      <c r="VI4" s="387" t="s">
        <v>1275</v>
      </c>
      <c r="VJ4" s="2" t="s">
        <v>98</v>
      </c>
      <c r="VK4" s="2" t="s">
        <v>1319</v>
      </c>
      <c r="VL4" s="23">
        <f t="shared" si="0"/>
        <v>248</v>
      </c>
      <c r="VM4" s="17">
        <f t="shared" si="1"/>
        <v>2</v>
      </c>
      <c r="VN4" s="17" t="str">
        <f t="shared" si="2"/>
        <v>NC-GA-F</v>
      </c>
      <c r="VO4" s="17" t="str">
        <f t="shared" si="14"/>
        <v>NC-GA-F-ESS</v>
      </c>
      <c r="VP4" s="12">
        <v>9</v>
      </c>
      <c r="VQ4" s="57">
        <v>1</v>
      </c>
      <c r="VR4" s="14">
        <f t="shared" si="3"/>
        <v>1</v>
      </c>
      <c r="VS4" s="14">
        <f t="shared" si="4"/>
        <v>0.97</v>
      </c>
      <c r="VT4" s="12">
        <f t="shared" si="5"/>
        <v>0.93</v>
      </c>
      <c r="VU4" s="29">
        <f t="shared" si="6"/>
        <v>24295808.25</v>
      </c>
      <c r="VV4" s="29">
        <f t="shared" si="7"/>
        <v>195933.9375</v>
      </c>
      <c r="VW4" s="12" t="str">
        <f t="shared" si="15"/>
        <v>A</v>
      </c>
      <c r="VX4" s="12" t="str">
        <f t="shared" si="8"/>
        <v>NC-GA-ESS</v>
      </c>
      <c r="VY4" s="351">
        <f t="shared" si="16"/>
        <v>1</v>
      </c>
      <c r="VZ4" s="12"/>
      <c r="WA4" s="12">
        <f t="shared" si="17"/>
        <v>0</v>
      </c>
      <c r="WB4" s="12">
        <f t="shared" si="18"/>
        <v>0</v>
      </c>
      <c r="WC4" s="12">
        <f t="shared" si="19"/>
        <v>0</v>
      </c>
      <c r="WD4" s="12">
        <f t="shared" si="20"/>
        <v>1</v>
      </c>
      <c r="WE4" s="12">
        <f t="shared" si="21"/>
        <v>1</v>
      </c>
      <c r="WF4" s="12">
        <f t="shared" si="9"/>
        <v>1</v>
      </c>
      <c r="WG4" s="12">
        <f t="shared" si="10"/>
        <v>0</v>
      </c>
      <c r="WH4" s="12">
        <f t="shared" si="11"/>
        <v>0</v>
      </c>
      <c r="WI4" s="31">
        <f t="shared" si="12"/>
        <v>3</v>
      </c>
      <c r="WJ4" s="2"/>
      <c r="WK4" s="444" t="str">
        <f t="shared" si="13"/>
        <v>NC-GA-ESS-BBN-BRN-PHA-F</v>
      </c>
      <c r="WL4" s="444"/>
      <c r="WM4" s="444"/>
      <c r="WN4" s="12"/>
      <c r="WO4" s="380" t="s">
        <v>2617</v>
      </c>
      <c r="WP4" s="144">
        <f>COUNTIFS($WC$2:$WC$72,"=1",$WA$2:$WA$72,"=1")</f>
        <v>2</v>
      </c>
      <c r="WQ4" s="144">
        <f>COUNTIFS($WC$2:$WC$72,"=1",$WB$2:$WB$72,"=1")</f>
        <v>0</v>
      </c>
      <c r="WR4" s="384"/>
      <c r="WS4" s="144">
        <f>COUNTIFS($WC$2:$WC$72,"=1",$WD$2:$WD$72,"=1")</f>
        <v>2</v>
      </c>
      <c r="WT4" s="144">
        <f>COUNTIFS($WC$2:$WC$72,"=1",$WF$2:$WF$72,"=1")</f>
        <v>1</v>
      </c>
      <c r="WU4" s="144">
        <f>COUNTIFS($WC$2:$WC$72,"=1",$WG$2:$WG$72,"=1")</f>
        <v>3</v>
      </c>
      <c r="WV4" s="144">
        <f>COUNTIFS($WC$2:$WC$72,"=1",$WH$2:$WH$72,"=1")</f>
        <v>4</v>
      </c>
      <c r="WW4" s="144">
        <f>COUNTIFS($WA$2:$WA$72,"=1",$WE$2:$WE$72,"=1")</f>
        <v>11</v>
      </c>
      <c r="WX4" s="205">
        <f>COUNTIF($WC$2:$WC$72,"=1")</f>
        <v>8</v>
      </c>
    </row>
    <row r="5" spans="1:622" x14ac:dyDescent="0.25">
      <c r="A5" s="2">
        <v>9617</v>
      </c>
      <c r="B5" s="2" t="s">
        <v>2776</v>
      </c>
      <c r="C5" s="2" t="s">
        <v>2652</v>
      </c>
      <c r="D5" s="3">
        <v>45152</v>
      </c>
      <c r="E5" s="2" t="s">
        <v>9</v>
      </c>
      <c r="F5" s="2">
        <v>3</v>
      </c>
      <c r="G5" s="2" t="s">
        <v>9</v>
      </c>
      <c r="H5" s="2">
        <v>3</v>
      </c>
      <c r="I5" s="2" t="s">
        <v>9</v>
      </c>
      <c r="J5" s="2">
        <v>2</v>
      </c>
      <c r="K5" s="2" t="s">
        <v>9</v>
      </c>
      <c r="L5" s="2">
        <v>3</v>
      </c>
      <c r="M5" s="2" t="s">
        <v>10</v>
      </c>
      <c r="N5" s="2">
        <v>0</v>
      </c>
      <c r="O5" s="2" t="s">
        <v>10</v>
      </c>
      <c r="P5" s="2">
        <v>0</v>
      </c>
      <c r="Q5" s="2" t="s">
        <v>11</v>
      </c>
      <c r="R5" s="2">
        <v>0</v>
      </c>
      <c r="S5" s="2" t="s">
        <v>9</v>
      </c>
      <c r="T5" s="2">
        <v>2</v>
      </c>
      <c r="U5" s="2" t="s">
        <v>9</v>
      </c>
      <c r="V5" s="2">
        <v>2</v>
      </c>
      <c r="W5" s="2" t="s">
        <v>9</v>
      </c>
      <c r="X5" s="2">
        <v>2</v>
      </c>
      <c r="Y5" s="2" t="s">
        <v>12</v>
      </c>
      <c r="Z5" s="2" t="s">
        <v>434</v>
      </c>
      <c r="AA5" s="2" t="s">
        <v>101</v>
      </c>
      <c r="AB5" s="2" t="s">
        <v>2777</v>
      </c>
      <c r="AC5" s="2" t="s">
        <v>15</v>
      </c>
      <c r="AD5" s="2" t="s">
        <v>15</v>
      </c>
      <c r="AE5" s="2" t="s">
        <v>15</v>
      </c>
      <c r="AF5" s="2">
        <v>3</v>
      </c>
      <c r="AG5" s="2" t="s">
        <v>2778</v>
      </c>
      <c r="AH5" s="2" t="s">
        <v>17</v>
      </c>
      <c r="AI5" s="4">
        <v>0.15</v>
      </c>
      <c r="AJ5" s="2" t="s">
        <v>17</v>
      </c>
      <c r="AK5" s="2" t="s">
        <v>9</v>
      </c>
      <c r="AL5" s="2" t="s">
        <v>17</v>
      </c>
      <c r="AM5" s="2" t="s">
        <v>17</v>
      </c>
      <c r="AN5" s="2" t="s">
        <v>17</v>
      </c>
      <c r="AO5" s="2" t="s">
        <v>17</v>
      </c>
      <c r="AP5" s="2" t="s">
        <v>9</v>
      </c>
      <c r="AQ5" s="2" t="s">
        <v>17</v>
      </c>
      <c r="AR5" s="2" t="s">
        <v>17</v>
      </c>
      <c r="AS5" s="2" t="s">
        <v>17</v>
      </c>
      <c r="AT5" s="2">
        <v>5</v>
      </c>
      <c r="AU5" s="5">
        <v>100000</v>
      </c>
      <c r="AV5" s="5">
        <v>640000</v>
      </c>
      <c r="AW5" s="2">
        <v>0</v>
      </c>
      <c r="AX5" s="2">
        <v>10</v>
      </c>
      <c r="AY5" s="2">
        <v>0</v>
      </c>
      <c r="AZ5" s="2">
        <v>18</v>
      </c>
      <c r="BA5" s="2">
        <v>0</v>
      </c>
      <c r="BB5" s="2">
        <v>0</v>
      </c>
      <c r="BC5" s="2">
        <v>1</v>
      </c>
      <c r="BD5" s="2">
        <v>3</v>
      </c>
      <c r="BE5" s="2">
        <v>0</v>
      </c>
      <c r="BF5" s="2">
        <v>1</v>
      </c>
      <c r="BG5" s="2">
        <v>0</v>
      </c>
      <c r="BH5" s="2">
        <v>0</v>
      </c>
      <c r="BI5" s="2">
        <v>13</v>
      </c>
      <c r="BJ5" s="2">
        <v>1</v>
      </c>
      <c r="BK5" s="2">
        <v>0</v>
      </c>
      <c r="BL5" s="2">
        <v>3</v>
      </c>
      <c r="BM5" s="2">
        <v>0</v>
      </c>
      <c r="BN5" s="2">
        <v>12</v>
      </c>
      <c r="BO5" s="2">
        <v>11</v>
      </c>
      <c r="BP5" s="2">
        <v>0</v>
      </c>
      <c r="BQ5" s="2">
        <v>10</v>
      </c>
      <c r="BR5" s="2">
        <v>11.35</v>
      </c>
      <c r="BS5" s="2">
        <v>0</v>
      </c>
      <c r="BT5" s="4">
        <v>0.06</v>
      </c>
      <c r="BU5" s="2" t="s">
        <v>9</v>
      </c>
      <c r="BV5" s="6">
        <v>168794.13</v>
      </c>
      <c r="BW5" s="2" t="s">
        <v>18</v>
      </c>
      <c r="BX5" s="2" t="s">
        <v>17</v>
      </c>
      <c r="BY5" s="2" t="s">
        <v>17</v>
      </c>
      <c r="BZ5" s="2" t="s">
        <v>17</v>
      </c>
      <c r="CA5" s="2" t="s">
        <v>17</v>
      </c>
      <c r="CB5" s="2" t="s">
        <v>17</v>
      </c>
      <c r="CC5" s="2" t="s">
        <v>17</v>
      </c>
      <c r="CD5" s="2" t="s">
        <v>17</v>
      </c>
      <c r="CE5" s="2" t="s">
        <v>2779</v>
      </c>
      <c r="CF5" s="2" t="s">
        <v>17</v>
      </c>
      <c r="CG5" s="2" t="s">
        <v>2780</v>
      </c>
      <c r="CH5" s="2"/>
      <c r="CI5" s="2"/>
      <c r="CJ5" s="2" t="s">
        <v>9</v>
      </c>
      <c r="CK5" s="2" t="s">
        <v>1085</v>
      </c>
      <c r="CL5" s="2" t="s">
        <v>2781</v>
      </c>
      <c r="CM5" s="2" t="s">
        <v>1087</v>
      </c>
      <c r="CN5" s="2" t="s">
        <v>147</v>
      </c>
      <c r="CO5" s="2" t="s">
        <v>24</v>
      </c>
      <c r="CP5" s="2"/>
      <c r="CQ5" s="2">
        <v>112</v>
      </c>
      <c r="CR5" s="2" t="s">
        <v>2659</v>
      </c>
      <c r="CS5" s="2">
        <v>2014</v>
      </c>
      <c r="CT5" s="2" t="s">
        <v>26</v>
      </c>
      <c r="CU5" s="2" t="s">
        <v>27</v>
      </c>
      <c r="CV5" s="2" t="s">
        <v>1088</v>
      </c>
      <c r="CW5" s="2" t="s">
        <v>330</v>
      </c>
      <c r="CX5" s="2" t="s">
        <v>24</v>
      </c>
      <c r="CY5" s="2"/>
      <c r="CZ5" s="2">
        <v>73</v>
      </c>
      <c r="DA5" s="2" t="s">
        <v>2659</v>
      </c>
      <c r="DB5" s="2">
        <v>2017</v>
      </c>
      <c r="DC5" s="2" t="s">
        <v>30</v>
      </c>
      <c r="DD5" s="2" t="s">
        <v>27</v>
      </c>
      <c r="DE5" s="2" t="s">
        <v>1090</v>
      </c>
      <c r="DF5" s="2" t="s">
        <v>330</v>
      </c>
      <c r="DG5" s="2" t="s">
        <v>24</v>
      </c>
      <c r="DH5" s="2"/>
      <c r="DI5" s="2">
        <v>99</v>
      </c>
      <c r="DJ5" s="2" t="s">
        <v>2659</v>
      </c>
      <c r="DK5" s="2">
        <v>2012</v>
      </c>
      <c r="DL5" s="2" t="s">
        <v>243</v>
      </c>
      <c r="DM5" s="2" t="s">
        <v>27</v>
      </c>
      <c r="DN5" s="2" t="s">
        <v>2663</v>
      </c>
      <c r="DO5" s="2" t="s">
        <v>1091</v>
      </c>
      <c r="DP5" s="2" t="s">
        <v>1759</v>
      </c>
      <c r="DQ5" s="2" t="s">
        <v>1092</v>
      </c>
      <c r="DR5" s="2" t="s">
        <v>1093</v>
      </c>
      <c r="DS5" s="2">
        <v>1</v>
      </c>
      <c r="DT5" s="2" t="s">
        <v>1388</v>
      </c>
      <c r="DU5" s="2" t="s">
        <v>1095</v>
      </c>
      <c r="DV5" s="2" t="s">
        <v>260</v>
      </c>
      <c r="DW5" s="2">
        <v>77024</v>
      </c>
      <c r="DX5" s="2" t="s">
        <v>386</v>
      </c>
      <c r="DY5" s="2"/>
      <c r="DZ5" s="2" t="s">
        <v>1097</v>
      </c>
      <c r="EA5" s="2" t="s">
        <v>1093</v>
      </c>
      <c r="EB5" s="2" t="s">
        <v>2782</v>
      </c>
      <c r="EC5" s="2" t="s">
        <v>333</v>
      </c>
      <c r="ED5" s="2" t="s">
        <v>44</v>
      </c>
      <c r="EE5" s="2">
        <v>188</v>
      </c>
      <c r="EF5" s="2" t="s">
        <v>2672</v>
      </c>
      <c r="EG5" s="2">
        <v>7</v>
      </c>
      <c r="EH5" s="2" t="s">
        <v>46</v>
      </c>
      <c r="EI5" s="2" t="s">
        <v>47</v>
      </c>
      <c r="EJ5" s="2" t="s">
        <v>1099</v>
      </c>
      <c r="EK5" s="2" t="s">
        <v>389</v>
      </c>
      <c r="EL5" s="2" t="s">
        <v>44</v>
      </c>
      <c r="EM5" s="2">
        <v>160</v>
      </c>
      <c r="EN5" s="2" t="s">
        <v>2672</v>
      </c>
      <c r="EO5" s="2">
        <v>3</v>
      </c>
      <c r="EP5" s="2" t="s">
        <v>46</v>
      </c>
      <c r="EQ5" s="2" t="s">
        <v>47</v>
      </c>
      <c r="ER5" s="2" t="s">
        <v>1100</v>
      </c>
      <c r="ES5" s="2" t="s">
        <v>951</v>
      </c>
      <c r="ET5" s="2" t="s">
        <v>1101</v>
      </c>
      <c r="EU5" s="2" t="s">
        <v>1102</v>
      </c>
      <c r="EV5" s="2" t="s">
        <v>1103</v>
      </c>
      <c r="EW5" s="2" t="s">
        <v>299</v>
      </c>
      <c r="EX5" s="2" t="s">
        <v>39</v>
      </c>
      <c r="EY5" s="2">
        <v>33131</v>
      </c>
      <c r="EZ5" s="2" t="s">
        <v>1390</v>
      </c>
      <c r="FA5" s="2"/>
      <c r="FB5" s="2" t="s">
        <v>1105</v>
      </c>
      <c r="FC5" s="2" t="s">
        <v>2783</v>
      </c>
      <c r="FD5" s="2"/>
      <c r="FE5" s="2" t="s">
        <v>1107</v>
      </c>
      <c r="FF5" s="2" t="s">
        <v>1102</v>
      </c>
      <c r="FG5" s="2" t="s">
        <v>1103</v>
      </c>
      <c r="FH5" s="2" t="s">
        <v>299</v>
      </c>
      <c r="FI5" s="2" t="s">
        <v>39</v>
      </c>
      <c r="FJ5" s="2">
        <v>33131</v>
      </c>
      <c r="FK5" s="2" t="s">
        <v>2784</v>
      </c>
      <c r="FL5" s="2"/>
      <c r="FM5" s="2" t="s">
        <v>1110</v>
      </c>
      <c r="FN5" s="2" t="s">
        <v>2785</v>
      </c>
      <c r="FO5" s="2" t="s">
        <v>63</v>
      </c>
      <c r="FP5" s="2" t="s">
        <v>64</v>
      </c>
      <c r="FQ5" s="2" t="s">
        <v>9</v>
      </c>
      <c r="FR5" s="2" t="s">
        <v>17</v>
      </c>
      <c r="FS5" s="2" t="s">
        <v>17</v>
      </c>
      <c r="FT5" s="2" t="s">
        <v>9</v>
      </c>
      <c r="FU5" s="2">
        <v>0</v>
      </c>
      <c r="FV5" s="2">
        <v>0</v>
      </c>
      <c r="FW5" s="4">
        <v>0</v>
      </c>
      <c r="FX5" s="4">
        <v>0</v>
      </c>
      <c r="FY5" s="2" t="s">
        <v>65</v>
      </c>
      <c r="FZ5" s="2" t="s">
        <v>66</v>
      </c>
      <c r="GA5" s="2" t="s">
        <v>67</v>
      </c>
      <c r="GB5" s="2"/>
      <c r="GC5" s="2"/>
      <c r="GD5" s="2"/>
      <c r="GE5" s="2" t="s">
        <v>1612</v>
      </c>
      <c r="GF5" s="2"/>
      <c r="GG5" s="2"/>
      <c r="GH5" s="2"/>
      <c r="GI5" s="2">
        <v>120</v>
      </c>
      <c r="GJ5" s="2"/>
      <c r="GK5" s="2"/>
      <c r="GL5" s="2"/>
      <c r="GM5" s="2"/>
      <c r="GN5" s="2"/>
      <c r="GO5" s="2"/>
      <c r="GP5" s="2"/>
      <c r="GQ5" s="2">
        <v>120</v>
      </c>
      <c r="GR5" s="2" t="s">
        <v>2617</v>
      </c>
      <c r="GS5" s="2" t="s">
        <v>2686</v>
      </c>
      <c r="GT5" s="2" t="s">
        <v>2786</v>
      </c>
      <c r="GU5" s="2" t="s">
        <v>2787</v>
      </c>
      <c r="GV5" s="2" t="s">
        <v>17</v>
      </c>
      <c r="GW5" s="2">
        <v>26.193563000000001</v>
      </c>
      <c r="GX5" s="2">
        <v>-80.240544900000003</v>
      </c>
      <c r="GY5" s="2"/>
      <c r="GZ5" s="2" t="s">
        <v>17</v>
      </c>
      <c r="HA5" s="2">
        <v>0</v>
      </c>
      <c r="HB5" s="2" t="s">
        <v>17</v>
      </c>
      <c r="HC5" s="2"/>
      <c r="HD5" s="2">
        <v>0</v>
      </c>
      <c r="HE5" s="2">
        <v>26.193638</v>
      </c>
      <c r="HF5" s="2">
        <v>-80.238822999999996</v>
      </c>
      <c r="HG5" s="2">
        <v>0.11</v>
      </c>
      <c r="HH5" s="2">
        <v>5</v>
      </c>
      <c r="HI5" s="2">
        <v>26.193957999999999</v>
      </c>
      <c r="HJ5" s="2">
        <v>-80.238684000000006</v>
      </c>
      <c r="HK5" s="2">
        <v>0.12</v>
      </c>
      <c r="HL5" s="2">
        <v>26.1948586</v>
      </c>
      <c r="HM5" s="2">
        <v>-80.251806000000002</v>
      </c>
      <c r="HN5" s="2">
        <v>0.71</v>
      </c>
      <c r="HO5" s="2"/>
      <c r="HP5" s="2"/>
      <c r="HQ5" s="2"/>
      <c r="HR5" s="2"/>
      <c r="HS5" s="2"/>
      <c r="HT5" s="2"/>
      <c r="HU5" s="2"/>
      <c r="HV5" s="2"/>
      <c r="HW5" s="2" t="s">
        <v>73</v>
      </c>
      <c r="HX5" s="2"/>
      <c r="HY5" s="2"/>
      <c r="HZ5" s="2"/>
      <c r="IA5" s="2"/>
      <c r="IB5" s="2" t="s">
        <v>2788</v>
      </c>
      <c r="IC5" s="2" t="s">
        <v>2789</v>
      </c>
      <c r="ID5" s="2">
        <v>0.4</v>
      </c>
      <c r="IE5" s="2">
        <v>3.5</v>
      </c>
      <c r="IF5" s="2" t="s">
        <v>641</v>
      </c>
      <c r="IG5" s="2" t="s">
        <v>2790</v>
      </c>
      <c r="IH5" s="2">
        <v>0.75</v>
      </c>
      <c r="II5" s="2">
        <v>3</v>
      </c>
      <c r="IJ5" s="2" t="s">
        <v>2791</v>
      </c>
      <c r="IK5" s="2" t="s">
        <v>2792</v>
      </c>
      <c r="IL5" s="2">
        <v>0.88</v>
      </c>
      <c r="IM5" s="2">
        <v>3</v>
      </c>
      <c r="IN5" s="2" t="s">
        <v>17</v>
      </c>
      <c r="IO5" s="2"/>
      <c r="IP5" s="2" t="s">
        <v>79</v>
      </c>
      <c r="IQ5" s="2">
        <v>5</v>
      </c>
      <c r="IR5" s="2">
        <v>9.5</v>
      </c>
      <c r="IS5" s="2">
        <v>0</v>
      </c>
      <c r="IT5" s="2">
        <v>14.5</v>
      </c>
      <c r="IU5" s="2" t="s">
        <v>17</v>
      </c>
      <c r="IV5" s="2" t="s">
        <v>17</v>
      </c>
      <c r="IW5" s="2" t="s">
        <v>17</v>
      </c>
      <c r="IX5" s="2" t="s">
        <v>9</v>
      </c>
      <c r="IY5" s="2">
        <v>14.5</v>
      </c>
      <c r="IZ5" s="2">
        <v>120</v>
      </c>
      <c r="JA5" s="2" t="s">
        <v>2731</v>
      </c>
      <c r="JB5" s="2" t="s">
        <v>82</v>
      </c>
      <c r="JC5" s="2"/>
      <c r="JD5" s="2"/>
      <c r="JE5" s="2"/>
      <c r="JF5" s="7">
        <v>0</v>
      </c>
      <c r="JG5" s="7"/>
      <c r="JH5" s="7"/>
      <c r="JI5" s="2">
        <v>0</v>
      </c>
      <c r="JJ5" s="7">
        <v>0</v>
      </c>
      <c r="JK5" s="2">
        <v>0</v>
      </c>
      <c r="JL5" s="7">
        <v>0</v>
      </c>
      <c r="JM5" s="2">
        <v>18</v>
      </c>
      <c r="JN5" s="2"/>
      <c r="JO5" s="2">
        <v>48</v>
      </c>
      <c r="JP5" s="2">
        <v>54</v>
      </c>
      <c r="JQ5" s="2"/>
      <c r="JR5" s="2">
        <v>0</v>
      </c>
      <c r="JS5" s="2">
        <v>0</v>
      </c>
      <c r="JT5" s="2"/>
      <c r="JU5" s="2"/>
      <c r="JV5" s="2">
        <v>120</v>
      </c>
      <c r="JW5" s="4">
        <v>1</v>
      </c>
      <c r="JX5" s="2">
        <v>120</v>
      </c>
      <c r="JY5" s="4">
        <v>0.6</v>
      </c>
      <c r="JZ5" s="2">
        <v>0</v>
      </c>
      <c r="KA5" s="2"/>
      <c r="KB5" s="2"/>
      <c r="KC5" s="2"/>
      <c r="KD5" s="2"/>
      <c r="KE5" s="2"/>
      <c r="KF5" s="2"/>
      <c r="KG5" s="2"/>
      <c r="KH5" s="2">
        <v>56</v>
      </c>
      <c r="KI5" s="2"/>
      <c r="KJ5" s="2"/>
      <c r="KK5" s="2">
        <v>48</v>
      </c>
      <c r="KL5" s="2">
        <v>16</v>
      </c>
      <c r="KM5" s="2"/>
      <c r="KN5" s="2"/>
      <c r="KO5" s="2"/>
      <c r="KP5" s="2"/>
      <c r="KQ5" s="2" t="s">
        <v>83</v>
      </c>
      <c r="KR5" s="2" t="s">
        <v>73</v>
      </c>
      <c r="KS5" s="2"/>
      <c r="KT5" s="2">
        <v>1</v>
      </c>
      <c r="KU5" s="2" t="s">
        <v>84</v>
      </c>
      <c r="KV5" s="2" t="s">
        <v>85</v>
      </c>
      <c r="KW5" s="2" t="s">
        <v>86</v>
      </c>
      <c r="KX5" s="2" t="s">
        <v>17</v>
      </c>
      <c r="KY5" s="2" t="s">
        <v>17</v>
      </c>
      <c r="KZ5" s="2" t="s">
        <v>17</v>
      </c>
      <c r="LA5" s="2" t="s">
        <v>17</v>
      </c>
      <c r="LB5" s="2" t="s">
        <v>17</v>
      </c>
      <c r="LC5" s="2" t="s">
        <v>17</v>
      </c>
      <c r="LD5" s="2" t="s">
        <v>17</v>
      </c>
      <c r="LE5" s="2" t="s">
        <v>17</v>
      </c>
      <c r="LF5" s="2" t="s">
        <v>17</v>
      </c>
      <c r="LG5" s="2" t="s">
        <v>17</v>
      </c>
      <c r="LH5" s="2" t="s">
        <v>17</v>
      </c>
      <c r="LI5" s="2" t="s">
        <v>17</v>
      </c>
      <c r="LJ5" s="2" t="s">
        <v>87</v>
      </c>
      <c r="LK5" s="2" t="s">
        <v>17</v>
      </c>
      <c r="LL5" s="2" t="s">
        <v>17</v>
      </c>
      <c r="LM5" s="2">
        <v>0</v>
      </c>
      <c r="LN5" s="2" t="s">
        <v>17</v>
      </c>
      <c r="LO5" s="2" t="s">
        <v>9</v>
      </c>
      <c r="LP5" s="2" t="s">
        <v>9</v>
      </c>
      <c r="LQ5" s="2" t="s">
        <v>17</v>
      </c>
      <c r="LR5" s="2" t="s">
        <v>9</v>
      </c>
      <c r="LS5" s="2" t="s">
        <v>17</v>
      </c>
      <c r="LT5" s="2" t="s">
        <v>17</v>
      </c>
      <c r="LU5" s="2" t="s">
        <v>17</v>
      </c>
      <c r="LV5" s="2" t="s">
        <v>17</v>
      </c>
      <c r="LW5" s="2" t="s">
        <v>17</v>
      </c>
      <c r="LX5" s="2" t="s">
        <v>17</v>
      </c>
      <c r="LY5" s="5">
        <v>6500000</v>
      </c>
      <c r="LZ5" s="5">
        <v>0</v>
      </c>
      <c r="MA5" s="5">
        <v>8400000</v>
      </c>
      <c r="MB5" s="5">
        <v>0</v>
      </c>
      <c r="MC5" s="5">
        <v>0</v>
      </c>
      <c r="MD5" s="5">
        <v>0</v>
      </c>
      <c r="ME5" s="5">
        <v>10000000</v>
      </c>
      <c r="MF5" s="5">
        <v>0</v>
      </c>
      <c r="MG5" s="5">
        <v>0</v>
      </c>
      <c r="MH5" s="5">
        <v>0</v>
      </c>
      <c r="MI5" s="5">
        <v>0</v>
      </c>
      <c r="MJ5" s="5">
        <v>0</v>
      </c>
      <c r="MK5" s="5">
        <v>0</v>
      </c>
      <c r="ML5" s="2">
        <v>0</v>
      </c>
      <c r="MM5" s="5">
        <v>0</v>
      </c>
      <c r="MN5" s="5">
        <v>0</v>
      </c>
      <c r="MO5" s="2">
        <v>0</v>
      </c>
      <c r="MP5" s="2">
        <v>0</v>
      </c>
      <c r="MQ5" s="2">
        <v>0</v>
      </c>
      <c r="MR5" s="5">
        <v>2950000</v>
      </c>
      <c r="MS5" s="5">
        <v>0</v>
      </c>
      <c r="MT5" s="5">
        <v>4600000</v>
      </c>
      <c r="MU5" s="5">
        <v>0</v>
      </c>
      <c r="MV5" s="5">
        <v>0</v>
      </c>
      <c r="MW5" s="5">
        <v>0</v>
      </c>
      <c r="MX5" s="5">
        <v>0</v>
      </c>
      <c r="MY5" s="5">
        <v>2500000</v>
      </c>
      <c r="MZ5" s="5">
        <v>0</v>
      </c>
      <c r="NA5" s="5">
        <v>5000000</v>
      </c>
      <c r="NB5" s="5">
        <v>0</v>
      </c>
      <c r="NC5" s="5">
        <v>0</v>
      </c>
      <c r="ND5" s="5">
        <v>0</v>
      </c>
      <c r="NE5" s="5">
        <v>0</v>
      </c>
      <c r="NF5" s="5">
        <v>0</v>
      </c>
      <c r="NG5" s="5">
        <v>3458400</v>
      </c>
      <c r="NH5" s="5">
        <v>3458400</v>
      </c>
      <c r="NI5" s="5">
        <v>3458400</v>
      </c>
      <c r="NJ5" s="2" t="s">
        <v>9</v>
      </c>
      <c r="NK5" s="2"/>
      <c r="NL5" s="2"/>
      <c r="NM5" s="2" t="s">
        <v>17</v>
      </c>
      <c r="NN5" s="2"/>
      <c r="NO5" s="2" t="s">
        <v>17</v>
      </c>
      <c r="NP5" s="2"/>
      <c r="NQ5" s="2"/>
      <c r="NR5" s="2" t="s">
        <v>17</v>
      </c>
      <c r="NS5" s="2"/>
      <c r="NT5" s="2" t="s">
        <v>17</v>
      </c>
      <c r="NU5" s="2"/>
      <c r="NV5" s="2"/>
      <c r="NW5" s="2"/>
      <c r="NX5" s="2" t="s">
        <v>9</v>
      </c>
      <c r="NY5" s="2" t="s">
        <v>88</v>
      </c>
      <c r="NZ5" s="2">
        <v>601.26</v>
      </c>
      <c r="OA5" s="2" t="s">
        <v>2733</v>
      </c>
      <c r="OB5" s="2" t="s">
        <v>2734</v>
      </c>
      <c r="OC5" s="2" t="s">
        <v>2734</v>
      </c>
      <c r="OD5" s="2" t="s">
        <v>17</v>
      </c>
      <c r="OE5" s="2" t="s">
        <v>91</v>
      </c>
      <c r="OF5" s="2" t="s">
        <v>9</v>
      </c>
      <c r="OG5" s="2" t="s">
        <v>92</v>
      </c>
      <c r="OH5" s="2" t="s">
        <v>17</v>
      </c>
      <c r="OI5" s="2" t="s">
        <v>17</v>
      </c>
      <c r="OJ5" s="2" t="s">
        <v>85</v>
      </c>
      <c r="OK5" s="6">
        <v>0</v>
      </c>
      <c r="OL5" s="6">
        <v>0</v>
      </c>
      <c r="OM5" s="2" t="s">
        <v>93</v>
      </c>
      <c r="ON5" s="2" t="s">
        <v>93</v>
      </c>
      <c r="OO5" s="6">
        <v>0</v>
      </c>
      <c r="OP5" s="6">
        <v>0</v>
      </c>
      <c r="OQ5" s="4">
        <v>0</v>
      </c>
      <c r="OR5" s="6">
        <v>0</v>
      </c>
      <c r="OS5" s="4">
        <v>0</v>
      </c>
      <c r="OT5" s="2" t="s">
        <v>17</v>
      </c>
      <c r="OU5" s="2" t="s">
        <v>17</v>
      </c>
      <c r="OV5" s="2"/>
      <c r="OW5" s="2"/>
      <c r="OX5" s="5">
        <v>20255295</v>
      </c>
      <c r="OY5" s="6">
        <v>168794.13</v>
      </c>
      <c r="OZ5" s="2"/>
      <c r="PA5" s="2"/>
      <c r="PB5" s="2"/>
      <c r="PC5" s="2"/>
      <c r="PD5" s="8">
        <v>21213947</v>
      </c>
      <c r="PE5" s="2"/>
      <c r="PF5" s="8">
        <v>21213947</v>
      </c>
      <c r="PG5" s="2"/>
      <c r="PH5" s="2"/>
      <c r="PI5" s="2"/>
      <c r="PJ5" s="8">
        <v>300000</v>
      </c>
      <c r="PK5" s="2"/>
      <c r="PL5" s="8">
        <v>300000</v>
      </c>
      <c r="PM5" s="8">
        <v>21513947</v>
      </c>
      <c r="PN5" s="2"/>
      <c r="PO5" s="8">
        <v>21513947</v>
      </c>
      <c r="PP5" s="8">
        <v>2969953</v>
      </c>
      <c r="PQ5" s="2"/>
      <c r="PR5" s="8">
        <v>2969953</v>
      </c>
      <c r="PS5" s="6">
        <v>3011952</v>
      </c>
      <c r="PT5" s="8">
        <v>24483900</v>
      </c>
      <c r="PU5" s="2"/>
      <c r="PV5" s="8">
        <v>24483900</v>
      </c>
      <c r="PW5" s="8">
        <v>1209195</v>
      </c>
      <c r="PX5" s="2"/>
      <c r="PY5" s="8">
        <v>1209195</v>
      </c>
      <c r="PZ5" s="6">
        <v>1224195</v>
      </c>
      <c r="QA5" s="8">
        <v>876950</v>
      </c>
      <c r="QB5" s="8">
        <v>6500</v>
      </c>
      <c r="QC5" s="8">
        <v>883450</v>
      </c>
      <c r="QD5" s="8">
        <v>216379</v>
      </c>
      <c r="QE5" s="2"/>
      <c r="QF5" s="8">
        <v>216379</v>
      </c>
      <c r="QG5" s="8">
        <v>1080000</v>
      </c>
      <c r="QH5" s="2"/>
      <c r="QI5" s="8">
        <v>1080000</v>
      </c>
      <c r="QJ5" s="2"/>
      <c r="QK5" s="8">
        <v>629256</v>
      </c>
      <c r="QL5" s="8">
        <v>629256</v>
      </c>
      <c r="QM5" s="2"/>
      <c r="QN5" s="2"/>
      <c r="QO5" s="2"/>
      <c r="QP5" s="8">
        <v>159750</v>
      </c>
      <c r="QQ5" s="8">
        <v>996258</v>
      </c>
      <c r="QR5" s="8">
        <v>1156008</v>
      </c>
      <c r="QS5" s="8">
        <v>2333079</v>
      </c>
      <c r="QT5" s="8">
        <v>1632014</v>
      </c>
      <c r="QU5" s="8">
        <v>3965093</v>
      </c>
      <c r="QV5" s="8">
        <v>118123</v>
      </c>
      <c r="QW5" s="2"/>
      <c r="QX5" s="8">
        <v>118123</v>
      </c>
      <c r="QY5" s="6">
        <v>198254.65</v>
      </c>
      <c r="QZ5" s="8">
        <v>310960</v>
      </c>
      <c r="RA5" s="2"/>
      <c r="RB5" s="8">
        <v>310960</v>
      </c>
      <c r="RC5" s="8">
        <v>336390</v>
      </c>
      <c r="RD5" s="8">
        <v>336390</v>
      </c>
      <c r="RE5" s="8">
        <v>1853931</v>
      </c>
      <c r="RF5" s="8">
        <v>717449</v>
      </c>
      <c r="RG5" s="8">
        <v>2571380</v>
      </c>
      <c r="RH5" s="8">
        <v>2164891</v>
      </c>
      <c r="RI5" s="8">
        <v>1053839</v>
      </c>
      <c r="RJ5" s="8">
        <v>3218730</v>
      </c>
      <c r="RK5" s="2"/>
      <c r="RL5" s="2"/>
      <c r="RM5" s="8">
        <v>30309188</v>
      </c>
      <c r="RN5" s="8">
        <v>2685853</v>
      </c>
      <c r="RO5" s="8">
        <v>32995041</v>
      </c>
      <c r="RP5" s="2">
        <v>0</v>
      </c>
      <c r="RQ5" s="6">
        <v>0</v>
      </c>
      <c r="RR5" s="8">
        <v>5279206</v>
      </c>
      <c r="RS5" s="2"/>
      <c r="RT5" s="8">
        <v>5279206</v>
      </c>
      <c r="RU5" s="6">
        <v>5279206</v>
      </c>
      <c r="RV5" s="6">
        <v>0</v>
      </c>
      <c r="RW5" s="8">
        <v>5279206</v>
      </c>
      <c r="RX5" s="2"/>
      <c r="RY5" s="8">
        <v>5279206</v>
      </c>
      <c r="RZ5" s="6">
        <v>5279206</v>
      </c>
      <c r="SA5" s="8">
        <v>399382</v>
      </c>
      <c r="SB5" s="8">
        <v>399382</v>
      </c>
      <c r="SC5" s="6">
        <v>420000</v>
      </c>
      <c r="SD5" s="8">
        <v>3500000</v>
      </c>
      <c r="SE5" s="8">
        <v>3500000</v>
      </c>
      <c r="SF5" s="8">
        <v>35588394</v>
      </c>
      <c r="SG5" s="8">
        <v>6585235</v>
      </c>
      <c r="SH5" s="8">
        <v>42173629</v>
      </c>
      <c r="SI5" s="2"/>
      <c r="SJ5" s="2" t="s">
        <v>2793</v>
      </c>
      <c r="SK5" s="2" t="s">
        <v>2794</v>
      </c>
      <c r="SL5" s="2" t="s">
        <v>2795</v>
      </c>
      <c r="SM5" s="8">
        <v>30000000</v>
      </c>
      <c r="SN5" s="2" t="s">
        <v>95</v>
      </c>
      <c r="SO5" s="2"/>
      <c r="SP5" s="2"/>
      <c r="SQ5" s="2"/>
      <c r="SR5" s="2"/>
      <c r="SS5" s="2" t="s">
        <v>96</v>
      </c>
      <c r="ST5" s="2" t="s">
        <v>96</v>
      </c>
      <c r="SU5" s="2" t="s">
        <v>96</v>
      </c>
      <c r="SV5" s="2" t="s">
        <v>96</v>
      </c>
      <c r="SW5" s="8">
        <v>8212879</v>
      </c>
      <c r="SX5" s="2" t="s">
        <v>2739</v>
      </c>
      <c r="SY5" s="8">
        <v>100000</v>
      </c>
      <c r="SZ5" s="2" t="s">
        <v>180</v>
      </c>
      <c r="TA5" s="8">
        <v>3860750</v>
      </c>
      <c r="TB5" s="8">
        <v>42173629</v>
      </c>
      <c r="TC5" s="2">
        <v>0</v>
      </c>
      <c r="TD5" s="2" t="s">
        <v>9</v>
      </c>
      <c r="TE5" s="8">
        <v>8280000</v>
      </c>
      <c r="TF5" s="2" t="s">
        <v>95</v>
      </c>
      <c r="TG5" s="2"/>
      <c r="TH5" s="2"/>
      <c r="TI5" s="2"/>
      <c r="TJ5" s="2"/>
      <c r="TK5" s="2" t="s">
        <v>96</v>
      </c>
      <c r="TL5" s="2" t="s">
        <v>96</v>
      </c>
      <c r="TM5" s="2" t="s">
        <v>96</v>
      </c>
      <c r="TN5" s="2" t="s">
        <v>96</v>
      </c>
      <c r="TO5" s="8">
        <v>32851515</v>
      </c>
      <c r="TP5" s="2" t="s">
        <v>2739</v>
      </c>
      <c r="TQ5" s="8">
        <v>100000</v>
      </c>
      <c r="TR5" s="2" t="s">
        <v>180</v>
      </c>
      <c r="TS5" s="8">
        <v>942114</v>
      </c>
      <c r="TT5" s="8">
        <v>42173629</v>
      </c>
      <c r="TU5" s="6">
        <v>8380000</v>
      </c>
      <c r="TV5" s="2">
        <v>0</v>
      </c>
      <c r="TW5" s="2" t="s">
        <v>9</v>
      </c>
      <c r="TX5" s="2">
        <v>120</v>
      </c>
      <c r="TY5" s="5">
        <v>290000</v>
      </c>
      <c r="TZ5" s="6">
        <v>386666.67</v>
      </c>
      <c r="UA5" s="6">
        <v>386666.67</v>
      </c>
      <c r="UB5" s="6">
        <v>409866.67</v>
      </c>
      <c r="UC5" s="6">
        <v>49184000</v>
      </c>
      <c r="UD5" s="6">
        <v>7869440</v>
      </c>
      <c r="UE5" s="2" t="s">
        <v>97</v>
      </c>
      <c r="UF5" s="6">
        <v>7869440</v>
      </c>
      <c r="UG5" s="6">
        <v>57053440</v>
      </c>
      <c r="UH5" s="6">
        <v>38274247</v>
      </c>
      <c r="UI5" s="4">
        <v>0.99990000000000001</v>
      </c>
      <c r="UJ5" s="2" t="s">
        <v>9</v>
      </c>
      <c r="UK5" s="2"/>
      <c r="UL5" s="2"/>
      <c r="UM5" s="6">
        <v>0</v>
      </c>
      <c r="UN5" s="6">
        <v>100000</v>
      </c>
      <c r="UO5" s="6">
        <v>100000</v>
      </c>
      <c r="UP5" s="2"/>
      <c r="UQ5" s="6">
        <v>0</v>
      </c>
      <c r="UR5" s="6">
        <v>0</v>
      </c>
      <c r="US5" s="6">
        <v>100000</v>
      </c>
      <c r="UT5" s="6">
        <v>0</v>
      </c>
      <c r="UU5" s="6">
        <v>100000</v>
      </c>
      <c r="UV5" s="2" t="s">
        <v>2739</v>
      </c>
      <c r="UW5" s="2" t="s">
        <v>453</v>
      </c>
      <c r="UX5" s="2" t="s">
        <v>17</v>
      </c>
      <c r="UY5" s="2" t="s">
        <v>17</v>
      </c>
      <c r="UZ5" s="2" t="s">
        <v>17</v>
      </c>
      <c r="VA5" s="2" t="s">
        <v>17</v>
      </c>
      <c r="VB5" s="2" t="s">
        <v>2740</v>
      </c>
      <c r="VC5" s="2" t="s">
        <v>17</v>
      </c>
      <c r="VD5" s="2" t="s">
        <v>17</v>
      </c>
      <c r="VE5" s="2" t="s">
        <v>17</v>
      </c>
      <c r="VF5" s="2"/>
      <c r="VG5" s="2" t="s">
        <v>2796</v>
      </c>
      <c r="VH5" s="2"/>
      <c r="VI5" s="388" t="s">
        <v>1125</v>
      </c>
      <c r="VJ5" s="2" t="s">
        <v>98</v>
      </c>
      <c r="VK5" s="2" t="s">
        <v>2797</v>
      </c>
      <c r="VL5" s="23">
        <f t="shared" si="0"/>
        <v>200</v>
      </c>
      <c r="VM5" s="17">
        <f t="shared" si="1"/>
        <v>1.6666666666666667</v>
      </c>
      <c r="VN5" s="17" t="str">
        <f t="shared" si="2"/>
        <v>NC-MR-F</v>
      </c>
      <c r="VO5" s="17" t="str">
        <f t="shared" si="14"/>
        <v>NC-MR-F-ESS</v>
      </c>
      <c r="VP5" s="12">
        <v>9</v>
      </c>
      <c r="VQ5" s="57">
        <v>1</v>
      </c>
      <c r="VR5" s="14">
        <f t="shared" si="3"/>
        <v>0.88</v>
      </c>
      <c r="VS5" s="14">
        <f t="shared" si="4"/>
        <v>1</v>
      </c>
      <c r="VT5" s="12">
        <f t="shared" si="5"/>
        <v>0.90210000000000001</v>
      </c>
      <c r="VU5" s="29">
        <f t="shared" si="6"/>
        <v>24708995.308800001</v>
      </c>
      <c r="VV5" s="29">
        <f t="shared" si="7"/>
        <v>205908.29424000002</v>
      </c>
      <c r="VW5" s="12" t="str">
        <f t="shared" si="15"/>
        <v>A</v>
      </c>
      <c r="VX5" s="12" t="str">
        <f t="shared" si="8"/>
        <v>NC-MR-ESS</v>
      </c>
      <c r="VY5" s="351">
        <f t="shared" si="16"/>
        <v>2</v>
      </c>
      <c r="VZ5" s="12"/>
      <c r="WA5" s="12">
        <f t="shared" si="17"/>
        <v>0</v>
      </c>
      <c r="WB5" s="12">
        <f t="shared" si="18"/>
        <v>0</v>
      </c>
      <c r="WC5" s="12">
        <f t="shared" si="19"/>
        <v>1</v>
      </c>
      <c r="WD5" s="12">
        <f t="shared" si="20"/>
        <v>0</v>
      </c>
      <c r="WE5" s="12">
        <f t="shared" si="21"/>
        <v>1</v>
      </c>
      <c r="WF5" s="12">
        <f t="shared" si="9"/>
        <v>0</v>
      </c>
      <c r="WG5" s="12">
        <f t="shared" si="10"/>
        <v>1</v>
      </c>
      <c r="WH5" s="12">
        <f t="shared" si="11"/>
        <v>0</v>
      </c>
      <c r="WI5" s="31">
        <f t="shared" si="12"/>
        <v>3</v>
      </c>
      <c r="WJ5" s="2"/>
      <c r="WK5" s="444" t="str">
        <f t="shared" si="13"/>
        <v>NC-MR-ESS-BBN-BRY-NPH-F</v>
      </c>
      <c r="WL5" s="444"/>
      <c r="WM5" s="444"/>
      <c r="WN5" s="12"/>
      <c r="WO5" s="380" t="s">
        <v>2618</v>
      </c>
      <c r="WP5" s="144">
        <f>COUNTIFS($WD$2:$WD$72,"=1",$WA$2:$WA$72,"=1")</f>
        <v>2</v>
      </c>
      <c r="WQ5" s="144">
        <f>COUNTIFS($WD$2:$WD$72,"=1",$WB$2:$WB$72,"=1")</f>
        <v>0</v>
      </c>
      <c r="WR5" s="144">
        <f>COUNTIFS($WD$2:$WD$72,"=1",$WC$2:$WC$72,"=1")</f>
        <v>2</v>
      </c>
      <c r="WS5" s="384"/>
      <c r="WT5" s="144">
        <f>COUNTIFS($WD$2:$WD$72,"=1",$WF$2:$WF$72,"=1")</f>
        <v>5</v>
      </c>
      <c r="WU5" s="144">
        <f>COUNTIFS($WD$2:$WD$72,"=1",$WG$2:$WG$72,"=1")</f>
        <v>1</v>
      </c>
      <c r="WV5" s="144">
        <f>COUNTIFS($WD$2:$WD$72,"=1",$WH$2:$WH$72,"=1")</f>
        <v>1</v>
      </c>
      <c r="WW5" s="144">
        <f>COUNTIFS($WD$2:$WD$72,"=1",$WE$2:$WE$72,"=1")</f>
        <v>7</v>
      </c>
      <c r="WX5" s="205">
        <f>COUNTIF($WD$2:$WD$72,"=1")</f>
        <v>7</v>
      </c>
    </row>
    <row r="6" spans="1:622" x14ac:dyDescent="0.25">
      <c r="A6" s="2">
        <v>9604</v>
      </c>
      <c r="B6" s="2" t="s">
        <v>2798</v>
      </c>
      <c r="C6" s="2" t="s">
        <v>2652</v>
      </c>
      <c r="D6" s="3">
        <v>45152</v>
      </c>
      <c r="E6" s="2" t="s">
        <v>9</v>
      </c>
      <c r="F6" s="2">
        <v>3</v>
      </c>
      <c r="G6" s="2" t="s">
        <v>9</v>
      </c>
      <c r="H6" s="2">
        <v>3</v>
      </c>
      <c r="I6" s="2" t="s">
        <v>9</v>
      </c>
      <c r="J6" s="2">
        <v>2</v>
      </c>
      <c r="K6" s="2" t="s">
        <v>9</v>
      </c>
      <c r="L6" s="2">
        <v>3</v>
      </c>
      <c r="M6" s="2" t="s">
        <v>10</v>
      </c>
      <c r="N6" s="2">
        <v>0</v>
      </c>
      <c r="O6" s="2" t="s">
        <v>10</v>
      </c>
      <c r="P6" s="2">
        <v>0</v>
      </c>
      <c r="Q6" s="2" t="s">
        <v>11</v>
      </c>
      <c r="R6" s="2">
        <v>0</v>
      </c>
      <c r="S6" s="2" t="s">
        <v>9</v>
      </c>
      <c r="T6" s="2">
        <v>2</v>
      </c>
      <c r="U6" s="2" t="s">
        <v>9</v>
      </c>
      <c r="V6" s="2">
        <v>2</v>
      </c>
      <c r="W6" s="2" t="s">
        <v>9</v>
      </c>
      <c r="X6" s="2">
        <v>2</v>
      </c>
      <c r="Y6" s="2" t="s">
        <v>12</v>
      </c>
      <c r="Z6" s="2" t="s">
        <v>771</v>
      </c>
      <c r="AA6" s="2" t="s">
        <v>15</v>
      </c>
      <c r="AB6" s="2" t="s">
        <v>15</v>
      </c>
      <c r="AC6" s="2" t="s">
        <v>15</v>
      </c>
      <c r="AD6" s="2" t="s">
        <v>15</v>
      </c>
      <c r="AE6" s="2" t="s">
        <v>15</v>
      </c>
      <c r="AF6" s="2">
        <v>1</v>
      </c>
      <c r="AG6" s="2" t="s">
        <v>772</v>
      </c>
      <c r="AH6" s="2" t="s">
        <v>17</v>
      </c>
      <c r="AI6" s="4">
        <v>0.15625</v>
      </c>
      <c r="AJ6" s="2" t="s">
        <v>17</v>
      </c>
      <c r="AK6" s="2" t="s">
        <v>9</v>
      </c>
      <c r="AL6" s="2" t="s">
        <v>17</v>
      </c>
      <c r="AM6" s="2" t="s">
        <v>17</v>
      </c>
      <c r="AN6" s="2" t="s">
        <v>17</v>
      </c>
      <c r="AO6" s="2" t="s">
        <v>17</v>
      </c>
      <c r="AP6" s="2" t="s">
        <v>17</v>
      </c>
      <c r="AQ6" s="2" t="s">
        <v>17</v>
      </c>
      <c r="AR6" s="2" t="s">
        <v>17</v>
      </c>
      <c r="AS6" s="2" t="s">
        <v>17</v>
      </c>
      <c r="AT6" s="2">
        <v>0</v>
      </c>
      <c r="AU6" s="5">
        <v>75000</v>
      </c>
      <c r="AV6" s="5">
        <v>610000</v>
      </c>
      <c r="AW6" s="2">
        <v>0</v>
      </c>
      <c r="AX6" s="2">
        <v>10</v>
      </c>
      <c r="AY6" s="2">
        <v>0</v>
      </c>
      <c r="AZ6" s="2">
        <v>18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1</v>
      </c>
      <c r="BG6" s="2">
        <v>0</v>
      </c>
      <c r="BH6" s="2">
        <v>0</v>
      </c>
      <c r="BI6" s="2">
        <v>13</v>
      </c>
      <c r="BJ6" s="2">
        <v>1</v>
      </c>
      <c r="BK6" s="2">
        <v>0</v>
      </c>
      <c r="BL6" s="2">
        <v>3</v>
      </c>
      <c r="BM6" s="2">
        <v>0</v>
      </c>
      <c r="BN6" s="2">
        <v>12</v>
      </c>
      <c r="BO6" s="2">
        <v>11</v>
      </c>
      <c r="BP6" s="2">
        <v>0</v>
      </c>
      <c r="BQ6" s="2">
        <v>10</v>
      </c>
      <c r="BR6" s="2">
        <v>13.34</v>
      </c>
      <c r="BS6" s="2">
        <v>0</v>
      </c>
      <c r="BT6" s="4">
        <v>0.06</v>
      </c>
      <c r="BU6" s="2" t="s">
        <v>9</v>
      </c>
      <c r="BV6" s="6">
        <v>176614.26</v>
      </c>
      <c r="BW6" s="2" t="s">
        <v>18</v>
      </c>
      <c r="BX6" s="2" t="s">
        <v>17</v>
      </c>
      <c r="BY6" s="2" t="s">
        <v>17</v>
      </c>
      <c r="BZ6" s="2" t="s">
        <v>17</v>
      </c>
      <c r="CA6" s="2" t="s">
        <v>17</v>
      </c>
      <c r="CB6" s="2" t="s">
        <v>17</v>
      </c>
      <c r="CC6" s="2" t="s">
        <v>17</v>
      </c>
      <c r="CD6" s="2" t="s">
        <v>17</v>
      </c>
      <c r="CE6" s="2" t="s">
        <v>2799</v>
      </c>
      <c r="CF6" s="2" t="s">
        <v>17</v>
      </c>
      <c r="CG6" s="2" t="s">
        <v>2800</v>
      </c>
      <c r="CH6" s="2"/>
      <c r="CI6" s="2"/>
      <c r="CJ6" s="2" t="s">
        <v>9</v>
      </c>
      <c r="CK6" s="2" t="s">
        <v>1085</v>
      </c>
      <c r="CL6" s="2" t="s">
        <v>2800</v>
      </c>
      <c r="CM6" s="2" t="s">
        <v>1087</v>
      </c>
      <c r="CN6" s="2" t="s">
        <v>147</v>
      </c>
      <c r="CO6" s="2" t="s">
        <v>24</v>
      </c>
      <c r="CP6" s="2"/>
      <c r="CQ6" s="2">
        <v>112</v>
      </c>
      <c r="CR6" s="2" t="s">
        <v>795</v>
      </c>
      <c r="CS6" s="2">
        <v>2014</v>
      </c>
      <c r="CT6" s="2" t="s">
        <v>26</v>
      </c>
      <c r="CU6" s="2" t="s">
        <v>27</v>
      </c>
      <c r="CV6" s="2" t="s">
        <v>1088</v>
      </c>
      <c r="CW6" s="2" t="s">
        <v>330</v>
      </c>
      <c r="CX6" s="2" t="s">
        <v>24</v>
      </c>
      <c r="CY6" s="2"/>
      <c r="CZ6" s="2">
        <v>73</v>
      </c>
      <c r="DA6" s="2" t="s">
        <v>795</v>
      </c>
      <c r="DB6" s="2">
        <v>2017</v>
      </c>
      <c r="DC6" s="2" t="s">
        <v>30</v>
      </c>
      <c r="DD6" s="2" t="s">
        <v>27</v>
      </c>
      <c r="DE6" s="2" t="s">
        <v>1090</v>
      </c>
      <c r="DF6" s="2" t="s">
        <v>330</v>
      </c>
      <c r="DG6" s="2" t="s">
        <v>24</v>
      </c>
      <c r="DH6" s="2"/>
      <c r="DI6" s="2">
        <v>99</v>
      </c>
      <c r="DJ6" s="2" t="s">
        <v>795</v>
      </c>
      <c r="DK6" s="2">
        <v>2012</v>
      </c>
      <c r="DL6" s="2" t="s">
        <v>243</v>
      </c>
      <c r="DM6" s="2" t="s">
        <v>27</v>
      </c>
      <c r="DN6" s="2" t="s">
        <v>2663</v>
      </c>
      <c r="DO6" s="2" t="s">
        <v>1091</v>
      </c>
      <c r="DP6" s="2"/>
      <c r="DQ6" s="2" t="s">
        <v>1092</v>
      </c>
      <c r="DR6" s="2" t="s">
        <v>1093</v>
      </c>
      <c r="DS6" s="2">
        <v>1</v>
      </c>
      <c r="DT6" s="2" t="s">
        <v>1388</v>
      </c>
      <c r="DU6" s="2" t="s">
        <v>1095</v>
      </c>
      <c r="DV6" s="2" t="s">
        <v>260</v>
      </c>
      <c r="DW6" s="2">
        <v>77024</v>
      </c>
      <c r="DX6" s="2" t="s">
        <v>1096</v>
      </c>
      <c r="DY6" s="2"/>
      <c r="DZ6" s="2" t="s">
        <v>1097</v>
      </c>
      <c r="EA6" s="2" t="s">
        <v>1389</v>
      </c>
      <c r="EB6" s="2" t="s">
        <v>1098</v>
      </c>
      <c r="EC6" s="2" t="s">
        <v>333</v>
      </c>
      <c r="ED6" s="2" t="s">
        <v>44</v>
      </c>
      <c r="EE6" s="2">
        <v>188</v>
      </c>
      <c r="EF6" s="2" t="s">
        <v>810</v>
      </c>
      <c r="EG6" s="2">
        <v>7</v>
      </c>
      <c r="EH6" s="2" t="s">
        <v>46</v>
      </c>
      <c r="EI6" s="2" t="s">
        <v>47</v>
      </c>
      <c r="EJ6" s="2" t="s">
        <v>1099</v>
      </c>
      <c r="EK6" s="2" t="s">
        <v>389</v>
      </c>
      <c r="EL6" s="2" t="s">
        <v>44</v>
      </c>
      <c r="EM6" s="2">
        <v>160</v>
      </c>
      <c r="EN6" s="2" t="s">
        <v>810</v>
      </c>
      <c r="EO6" s="2">
        <v>3</v>
      </c>
      <c r="EP6" s="2" t="s">
        <v>46</v>
      </c>
      <c r="EQ6" s="2" t="s">
        <v>47</v>
      </c>
      <c r="ER6" s="2" t="s">
        <v>1100</v>
      </c>
      <c r="ES6" s="2" t="s">
        <v>951</v>
      </c>
      <c r="ET6" s="2" t="s">
        <v>1101</v>
      </c>
      <c r="EU6" s="2" t="s">
        <v>1102</v>
      </c>
      <c r="EV6" s="2" t="s">
        <v>1103</v>
      </c>
      <c r="EW6" s="2" t="s">
        <v>299</v>
      </c>
      <c r="EX6" s="2" t="s">
        <v>39</v>
      </c>
      <c r="EY6" s="2">
        <v>33131</v>
      </c>
      <c r="EZ6" s="2" t="s">
        <v>1390</v>
      </c>
      <c r="FA6" s="2"/>
      <c r="FB6" s="2" t="s">
        <v>1105</v>
      </c>
      <c r="FC6" s="2" t="s">
        <v>1902</v>
      </c>
      <c r="FD6" s="2"/>
      <c r="FE6" s="2" t="s">
        <v>1294</v>
      </c>
      <c r="FF6" s="2" t="s">
        <v>1102</v>
      </c>
      <c r="FG6" s="2" t="s">
        <v>1391</v>
      </c>
      <c r="FH6" s="2" t="s">
        <v>299</v>
      </c>
      <c r="FI6" s="2" t="s">
        <v>39</v>
      </c>
      <c r="FJ6" s="2">
        <v>33131</v>
      </c>
      <c r="FK6" s="2" t="s">
        <v>1903</v>
      </c>
      <c r="FL6" s="2"/>
      <c r="FM6" s="2" t="s">
        <v>1904</v>
      </c>
      <c r="FN6" s="2" t="s">
        <v>2801</v>
      </c>
      <c r="FO6" s="2" t="s">
        <v>63</v>
      </c>
      <c r="FP6" s="2" t="s">
        <v>64</v>
      </c>
      <c r="FQ6" s="2" t="s">
        <v>9</v>
      </c>
      <c r="FR6" s="2" t="s">
        <v>17</v>
      </c>
      <c r="FS6" s="2" t="s">
        <v>17</v>
      </c>
      <c r="FT6" s="2" t="s">
        <v>9</v>
      </c>
      <c r="FU6" s="2">
        <v>0</v>
      </c>
      <c r="FV6" s="2">
        <v>0</v>
      </c>
      <c r="FW6" s="4">
        <v>0</v>
      </c>
      <c r="FX6" s="4">
        <v>0</v>
      </c>
      <c r="FY6" s="2" t="s">
        <v>65</v>
      </c>
      <c r="FZ6" s="2" t="s">
        <v>66</v>
      </c>
      <c r="GA6" s="2" t="s">
        <v>67</v>
      </c>
      <c r="GB6" s="2"/>
      <c r="GC6" s="2"/>
      <c r="GD6" s="2"/>
      <c r="GE6" s="2" t="s">
        <v>68</v>
      </c>
      <c r="GF6" s="2">
        <v>96</v>
      </c>
      <c r="GG6" s="2">
        <v>96</v>
      </c>
      <c r="GH6" s="2"/>
      <c r="GI6" s="2"/>
      <c r="GJ6" s="2"/>
      <c r="GK6" s="2"/>
      <c r="GL6" s="2"/>
      <c r="GM6" s="2"/>
      <c r="GN6" s="2"/>
      <c r="GO6" s="2"/>
      <c r="GP6" s="2"/>
      <c r="GQ6" s="2">
        <v>96</v>
      </c>
      <c r="GR6" s="2" t="s">
        <v>2802</v>
      </c>
      <c r="GS6" s="2" t="s">
        <v>2686</v>
      </c>
      <c r="GT6" s="2" t="s">
        <v>2803</v>
      </c>
      <c r="GU6" s="2" t="s">
        <v>2804</v>
      </c>
      <c r="GV6" s="2" t="s">
        <v>17</v>
      </c>
      <c r="GW6" s="2">
        <v>28.137467999999998</v>
      </c>
      <c r="GX6" s="2">
        <v>-82.756979999999999</v>
      </c>
      <c r="GY6" s="2">
        <v>28.13</v>
      </c>
      <c r="GZ6" s="2" t="s">
        <v>17</v>
      </c>
      <c r="HA6" s="2">
        <v>0</v>
      </c>
      <c r="HB6" s="2" t="s">
        <v>17</v>
      </c>
      <c r="HC6" s="2"/>
      <c r="HD6" s="2">
        <v>0</v>
      </c>
      <c r="HE6" s="2">
        <v>28.141269999999999</v>
      </c>
      <c r="HF6" s="2">
        <v>-82.755207999999996</v>
      </c>
      <c r="HG6" s="2">
        <v>0.28000000000000003</v>
      </c>
      <c r="HH6" s="2">
        <v>2</v>
      </c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 t="s">
        <v>73</v>
      </c>
      <c r="HX6" s="2" t="s">
        <v>359</v>
      </c>
      <c r="HY6" s="2" t="s">
        <v>2805</v>
      </c>
      <c r="HZ6" s="2">
        <v>0.1</v>
      </c>
      <c r="IA6" s="2">
        <v>4</v>
      </c>
      <c r="IB6" s="2"/>
      <c r="IC6" s="2"/>
      <c r="ID6" s="2"/>
      <c r="IE6" s="2"/>
      <c r="IF6" s="2" t="s">
        <v>1118</v>
      </c>
      <c r="IG6" s="2" t="s">
        <v>2806</v>
      </c>
      <c r="IH6" s="2">
        <v>0.27</v>
      </c>
      <c r="II6" s="2">
        <v>4</v>
      </c>
      <c r="IJ6" s="2" t="s">
        <v>2807</v>
      </c>
      <c r="IK6" s="2" t="s">
        <v>2808</v>
      </c>
      <c r="IL6" s="2">
        <v>0.37</v>
      </c>
      <c r="IM6" s="2">
        <v>4</v>
      </c>
      <c r="IN6" s="2" t="s">
        <v>17</v>
      </c>
      <c r="IO6" s="2" t="s">
        <v>17</v>
      </c>
      <c r="IP6" s="2" t="s">
        <v>79</v>
      </c>
      <c r="IQ6" s="2">
        <v>2</v>
      </c>
      <c r="IR6" s="2">
        <v>12</v>
      </c>
      <c r="IS6" s="2">
        <v>0</v>
      </c>
      <c r="IT6" s="2">
        <v>14</v>
      </c>
      <c r="IU6" s="2" t="s">
        <v>9</v>
      </c>
      <c r="IV6" s="2" t="s">
        <v>17</v>
      </c>
      <c r="IW6" s="2" t="s">
        <v>17</v>
      </c>
      <c r="IX6" s="2" t="s">
        <v>9</v>
      </c>
      <c r="IY6" s="2">
        <v>14</v>
      </c>
      <c r="IZ6" s="2">
        <v>96</v>
      </c>
      <c r="JA6" s="2" t="s">
        <v>2809</v>
      </c>
      <c r="JB6" s="2" t="s">
        <v>82</v>
      </c>
      <c r="JC6" s="2"/>
      <c r="JD6" s="2"/>
      <c r="JE6" s="2"/>
      <c r="JF6" s="7">
        <v>0</v>
      </c>
      <c r="JG6" s="7"/>
      <c r="JH6" s="7"/>
      <c r="JI6" s="2">
        <v>0</v>
      </c>
      <c r="JJ6" s="7">
        <v>0</v>
      </c>
      <c r="JK6" s="2">
        <v>0</v>
      </c>
      <c r="JL6" s="7">
        <v>0</v>
      </c>
      <c r="JM6" s="2">
        <v>15</v>
      </c>
      <c r="JN6" s="2"/>
      <c r="JO6" s="2">
        <v>36</v>
      </c>
      <c r="JP6" s="2">
        <v>45</v>
      </c>
      <c r="JQ6" s="2"/>
      <c r="JR6" s="2">
        <v>0</v>
      </c>
      <c r="JS6" s="2">
        <v>0</v>
      </c>
      <c r="JT6" s="2"/>
      <c r="JU6" s="2"/>
      <c r="JV6" s="2">
        <v>96</v>
      </c>
      <c r="JW6" s="4">
        <v>1</v>
      </c>
      <c r="JX6" s="2">
        <v>96</v>
      </c>
      <c r="JY6" s="4">
        <v>0.6</v>
      </c>
      <c r="JZ6" s="2">
        <v>0</v>
      </c>
      <c r="KA6" s="2"/>
      <c r="KB6" s="2"/>
      <c r="KC6" s="2"/>
      <c r="KD6" s="2"/>
      <c r="KE6" s="2"/>
      <c r="KF6" s="2"/>
      <c r="KG6" s="2"/>
      <c r="KH6" s="2">
        <v>48</v>
      </c>
      <c r="KI6" s="2"/>
      <c r="KJ6" s="2"/>
      <c r="KK6" s="2">
        <v>36</v>
      </c>
      <c r="KL6" s="2">
        <v>12</v>
      </c>
      <c r="KM6" s="2"/>
      <c r="KN6" s="2"/>
      <c r="KO6" s="2"/>
      <c r="KP6" s="2"/>
      <c r="KQ6" s="2" t="s">
        <v>83</v>
      </c>
      <c r="KR6" s="2" t="s">
        <v>73</v>
      </c>
      <c r="KS6" s="2"/>
      <c r="KT6" s="2">
        <v>4</v>
      </c>
      <c r="KU6" s="2" t="s">
        <v>84</v>
      </c>
      <c r="KV6" s="2" t="s">
        <v>85</v>
      </c>
      <c r="KW6" s="2" t="s">
        <v>86</v>
      </c>
      <c r="KX6" s="2" t="s">
        <v>17</v>
      </c>
      <c r="KY6" s="2" t="s">
        <v>17</v>
      </c>
      <c r="KZ6" s="2" t="s">
        <v>17</v>
      </c>
      <c r="LA6" s="2" t="s">
        <v>17</v>
      </c>
      <c r="LB6" s="2" t="s">
        <v>17</v>
      </c>
      <c r="LC6" s="2" t="s">
        <v>17</v>
      </c>
      <c r="LD6" s="2" t="s">
        <v>17</v>
      </c>
      <c r="LE6" s="2" t="s">
        <v>17</v>
      </c>
      <c r="LF6" s="2" t="s">
        <v>17</v>
      </c>
      <c r="LG6" s="2" t="s">
        <v>17</v>
      </c>
      <c r="LH6" s="2" t="s">
        <v>17</v>
      </c>
      <c r="LI6" s="2" t="s">
        <v>17</v>
      </c>
      <c r="LJ6" s="2" t="s">
        <v>87</v>
      </c>
      <c r="LK6" s="2" t="s">
        <v>17</v>
      </c>
      <c r="LL6" s="2" t="s">
        <v>17</v>
      </c>
      <c r="LM6" s="2">
        <v>0</v>
      </c>
      <c r="LN6" s="2" t="s">
        <v>17</v>
      </c>
      <c r="LO6" s="2" t="s">
        <v>9</v>
      </c>
      <c r="LP6" s="2" t="s">
        <v>9</v>
      </c>
      <c r="LQ6" s="2" t="s">
        <v>17</v>
      </c>
      <c r="LR6" s="2" t="s">
        <v>9</v>
      </c>
      <c r="LS6" s="2" t="s">
        <v>17</v>
      </c>
      <c r="LT6" s="2" t="s">
        <v>17</v>
      </c>
      <c r="LU6" s="2" t="s">
        <v>17</v>
      </c>
      <c r="LV6" s="2" t="s">
        <v>17</v>
      </c>
      <c r="LW6" s="2" t="s">
        <v>17</v>
      </c>
      <c r="LX6" s="2" t="s">
        <v>17</v>
      </c>
      <c r="LY6" s="5">
        <v>6500000</v>
      </c>
      <c r="LZ6" s="5">
        <v>0</v>
      </c>
      <c r="MA6" s="5">
        <v>8400000</v>
      </c>
      <c r="MB6" s="5">
        <v>0</v>
      </c>
      <c r="MC6" s="5">
        <v>0</v>
      </c>
      <c r="MD6" s="5">
        <v>0</v>
      </c>
      <c r="ME6" s="5">
        <v>10000000</v>
      </c>
      <c r="MF6" s="5">
        <v>0</v>
      </c>
      <c r="MG6" s="5">
        <v>0</v>
      </c>
      <c r="MH6" s="5">
        <v>0</v>
      </c>
      <c r="MI6" s="5">
        <v>0</v>
      </c>
      <c r="MJ6" s="5">
        <v>0</v>
      </c>
      <c r="MK6" s="5">
        <v>0</v>
      </c>
      <c r="ML6" s="2">
        <v>0</v>
      </c>
      <c r="MM6" s="5">
        <v>0</v>
      </c>
      <c r="MN6" s="5">
        <v>0</v>
      </c>
      <c r="MO6" s="2">
        <v>0</v>
      </c>
      <c r="MP6" s="2">
        <v>0</v>
      </c>
      <c r="MQ6" s="2">
        <v>0</v>
      </c>
      <c r="MR6" s="5">
        <v>2950000</v>
      </c>
      <c r="MS6" s="5">
        <v>0</v>
      </c>
      <c r="MT6" s="5">
        <v>4600000</v>
      </c>
      <c r="MU6" s="5">
        <v>0</v>
      </c>
      <c r="MV6" s="5">
        <v>0</v>
      </c>
      <c r="MW6" s="5">
        <v>0</v>
      </c>
      <c r="MX6" s="5">
        <v>0</v>
      </c>
      <c r="MY6" s="5">
        <v>2500000</v>
      </c>
      <c r="MZ6" s="5">
        <v>0</v>
      </c>
      <c r="NA6" s="5">
        <v>5000000</v>
      </c>
      <c r="NB6" s="5">
        <v>0</v>
      </c>
      <c r="NC6" s="5">
        <v>0</v>
      </c>
      <c r="ND6" s="5">
        <v>0</v>
      </c>
      <c r="NE6" s="5">
        <v>0</v>
      </c>
      <c r="NF6" s="5">
        <v>0</v>
      </c>
      <c r="NG6" s="5">
        <v>2353680</v>
      </c>
      <c r="NH6" s="5">
        <v>2353680</v>
      </c>
      <c r="NI6" s="5">
        <v>2353680</v>
      </c>
      <c r="NJ6" s="2" t="s">
        <v>17</v>
      </c>
      <c r="NK6" s="2"/>
      <c r="NL6" s="2"/>
      <c r="NM6" s="2" t="s">
        <v>17</v>
      </c>
      <c r="NN6" s="2"/>
      <c r="NO6" s="2" t="s">
        <v>17</v>
      </c>
      <c r="NP6" s="2"/>
      <c r="NQ6" s="2"/>
      <c r="NR6" s="2" t="s">
        <v>17</v>
      </c>
      <c r="NS6" s="2"/>
      <c r="NT6" s="2" t="s">
        <v>17</v>
      </c>
      <c r="NU6" s="2"/>
      <c r="NV6" s="2"/>
      <c r="NW6" s="2"/>
      <c r="NX6" s="2" t="s">
        <v>17</v>
      </c>
      <c r="NY6" s="2"/>
      <c r="NZ6" s="2"/>
      <c r="OA6" s="2" t="s">
        <v>118</v>
      </c>
      <c r="OB6" s="2" t="s">
        <v>118</v>
      </c>
      <c r="OC6" s="2" t="s">
        <v>118</v>
      </c>
      <c r="OD6" s="2" t="s">
        <v>17</v>
      </c>
      <c r="OE6" s="2" t="s">
        <v>2810</v>
      </c>
      <c r="OF6" s="2" t="s">
        <v>9</v>
      </c>
      <c r="OG6" s="2" t="s">
        <v>92</v>
      </c>
      <c r="OH6" s="2" t="s">
        <v>17</v>
      </c>
      <c r="OI6" s="2" t="s">
        <v>17</v>
      </c>
      <c r="OJ6" s="2" t="s">
        <v>85</v>
      </c>
      <c r="OK6" s="6">
        <v>0</v>
      </c>
      <c r="OL6" s="6">
        <v>0</v>
      </c>
      <c r="OM6" s="2" t="s">
        <v>93</v>
      </c>
      <c r="ON6" s="2" t="s">
        <v>93</v>
      </c>
      <c r="OO6" s="6">
        <v>0</v>
      </c>
      <c r="OP6" s="6">
        <v>0</v>
      </c>
      <c r="OQ6" s="4">
        <v>0</v>
      </c>
      <c r="OR6" s="6">
        <v>0</v>
      </c>
      <c r="OS6" s="4">
        <v>0</v>
      </c>
      <c r="OT6" s="2"/>
      <c r="OU6" s="2"/>
      <c r="OV6" s="2"/>
      <c r="OW6" s="2"/>
      <c r="OX6" s="5">
        <v>16954969</v>
      </c>
      <c r="OY6" s="6">
        <v>176614.26</v>
      </c>
      <c r="OZ6" s="2"/>
      <c r="PA6" s="2"/>
      <c r="PB6" s="2"/>
      <c r="PC6" s="2"/>
      <c r="PD6" s="8">
        <v>14022316</v>
      </c>
      <c r="PE6" s="2"/>
      <c r="PF6" s="8">
        <v>14022316</v>
      </c>
      <c r="PG6" s="2"/>
      <c r="PH6" s="2"/>
      <c r="PI6" s="2"/>
      <c r="PJ6" s="8">
        <v>305000</v>
      </c>
      <c r="PK6" s="2"/>
      <c r="PL6" s="8">
        <v>305000</v>
      </c>
      <c r="PM6" s="8">
        <v>14327316</v>
      </c>
      <c r="PN6" s="2"/>
      <c r="PO6" s="8">
        <v>14327316</v>
      </c>
      <c r="PP6" s="8">
        <v>1963124</v>
      </c>
      <c r="PQ6" s="2"/>
      <c r="PR6" s="8">
        <v>1963124</v>
      </c>
      <c r="PS6" s="6">
        <v>2005824</v>
      </c>
      <c r="PT6" s="8">
        <v>16290440</v>
      </c>
      <c r="PU6" s="2"/>
      <c r="PV6" s="8">
        <v>16290440</v>
      </c>
      <c r="PW6" s="8">
        <v>814000</v>
      </c>
      <c r="PX6" s="2"/>
      <c r="PY6" s="8">
        <v>814000</v>
      </c>
      <c r="PZ6" s="6">
        <v>814522</v>
      </c>
      <c r="QA6" s="8">
        <v>965900</v>
      </c>
      <c r="QB6" s="8">
        <v>85700</v>
      </c>
      <c r="QC6" s="8">
        <v>1051600</v>
      </c>
      <c r="QD6" s="8">
        <v>154891</v>
      </c>
      <c r="QE6" s="8">
        <v>240000</v>
      </c>
      <c r="QF6" s="8">
        <v>394891</v>
      </c>
      <c r="QG6" s="8">
        <v>1275000</v>
      </c>
      <c r="QH6" s="2"/>
      <c r="QI6" s="8">
        <v>1275000</v>
      </c>
      <c r="QJ6" s="2"/>
      <c r="QK6" s="8">
        <v>479831</v>
      </c>
      <c r="QL6" s="8">
        <v>479831</v>
      </c>
      <c r="QM6" s="2"/>
      <c r="QN6" s="2"/>
      <c r="QO6" s="2"/>
      <c r="QP6" s="8">
        <v>189715</v>
      </c>
      <c r="QQ6" s="8">
        <v>130000</v>
      </c>
      <c r="QR6" s="8">
        <v>319715</v>
      </c>
      <c r="QS6" s="8">
        <v>2585506</v>
      </c>
      <c r="QT6" s="8">
        <v>935531</v>
      </c>
      <c r="QU6" s="8">
        <v>3521037</v>
      </c>
      <c r="QV6" s="8">
        <v>176000</v>
      </c>
      <c r="QW6" s="2"/>
      <c r="QX6" s="8">
        <v>176000</v>
      </c>
      <c r="QY6" s="6">
        <v>176051.85</v>
      </c>
      <c r="QZ6" s="8">
        <v>210000</v>
      </c>
      <c r="RA6" s="8">
        <v>50000</v>
      </c>
      <c r="RB6" s="8">
        <v>260000</v>
      </c>
      <c r="RC6" s="8">
        <v>152700</v>
      </c>
      <c r="RD6" s="8">
        <v>152700</v>
      </c>
      <c r="RE6" s="8">
        <v>1470401</v>
      </c>
      <c r="RF6" s="8">
        <v>295659</v>
      </c>
      <c r="RG6" s="8">
        <v>1766060</v>
      </c>
      <c r="RH6" s="8">
        <v>1680401</v>
      </c>
      <c r="RI6" s="8">
        <v>498359</v>
      </c>
      <c r="RJ6" s="8">
        <v>2178760</v>
      </c>
      <c r="RK6" s="2"/>
      <c r="RL6" s="2"/>
      <c r="RM6" s="8">
        <v>21546347</v>
      </c>
      <c r="RN6" s="8">
        <v>1433890</v>
      </c>
      <c r="RO6" s="8">
        <v>22980237</v>
      </c>
      <c r="RP6" s="2">
        <v>0</v>
      </c>
      <c r="RQ6" s="6">
        <v>0</v>
      </c>
      <c r="RR6" s="8">
        <v>3676000</v>
      </c>
      <c r="RS6" s="2"/>
      <c r="RT6" s="8">
        <v>3676000</v>
      </c>
      <c r="RU6" s="6">
        <v>3676837</v>
      </c>
      <c r="RV6" s="6">
        <v>0</v>
      </c>
      <c r="RW6" s="8">
        <v>3676000</v>
      </c>
      <c r="RX6" s="2"/>
      <c r="RY6" s="8">
        <v>3676000</v>
      </c>
      <c r="RZ6" s="6">
        <v>3676837</v>
      </c>
      <c r="SA6" s="8">
        <v>336000</v>
      </c>
      <c r="SB6" s="8">
        <v>336000</v>
      </c>
      <c r="SC6" s="6">
        <v>336000</v>
      </c>
      <c r="SD6" s="8">
        <v>2800000</v>
      </c>
      <c r="SE6" s="8">
        <v>2800000</v>
      </c>
      <c r="SF6" s="8">
        <v>25222347</v>
      </c>
      <c r="SG6" s="8">
        <v>4569890</v>
      </c>
      <c r="SH6" s="8">
        <v>29792237</v>
      </c>
      <c r="SI6" s="2"/>
      <c r="SJ6" s="2" t="s">
        <v>1401</v>
      </c>
      <c r="SK6" s="2" t="s">
        <v>1402</v>
      </c>
      <c r="SL6" s="2" t="s">
        <v>2811</v>
      </c>
      <c r="SM6" s="8">
        <v>23000000</v>
      </c>
      <c r="SN6" s="2" t="s">
        <v>95</v>
      </c>
      <c r="SO6" s="2"/>
      <c r="SP6" s="2"/>
      <c r="SQ6" s="2"/>
      <c r="SR6" s="2"/>
      <c r="SS6" s="2" t="s">
        <v>96</v>
      </c>
      <c r="ST6" s="2" t="s">
        <v>96</v>
      </c>
      <c r="SU6" s="2" t="s">
        <v>96</v>
      </c>
      <c r="SV6" s="2" t="s">
        <v>96</v>
      </c>
      <c r="SW6" s="8">
        <v>5530595</v>
      </c>
      <c r="SX6" s="2" t="s">
        <v>2812</v>
      </c>
      <c r="SY6" s="8">
        <v>75000</v>
      </c>
      <c r="SZ6" s="2" t="s">
        <v>180</v>
      </c>
      <c r="TA6" s="8">
        <v>1186642</v>
      </c>
      <c r="TB6" s="8">
        <v>29792237</v>
      </c>
      <c r="TC6" s="2">
        <v>0</v>
      </c>
      <c r="TD6" s="2" t="s">
        <v>9</v>
      </c>
      <c r="TE6" s="8">
        <v>6270000</v>
      </c>
      <c r="TF6" s="2" t="s">
        <v>95</v>
      </c>
      <c r="TG6" s="2"/>
      <c r="TH6" s="2"/>
      <c r="TI6" s="2"/>
      <c r="TJ6" s="2"/>
      <c r="TK6" s="2" t="s">
        <v>96</v>
      </c>
      <c r="TL6" s="2" t="s">
        <v>96</v>
      </c>
      <c r="TM6" s="2" t="s">
        <v>96</v>
      </c>
      <c r="TN6" s="2" t="s">
        <v>96</v>
      </c>
      <c r="TO6" s="8">
        <v>22122380</v>
      </c>
      <c r="TP6" s="2" t="s">
        <v>2812</v>
      </c>
      <c r="TQ6" s="8">
        <v>75000</v>
      </c>
      <c r="TR6" s="2" t="s">
        <v>180</v>
      </c>
      <c r="TS6" s="8">
        <v>1324857</v>
      </c>
      <c r="TT6" s="8">
        <v>29792237</v>
      </c>
      <c r="TU6" s="6">
        <v>6345000</v>
      </c>
      <c r="TV6" s="2">
        <v>0</v>
      </c>
      <c r="TW6" s="2" t="s">
        <v>9</v>
      </c>
      <c r="TX6" s="2">
        <v>96</v>
      </c>
      <c r="TY6" s="5">
        <v>240000</v>
      </c>
      <c r="TZ6" s="6">
        <v>320000</v>
      </c>
      <c r="UA6" s="6">
        <v>320000</v>
      </c>
      <c r="UB6" s="6">
        <v>339200</v>
      </c>
      <c r="UC6" s="6">
        <v>32563200</v>
      </c>
      <c r="UD6" s="6">
        <v>5210112</v>
      </c>
      <c r="UE6" s="2" t="s">
        <v>97</v>
      </c>
      <c r="UF6" s="6">
        <v>5210112</v>
      </c>
      <c r="UG6" s="6">
        <v>37773312</v>
      </c>
      <c r="UH6" s="6">
        <v>26656237</v>
      </c>
      <c r="UI6" s="4">
        <v>0.99990000000000001</v>
      </c>
      <c r="UJ6" s="2" t="s">
        <v>9</v>
      </c>
      <c r="UK6" s="6">
        <v>75000</v>
      </c>
      <c r="UL6" s="6">
        <v>75000</v>
      </c>
      <c r="UM6" s="6">
        <v>0</v>
      </c>
      <c r="UN6" s="2"/>
      <c r="UO6" s="6">
        <v>0</v>
      </c>
      <c r="UP6" s="2"/>
      <c r="UQ6" s="6">
        <v>0</v>
      </c>
      <c r="UR6" s="6">
        <v>0</v>
      </c>
      <c r="US6" s="6">
        <v>75000</v>
      </c>
      <c r="UT6" s="6">
        <v>75000</v>
      </c>
      <c r="UU6" s="6">
        <v>0</v>
      </c>
      <c r="UV6" s="2" t="s">
        <v>2813</v>
      </c>
      <c r="UW6" s="2" t="s">
        <v>182</v>
      </c>
      <c r="UX6" s="2" t="s">
        <v>9</v>
      </c>
      <c r="UY6" s="2" t="s">
        <v>17</v>
      </c>
      <c r="UZ6" s="2" t="s">
        <v>17</v>
      </c>
      <c r="VA6" s="2" t="s">
        <v>17</v>
      </c>
      <c r="VB6" s="2" t="s">
        <v>2740</v>
      </c>
      <c r="VC6" s="2" t="s">
        <v>17</v>
      </c>
      <c r="VD6" s="2" t="s">
        <v>17</v>
      </c>
      <c r="VE6" s="2" t="s">
        <v>17</v>
      </c>
      <c r="VF6" s="2"/>
      <c r="VG6" s="2" t="s">
        <v>2814</v>
      </c>
      <c r="VH6" s="2"/>
      <c r="VI6" s="388" t="s">
        <v>1125</v>
      </c>
      <c r="VJ6" s="2" t="s">
        <v>98</v>
      </c>
      <c r="VK6" s="2" t="s">
        <v>2815</v>
      </c>
      <c r="VL6" s="23">
        <f t="shared" si="0"/>
        <v>156</v>
      </c>
      <c r="VM6" s="17">
        <f t="shared" si="1"/>
        <v>1.625</v>
      </c>
      <c r="VN6" s="17" t="str">
        <f t="shared" si="2"/>
        <v>NC-GA-F</v>
      </c>
      <c r="VO6" s="17" t="str">
        <f t="shared" si="14"/>
        <v>NC-GA-F-ESS</v>
      </c>
      <c r="VP6" s="12">
        <v>9</v>
      </c>
      <c r="VQ6" s="57">
        <v>1</v>
      </c>
      <c r="VR6" s="14">
        <f t="shared" si="3"/>
        <v>1</v>
      </c>
      <c r="VS6" s="14">
        <f t="shared" si="4"/>
        <v>1</v>
      </c>
      <c r="VT6" s="12">
        <f t="shared" si="5"/>
        <v>0.93</v>
      </c>
      <c r="VU6" s="29">
        <f t="shared" si="6"/>
        <v>19700301.600000001</v>
      </c>
      <c r="VV6" s="29">
        <f t="shared" si="7"/>
        <v>205211.47500000001</v>
      </c>
      <c r="VW6" s="12" t="str">
        <f t="shared" si="15"/>
        <v>A</v>
      </c>
      <c r="VX6" s="12" t="str">
        <f t="shared" si="8"/>
        <v>NC-GA-ESS</v>
      </c>
      <c r="VY6" s="351">
        <f t="shared" si="16"/>
        <v>2</v>
      </c>
      <c r="VZ6" s="12"/>
      <c r="WA6" s="12">
        <f t="shared" si="17"/>
        <v>0</v>
      </c>
      <c r="WB6" s="12">
        <f t="shared" si="18"/>
        <v>0</v>
      </c>
      <c r="WC6" s="12">
        <f t="shared" si="19"/>
        <v>0</v>
      </c>
      <c r="WD6" s="12">
        <f t="shared" si="20"/>
        <v>0</v>
      </c>
      <c r="WE6" s="12">
        <f t="shared" si="21"/>
        <v>1</v>
      </c>
      <c r="WF6" s="12">
        <f t="shared" si="9"/>
        <v>1</v>
      </c>
      <c r="WG6" s="12">
        <f t="shared" si="10"/>
        <v>0</v>
      </c>
      <c r="WH6" s="12">
        <f t="shared" si="11"/>
        <v>0</v>
      </c>
      <c r="WI6" s="31">
        <f t="shared" si="12"/>
        <v>2</v>
      </c>
      <c r="WJ6" s="2"/>
      <c r="WK6" s="444" t="str">
        <f t="shared" si="13"/>
        <v>NC-GA-ESS-BBN-BRN-NPH-F</v>
      </c>
      <c r="WL6" s="444"/>
      <c r="WM6" s="444"/>
      <c r="WN6" s="12"/>
      <c r="WO6" s="380" t="s">
        <v>5415</v>
      </c>
      <c r="WP6" s="144">
        <f>COUNTIFS($WF$2:$WF$72,"=1",$WA$2:$WA$72,"=1")</f>
        <v>2</v>
      </c>
      <c r="WQ6" s="144">
        <f>COUNTIFS($WF$2:$WF$72,"=1",$WB$2:$WB$72,"=1")</f>
        <v>0</v>
      </c>
      <c r="WR6" s="144">
        <f>COUNTIFS($WF$2:$WF$72,"=1",$WC$2:$WC$72,"=1")</f>
        <v>1</v>
      </c>
      <c r="WS6" s="144">
        <f>COUNTIFS($WF$2:$WF$72,"=1",$WD$2:$WD$72,"=1")</f>
        <v>5</v>
      </c>
      <c r="WT6" s="384"/>
      <c r="WU6" s="144">
        <f>COUNTIFS($WF$2:$WF$72,"=1",$WG$2:$WG$72,"=1")</f>
        <v>0</v>
      </c>
      <c r="WV6" s="144">
        <f>COUNTIFS($WF$2:$WF$72,"=1",$WH$2:$WH$72,"=1")</f>
        <v>0</v>
      </c>
      <c r="WW6" s="144">
        <f>COUNTIFS($WF$2:$WF$72,"=1",$WE$2:$WE$72,"=1")</f>
        <v>9</v>
      </c>
      <c r="WX6" s="205">
        <f>COUNTIF($WF$2:$WF$72,"=1")</f>
        <v>9</v>
      </c>
    </row>
    <row r="7" spans="1:622" x14ac:dyDescent="0.25">
      <c r="A7" s="2">
        <v>9563</v>
      </c>
      <c r="B7" s="2" t="s">
        <v>2816</v>
      </c>
      <c r="C7" s="2" t="s">
        <v>2652</v>
      </c>
      <c r="D7" s="3">
        <v>45152</v>
      </c>
      <c r="E7" s="2" t="s">
        <v>9</v>
      </c>
      <c r="F7" s="2">
        <v>3</v>
      </c>
      <c r="G7" s="2" t="s">
        <v>9</v>
      </c>
      <c r="H7" s="2">
        <v>3</v>
      </c>
      <c r="I7" s="2" t="s">
        <v>9</v>
      </c>
      <c r="J7" s="2">
        <v>2</v>
      </c>
      <c r="K7" s="2" t="s">
        <v>9</v>
      </c>
      <c r="L7" s="2">
        <v>3</v>
      </c>
      <c r="M7" s="2" t="s">
        <v>10</v>
      </c>
      <c r="N7" s="2">
        <v>0</v>
      </c>
      <c r="O7" s="2" t="s">
        <v>10</v>
      </c>
      <c r="P7" s="2">
        <v>0</v>
      </c>
      <c r="Q7" s="2" t="s">
        <v>11</v>
      </c>
      <c r="R7" s="2">
        <v>0</v>
      </c>
      <c r="S7" s="2" t="s">
        <v>9</v>
      </c>
      <c r="T7" s="2">
        <v>2</v>
      </c>
      <c r="U7" s="2" t="s">
        <v>9</v>
      </c>
      <c r="V7" s="2">
        <v>2</v>
      </c>
      <c r="W7" s="2" t="s">
        <v>9</v>
      </c>
      <c r="X7" s="2">
        <v>2</v>
      </c>
      <c r="Y7" s="2" t="s">
        <v>12</v>
      </c>
      <c r="Z7" s="2" t="s">
        <v>187</v>
      </c>
      <c r="AA7" s="2" t="s">
        <v>1505</v>
      </c>
      <c r="AB7" s="2" t="s">
        <v>15</v>
      </c>
      <c r="AC7" s="2" t="s">
        <v>15</v>
      </c>
      <c r="AD7" s="2" t="s">
        <v>15</v>
      </c>
      <c r="AE7" s="2" t="s">
        <v>15</v>
      </c>
      <c r="AF7" s="2">
        <v>2</v>
      </c>
      <c r="AG7" s="2" t="s">
        <v>787</v>
      </c>
      <c r="AH7" s="2" t="s">
        <v>17</v>
      </c>
      <c r="AI7" s="4">
        <v>0.1</v>
      </c>
      <c r="AJ7" s="2" t="s">
        <v>17</v>
      </c>
      <c r="AK7" s="2" t="s">
        <v>9</v>
      </c>
      <c r="AL7" s="2" t="s">
        <v>17</v>
      </c>
      <c r="AM7" s="2" t="s">
        <v>9</v>
      </c>
      <c r="AN7" s="2" t="s">
        <v>17</v>
      </c>
      <c r="AO7" s="2" t="s">
        <v>17</v>
      </c>
      <c r="AP7" s="2" t="s">
        <v>17</v>
      </c>
      <c r="AQ7" s="2" t="s">
        <v>17</v>
      </c>
      <c r="AR7" s="2" t="s">
        <v>17</v>
      </c>
      <c r="AS7" s="2" t="s">
        <v>17</v>
      </c>
      <c r="AT7" s="2">
        <v>5</v>
      </c>
      <c r="AU7" s="5">
        <v>75000</v>
      </c>
      <c r="AV7" s="5">
        <v>610000</v>
      </c>
      <c r="AW7" s="2">
        <v>0</v>
      </c>
      <c r="AX7" s="2">
        <v>9</v>
      </c>
      <c r="AY7" s="2">
        <v>0</v>
      </c>
      <c r="AZ7" s="2">
        <v>18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1</v>
      </c>
      <c r="BG7" s="2">
        <v>0</v>
      </c>
      <c r="BH7" s="2">
        <v>0</v>
      </c>
      <c r="BI7" s="2">
        <v>13</v>
      </c>
      <c r="BJ7" s="2">
        <v>1</v>
      </c>
      <c r="BK7" s="2">
        <v>0</v>
      </c>
      <c r="BL7" s="2">
        <v>2</v>
      </c>
      <c r="BM7" s="2">
        <v>1</v>
      </c>
      <c r="BN7" s="2">
        <v>13</v>
      </c>
      <c r="BO7" s="2">
        <v>11</v>
      </c>
      <c r="BP7" s="2">
        <v>0</v>
      </c>
      <c r="BQ7" s="2">
        <v>10</v>
      </c>
      <c r="BR7" s="2">
        <v>13.12</v>
      </c>
      <c r="BS7" s="2">
        <v>0</v>
      </c>
      <c r="BT7" s="4">
        <v>0.06</v>
      </c>
      <c r="BU7" s="2" t="s">
        <v>9</v>
      </c>
      <c r="BV7" s="6">
        <v>179639.78</v>
      </c>
      <c r="BW7" s="2" t="s">
        <v>126</v>
      </c>
      <c r="BX7" s="2" t="s">
        <v>17</v>
      </c>
      <c r="BY7" s="2" t="s">
        <v>17</v>
      </c>
      <c r="BZ7" s="2" t="s">
        <v>17</v>
      </c>
      <c r="CA7" s="2" t="s">
        <v>17</v>
      </c>
      <c r="CB7" s="2" t="s">
        <v>17</v>
      </c>
      <c r="CC7" s="2" t="s">
        <v>17</v>
      </c>
      <c r="CD7" s="2" t="s">
        <v>17</v>
      </c>
      <c r="CE7" s="2" t="s">
        <v>2817</v>
      </c>
      <c r="CF7" s="2" t="s">
        <v>17</v>
      </c>
      <c r="CG7" s="2" t="s">
        <v>1172</v>
      </c>
      <c r="CH7" s="2"/>
      <c r="CI7" s="2"/>
      <c r="CJ7" s="2" t="s">
        <v>9</v>
      </c>
      <c r="CK7" s="2" t="s">
        <v>1173</v>
      </c>
      <c r="CL7" s="2" t="s">
        <v>1172</v>
      </c>
      <c r="CM7" s="2" t="s">
        <v>1174</v>
      </c>
      <c r="CN7" s="2" t="s">
        <v>2818</v>
      </c>
      <c r="CO7" s="2" t="s">
        <v>24</v>
      </c>
      <c r="CP7" s="2"/>
      <c r="CQ7" s="2">
        <v>100</v>
      </c>
      <c r="CR7" s="2" t="s">
        <v>2659</v>
      </c>
      <c r="CS7" s="2">
        <v>2019</v>
      </c>
      <c r="CT7" s="2" t="s">
        <v>26</v>
      </c>
      <c r="CU7" s="2" t="s">
        <v>27</v>
      </c>
      <c r="CV7" s="2" t="s">
        <v>1176</v>
      </c>
      <c r="CW7" s="2" t="s">
        <v>1175</v>
      </c>
      <c r="CX7" s="2" t="s">
        <v>853</v>
      </c>
      <c r="CY7" s="2"/>
      <c r="CZ7" s="2">
        <v>120</v>
      </c>
      <c r="DA7" s="2" t="s">
        <v>2659</v>
      </c>
      <c r="DB7" s="2">
        <v>2020</v>
      </c>
      <c r="DC7" s="2" t="s">
        <v>26</v>
      </c>
      <c r="DD7" s="2" t="s">
        <v>27</v>
      </c>
      <c r="DE7" s="2" t="s">
        <v>1177</v>
      </c>
      <c r="DF7" s="2" t="s">
        <v>2819</v>
      </c>
      <c r="DG7" s="2" t="s">
        <v>24</v>
      </c>
      <c r="DH7" s="2"/>
      <c r="DI7" s="2">
        <v>65</v>
      </c>
      <c r="DJ7" s="2" t="s">
        <v>2659</v>
      </c>
      <c r="DK7" s="2">
        <v>2020</v>
      </c>
      <c r="DL7" s="2" t="s">
        <v>30</v>
      </c>
      <c r="DM7" s="2" t="s">
        <v>27</v>
      </c>
      <c r="DN7" s="2" t="s">
        <v>2663</v>
      </c>
      <c r="DO7" s="2" t="s">
        <v>1179</v>
      </c>
      <c r="DP7" s="2" t="s">
        <v>951</v>
      </c>
      <c r="DQ7" s="2" t="s">
        <v>1180</v>
      </c>
      <c r="DR7" s="2" t="s">
        <v>1181</v>
      </c>
      <c r="DS7" s="2">
        <v>1</v>
      </c>
      <c r="DT7" s="2" t="s">
        <v>1182</v>
      </c>
      <c r="DU7" s="2" t="s">
        <v>299</v>
      </c>
      <c r="DV7" s="2" t="s">
        <v>39</v>
      </c>
      <c r="DW7" s="2">
        <v>33176</v>
      </c>
      <c r="DX7" s="2" t="s">
        <v>2820</v>
      </c>
      <c r="DY7" s="2">
        <v>218</v>
      </c>
      <c r="DZ7" s="2" t="s">
        <v>1184</v>
      </c>
      <c r="EA7" s="2" t="s">
        <v>1181</v>
      </c>
      <c r="EB7" s="2" t="s">
        <v>1185</v>
      </c>
      <c r="EC7" s="2" t="s">
        <v>330</v>
      </c>
      <c r="ED7" s="2" t="s">
        <v>44</v>
      </c>
      <c r="EE7" s="2">
        <v>300</v>
      </c>
      <c r="EF7" s="2" t="s">
        <v>2672</v>
      </c>
      <c r="EG7" s="2">
        <v>11</v>
      </c>
      <c r="EH7" s="2" t="s">
        <v>46</v>
      </c>
      <c r="EI7" s="2" t="s">
        <v>47</v>
      </c>
      <c r="EJ7" s="2" t="s">
        <v>1186</v>
      </c>
      <c r="EK7" s="2" t="s">
        <v>692</v>
      </c>
      <c r="EL7" s="2" t="s">
        <v>44</v>
      </c>
      <c r="EM7" s="2">
        <v>420</v>
      </c>
      <c r="EN7" s="2" t="s">
        <v>2672</v>
      </c>
      <c r="EO7" s="2">
        <v>18</v>
      </c>
      <c r="EP7" s="2" t="s">
        <v>46</v>
      </c>
      <c r="EQ7" s="2" t="s">
        <v>47</v>
      </c>
      <c r="ER7" s="2" t="s">
        <v>2821</v>
      </c>
      <c r="ES7" s="2" t="s">
        <v>476</v>
      </c>
      <c r="ET7" s="2" t="s">
        <v>2822</v>
      </c>
      <c r="EU7" s="2" t="s">
        <v>2817</v>
      </c>
      <c r="EV7" s="2" t="s">
        <v>1193</v>
      </c>
      <c r="EW7" s="2" t="s">
        <v>661</v>
      </c>
      <c r="EX7" s="2" t="s">
        <v>39</v>
      </c>
      <c r="EY7" s="2">
        <v>32751</v>
      </c>
      <c r="EZ7" s="2" t="s">
        <v>2823</v>
      </c>
      <c r="FA7" s="2"/>
      <c r="FB7" s="2" t="s">
        <v>2824</v>
      </c>
      <c r="FC7" s="2" t="s">
        <v>1191</v>
      </c>
      <c r="FD7" s="2"/>
      <c r="FE7" s="2" t="s">
        <v>1192</v>
      </c>
      <c r="FF7" s="2" t="s">
        <v>1172</v>
      </c>
      <c r="FG7" s="2" t="s">
        <v>1193</v>
      </c>
      <c r="FH7" s="2" t="s">
        <v>661</v>
      </c>
      <c r="FI7" s="2" t="s">
        <v>39</v>
      </c>
      <c r="FJ7" s="2">
        <v>32751</v>
      </c>
      <c r="FK7" s="2" t="s">
        <v>1194</v>
      </c>
      <c r="FL7" s="2"/>
      <c r="FM7" s="2" t="s">
        <v>1195</v>
      </c>
      <c r="FN7" s="2" t="s">
        <v>2825</v>
      </c>
      <c r="FO7" s="2" t="s">
        <v>63</v>
      </c>
      <c r="FP7" s="2" t="s">
        <v>64</v>
      </c>
      <c r="FQ7" s="2" t="s">
        <v>9</v>
      </c>
      <c r="FR7" s="2" t="s">
        <v>17</v>
      </c>
      <c r="FS7" s="2" t="s">
        <v>17</v>
      </c>
      <c r="FT7" s="2" t="s">
        <v>9</v>
      </c>
      <c r="FU7" s="2">
        <v>0</v>
      </c>
      <c r="FV7" s="2">
        <v>0</v>
      </c>
      <c r="FW7" s="4">
        <v>0</v>
      </c>
      <c r="FX7" s="4">
        <v>0</v>
      </c>
      <c r="FY7" s="2" t="s">
        <v>65</v>
      </c>
      <c r="FZ7" s="2" t="s">
        <v>66</v>
      </c>
      <c r="GA7" s="2" t="s">
        <v>67</v>
      </c>
      <c r="GB7" s="2"/>
      <c r="GC7" s="2"/>
      <c r="GD7" s="2"/>
      <c r="GE7" s="2" t="s">
        <v>68</v>
      </c>
      <c r="GF7" s="2">
        <v>120</v>
      </c>
      <c r="GG7" s="2">
        <v>120</v>
      </c>
      <c r="GH7" s="2"/>
      <c r="GI7" s="2"/>
      <c r="GJ7" s="2"/>
      <c r="GK7" s="2"/>
      <c r="GL7" s="2"/>
      <c r="GM7" s="2"/>
      <c r="GN7" s="2"/>
      <c r="GO7" s="2"/>
      <c r="GP7" s="2"/>
      <c r="GQ7" s="2">
        <v>120</v>
      </c>
      <c r="GR7" s="2" t="s">
        <v>2826</v>
      </c>
      <c r="GS7" s="2" t="s">
        <v>2686</v>
      </c>
      <c r="GT7" s="2" t="s">
        <v>2827</v>
      </c>
      <c r="GU7" s="2" t="s">
        <v>2828</v>
      </c>
      <c r="GV7" s="2" t="s">
        <v>9</v>
      </c>
      <c r="GW7" s="2">
        <v>28.537089000000002</v>
      </c>
      <c r="GX7" s="2">
        <v>-81.283202000000003</v>
      </c>
      <c r="GY7" s="2" t="s">
        <v>2829</v>
      </c>
      <c r="GZ7" s="2" t="s">
        <v>17</v>
      </c>
      <c r="HA7" s="2">
        <v>0</v>
      </c>
      <c r="HB7" s="2" t="s">
        <v>17</v>
      </c>
      <c r="HC7" s="2" t="s">
        <v>17</v>
      </c>
      <c r="HD7" s="2">
        <v>0</v>
      </c>
      <c r="HE7" s="2">
        <v>28.537479000000001</v>
      </c>
      <c r="HF7" s="2">
        <v>-81.285650000000004</v>
      </c>
      <c r="HG7" s="2">
        <v>0.15</v>
      </c>
      <c r="HH7" s="2">
        <v>4</v>
      </c>
      <c r="HI7" s="2">
        <v>28.538039000000001</v>
      </c>
      <c r="HJ7" s="2">
        <v>-81.285874000000007</v>
      </c>
      <c r="HK7" s="2">
        <v>0.17</v>
      </c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 t="s">
        <v>73</v>
      </c>
      <c r="HX7" s="2" t="s">
        <v>316</v>
      </c>
      <c r="HY7" s="2" t="s">
        <v>2830</v>
      </c>
      <c r="HZ7" s="2">
        <v>0.21</v>
      </c>
      <c r="IA7" s="2">
        <v>4</v>
      </c>
      <c r="IB7" s="2" t="s">
        <v>2831</v>
      </c>
      <c r="IC7" s="2" t="s">
        <v>2832</v>
      </c>
      <c r="ID7" s="2">
        <v>0.21</v>
      </c>
      <c r="IE7" s="2">
        <v>4</v>
      </c>
      <c r="IF7" s="2"/>
      <c r="IG7" s="2"/>
      <c r="IH7" s="2"/>
      <c r="II7" s="2"/>
      <c r="IJ7" s="2" t="s">
        <v>2833</v>
      </c>
      <c r="IK7" s="2" t="s">
        <v>2834</v>
      </c>
      <c r="IL7" s="2">
        <v>1.03</v>
      </c>
      <c r="IM7" s="2">
        <v>2.5</v>
      </c>
      <c r="IN7" s="2" t="s">
        <v>17</v>
      </c>
      <c r="IO7" s="2"/>
      <c r="IP7" s="2" t="s">
        <v>79</v>
      </c>
      <c r="IQ7" s="2">
        <v>4</v>
      </c>
      <c r="IR7" s="2">
        <v>10.5</v>
      </c>
      <c r="IS7" s="2">
        <v>0</v>
      </c>
      <c r="IT7" s="2">
        <v>14.5</v>
      </c>
      <c r="IU7" s="2" t="s">
        <v>9</v>
      </c>
      <c r="IV7" s="2" t="s">
        <v>17</v>
      </c>
      <c r="IW7" s="2" t="s">
        <v>17</v>
      </c>
      <c r="IX7" s="2" t="s">
        <v>9</v>
      </c>
      <c r="IY7" s="2">
        <v>14.5</v>
      </c>
      <c r="IZ7" s="2">
        <v>120</v>
      </c>
      <c r="JA7" s="2" t="s">
        <v>2693</v>
      </c>
      <c r="JB7" s="2" t="s">
        <v>173</v>
      </c>
      <c r="JC7" s="2"/>
      <c r="JD7" s="7">
        <v>0.1</v>
      </c>
      <c r="JE7" s="7">
        <v>0.9</v>
      </c>
      <c r="JF7" s="7">
        <v>0</v>
      </c>
      <c r="JG7" s="7"/>
      <c r="JH7" s="7"/>
      <c r="JI7" s="2">
        <v>120</v>
      </c>
      <c r="JJ7" s="7">
        <v>1</v>
      </c>
      <c r="JK7" s="2">
        <v>120</v>
      </c>
      <c r="JL7" s="7">
        <v>1</v>
      </c>
      <c r="JM7" s="2"/>
      <c r="JN7" s="2"/>
      <c r="JO7" s="2"/>
      <c r="JP7" s="2"/>
      <c r="JQ7" s="2"/>
      <c r="JR7" s="2">
        <v>0</v>
      </c>
      <c r="JS7" s="2">
        <v>0</v>
      </c>
      <c r="JT7" s="2"/>
      <c r="JU7" s="2"/>
      <c r="JV7" s="2">
        <v>0</v>
      </c>
      <c r="JW7" s="4">
        <v>0</v>
      </c>
      <c r="JX7" s="2">
        <v>0</v>
      </c>
      <c r="JY7" s="4">
        <v>0</v>
      </c>
      <c r="JZ7" s="2">
        <v>0</v>
      </c>
      <c r="KA7" s="2"/>
      <c r="KB7" s="2"/>
      <c r="KC7" s="2"/>
      <c r="KD7" s="2"/>
      <c r="KE7" s="2"/>
      <c r="KF7" s="2"/>
      <c r="KG7" s="2"/>
      <c r="KH7" s="2">
        <v>60</v>
      </c>
      <c r="KI7" s="2"/>
      <c r="KJ7" s="2"/>
      <c r="KK7" s="2">
        <v>48</v>
      </c>
      <c r="KL7" s="2">
        <v>12</v>
      </c>
      <c r="KM7" s="2"/>
      <c r="KN7" s="2"/>
      <c r="KO7" s="2"/>
      <c r="KP7" s="2"/>
      <c r="KQ7" s="2" t="s">
        <v>83</v>
      </c>
      <c r="KR7" s="2"/>
      <c r="KS7" s="2" t="s">
        <v>73</v>
      </c>
      <c r="KT7" s="2">
        <v>2</v>
      </c>
      <c r="KU7" s="2" t="s">
        <v>84</v>
      </c>
      <c r="KV7" s="2" t="s">
        <v>85</v>
      </c>
      <c r="KW7" s="2" t="s">
        <v>86</v>
      </c>
      <c r="KX7" s="2" t="s">
        <v>17</v>
      </c>
      <c r="KY7" s="2" t="s">
        <v>17</v>
      </c>
      <c r="KZ7" s="2" t="s">
        <v>17</v>
      </c>
      <c r="LA7" s="2" t="s">
        <v>17</v>
      </c>
      <c r="LB7" s="2" t="s">
        <v>17</v>
      </c>
      <c r="LC7" s="2" t="s">
        <v>17</v>
      </c>
      <c r="LD7" s="2" t="s">
        <v>17</v>
      </c>
      <c r="LE7" s="2" t="s">
        <v>17</v>
      </c>
      <c r="LF7" s="2" t="s">
        <v>17</v>
      </c>
      <c r="LG7" s="2" t="s">
        <v>17</v>
      </c>
      <c r="LH7" s="2" t="s">
        <v>17</v>
      </c>
      <c r="LI7" s="2" t="s">
        <v>17</v>
      </c>
      <c r="LJ7" s="2" t="s">
        <v>87</v>
      </c>
      <c r="LK7" s="2" t="s">
        <v>17</v>
      </c>
      <c r="LL7" s="2" t="s">
        <v>17</v>
      </c>
      <c r="LM7" s="2">
        <v>0</v>
      </c>
      <c r="LN7" s="2" t="s">
        <v>17</v>
      </c>
      <c r="LO7" s="2" t="s">
        <v>17</v>
      </c>
      <c r="LP7" s="2" t="s">
        <v>17</v>
      </c>
      <c r="LQ7" s="2" t="s">
        <v>17</v>
      </c>
      <c r="LR7" s="2" t="s">
        <v>17</v>
      </c>
      <c r="LS7" s="2" t="s">
        <v>17</v>
      </c>
      <c r="LT7" s="2" t="s">
        <v>9</v>
      </c>
      <c r="LU7" s="2" t="s">
        <v>9</v>
      </c>
      <c r="LV7" s="2" t="s">
        <v>17</v>
      </c>
      <c r="LW7" s="2" t="s">
        <v>17</v>
      </c>
      <c r="LX7" s="2" t="s">
        <v>9</v>
      </c>
      <c r="LY7" s="5">
        <v>6500000</v>
      </c>
      <c r="LZ7" s="5">
        <v>0</v>
      </c>
      <c r="MA7" s="5">
        <v>8400000</v>
      </c>
      <c r="MB7" s="5">
        <v>0</v>
      </c>
      <c r="MC7" s="5">
        <v>0</v>
      </c>
      <c r="MD7" s="5">
        <v>0</v>
      </c>
      <c r="ME7" s="5">
        <v>10000000</v>
      </c>
      <c r="MF7" s="5">
        <v>0</v>
      </c>
      <c r="MG7" s="5">
        <v>0</v>
      </c>
      <c r="MH7" s="5">
        <v>0</v>
      </c>
      <c r="MI7" s="5">
        <v>0</v>
      </c>
      <c r="MJ7" s="5">
        <v>0</v>
      </c>
      <c r="MK7" s="5">
        <v>0</v>
      </c>
      <c r="ML7" s="2">
        <v>0</v>
      </c>
      <c r="MM7" s="5">
        <v>0</v>
      </c>
      <c r="MN7" s="5">
        <v>0</v>
      </c>
      <c r="MO7" s="2">
        <v>0</v>
      </c>
      <c r="MP7" s="2">
        <v>0</v>
      </c>
      <c r="MQ7" s="2">
        <v>0</v>
      </c>
      <c r="MR7" s="5">
        <v>2950000</v>
      </c>
      <c r="MS7" s="5">
        <v>0</v>
      </c>
      <c r="MT7" s="5">
        <v>4600000</v>
      </c>
      <c r="MU7" s="5">
        <v>0</v>
      </c>
      <c r="MV7" s="5">
        <v>0</v>
      </c>
      <c r="MW7" s="5">
        <v>0</v>
      </c>
      <c r="MX7" s="5">
        <v>0</v>
      </c>
      <c r="MY7" s="5">
        <v>2500000</v>
      </c>
      <c r="MZ7" s="5">
        <v>0</v>
      </c>
      <c r="NA7" s="5">
        <v>5000000</v>
      </c>
      <c r="NB7" s="5">
        <v>0</v>
      </c>
      <c r="NC7" s="5">
        <v>0</v>
      </c>
      <c r="ND7" s="5">
        <v>0</v>
      </c>
      <c r="NE7" s="5">
        <v>0</v>
      </c>
      <c r="NF7" s="5">
        <v>0</v>
      </c>
      <c r="NG7" s="5">
        <v>2992500</v>
      </c>
      <c r="NH7" s="5">
        <v>2992500</v>
      </c>
      <c r="NI7" s="5">
        <v>2992500</v>
      </c>
      <c r="NJ7" s="2" t="s">
        <v>9</v>
      </c>
      <c r="NK7" s="2"/>
      <c r="NL7" s="2"/>
      <c r="NM7" s="2" t="s">
        <v>17</v>
      </c>
      <c r="NN7" s="2"/>
      <c r="NO7" s="2" t="s">
        <v>9</v>
      </c>
      <c r="NP7" s="2">
        <v>32822</v>
      </c>
      <c r="NQ7" s="2" t="s">
        <v>2835</v>
      </c>
      <c r="NR7" s="2" t="s">
        <v>17</v>
      </c>
      <c r="NS7" s="2"/>
      <c r="NT7" s="2" t="s">
        <v>17</v>
      </c>
      <c r="NU7" s="2"/>
      <c r="NV7" s="2"/>
      <c r="NW7" s="2"/>
      <c r="NX7" s="2"/>
      <c r="NY7" s="2"/>
      <c r="NZ7" s="2"/>
      <c r="OA7" s="2" t="s">
        <v>118</v>
      </c>
      <c r="OB7" s="2" t="s">
        <v>118</v>
      </c>
      <c r="OC7" s="2" t="s">
        <v>118</v>
      </c>
      <c r="OD7" s="2" t="s">
        <v>17</v>
      </c>
      <c r="OE7" s="2" t="s">
        <v>119</v>
      </c>
      <c r="OF7" s="2" t="s">
        <v>17</v>
      </c>
      <c r="OG7" s="2"/>
      <c r="OH7" s="2" t="s">
        <v>17</v>
      </c>
      <c r="OI7" s="2" t="s">
        <v>17</v>
      </c>
      <c r="OJ7" s="2" t="s">
        <v>85</v>
      </c>
      <c r="OK7" s="6">
        <v>0</v>
      </c>
      <c r="OL7" s="6">
        <v>0</v>
      </c>
      <c r="OM7" s="2" t="s">
        <v>93</v>
      </c>
      <c r="ON7" s="2" t="s">
        <v>93</v>
      </c>
      <c r="OO7" s="6">
        <v>0</v>
      </c>
      <c r="OP7" s="6">
        <v>0</v>
      </c>
      <c r="OQ7" s="4">
        <v>0</v>
      </c>
      <c r="OR7" s="6">
        <v>0</v>
      </c>
      <c r="OS7" s="4">
        <v>0</v>
      </c>
      <c r="OT7" s="2" t="s">
        <v>17</v>
      </c>
      <c r="OU7" s="2" t="s">
        <v>17</v>
      </c>
      <c r="OV7" s="2"/>
      <c r="OW7" s="2"/>
      <c r="OX7" s="5">
        <v>21556773</v>
      </c>
      <c r="OY7" s="6">
        <v>179639.78</v>
      </c>
      <c r="OZ7" s="8">
        <v>100000</v>
      </c>
      <c r="PA7" s="8">
        <v>100000</v>
      </c>
      <c r="PB7" s="2"/>
      <c r="PC7" s="2"/>
      <c r="PD7" s="8">
        <v>17240000</v>
      </c>
      <c r="PE7" s="2"/>
      <c r="PF7" s="8">
        <v>17240000</v>
      </c>
      <c r="PG7" s="8">
        <v>2754000</v>
      </c>
      <c r="PH7" s="8">
        <v>306000</v>
      </c>
      <c r="PI7" s="8">
        <v>3060000</v>
      </c>
      <c r="PJ7" s="2"/>
      <c r="PK7" s="2"/>
      <c r="PL7" s="2"/>
      <c r="PM7" s="8">
        <v>19994000</v>
      </c>
      <c r="PN7" s="8">
        <v>406000</v>
      </c>
      <c r="PO7" s="8">
        <v>20400000</v>
      </c>
      <c r="PP7" s="8">
        <v>2856000</v>
      </c>
      <c r="PQ7" s="2"/>
      <c r="PR7" s="8">
        <v>2856000</v>
      </c>
      <c r="PS7" s="6">
        <v>2856000</v>
      </c>
      <c r="PT7" s="8">
        <v>22850000</v>
      </c>
      <c r="PU7" s="8">
        <v>406000</v>
      </c>
      <c r="PV7" s="8">
        <v>23256000</v>
      </c>
      <c r="PW7" s="8">
        <v>1162800</v>
      </c>
      <c r="PX7" s="2"/>
      <c r="PY7" s="8">
        <v>1162800</v>
      </c>
      <c r="PZ7" s="6">
        <v>1162800</v>
      </c>
      <c r="QA7" s="8">
        <v>1555315</v>
      </c>
      <c r="QB7" s="8">
        <v>170500</v>
      </c>
      <c r="QC7" s="8">
        <v>1725815</v>
      </c>
      <c r="QD7" s="8">
        <v>236800</v>
      </c>
      <c r="QE7" s="2"/>
      <c r="QF7" s="8">
        <v>236800</v>
      </c>
      <c r="QG7" s="8">
        <v>1340486</v>
      </c>
      <c r="QH7" s="8">
        <v>54000</v>
      </c>
      <c r="QI7" s="8">
        <v>1394486</v>
      </c>
      <c r="QJ7" s="2"/>
      <c r="QK7" s="8">
        <v>524849</v>
      </c>
      <c r="QL7" s="8">
        <v>524849</v>
      </c>
      <c r="QM7" s="2"/>
      <c r="QN7" s="2"/>
      <c r="QO7" s="2"/>
      <c r="QP7" s="8">
        <v>125000</v>
      </c>
      <c r="QQ7" s="8">
        <v>5000</v>
      </c>
      <c r="QR7" s="8">
        <v>130000</v>
      </c>
      <c r="QS7" s="8">
        <v>3257601</v>
      </c>
      <c r="QT7" s="8">
        <v>754349</v>
      </c>
      <c r="QU7" s="8">
        <v>4011950</v>
      </c>
      <c r="QV7" s="8">
        <v>200597</v>
      </c>
      <c r="QW7" s="2"/>
      <c r="QX7" s="8">
        <v>200597</v>
      </c>
      <c r="QY7" s="6">
        <v>200597.5</v>
      </c>
      <c r="QZ7" s="8">
        <v>976013</v>
      </c>
      <c r="RA7" s="8">
        <v>396863</v>
      </c>
      <c r="RB7" s="8">
        <v>1372876</v>
      </c>
      <c r="RC7" s="8">
        <v>60087</v>
      </c>
      <c r="RD7" s="8">
        <v>60087</v>
      </c>
      <c r="RE7" s="2"/>
      <c r="RF7" s="2"/>
      <c r="RG7" s="2"/>
      <c r="RH7" s="8">
        <v>976013</v>
      </c>
      <c r="RI7" s="8">
        <v>456950</v>
      </c>
      <c r="RJ7" s="8">
        <v>1432963</v>
      </c>
      <c r="RK7" s="2"/>
      <c r="RL7" s="2"/>
      <c r="RM7" s="8">
        <v>28447011</v>
      </c>
      <c r="RN7" s="8">
        <v>1617299</v>
      </c>
      <c r="RO7" s="8">
        <v>30064310</v>
      </c>
      <c r="RP7" s="2">
        <v>0</v>
      </c>
      <c r="RQ7" s="6">
        <v>0</v>
      </c>
      <c r="RR7" s="8">
        <v>4810289</v>
      </c>
      <c r="RS7" s="2"/>
      <c r="RT7" s="8">
        <v>4810289</v>
      </c>
      <c r="RU7" s="6">
        <v>4810289</v>
      </c>
      <c r="RV7" s="6">
        <v>0</v>
      </c>
      <c r="RW7" s="8">
        <v>4810289</v>
      </c>
      <c r="RX7" s="2"/>
      <c r="RY7" s="8">
        <v>4810289</v>
      </c>
      <c r="RZ7" s="6">
        <v>4810289</v>
      </c>
      <c r="SA7" s="8">
        <v>420000</v>
      </c>
      <c r="SB7" s="8">
        <v>420000</v>
      </c>
      <c r="SC7" s="6">
        <v>420000</v>
      </c>
      <c r="SD7" s="8">
        <v>1600000</v>
      </c>
      <c r="SE7" s="8">
        <v>1600000</v>
      </c>
      <c r="SF7" s="8">
        <v>33257300</v>
      </c>
      <c r="SG7" s="8">
        <v>3637299</v>
      </c>
      <c r="SH7" s="8">
        <v>36894599</v>
      </c>
      <c r="SI7" s="2" t="s">
        <v>2836</v>
      </c>
      <c r="SJ7" s="2"/>
      <c r="SK7" s="2" t="s">
        <v>2837</v>
      </c>
      <c r="SL7" s="2"/>
      <c r="SM7" s="8">
        <v>22297281</v>
      </c>
      <c r="SN7" s="2" t="s">
        <v>95</v>
      </c>
      <c r="SO7" s="8">
        <v>610000</v>
      </c>
      <c r="SP7" s="2" t="s">
        <v>180</v>
      </c>
      <c r="SQ7" s="2"/>
      <c r="SR7" s="2"/>
      <c r="SS7" s="2" t="s">
        <v>96</v>
      </c>
      <c r="ST7" s="2" t="s">
        <v>96</v>
      </c>
      <c r="SU7" s="2" t="s">
        <v>96</v>
      </c>
      <c r="SV7" s="2" t="s">
        <v>96</v>
      </c>
      <c r="SW7" s="8">
        <v>14212950</v>
      </c>
      <c r="SX7" s="2"/>
      <c r="SY7" s="2"/>
      <c r="SZ7" s="2"/>
      <c r="TA7" s="2">
        <v>0</v>
      </c>
      <c r="TB7" s="8">
        <v>37120231</v>
      </c>
      <c r="TC7" s="8">
        <v>225632</v>
      </c>
      <c r="TD7" s="2" t="s">
        <v>9</v>
      </c>
      <c r="TE7" s="8">
        <v>6008656</v>
      </c>
      <c r="TF7" s="2" t="s">
        <v>95</v>
      </c>
      <c r="TG7" s="8">
        <v>610000</v>
      </c>
      <c r="TH7" s="2" t="s">
        <v>180</v>
      </c>
      <c r="TI7" s="2"/>
      <c r="TJ7" s="2"/>
      <c r="TK7" s="2" t="s">
        <v>96</v>
      </c>
      <c r="TL7" s="2" t="s">
        <v>96</v>
      </c>
      <c r="TM7" s="2" t="s">
        <v>96</v>
      </c>
      <c r="TN7" s="2" t="s">
        <v>96</v>
      </c>
      <c r="TO7" s="8">
        <v>28425900</v>
      </c>
      <c r="TP7" s="2"/>
      <c r="TQ7" s="2"/>
      <c r="TR7" s="2"/>
      <c r="TS7" s="8">
        <v>1850043</v>
      </c>
      <c r="TT7" s="8">
        <v>36894599</v>
      </c>
      <c r="TU7" s="6">
        <v>6618656</v>
      </c>
      <c r="TV7" s="2">
        <v>0</v>
      </c>
      <c r="TW7" s="2" t="s">
        <v>9</v>
      </c>
      <c r="TX7" s="2">
        <v>120</v>
      </c>
      <c r="TY7" s="5">
        <v>240000</v>
      </c>
      <c r="TZ7" s="6">
        <v>320000</v>
      </c>
      <c r="UA7" s="6">
        <v>320000</v>
      </c>
      <c r="UB7" s="6">
        <v>339200</v>
      </c>
      <c r="UC7" s="6">
        <v>40704000</v>
      </c>
      <c r="UD7" s="6">
        <v>6512640</v>
      </c>
      <c r="UE7" s="2" t="s">
        <v>97</v>
      </c>
      <c r="UF7" s="6">
        <v>6512640</v>
      </c>
      <c r="UG7" s="6">
        <v>47216640</v>
      </c>
      <c r="UH7" s="6">
        <v>34774599</v>
      </c>
      <c r="UI7" s="4">
        <v>0.99990000000000001</v>
      </c>
      <c r="UJ7" s="2" t="s">
        <v>9</v>
      </c>
      <c r="UK7" s="6">
        <v>610000</v>
      </c>
      <c r="UL7" s="6">
        <v>0</v>
      </c>
      <c r="UM7" s="6">
        <v>610000</v>
      </c>
      <c r="UN7" s="2"/>
      <c r="UO7" s="6">
        <v>0</v>
      </c>
      <c r="UP7" s="2"/>
      <c r="UQ7" s="6">
        <v>0</v>
      </c>
      <c r="UR7" s="6">
        <v>0</v>
      </c>
      <c r="US7" s="6">
        <v>610000</v>
      </c>
      <c r="UT7" s="6">
        <v>0</v>
      </c>
      <c r="UU7" s="6">
        <v>610000</v>
      </c>
      <c r="UV7" s="2" t="s">
        <v>2838</v>
      </c>
      <c r="UW7" s="2" t="s">
        <v>182</v>
      </c>
      <c r="UX7" s="2" t="s">
        <v>9</v>
      </c>
      <c r="UY7" s="2" t="s">
        <v>17</v>
      </c>
      <c r="UZ7" s="2" t="s">
        <v>17</v>
      </c>
      <c r="VA7" s="2" t="s">
        <v>17</v>
      </c>
      <c r="VB7" s="2" t="s">
        <v>2697</v>
      </c>
      <c r="VC7" s="2" t="s">
        <v>17</v>
      </c>
      <c r="VD7" s="2" t="s">
        <v>17</v>
      </c>
      <c r="VE7" s="2" t="s">
        <v>17</v>
      </c>
      <c r="VF7" s="2"/>
      <c r="VG7" s="2" t="s">
        <v>2839</v>
      </c>
      <c r="VH7" s="2"/>
      <c r="VI7" s="388" t="s">
        <v>1173</v>
      </c>
      <c r="VJ7" s="2" t="s">
        <v>98</v>
      </c>
      <c r="VK7" s="2" t="s">
        <v>1224</v>
      </c>
      <c r="VL7" s="23">
        <f t="shared" si="0"/>
        <v>192</v>
      </c>
      <c r="VM7" s="17">
        <f t="shared" si="1"/>
        <v>1.6</v>
      </c>
      <c r="VN7" s="17" t="str">
        <f t="shared" si="2"/>
        <v>NC-GA-E</v>
      </c>
      <c r="VO7" s="17" t="str">
        <f t="shared" si="14"/>
        <v>NC-GA-E-ESS</v>
      </c>
      <c r="VP7" s="12">
        <v>9</v>
      </c>
      <c r="VQ7" s="57">
        <v>1</v>
      </c>
      <c r="VR7" s="14">
        <f t="shared" si="3"/>
        <v>1</v>
      </c>
      <c r="VS7" s="14">
        <f t="shared" si="4"/>
        <v>1</v>
      </c>
      <c r="VT7" s="12">
        <f t="shared" si="5"/>
        <v>0.93</v>
      </c>
      <c r="VU7" s="29">
        <f t="shared" si="6"/>
        <v>25047225</v>
      </c>
      <c r="VV7" s="29">
        <f t="shared" si="7"/>
        <v>208726.875</v>
      </c>
      <c r="VW7" s="12" t="str">
        <f t="shared" si="15"/>
        <v>A</v>
      </c>
      <c r="VX7" s="12" t="str">
        <f t="shared" si="8"/>
        <v>NC-GA-ESS</v>
      </c>
      <c r="VY7" s="351">
        <f t="shared" si="16"/>
        <v>2</v>
      </c>
      <c r="VZ7" s="12"/>
      <c r="WA7" s="12">
        <f t="shared" si="17"/>
        <v>1</v>
      </c>
      <c r="WB7" s="12">
        <f t="shared" si="18"/>
        <v>0</v>
      </c>
      <c r="WC7" s="12">
        <f t="shared" si="19"/>
        <v>0</v>
      </c>
      <c r="WD7" s="12">
        <f t="shared" si="20"/>
        <v>0</v>
      </c>
      <c r="WE7" s="12">
        <f t="shared" si="21"/>
        <v>1</v>
      </c>
      <c r="WF7" s="12">
        <f t="shared" si="9"/>
        <v>1</v>
      </c>
      <c r="WG7" s="12">
        <f t="shared" si="10"/>
        <v>0</v>
      </c>
      <c r="WH7" s="12">
        <f t="shared" si="11"/>
        <v>0</v>
      </c>
      <c r="WI7" s="31">
        <f t="shared" si="12"/>
        <v>3</v>
      </c>
      <c r="WJ7" s="2"/>
      <c r="WK7" s="444" t="str">
        <f t="shared" si="13"/>
        <v>NC-GA-ESS-BBN-BRN-NPH-E</v>
      </c>
      <c r="WL7" s="444"/>
      <c r="WM7" s="444"/>
      <c r="WN7" s="12"/>
      <c r="WO7" s="380" t="s">
        <v>2623</v>
      </c>
      <c r="WP7" s="144">
        <f>COUNTIFS($WG$2:$WG$72,"=1",$WA$2:$WA$72,"=1")</f>
        <v>7</v>
      </c>
      <c r="WQ7" s="144">
        <f>COUNTIFS($WG$2:$WG$72,"=1",$WB$2:$WB$72,"=1")</f>
        <v>0</v>
      </c>
      <c r="WR7" s="144">
        <f>COUNTIFS($WG$2:$WG$72,"=1",$WC$2:$WC$72,"=1")</f>
        <v>3</v>
      </c>
      <c r="WS7" s="144">
        <f>COUNTIFS($WG$2:$WG$72,"=1",$WD$2:$WD$72,"=1")</f>
        <v>1</v>
      </c>
      <c r="WT7" s="144">
        <f>COUNTIFS($WG$2:$WG$72,"=1",$WF$2:$WF$72,"=1")</f>
        <v>0</v>
      </c>
      <c r="WU7" s="384"/>
      <c r="WV7" s="144">
        <f>COUNTIFS($WG$2:$WG$72,"=1",$WH$2:$WH$72,"=1")</f>
        <v>0</v>
      </c>
      <c r="WW7" s="144">
        <f>COUNTIFS($WG$2:$WG$72,"=1",$WE$2:$WE$72,"=1")</f>
        <v>12</v>
      </c>
      <c r="WX7" s="205">
        <f>COUNTIF($WG$2:$WG$72,"=1")</f>
        <v>14</v>
      </c>
    </row>
    <row r="8" spans="1:622" x14ac:dyDescent="0.25">
      <c r="A8" s="2">
        <v>9461</v>
      </c>
      <c r="B8" s="2" t="s">
        <v>2840</v>
      </c>
      <c r="C8" s="2" t="s">
        <v>2652</v>
      </c>
      <c r="D8" s="3">
        <v>45152</v>
      </c>
      <c r="E8" s="2" t="s">
        <v>9</v>
      </c>
      <c r="F8" s="2">
        <v>3</v>
      </c>
      <c r="G8" s="2" t="s">
        <v>9</v>
      </c>
      <c r="H8" s="2">
        <v>3</v>
      </c>
      <c r="I8" s="2" t="s">
        <v>9</v>
      </c>
      <c r="J8" s="2">
        <v>1</v>
      </c>
      <c r="K8" s="2" t="s">
        <v>9</v>
      </c>
      <c r="L8" s="2">
        <v>3</v>
      </c>
      <c r="M8" s="2" t="s">
        <v>10</v>
      </c>
      <c r="N8" s="2">
        <v>0</v>
      </c>
      <c r="O8" s="2" t="s">
        <v>10</v>
      </c>
      <c r="P8" s="2">
        <v>0</v>
      </c>
      <c r="Q8" s="2" t="s">
        <v>11</v>
      </c>
      <c r="R8" s="2">
        <v>0</v>
      </c>
      <c r="S8" s="2" t="s">
        <v>9</v>
      </c>
      <c r="T8" s="2">
        <v>2</v>
      </c>
      <c r="U8" s="2" t="s">
        <v>9</v>
      </c>
      <c r="V8" s="2">
        <v>2</v>
      </c>
      <c r="W8" s="2" t="s">
        <v>9</v>
      </c>
      <c r="X8" s="2">
        <v>2</v>
      </c>
      <c r="Y8" s="2" t="s">
        <v>12</v>
      </c>
      <c r="Z8" s="2" t="s">
        <v>2841</v>
      </c>
      <c r="AA8" s="2" t="s">
        <v>2842</v>
      </c>
      <c r="AB8" s="2" t="s">
        <v>2843</v>
      </c>
      <c r="AC8" s="2" t="s">
        <v>15</v>
      </c>
      <c r="AD8" s="2" t="s">
        <v>15</v>
      </c>
      <c r="AE8" s="2" t="s">
        <v>15</v>
      </c>
      <c r="AF8" s="2">
        <v>3</v>
      </c>
      <c r="AG8" s="2" t="s">
        <v>2844</v>
      </c>
      <c r="AH8" s="2" t="s">
        <v>17</v>
      </c>
      <c r="AI8" s="4">
        <v>0.15115999999999999</v>
      </c>
      <c r="AJ8" s="2" t="s">
        <v>17</v>
      </c>
      <c r="AK8" s="2" t="s">
        <v>9</v>
      </c>
      <c r="AL8" s="2" t="s">
        <v>17</v>
      </c>
      <c r="AM8" s="2" t="s">
        <v>17</v>
      </c>
      <c r="AN8" s="2" t="s">
        <v>17</v>
      </c>
      <c r="AO8" s="2" t="s">
        <v>17</v>
      </c>
      <c r="AP8" s="2" t="s">
        <v>17</v>
      </c>
      <c r="AQ8" s="2" t="s">
        <v>17</v>
      </c>
      <c r="AR8" s="2" t="s">
        <v>17</v>
      </c>
      <c r="AS8" s="2" t="s">
        <v>9</v>
      </c>
      <c r="AT8" s="2">
        <v>5</v>
      </c>
      <c r="AU8" s="5">
        <v>75000</v>
      </c>
      <c r="AV8" s="5">
        <v>610000</v>
      </c>
      <c r="AW8" s="2">
        <v>0</v>
      </c>
      <c r="AX8" s="2">
        <v>6</v>
      </c>
      <c r="AY8" s="2">
        <v>0</v>
      </c>
      <c r="AZ8" s="2">
        <v>18</v>
      </c>
      <c r="BA8" s="2">
        <v>0</v>
      </c>
      <c r="BB8" s="2">
        <v>0</v>
      </c>
      <c r="BC8" s="2">
        <v>1</v>
      </c>
      <c r="BD8" s="2">
        <v>3</v>
      </c>
      <c r="BE8" s="2">
        <v>0</v>
      </c>
      <c r="BF8" s="2">
        <v>1</v>
      </c>
      <c r="BG8" s="2">
        <v>0</v>
      </c>
      <c r="BH8" s="2">
        <v>0</v>
      </c>
      <c r="BI8" s="2">
        <v>13</v>
      </c>
      <c r="BJ8" s="2">
        <v>1</v>
      </c>
      <c r="BK8" s="2">
        <v>0</v>
      </c>
      <c r="BL8" s="2">
        <v>3</v>
      </c>
      <c r="BM8" s="2">
        <v>0</v>
      </c>
      <c r="BN8" s="2">
        <v>11</v>
      </c>
      <c r="BO8" s="2">
        <v>11</v>
      </c>
      <c r="BP8" s="2">
        <v>0</v>
      </c>
      <c r="BQ8" s="2">
        <v>10</v>
      </c>
      <c r="BR8" s="2">
        <v>11.95</v>
      </c>
      <c r="BS8" s="2">
        <v>0</v>
      </c>
      <c r="BT8" s="4">
        <v>0.06</v>
      </c>
      <c r="BU8" s="2" t="s">
        <v>9</v>
      </c>
      <c r="BV8" s="6">
        <v>183350.25</v>
      </c>
      <c r="BW8" s="2" t="s">
        <v>18</v>
      </c>
      <c r="BX8" s="2" t="s">
        <v>17</v>
      </c>
      <c r="BY8" s="2" t="s">
        <v>17</v>
      </c>
      <c r="BZ8" s="2" t="s">
        <v>17</v>
      </c>
      <c r="CA8" s="2" t="s">
        <v>17</v>
      </c>
      <c r="CB8" s="2" t="s">
        <v>17</v>
      </c>
      <c r="CC8" s="2" t="s">
        <v>17</v>
      </c>
      <c r="CD8" s="2" t="s">
        <v>17</v>
      </c>
      <c r="CE8" s="2" t="s">
        <v>2845</v>
      </c>
      <c r="CF8" s="2" t="s">
        <v>17</v>
      </c>
      <c r="CG8" s="2" t="s">
        <v>789</v>
      </c>
      <c r="CH8" s="2" t="s">
        <v>2846</v>
      </c>
      <c r="CI8" s="2" t="s">
        <v>2847</v>
      </c>
      <c r="CJ8" s="2" t="s">
        <v>9</v>
      </c>
      <c r="CK8" s="2" t="s">
        <v>791</v>
      </c>
      <c r="CL8" s="2" t="s">
        <v>789</v>
      </c>
      <c r="CM8" s="2" t="s">
        <v>792</v>
      </c>
      <c r="CN8" s="2" t="s">
        <v>2848</v>
      </c>
      <c r="CO8" s="2" t="s">
        <v>24</v>
      </c>
      <c r="CP8" s="2"/>
      <c r="CQ8" s="2">
        <v>153</v>
      </c>
      <c r="CR8" s="2" t="s">
        <v>1058</v>
      </c>
      <c r="CS8" s="2">
        <v>2014</v>
      </c>
      <c r="CT8" s="2" t="s">
        <v>26</v>
      </c>
      <c r="CU8" s="2" t="s">
        <v>27</v>
      </c>
      <c r="CV8" s="2" t="s">
        <v>808</v>
      </c>
      <c r="CW8" s="2" t="s">
        <v>809</v>
      </c>
      <c r="CX8" s="2" t="s">
        <v>24</v>
      </c>
      <c r="CY8" s="2"/>
      <c r="CZ8" s="2">
        <v>171</v>
      </c>
      <c r="DA8" s="2" t="s">
        <v>1058</v>
      </c>
      <c r="DB8" s="2">
        <v>2008</v>
      </c>
      <c r="DC8" s="2" t="s">
        <v>243</v>
      </c>
      <c r="DD8" s="2" t="s">
        <v>27</v>
      </c>
      <c r="DE8" s="2" t="s">
        <v>796</v>
      </c>
      <c r="DF8" s="2" t="s">
        <v>797</v>
      </c>
      <c r="DG8" s="2" t="s">
        <v>24</v>
      </c>
      <c r="DH8" s="2"/>
      <c r="DI8" s="2">
        <v>72</v>
      </c>
      <c r="DJ8" s="2" t="s">
        <v>1058</v>
      </c>
      <c r="DK8" s="2">
        <v>2012</v>
      </c>
      <c r="DL8" s="2" t="s">
        <v>243</v>
      </c>
      <c r="DM8" s="2" t="s">
        <v>27</v>
      </c>
      <c r="DN8" s="2" t="s">
        <v>2663</v>
      </c>
      <c r="DO8" s="2" t="s">
        <v>801</v>
      </c>
      <c r="DP8" s="2"/>
      <c r="DQ8" s="2" t="s">
        <v>802</v>
      </c>
      <c r="DR8" s="2" t="s">
        <v>803</v>
      </c>
      <c r="DS8" s="2">
        <v>1</v>
      </c>
      <c r="DT8" s="2" t="s">
        <v>2849</v>
      </c>
      <c r="DU8" s="2" t="s">
        <v>805</v>
      </c>
      <c r="DV8" s="2" t="s">
        <v>260</v>
      </c>
      <c r="DW8" s="2">
        <v>75019</v>
      </c>
      <c r="DX8" s="2" t="s">
        <v>2850</v>
      </c>
      <c r="DY8" s="2">
        <v>228</v>
      </c>
      <c r="DZ8" s="2" t="s">
        <v>807</v>
      </c>
      <c r="EA8" s="2" t="s">
        <v>803</v>
      </c>
      <c r="EB8" s="2" t="s">
        <v>808</v>
      </c>
      <c r="EC8" s="2" t="s">
        <v>809</v>
      </c>
      <c r="ED8" s="2" t="s">
        <v>44</v>
      </c>
      <c r="EE8" s="2">
        <v>171</v>
      </c>
      <c r="EF8" s="2" t="s">
        <v>1062</v>
      </c>
      <c r="EG8" s="2">
        <v>14</v>
      </c>
      <c r="EH8" s="2" t="s">
        <v>46</v>
      </c>
      <c r="EI8" s="2" t="s">
        <v>47</v>
      </c>
      <c r="EJ8" s="2" t="s">
        <v>2851</v>
      </c>
      <c r="EK8" s="2" t="s">
        <v>2852</v>
      </c>
      <c r="EL8" s="2" t="s">
        <v>44</v>
      </c>
      <c r="EM8" s="2">
        <v>61</v>
      </c>
      <c r="EN8" s="2" t="s">
        <v>1062</v>
      </c>
      <c r="EO8" s="2">
        <v>8</v>
      </c>
      <c r="EP8" s="2" t="s">
        <v>46</v>
      </c>
      <c r="EQ8" s="2" t="s">
        <v>47</v>
      </c>
      <c r="ER8" s="2" t="s">
        <v>812</v>
      </c>
      <c r="ES8" s="2"/>
      <c r="ET8" s="2" t="s">
        <v>813</v>
      </c>
      <c r="EU8" s="2" t="s">
        <v>2845</v>
      </c>
      <c r="EV8" s="2" t="s">
        <v>2853</v>
      </c>
      <c r="EW8" s="2" t="s">
        <v>396</v>
      </c>
      <c r="EX8" s="2" t="s">
        <v>39</v>
      </c>
      <c r="EY8" s="2">
        <v>33607</v>
      </c>
      <c r="EZ8" s="2" t="s">
        <v>2854</v>
      </c>
      <c r="FA8" s="2">
        <v>202</v>
      </c>
      <c r="FB8" s="2" t="s">
        <v>2855</v>
      </c>
      <c r="FC8" s="2" t="s">
        <v>817</v>
      </c>
      <c r="FD8" s="2"/>
      <c r="FE8" s="2" t="s">
        <v>818</v>
      </c>
      <c r="FF8" s="2" t="s">
        <v>789</v>
      </c>
      <c r="FG8" s="2" t="s">
        <v>2853</v>
      </c>
      <c r="FH8" s="2" t="s">
        <v>396</v>
      </c>
      <c r="FI8" s="2" t="s">
        <v>39</v>
      </c>
      <c r="FJ8" s="2">
        <v>33607</v>
      </c>
      <c r="FK8" s="2" t="s">
        <v>2854</v>
      </c>
      <c r="FL8" s="2">
        <v>204</v>
      </c>
      <c r="FM8" s="2" t="s">
        <v>2856</v>
      </c>
      <c r="FN8" s="2" t="s">
        <v>2857</v>
      </c>
      <c r="FO8" s="2" t="s">
        <v>63</v>
      </c>
      <c r="FP8" s="2" t="s">
        <v>64</v>
      </c>
      <c r="FQ8" s="2" t="s">
        <v>9</v>
      </c>
      <c r="FR8" s="2" t="s">
        <v>17</v>
      </c>
      <c r="FS8" s="2" t="s">
        <v>17</v>
      </c>
      <c r="FT8" s="2" t="s">
        <v>9</v>
      </c>
      <c r="FU8" s="2">
        <v>0</v>
      </c>
      <c r="FV8" s="2">
        <v>0</v>
      </c>
      <c r="FW8" s="4">
        <v>0</v>
      </c>
      <c r="FX8" s="4">
        <v>0</v>
      </c>
      <c r="FY8" s="2" t="s">
        <v>65</v>
      </c>
      <c r="FZ8" s="2" t="s">
        <v>66</v>
      </c>
      <c r="GA8" s="2" t="s">
        <v>67</v>
      </c>
      <c r="GB8" s="2"/>
      <c r="GC8" s="2"/>
      <c r="GD8" s="2"/>
      <c r="GE8" s="2" t="s">
        <v>68</v>
      </c>
      <c r="GF8" s="2">
        <v>86</v>
      </c>
      <c r="GG8" s="2">
        <v>86</v>
      </c>
      <c r="GH8" s="2"/>
      <c r="GI8" s="2"/>
      <c r="GJ8" s="2"/>
      <c r="GK8" s="2"/>
      <c r="GL8" s="2"/>
      <c r="GM8" s="2"/>
      <c r="GN8" s="2"/>
      <c r="GO8" s="2"/>
      <c r="GP8" s="2"/>
      <c r="GQ8" s="2">
        <v>86</v>
      </c>
      <c r="GR8" s="2" t="s">
        <v>2802</v>
      </c>
      <c r="GS8" s="2" t="s">
        <v>2686</v>
      </c>
      <c r="GT8" s="2" t="s">
        <v>2858</v>
      </c>
      <c r="GU8" s="2" t="s">
        <v>1144</v>
      </c>
      <c r="GV8" s="2" t="s">
        <v>17</v>
      </c>
      <c r="GW8" s="2">
        <v>27.792047</v>
      </c>
      <c r="GX8" s="2">
        <v>-82.706517000000005</v>
      </c>
      <c r="GY8" s="2"/>
      <c r="GZ8" s="2" t="s">
        <v>17</v>
      </c>
      <c r="HA8" s="2">
        <v>0</v>
      </c>
      <c r="HB8" s="2" t="s">
        <v>17</v>
      </c>
      <c r="HC8" s="2"/>
      <c r="HD8" s="2">
        <v>0</v>
      </c>
      <c r="HE8" s="2">
        <v>27.791892000000001</v>
      </c>
      <c r="HF8" s="2">
        <v>-82.706592000000001</v>
      </c>
      <c r="HG8" s="2">
        <v>0.01</v>
      </c>
      <c r="HH8" s="2">
        <v>5.5</v>
      </c>
      <c r="HI8" s="2">
        <v>27.791754000000001</v>
      </c>
      <c r="HJ8" s="2">
        <v>-82.706592000000001</v>
      </c>
      <c r="HK8" s="2">
        <v>0.02</v>
      </c>
      <c r="HL8" s="2">
        <v>27.791035999999998</v>
      </c>
      <c r="HM8" s="2">
        <v>-82.712382000000005</v>
      </c>
      <c r="HN8" s="2">
        <v>0.37</v>
      </c>
      <c r="HO8" s="2"/>
      <c r="HP8" s="2"/>
      <c r="HQ8" s="2"/>
      <c r="HR8" s="2"/>
      <c r="HS8" s="2"/>
      <c r="HT8" s="2"/>
      <c r="HU8" s="2"/>
      <c r="HV8" s="2"/>
      <c r="HW8" s="2" t="s">
        <v>73</v>
      </c>
      <c r="HX8" s="2" t="s">
        <v>359</v>
      </c>
      <c r="HY8" s="2" t="s">
        <v>2859</v>
      </c>
      <c r="HZ8" s="2">
        <v>0.74</v>
      </c>
      <c r="IA8" s="2">
        <v>3</v>
      </c>
      <c r="IB8" s="2"/>
      <c r="IC8" s="2"/>
      <c r="ID8" s="2"/>
      <c r="IE8" s="2"/>
      <c r="IF8" s="2" t="s">
        <v>1118</v>
      </c>
      <c r="IG8" s="2" t="s">
        <v>2860</v>
      </c>
      <c r="IH8" s="2">
        <v>0.83</v>
      </c>
      <c r="II8" s="2">
        <v>2.5</v>
      </c>
      <c r="IJ8" s="2" t="s">
        <v>2861</v>
      </c>
      <c r="IK8" s="2" t="s">
        <v>2862</v>
      </c>
      <c r="IL8" s="2">
        <v>0.21</v>
      </c>
      <c r="IM8" s="2">
        <v>4</v>
      </c>
      <c r="IN8" s="2" t="s">
        <v>17</v>
      </c>
      <c r="IO8" s="2"/>
      <c r="IP8" s="2" t="s">
        <v>79</v>
      </c>
      <c r="IQ8" s="2">
        <v>5.5</v>
      </c>
      <c r="IR8" s="2">
        <v>9.5</v>
      </c>
      <c r="IS8" s="2">
        <v>0</v>
      </c>
      <c r="IT8" s="2">
        <v>15</v>
      </c>
      <c r="IU8" s="2" t="s">
        <v>17</v>
      </c>
      <c r="IV8" s="2" t="s">
        <v>17</v>
      </c>
      <c r="IW8" s="2" t="s">
        <v>17</v>
      </c>
      <c r="IX8" s="2" t="s">
        <v>9</v>
      </c>
      <c r="IY8" s="2">
        <v>15</v>
      </c>
      <c r="IZ8" s="2">
        <v>86</v>
      </c>
      <c r="JA8" s="2" t="s">
        <v>2809</v>
      </c>
      <c r="JB8" s="2" t="s">
        <v>82</v>
      </c>
      <c r="JC8" s="2"/>
      <c r="JD8" s="2"/>
      <c r="JE8" s="2"/>
      <c r="JF8" s="7">
        <v>0</v>
      </c>
      <c r="JG8" s="7"/>
      <c r="JH8" s="7"/>
      <c r="JI8" s="2">
        <v>0</v>
      </c>
      <c r="JJ8" s="7">
        <v>0</v>
      </c>
      <c r="JK8" s="2">
        <v>0</v>
      </c>
      <c r="JL8" s="7">
        <v>0</v>
      </c>
      <c r="JM8" s="2">
        <v>13</v>
      </c>
      <c r="JN8" s="2">
        <v>14</v>
      </c>
      <c r="JO8" s="2">
        <v>42</v>
      </c>
      <c r="JP8" s="2"/>
      <c r="JQ8" s="2">
        <v>17</v>
      </c>
      <c r="JR8" s="2">
        <v>0</v>
      </c>
      <c r="JS8" s="2">
        <v>0</v>
      </c>
      <c r="JT8" s="2"/>
      <c r="JU8" s="2"/>
      <c r="JV8" s="2">
        <v>86</v>
      </c>
      <c r="JW8" s="4">
        <v>1</v>
      </c>
      <c r="JX8" s="2">
        <v>86</v>
      </c>
      <c r="JY8" s="4">
        <v>0.57791000000000003</v>
      </c>
      <c r="JZ8" s="2">
        <v>0</v>
      </c>
      <c r="KA8" s="2"/>
      <c r="KB8" s="2"/>
      <c r="KC8" s="2"/>
      <c r="KD8" s="2"/>
      <c r="KE8" s="2"/>
      <c r="KF8" s="2"/>
      <c r="KG8" s="2"/>
      <c r="KH8" s="2">
        <v>80</v>
      </c>
      <c r="KI8" s="2"/>
      <c r="KJ8" s="2"/>
      <c r="KK8" s="2">
        <v>6</v>
      </c>
      <c r="KL8" s="2"/>
      <c r="KM8" s="2"/>
      <c r="KN8" s="2"/>
      <c r="KO8" s="2"/>
      <c r="KP8" s="2"/>
      <c r="KQ8" s="2" t="s">
        <v>83</v>
      </c>
      <c r="KR8" s="2" t="s">
        <v>73</v>
      </c>
      <c r="KS8" s="2"/>
      <c r="KT8" s="2">
        <v>8</v>
      </c>
      <c r="KU8" s="2" t="s">
        <v>84</v>
      </c>
      <c r="KV8" s="2" t="s">
        <v>85</v>
      </c>
      <c r="KW8" s="2" t="s">
        <v>86</v>
      </c>
      <c r="KX8" s="2" t="s">
        <v>17</v>
      </c>
      <c r="KY8" s="2" t="s">
        <v>17</v>
      </c>
      <c r="KZ8" s="2" t="s">
        <v>17</v>
      </c>
      <c r="LA8" s="2" t="s">
        <v>17</v>
      </c>
      <c r="LB8" s="2" t="s">
        <v>17</v>
      </c>
      <c r="LC8" s="2" t="s">
        <v>17</v>
      </c>
      <c r="LD8" s="2" t="s">
        <v>17</v>
      </c>
      <c r="LE8" s="2" t="s">
        <v>17</v>
      </c>
      <c r="LF8" s="2" t="s">
        <v>17</v>
      </c>
      <c r="LG8" s="2" t="s">
        <v>17</v>
      </c>
      <c r="LH8" s="2" t="s">
        <v>17</v>
      </c>
      <c r="LI8" s="2" t="s">
        <v>17</v>
      </c>
      <c r="LJ8" s="2" t="s">
        <v>87</v>
      </c>
      <c r="LK8" s="2" t="s">
        <v>17</v>
      </c>
      <c r="LL8" s="2" t="s">
        <v>17</v>
      </c>
      <c r="LM8" s="2">
        <v>0</v>
      </c>
      <c r="LN8" s="2" t="s">
        <v>17</v>
      </c>
      <c r="LO8" s="2" t="s">
        <v>17</v>
      </c>
      <c r="LP8" s="2" t="s">
        <v>9</v>
      </c>
      <c r="LQ8" s="2" t="s">
        <v>17</v>
      </c>
      <c r="LR8" s="2" t="s">
        <v>9</v>
      </c>
      <c r="LS8" s="2" t="s">
        <v>9</v>
      </c>
      <c r="LT8" s="2" t="s">
        <v>17</v>
      </c>
      <c r="LU8" s="2" t="s">
        <v>17</v>
      </c>
      <c r="LV8" s="2" t="s">
        <v>17</v>
      </c>
      <c r="LW8" s="2" t="s">
        <v>17</v>
      </c>
      <c r="LX8" s="2" t="s">
        <v>17</v>
      </c>
      <c r="LY8" s="5">
        <v>6500000</v>
      </c>
      <c r="LZ8" s="5">
        <v>0</v>
      </c>
      <c r="MA8" s="5">
        <v>8400000</v>
      </c>
      <c r="MB8" s="5">
        <v>0</v>
      </c>
      <c r="MC8" s="5">
        <v>0</v>
      </c>
      <c r="MD8" s="5">
        <v>0</v>
      </c>
      <c r="ME8" s="5">
        <v>9030000</v>
      </c>
      <c r="MF8" s="5">
        <v>0</v>
      </c>
      <c r="MG8" s="5">
        <v>0</v>
      </c>
      <c r="MH8" s="5">
        <v>0</v>
      </c>
      <c r="MI8" s="5">
        <v>0</v>
      </c>
      <c r="MJ8" s="5">
        <v>0</v>
      </c>
      <c r="MK8" s="5">
        <v>0</v>
      </c>
      <c r="ML8" s="2">
        <v>0</v>
      </c>
      <c r="MM8" s="5">
        <v>0</v>
      </c>
      <c r="MN8" s="5">
        <v>0</v>
      </c>
      <c r="MO8" s="2">
        <v>0</v>
      </c>
      <c r="MP8" s="2">
        <v>0</v>
      </c>
      <c r="MQ8" s="2">
        <v>0</v>
      </c>
      <c r="MR8" s="5">
        <v>2950000</v>
      </c>
      <c r="MS8" s="5">
        <v>0</v>
      </c>
      <c r="MT8" s="5">
        <v>4600000</v>
      </c>
      <c r="MU8" s="5">
        <v>0</v>
      </c>
      <c r="MV8" s="5">
        <v>0</v>
      </c>
      <c r="MW8" s="5">
        <v>0</v>
      </c>
      <c r="MX8" s="5">
        <v>0</v>
      </c>
      <c r="MY8" s="5">
        <v>2500000</v>
      </c>
      <c r="MZ8" s="5">
        <v>0</v>
      </c>
      <c r="NA8" s="5">
        <v>5000000</v>
      </c>
      <c r="NB8" s="5">
        <v>0</v>
      </c>
      <c r="NC8" s="5">
        <v>0</v>
      </c>
      <c r="ND8" s="5">
        <v>0</v>
      </c>
      <c r="NE8" s="5">
        <v>0</v>
      </c>
      <c r="NF8" s="5">
        <v>0</v>
      </c>
      <c r="NG8" s="5">
        <v>2353680</v>
      </c>
      <c r="NH8" s="5">
        <v>2353680</v>
      </c>
      <c r="NI8" s="5">
        <v>2353680</v>
      </c>
      <c r="NJ8" s="2" t="s">
        <v>17</v>
      </c>
      <c r="NK8" s="2"/>
      <c r="NL8" s="2"/>
      <c r="NM8" s="2" t="s">
        <v>17</v>
      </c>
      <c r="NN8" s="2"/>
      <c r="NO8" s="2" t="s">
        <v>17</v>
      </c>
      <c r="NP8" s="2"/>
      <c r="NQ8" s="2"/>
      <c r="NR8" s="2" t="s">
        <v>17</v>
      </c>
      <c r="NS8" s="2"/>
      <c r="NT8" s="2" t="s">
        <v>17</v>
      </c>
      <c r="NU8" s="2"/>
      <c r="NV8" s="2"/>
      <c r="NW8" s="2"/>
      <c r="NX8" s="2" t="s">
        <v>9</v>
      </c>
      <c r="NY8" s="2" t="s">
        <v>762</v>
      </c>
      <c r="NZ8" s="2">
        <v>226.02</v>
      </c>
      <c r="OA8" s="2" t="s">
        <v>2863</v>
      </c>
      <c r="OB8" s="2" t="s">
        <v>2864</v>
      </c>
      <c r="OC8" s="2" t="s">
        <v>2864</v>
      </c>
      <c r="OD8" s="2" t="s">
        <v>17</v>
      </c>
      <c r="OE8" s="2" t="s">
        <v>91</v>
      </c>
      <c r="OF8" s="2" t="s">
        <v>9</v>
      </c>
      <c r="OG8" s="2" t="s">
        <v>92</v>
      </c>
      <c r="OH8" s="2" t="s">
        <v>17</v>
      </c>
      <c r="OI8" s="2" t="s">
        <v>17</v>
      </c>
      <c r="OJ8" s="2" t="s">
        <v>85</v>
      </c>
      <c r="OK8" s="6">
        <v>0</v>
      </c>
      <c r="OL8" s="6">
        <v>0</v>
      </c>
      <c r="OM8" s="2" t="s">
        <v>93</v>
      </c>
      <c r="ON8" s="2" t="s">
        <v>93</v>
      </c>
      <c r="OO8" s="6">
        <v>0</v>
      </c>
      <c r="OP8" s="6">
        <v>0</v>
      </c>
      <c r="OQ8" s="4">
        <v>0</v>
      </c>
      <c r="OR8" s="6">
        <v>0</v>
      </c>
      <c r="OS8" s="4">
        <v>0</v>
      </c>
      <c r="OT8" s="2" t="s">
        <v>17</v>
      </c>
      <c r="OU8" s="2" t="s">
        <v>9</v>
      </c>
      <c r="OV8" s="2" t="s">
        <v>2865</v>
      </c>
      <c r="OW8" s="2"/>
      <c r="OX8" s="5">
        <v>15768121</v>
      </c>
      <c r="OY8" s="6">
        <v>183350.25</v>
      </c>
      <c r="OZ8" s="8">
        <v>250000</v>
      </c>
      <c r="PA8" s="8">
        <v>250000</v>
      </c>
      <c r="PB8" s="2"/>
      <c r="PC8" s="2"/>
      <c r="PD8" s="8">
        <v>14882931</v>
      </c>
      <c r="PE8" s="2"/>
      <c r="PF8" s="8">
        <v>14882931</v>
      </c>
      <c r="PG8" s="8">
        <v>1325000</v>
      </c>
      <c r="PH8" s="8">
        <v>425000</v>
      </c>
      <c r="PI8" s="8">
        <v>1750000</v>
      </c>
      <c r="PJ8" s="2"/>
      <c r="PK8" s="2"/>
      <c r="PL8" s="2"/>
      <c r="PM8" s="8">
        <v>16207931</v>
      </c>
      <c r="PN8" s="8">
        <v>675000</v>
      </c>
      <c r="PO8" s="8">
        <v>16882931</v>
      </c>
      <c r="PP8" s="8">
        <v>2300655</v>
      </c>
      <c r="PQ8" s="2"/>
      <c r="PR8" s="8">
        <v>2300655</v>
      </c>
      <c r="PS8" s="6">
        <v>2363610</v>
      </c>
      <c r="PT8" s="8">
        <v>18508586</v>
      </c>
      <c r="PU8" s="8">
        <v>675000</v>
      </c>
      <c r="PV8" s="8">
        <v>19183586</v>
      </c>
      <c r="PW8" s="8">
        <v>955430</v>
      </c>
      <c r="PX8" s="2"/>
      <c r="PY8" s="8">
        <v>955430</v>
      </c>
      <c r="PZ8" s="6">
        <v>959179.3</v>
      </c>
      <c r="QA8" s="8">
        <v>1010000</v>
      </c>
      <c r="QB8" s="8">
        <v>70000</v>
      </c>
      <c r="QC8" s="8">
        <v>1080000</v>
      </c>
      <c r="QD8" s="8">
        <v>300000</v>
      </c>
      <c r="QE8" s="2"/>
      <c r="QF8" s="8">
        <v>300000</v>
      </c>
      <c r="QG8" s="8">
        <v>375000</v>
      </c>
      <c r="QH8" s="2"/>
      <c r="QI8" s="8">
        <v>375000</v>
      </c>
      <c r="QJ8" s="2"/>
      <c r="QK8" s="8">
        <v>455568</v>
      </c>
      <c r="QL8" s="8">
        <v>455568</v>
      </c>
      <c r="QM8" s="2">
        <v>0</v>
      </c>
      <c r="QN8" s="2"/>
      <c r="QO8" s="2"/>
      <c r="QP8" s="2"/>
      <c r="QQ8" s="8">
        <v>100000</v>
      </c>
      <c r="QR8" s="8">
        <v>100000</v>
      </c>
      <c r="QS8" s="8">
        <v>1685000</v>
      </c>
      <c r="QT8" s="8">
        <v>625568</v>
      </c>
      <c r="QU8" s="8">
        <v>2310568</v>
      </c>
      <c r="QV8" s="8">
        <v>115528</v>
      </c>
      <c r="QW8" s="2"/>
      <c r="QX8" s="8">
        <v>115528</v>
      </c>
      <c r="QY8" s="6">
        <v>115528.4</v>
      </c>
      <c r="QZ8" s="8">
        <v>1910000</v>
      </c>
      <c r="RA8" s="8">
        <v>385000</v>
      </c>
      <c r="RB8" s="8">
        <v>2295000</v>
      </c>
      <c r="RC8" s="8">
        <v>356351</v>
      </c>
      <c r="RD8" s="8">
        <v>356351</v>
      </c>
      <c r="RE8" s="2"/>
      <c r="RF8" s="2"/>
      <c r="RG8" s="2"/>
      <c r="RH8" s="8">
        <v>1910000</v>
      </c>
      <c r="RI8" s="8">
        <v>741351</v>
      </c>
      <c r="RJ8" s="8">
        <v>2651351</v>
      </c>
      <c r="RK8" s="2"/>
      <c r="RL8" s="2"/>
      <c r="RM8" s="8">
        <v>23174544</v>
      </c>
      <c r="RN8" s="8">
        <v>2041919</v>
      </c>
      <c r="RO8" s="8">
        <v>25216463</v>
      </c>
      <c r="RP8" s="2">
        <v>0</v>
      </c>
      <c r="RQ8" s="6">
        <v>0</v>
      </c>
      <c r="RR8" s="8">
        <v>3995218</v>
      </c>
      <c r="RS8" s="2"/>
      <c r="RT8" s="8">
        <v>3995218</v>
      </c>
      <c r="RU8" s="6">
        <v>4034634</v>
      </c>
      <c r="RV8" s="6">
        <v>0</v>
      </c>
      <c r="RW8" s="8">
        <v>3995218</v>
      </c>
      <c r="RX8" s="2"/>
      <c r="RY8" s="8">
        <v>3995218</v>
      </c>
      <c r="RZ8" s="6">
        <v>4034634</v>
      </c>
      <c r="SA8" s="8">
        <v>301000</v>
      </c>
      <c r="SB8" s="8">
        <v>301000</v>
      </c>
      <c r="SC8" s="6">
        <v>301000</v>
      </c>
      <c r="SD8" s="8">
        <v>300000</v>
      </c>
      <c r="SE8" s="8">
        <v>300000</v>
      </c>
      <c r="SF8" s="8">
        <v>27169762</v>
      </c>
      <c r="SG8" s="8">
        <v>2642919</v>
      </c>
      <c r="SH8" s="8">
        <v>29812681</v>
      </c>
      <c r="SI8" s="2" t="s">
        <v>410</v>
      </c>
      <c r="SJ8" s="2"/>
      <c r="SK8" s="2" t="s">
        <v>2866</v>
      </c>
      <c r="SL8" s="2"/>
      <c r="SM8" s="8">
        <v>25000000</v>
      </c>
      <c r="SN8" s="2" t="s">
        <v>95</v>
      </c>
      <c r="SO8" s="8">
        <v>305000</v>
      </c>
      <c r="SP8" s="2" t="s">
        <v>180</v>
      </c>
      <c r="SQ8" s="2"/>
      <c r="SR8" s="2"/>
      <c r="SS8" s="2" t="s">
        <v>96</v>
      </c>
      <c r="ST8" s="2" t="s">
        <v>96</v>
      </c>
      <c r="SU8" s="2" t="s">
        <v>96</v>
      </c>
      <c r="SV8" s="2" t="s">
        <v>96</v>
      </c>
      <c r="SW8" s="8">
        <v>3283056</v>
      </c>
      <c r="SX8" s="2"/>
      <c r="SY8" s="2"/>
      <c r="SZ8" s="2"/>
      <c r="TA8" s="8">
        <v>1224625</v>
      </c>
      <c r="TB8" s="8">
        <v>29812681</v>
      </c>
      <c r="TC8" s="2">
        <v>0</v>
      </c>
      <c r="TD8" s="2" t="s">
        <v>9</v>
      </c>
      <c r="TE8" s="8">
        <v>6000000</v>
      </c>
      <c r="TF8" s="2" t="s">
        <v>95</v>
      </c>
      <c r="TG8" s="8">
        <v>305000</v>
      </c>
      <c r="TH8" s="2" t="s">
        <v>180</v>
      </c>
      <c r="TI8" s="2"/>
      <c r="TJ8" s="2"/>
      <c r="TK8" s="2" t="s">
        <v>96</v>
      </c>
      <c r="TL8" s="2" t="s">
        <v>96</v>
      </c>
      <c r="TM8" s="2" t="s">
        <v>96</v>
      </c>
      <c r="TN8" s="2" t="s">
        <v>96</v>
      </c>
      <c r="TO8" s="8">
        <v>21887035</v>
      </c>
      <c r="TP8" s="2"/>
      <c r="TQ8" s="2"/>
      <c r="TR8" s="2"/>
      <c r="TS8" s="8">
        <v>1620646</v>
      </c>
      <c r="TT8" s="8">
        <v>29812681</v>
      </c>
      <c r="TU8" s="6">
        <v>6305000</v>
      </c>
      <c r="TV8" s="2">
        <v>0</v>
      </c>
      <c r="TW8" s="2" t="s">
        <v>9</v>
      </c>
      <c r="TX8" s="2">
        <v>86</v>
      </c>
      <c r="TY8" s="5">
        <v>240000</v>
      </c>
      <c r="TZ8" s="6">
        <v>320000</v>
      </c>
      <c r="UA8" s="6">
        <v>327500</v>
      </c>
      <c r="UB8" s="6">
        <v>347150</v>
      </c>
      <c r="UC8" s="6">
        <v>29854900</v>
      </c>
      <c r="UD8" s="6">
        <v>4776784</v>
      </c>
      <c r="UE8" s="2" t="s">
        <v>97</v>
      </c>
      <c r="UF8" s="6">
        <v>4776784</v>
      </c>
      <c r="UG8" s="6">
        <v>34631684</v>
      </c>
      <c r="UH8" s="6">
        <v>28961681</v>
      </c>
      <c r="UI8" s="4">
        <v>0.99990000000000001</v>
      </c>
      <c r="UJ8" s="2" t="s">
        <v>9</v>
      </c>
      <c r="UK8" s="6">
        <v>305000</v>
      </c>
      <c r="UL8" s="2"/>
      <c r="UM8" s="6">
        <v>305000</v>
      </c>
      <c r="UN8" s="2"/>
      <c r="UO8" s="6">
        <v>0</v>
      </c>
      <c r="UP8" s="2"/>
      <c r="UQ8" s="6">
        <v>0</v>
      </c>
      <c r="UR8" s="6">
        <v>0</v>
      </c>
      <c r="US8" s="6">
        <v>305000</v>
      </c>
      <c r="UT8" s="6">
        <v>0</v>
      </c>
      <c r="UU8" s="6">
        <v>305000</v>
      </c>
      <c r="UV8" s="2" t="s">
        <v>2867</v>
      </c>
      <c r="UW8" s="2" t="s">
        <v>182</v>
      </c>
      <c r="UX8" s="2" t="s">
        <v>17</v>
      </c>
      <c r="UY8" s="2" t="s">
        <v>17</v>
      </c>
      <c r="UZ8" s="2" t="s">
        <v>17</v>
      </c>
      <c r="VA8" s="2" t="s">
        <v>17</v>
      </c>
      <c r="VB8" s="2" t="s">
        <v>2740</v>
      </c>
      <c r="VC8" s="2" t="s">
        <v>17</v>
      </c>
      <c r="VD8" s="2" t="s">
        <v>17</v>
      </c>
      <c r="VE8" s="2" t="s">
        <v>17</v>
      </c>
      <c r="VF8" s="2"/>
      <c r="VG8" s="2" t="s">
        <v>2868</v>
      </c>
      <c r="VH8" s="2"/>
      <c r="VI8" s="388" t="s">
        <v>832</v>
      </c>
      <c r="VJ8" s="2" t="s">
        <v>98</v>
      </c>
      <c r="VK8" s="2" t="s">
        <v>232</v>
      </c>
      <c r="VL8" s="23">
        <f t="shared" si="0"/>
        <v>91.999999999999986</v>
      </c>
      <c r="VM8" s="17">
        <f t="shared" si="1"/>
        <v>1.069767441860465</v>
      </c>
      <c r="VN8" s="17" t="str">
        <f t="shared" si="2"/>
        <v>NC-GA-F</v>
      </c>
      <c r="VO8" s="17" t="str">
        <f t="shared" si="14"/>
        <v>NC-GA-F-ESS</v>
      </c>
      <c r="VP8" s="12">
        <v>9</v>
      </c>
      <c r="VQ8" s="57">
        <v>1</v>
      </c>
      <c r="VR8" s="14">
        <f t="shared" si="3"/>
        <v>1</v>
      </c>
      <c r="VS8" s="14">
        <f t="shared" si="4"/>
        <v>0.97</v>
      </c>
      <c r="VT8" s="12">
        <f t="shared" si="5"/>
        <v>0.93</v>
      </c>
      <c r="VU8" s="29">
        <f t="shared" si="6"/>
        <v>19109292.552000001</v>
      </c>
      <c r="VV8" s="29">
        <f t="shared" si="7"/>
        <v>222201.07618604653</v>
      </c>
      <c r="VW8" s="12" t="str">
        <f t="shared" si="15"/>
        <v>A</v>
      </c>
      <c r="VX8" s="12" t="str">
        <f t="shared" si="8"/>
        <v>NC-GA-ESS</v>
      </c>
      <c r="VY8" s="351">
        <f t="shared" si="16"/>
        <v>2</v>
      </c>
      <c r="VZ8" s="12"/>
      <c r="WA8" s="12">
        <f t="shared" si="17"/>
        <v>0</v>
      </c>
      <c r="WB8" s="12">
        <f t="shared" si="18"/>
        <v>0</v>
      </c>
      <c r="WC8" s="12">
        <f t="shared" si="19"/>
        <v>0</v>
      </c>
      <c r="WD8" s="12">
        <f t="shared" si="20"/>
        <v>1</v>
      </c>
      <c r="WE8" s="12">
        <f t="shared" si="21"/>
        <v>1</v>
      </c>
      <c r="WF8" s="12">
        <f t="shared" si="9"/>
        <v>1</v>
      </c>
      <c r="WG8" s="12">
        <f t="shared" si="10"/>
        <v>0</v>
      </c>
      <c r="WH8" s="12">
        <f t="shared" si="11"/>
        <v>0</v>
      </c>
      <c r="WI8" s="31">
        <f t="shared" si="12"/>
        <v>3</v>
      </c>
      <c r="WJ8" s="2"/>
      <c r="WK8" s="444" t="str">
        <f t="shared" si="13"/>
        <v>NC-GA-ESS-BBN-BRN-PHA-F</v>
      </c>
      <c r="WL8" s="444"/>
      <c r="WM8" s="444"/>
      <c r="WN8" s="12"/>
      <c r="WO8" s="380" t="s">
        <v>2621</v>
      </c>
      <c r="WP8" s="144">
        <f>COUNTIFS($WH$2:$WH$72,"=1",$WA$2:$WA$72,"=1")</f>
        <v>3</v>
      </c>
      <c r="WQ8" s="144">
        <f>COUNTIFS($WH$2:$WH$72,"=1",$WB$2:$WB$72,"=1")</f>
        <v>0</v>
      </c>
      <c r="WR8" s="144">
        <f>COUNTIFS($WH$2:$WH$72,"=1",$WC$2:$WC$72,"=1")</f>
        <v>4</v>
      </c>
      <c r="WS8" s="144">
        <f>COUNTIFS($WH$2:$WH$72,"=1",$WD$2:$WD$72,"=1")</f>
        <v>1</v>
      </c>
      <c r="WT8" s="144">
        <f>COUNTIFS($WH$2:$WH$72,"=1",$WF$2:$WF$72,"=1")</f>
        <v>0</v>
      </c>
      <c r="WU8" s="144">
        <f>COUNTIFS($WH$2:$WH$72,"=1",$WG$2:$WG$72,"=1")</f>
        <v>0</v>
      </c>
      <c r="WV8" s="384"/>
      <c r="WW8" s="144">
        <f>COUNTIFS($WH$2:$WH$72,"=1",$WE$2:$WE$72,"=1")</f>
        <v>6</v>
      </c>
      <c r="WX8" s="205">
        <f>COUNTIF($WH$2:$WH$72,"=1")</f>
        <v>6</v>
      </c>
    </row>
    <row r="9" spans="1:622" x14ac:dyDescent="0.25">
      <c r="A9" s="2">
        <v>9589</v>
      </c>
      <c r="B9" s="2" t="s">
        <v>2869</v>
      </c>
      <c r="C9" s="2" t="s">
        <v>2652</v>
      </c>
      <c r="D9" s="3">
        <v>45152</v>
      </c>
      <c r="E9" s="2" t="s">
        <v>9</v>
      </c>
      <c r="F9" s="2">
        <v>3</v>
      </c>
      <c r="G9" s="2" t="s">
        <v>9</v>
      </c>
      <c r="H9" s="2">
        <v>3</v>
      </c>
      <c r="I9" s="2" t="s">
        <v>9</v>
      </c>
      <c r="J9" s="2">
        <v>3</v>
      </c>
      <c r="K9" s="2" t="s">
        <v>9</v>
      </c>
      <c r="L9" s="2">
        <v>3</v>
      </c>
      <c r="M9" s="2" t="s">
        <v>10</v>
      </c>
      <c r="N9" s="2">
        <v>0</v>
      </c>
      <c r="O9" s="2" t="s">
        <v>10</v>
      </c>
      <c r="P9" s="2">
        <v>0</v>
      </c>
      <c r="Q9" s="2" t="s">
        <v>11</v>
      </c>
      <c r="R9" s="2">
        <v>0</v>
      </c>
      <c r="S9" s="2" t="s">
        <v>9</v>
      </c>
      <c r="T9" s="2">
        <v>2</v>
      </c>
      <c r="U9" s="2" t="s">
        <v>9</v>
      </c>
      <c r="V9" s="2">
        <v>2</v>
      </c>
      <c r="W9" s="2" t="s">
        <v>9</v>
      </c>
      <c r="X9" s="2">
        <v>2</v>
      </c>
      <c r="Y9" s="2" t="s">
        <v>12</v>
      </c>
      <c r="Z9" s="2" t="s">
        <v>15</v>
      </c>
      <c r="AA9" s="2" t="s">
        <v>15</v>
      </c>
      <c r="AB9" s="2" t="s">
        <v>15</v>
      </c>
      <c r="AC9" s="2" t="s">
        <v>15</v>
      </c>
      <c r="AD9" s="2" t="s">
        <v>15</v>
      </c>
      <c r="AE9" s="2" t="s">
        <v>15</v>
      </c>
      <c r="AF9" s="2">
        <v>0</v>
      </c>
      <c r="AG9" s="2" t="s">
        <v>234</v>
      </c>
      <c r="AH9" s="2" t="s">
        <v>17</v>
      </c>
      <c r="AI9" s="4">
        <v>0.1</v>
      </c>
      <c r="AJ9" s="2" t="s">
        <v>17</v>
      </c>
      <c r="AK9" s="2" t="s">
        <v>9</v>
      </c>
      <c r="AL9" s="2" t="s">
        <v>17</v>
      </c>
      <c r="AM9" s="2" t="s">
        <v>17</v>
      </c>
      <c r="AN9" s="2" t="s">
        <v>17</v>
      </c>
      <c r="AO9" s="2" t="s">
        <v>17</v>
      </c>
      <c r="AP9" s="2" t="s">
        <v>9</v>
      </c>
      <c r="AQ9" s="2" t="s">
        <v>17</v>
      </c>
      <c r="AR9" s="2" t="s">
        <v>9</v>
      </c>
      <c r="AS9" s="2" t="s">
        <v>17</v>
      </c>
      <c r="AT9" s="2">
        <v>5</v>
      </c>
      <c r="AU9" s="5">
        <v>75000</v>
      </c>
      <c r="AV9" s="5">
        <v>610000</v>
      </c>
      <c r="AW9" s="2">
        <v>0</v>
      </c>
      <c r="AX9" s="2">
        <v>9</v>
      </c>
      <c r="AY9" s="2">
        <v>0</v>
      </c>
      <c r="AZ9" s="2">
        <v>18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1</v>
      </c>
      <c r="BG9" s="2">
        <v>0</v>
      </c>
      <c r="BH9" s="2">
        <v>0</v>
      </c>
      <c r="BI9" s="2">
        <v>13</v>
      </c>
      <c r="BJ9" s="2">
        <v>1</v>
      </c>
      <c r="BK9" s="2">
        <v>0</v>
      </c>
      <c r="BL9" s="2">
        <v>3</v>
      </c>
      <c r="BM9" s="2">
        <v>0</v>
      </c>
      <c r="BN9" s="2">
        <v>13</v>
      </c>
      <c r="BO9" s="2">
        <v>11</v>
      </c>
      <c r="BP9" s="2">
        <v>0</v>
      </c>
      <c r="BQ9" s="2">
        <v>10</v>
      </c>
      <c r="BR9" s="2">
        <v>14.59</v>
      </c>
      <c r="BS9" s="2">
        <v>0</v>
      </c>
      <c r="BT9" s="4">
        <v>0.06</v>
      </c>
      <c r="BU9" s="2" t="s">
        <v>9</v>
      </c>
      <c r="BV9" s="6">
        <v>191549.49</v>
      </c>
      <c r="BW9" s="2" t="s">
        <v>18</v>
      </c>
      <c r="BX9" s="2" t="s">
        <v>17</v>
      </c>
      <c r="BY9" s="2" t="s">
        <v>17</v>
      </c>
      <c r="BZ9" s="2" t="s">
        <v>17</v>
      </c>
      <c r="CA9" s="2" t="s">
        <v>17</v>
      </c>
      <c r="CB9" s="2" t="s">
        <v>17</v>
      </c>
      <c r="CC9" s="2" t="s">
        <v>17</v>
      </c>
      <c r="CD9" s="2" t="s">
        <v>17</v>
      </c>
      <c r="CE9" s="2" t="s">
        <v>2870</v>
      </c>
      <c r="CF9" s="2" t="s">
        <v>17</v>
      </c>
      <c r="CG9" s="2" t="s">
        <v>457</v>
      </c>
      <c r="CH9" s="2"/>
      <c r="CI9" s="2"/>
      <c r="CJ9" s="2" t="s">
        <v>9</v>
      </c>
      <c r="CK9" s="2" t="s">
        <v>458</v>
      </c>
      <c r="CL9" s="2" t="s">
        <v>457</v>
      </c>
      <c r="CM9" s="2" t="s">
        <v>459</v>
      </c>
      <c r="CN9" s="2" t="s">
        <v>464</v>
      </c>
      <c r="CO9" s="2" t="s">
        <v>24</v>
      </c>
      <c r="CP9" s="2"/>
      <c r="CQ9" s="2">
        <v>133</v>
      </c>
      <c r="CR9" s="2" t="s">
        <v>1925</v>
      </c>
      <c r="CS9" s="2">
        <v>2021</v>
      </c>
      <c r="CT9" s="2" t="s">
        <v>26</v>
      </c>
      <c r="CU9" s="2" t="s">
        <v>27</v>
      </c>
      <c r="CV9" s="2" t="s">
        <v>462</v>
      </c>
      <c r="CW9" s="2" t="s">
        <v>464</v>
      </c>
      <c r="CX9" s="2" t="s">
        <v>24</v>
      </c>
      <c r="CY9" s="2"/>
      <c r="CZ9" s="2">
        <v>130</v>
      </c>
      <c r="DA9" s="2" t="s">
        <v>1925</v>
      </c>
      <c r="DB9" s="2">
        <v>2018</v>
      </c>
      <c r="DC9" s="2" t="s">
        <v>30</v>
      </c>
      <c r="DD9" s="2" t="s">
        <v>27</v>
      </c>
      <c r="DE9" s="2" t="s">
        <v>463</v>
      </c>
      <c r="DF9" s="2" t="s">
        <v>464</v>
      </c>
      <c r="DG9" s="2" t="s">
        <v>24</v>
      </c>
      <c r="DH9" s="2"/>
      <c r="DI9" s="2">
        <v>117</v>
      </c>
      <c r="DJ9" s="2" t="s">
        <v>1925</v>
      </c>
      <c r="DK9" s="2">
        <v>2021</v>
      </c>
      <c r="DL9" s="2" t="s">
        <v>30</v>
      </c>
      <c r="DM9" s="2" t="s">
        <v>27</v>
      </c>
      <c r="DN9" s="2" t="s">
        <v>2663</v>
      </c>
      <c r="DO9" s="2" t="s">
        <v>465</v>
      </c>
      <c r="DP9" s="2"/>
      <c r="DQ9" s="2" t="s">
        <v>466</v>
      </c>
      <c r="DR9" s="2" t="s">
        <v>467</v>
      </c>
      <c r="DS9" s="2">
        <v>1</v>
      </c>
      <c r="DT9" s="2" t="s">
        <v>1240</v>
      </c>
      <c r="DU9" s="2" t="s">
        <v>479</v>
      </c>
      <c r="DV9" s="2" t="s">
        <v>39</v>
      </c>
      <c r="DW9" s="2">
        <v>32257</v>
      </c>
      <c r="DX9" s="2" t="s">
        <v>470</v>
      </c>
      <c r="DY9" s="2"/>
      <c r="DZ9" s="2" t="s">
        <v>471</v>
      </c>
      <c r="EA9" s="2" t="s">
        <v>467</v>
      </c>
      <c r="EB9" s="2" t="s">
        <v>1245</v>
      </c>
      <c r="EC9" s="2" t="s">
        <v>464</v>
      </c>
      <c r="ED9" s="2" t="s">
        <v>44</v>
      </c>
      <c r="EE9" s="2">
        <v>123</v>
      </c>
      <c r="EF9" s="2" t="s">
        <v>1937</v>
      </c>
      <c r="EG9" s="2">
        <v>7</v>
      </c>
      <c r="EH9" s="2" t="s">
        <v>46</v>
      </c>
      <c r="EI9" s="2" t="s">
        <v>47</v>
      </c>
      <c r="EJ9" s="2" t="s">
        <v>462</v>
      </c>
      <c r="EK9" s="2" t="s">
        <v>464</v>
      </c>
      <c r="EL9" s="2" t="s">
        <v>44</v>
      </c>
      <c r="EM9" s="2">
        <v>130</v>
      </c>
      <c r="EN9" s="2" t="s">
        <v>1937</v>
      </c>
      <c r="EO9" s="2">
        <v>5</v>
      </c>
      <c r="EP9" s="2" t="s">
        <v>46</v>
      </c>
      <c r="EQ9" s="2" t="s">
        <v>47</v>
      </c>
      <c r="ER9" s="2" t="s">
        <v>475</v>
      </c>
      <c r="ES9" s="2" t="s">
        <v>476</v>
      </c>
      <c r="ET9" s="2" t="s">
        <v>477</v>
      </c>
      <c r="EU9" s="2" t="s">
        <v>2870</v>
      </c>
      <c r="EV9" s="2" t="s">
        <v>2871</v>
      </c>
      <c r="EW9" s="2" t="s">
        <v>479</v>
      </c>
      <c r="EX9" s="2" t="s">
        <v>39</v>
      </c>
      <c r="EY9" s="2">
        <v>32207</v>
      </c>
      <c r="EZ9" s="2" t="s">
        <v>480</v>
      </c>
      <c r="FA9" s="2"/>
      <c r="FB9" s="2" t="s">
        <v>481</v>
      </c>
      <c r="FC9" s="2" t="s">
        <v>482</v>
      </c>
      <c r="FD9" s="2" t="s">
        <v>483</v>
      </c>
      <c r="FE9" s="2" t="s">
        <v>484</v>
      </c>
      <c r="FF9" s="2" t="s">
        <v>457</v>
      </c>
      <c r="FG9" s="2" t="s">
        <v>2871</v>
      </c>
      <c r="FH9" s="2" t="s">
        <v>479</v>
      </c>
      <c r="FI9" s="2" t="s">
        <v>39</v>
      </c>
      <c r="FJ9" s="2">
        <v>32207</v>
      </c>
      <c r="FK9" s="2" t="s">
        <v>480</v>
      </c>
      <c r="FL9" s="2"/>
      <c r="FM9" s="2" t="s">
        <v>485</v>
      </c>
      <c r="FN9" s="2" t="s">
        <v>2872</v>
      </c>
      <c r="FO9" s="2" t="s">
        <v>63</v>
      </c>
      <c r="FP9" s="2" t="s">
        <v>64</v>
      </c>
      <c r="FQ9" s="2" t="s">
        <v>9</v>
      </c>
      <c r="FR9" s="2" t="s">
        <v>17</v>
      </c>
      <c r="FS9" s="2" t="s">
        <v>17</v>
      </c>
      <c r="FT9" s="2" t="s">
        <v>9</v>
      </c>
      <c r="FU9" s="2">
        <v>0</v>
      </c>
      <c r="FV9" s="2">
        <v>0</v>
      </c>
      <c r="FW9" s="4">
        <v>0</v>
      </c>
      <c r="FX9" s="4">
        <v>0</v>
      </c>
      <c r="FY9" s="2" t="s">
        <v>65</v>
      </c>
      <c r="FZ9" s="2" t="s">
        <v>66</v>
      </c>
      <c r="GA9" s="2" t="s">
        <v>67</v>
      </c>
      <c r="GB9" s="2"/>
      <c r="GC9" s="2"/>
      <c r="GD9" s="2"/>
      <c r="GE9" s="2" t="s">
        <v>108</v>
      </c>
      <c r="GF9" s="2"/>
      <c r="GG9" s="2"/>
      <c r="GH9" s="2"/>
      <c r="GI9" s="2"/>
      <c r="GJ9" s="2">
        <v>105</v>
      </c>
      <c r="GK9" s="2"/>
      <c r="GL9" s="2"/>
      <c r="GM9" s="2"/>
      <c r="GN9" s="2"/>
      <c r="GO9" s="2"/>
      <c r="GP9" s="2"/>
      <c r="GQ9" s="2">
        <v>105</v>
      </c>
      <c r="GR9" s="2" t="s">
        <v>2873</v>
      </c>
      <c r="GS9" s="2" t="s">
        <v>2686</v>
      </c>
      <c r="GT9" s="2" t="s">
        <v>2874</v>
      </c>
      <c r="GU9" s="2" t="s">
        <v>479</v>
      </c>
      <c r="GV9" s="2" t="s">
        <v>17</v>
      </c>
      <c r="GW9" s="2">
        <v>30.255801999999999</v>
      </c>
      <c r="GX9" s="2">
        <v>-81.595022999999998</v>
      </c>
      <c r="GY9" s="2"/>
      <c r="GZ9" s="2" t="s">
        <v>17</v>
      </c>
      <c r="HA9" s="2">
        <v>0</v>
      </c>
      <c r="HB9" s="2" t="s">
        <v>17</v>
      </c>
      <c r="HC9" s="2"/>
      <c r="HD9" s="2">
        <v>0</v>
      </c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 t="s">
        <v>73</v>
      </c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 t="s">
        <v>17</v>
      </c>
      <c r="IO9" s="2"/>
      <c r="IP9" s="2" t="s">
        <v>79</v>
      </c>
      <c r="IQ9" s="2">
        <v>0</v>
      </c>
      <c r="IR9" s="2">
        <v>0</v>
      </c>
      <c r="IS9" s="2">
        <v>0</v>
      </c>
      <c r="IT9" s="2">
        <v>0</v>
      </c>
      <c r="IU9" s="2" t="s">
        <v>9</v>
      </c>
      <c r="IV9" s="2" t="s">
        <v>17</v>
      </c>
      <c r="IW9" s="2" t="s">
        <v>17</v>
      </c>
      <c r="IX9" s="2" t="s">
        <v>17</v>
      </c>
      <c r="IY9" s="2">
        <v>0</v>
      </c>
      <c r="IZ9" s="2">
        <v>105</v>
      </c>
      <c r="JA9" s="2" t="s">
        <v>2731</v>
      </c>
      <c r="JB9" s="2" t="s">
        <v>173</v>
      </c>
      <c r="JC9" s="2"/>
      <c r="JD9" s="7">
        <v>0.1</v>
      </c>
      <c r="JE9" s="7">
        <v>0.79</v>
      </c>
      <c r="JF9" s="7">
        <v>0.11</v>
      </c>
      <c r="JG9" s="7"/>
      <c r="JH9" s="7"/>
      <c r="JI9" s="2">
        <v>94</v>
      </c>
      <c r="JJ9" s="7">
        <v>0.89</v>
      </c>
      <c r="JK9" s="2">
        <v>105</v>
      </c>
      <c r="JL9" s="7">
        <v>1</v>
      </c>
      <c r="JM9" s="2"/>
      <c r="JN9" s="2"/>
      <c r="JO9" s="2"/>
      <c r="JP9" s="2"/>
      <c r="JQ9" s="2"/>
      <c r="JR9" s="2">
        <v>0</v>
      </c>
      <c r="JS9" s="2">
        <v>0</v>
      </c>
      <c r="JT9" s="2"/>
      <c r="JU9" s="2"/>
      <c r="JV9" s="2">
        <v>0</v>
      </c>
      <c r="JW9" s="4">
        <v>0</v>
      </c>
      <c r="JX9" s="2">
        <v>0</v>
      </c>
      <c r="JY9" s="4">
        <v>0</v>
      </c>
      <c r="JZ9" s="2">
        <v>0</v>
      </c>
      <c r="KA9" s="2"/>
      <c r="KB9" s="2"/>
      <c r="KC9" s="2"/>
      <c r="KD9" s="2"/>
      <c r="KE9" s="2"/>
      <c r="KF9" s="2"/>
      <c r="KG9" s="2">
        <v>7</v>
      </c>
      <c r="KH9" s="2">
        <v>48</v>
      </c>
      <c r="KI9" s="2"/>
      <c r="KJ9" s="2"/>
      <c r="KK9" s="2">
        <v>50</v>
      </c>
      <c r="KL9" s="2"/>
      <c r="KM9" s="2"/>
      <c r="KN9" s="2"/>
      <c r="KO9" s="2"/>
      <c r="KP9" s="2"/>
      <c r="KQ9" s="2" t="s">
        <v>83</v>
      </c>
      <c r="KR9" s="2" t="s">
        <v>73</v>
      </c>
      <c r="KS9" s="2"/>
      <c r="KT9" s="2">
        <v>1</v>
      </c>
      <c r="KU9" s="2" t="s">
        <v>84</v>
      </c>
      <c r="KV9" s="2" t="s">
        <v>85</v>
      </c>
      <c r="KW9" s="2" t="s">
        <v>86</v>
      </c>
      <c r="KX9" s="2" t="s">
        <v>17</v>
      </c>
      <c r="KY9" s="2" t="s">
        <v>17</v>
      </c>
      <c r="KZ9" s="2" t="s">
        <v>17</v>
      </c>
      <c r="LA9" s="2" t="s">
        <v>17</v>
      </c>
      <c r="LB9" s="2" t="s">
        <v>17</v>
      </c>
      <c r="LC9" s="2" t="s">
        <v>17</v>
      </c>
      <c r="LD9" s="2" t="s">
        <v>17</v>
      </c>
      <c r="LE9" s="2" t="s">
        <v>17</v>
      </c>
      <c r="LF9" s="2" t="s">
        <v>17</v>
      </c>
      <c r="LG9" s="2" t="s">
        <v>17</v>
      </c>
      <c r="LH9" s="2" t="s">
        <v>17</v>
      </c>
      <c r="LI9" s="2" t="s">
        <v>17</v>
      </c>
      <c r="LJ9" s="2" t="s">
        <v>87</v>
      </c>
      <c r="LK9" s="2" t="s">
        <v>17</v>
      </c>
      <c r="LL9" s="2" t="s">
        <v>17</v>
      </c>
      <c r="LM9" s="2">
        <v>0</v>
      </c>
      <c r="LN9" s="2" t="s">
        <v>17</v>
      </c>
      <c r="LO9" s="2" t="s">
        <v>9</v>
      </c>
      <c r="LP9" s="2" t="s">
        <v>17</v>
      </c>
      <c r="LQ9" s="2" t="s">
        <v>17</v>
      </c>
      <c r="LR9" s="2" t="s">
        <v>9</v>
      </c>
      <c r="LS9" s="2" t="s">
        <v>9</v>
      </c>
      <c r="LT9" s="2" t="s">
        <v>17</v>
      </c>
      <c r="LU9" s="2" t="s">
        <v>17</v>
      </c>
      <c r="LV9" s="2" t="s">
        <v>17</v>
      </c>
      <c r="LW9" s="2" t="s">
        <v>17</v>
      </c>
      <c r="LX9" s="2" t="s">
        <v>17</v>
      </c>
      <c r="LY9" s="5">
        <v>6500000</v>
      </c>
      <c r="LZ9" s="5">
        <v>0</v>
      </c>
      <c r="MA9" s="5">
        <v>8400000</v>
      </c>
      <c r="MB9" s="5">
        <v>0</v>
      </c>
      <c r="MC9" s="5">
        <v>0</v>
      </c>
      <c r="MD9" s="5">
        <v>0</v>
      </c>
      <c r="ME9" s="5">
        <v>10000000</v>
      </c>
      <c r="MF9" s="5">
        <v>0</v>
      </c>
      <c r="MG9" s="5">
        <v>0</v>
      </c>
      <c r="MH9" s="5">
        <v>0</v>
      </c>
      <c r="MI9" s="5">
        <v>0</v>
      </c>
      <c r="MJ9" s="5">
        <v>0</v>
      </c>
      <c r="MK9" s="5">
        <v>0</v>
      </c>
      <c r="ML9" s="2">
        <v>0</v>
      </c>
      <c r="MM9" s="5">
        <v>0</v>
      </c>
      <c r="MN9" s="5">
        <v>0</v>
      </c>
      <c r="MO9" s="2">
        <v>0</v>
      </c>
      <c r="MP9" s="2">
        <v>0</v>
      </c>
      <c r="MQ9" s="2">
        <v>0</v>
      </c>
      <c r="MR9" s="5">
        <v>2950000</v>
      </c>
      <c r="MS9" s="5">
        <v>0</v>
      </c>
      <c r="MT9" s="5">
        <v>4600000</v>
      </c>
      <c r="MU9" s="5">
        <v>0</v>
      </c>
      <c r="MV9" s="5">
        <v>0</v>
      </c>
      <c r="MW9" s="5">
        <v>0</v>
      </c>
      <c r="MX9" s="5">
        <v>0</v>
      </c>
      <c r="MY9" s="5">
        <v>2500000</v>
      </c>
      <c r="MZ9" s="5">
        <v>0</v>
      </c>
      <c r="NA9" s="5">
        <v>5000000</v>
      </c>
      <c r="NB9" s="5">
        <v>0</v>
      </c>
      <c r="NC9" s="5">
        <v>0</v>
      </c>
      <c r="ND9" s="5">
        <v>0</v>
      </c>
      <c r="NE9" s="5">
        <v>0</v>
      </c>
      <c r="NF9" s="5">
        <v>0</v>
      </c>
      <c r="NG9" s="5">
        <v>2353680</v>
      </c>
      <c r="NH9" s="5">
        <v>2353680</v>
      </c>
      <c r="NI9" s="5">
        <v>2353680</v>
      </c>
      <c r="NJ9" s="2" t="s">
        <v>17</v>
      </c>
      <c r="NK9" s="2"/>
      <c r="NL9" s="2"/>
      <c r="NM9" s="2" t="s">
        <v>17</v>
      </c>
      <c r="NN9" s="2"/>
      <c r="NO9" s="2" t="s">
        <v>17</v>
      </c>
      <c r="NP9" s="2"/>
      <c r="NQ9" s="2"/>
      <c r="NR9" s="2" t="s">
        <v>17</v>
      </c>
      <c r="NS9" s="2"/>
      <c r="NT9" s="2" t="s">
        <v>17</v>
      </c>
      <c r="NU9" s="2"/>
      <c r="NV9" s="2"/>
      <c r="NW9" s="2"/>
      <c r="NX9" s="2" t="s">
        <v>9</v>
      </c>
      <c r="NY9" s="2" t="s">
        <v>88</v>
      </c>
      <c r="NZ9" s="2">
        <v>159.24</v>
      </c>
      <c r="OA9" s="2" t="s">
        <v>2875</v>
      </c>
      <c r="OB9" s="2" t="s">
        <v>2876</v>
      </c>
      <c r="OC9" s="2" t="s">
        <v>2876</v>
      </c>
      <c r="OD9" s="2" t="s">
        <v>9</v>
      </c>
      <c r="OE9" s="2" t="s">
        <v>320</v>
      </c>
      <c r="OF9" s="2" t="s">
        <v>17</v>
      </c>
      <c r="OG9" s="2"/>
      <c r="OH9" s="2" t="s">
        <v>17</v>
      </c>
      <c r="OI9" s="2" t="s">
        <v>17</v>
      </c>
      <c r="OJ9" s="2" t="s">
        <v>85</v>
      </c>
      <c r="OK9" s="6">
        <v>0</v>
      </c>
      <c r="OL9" s="6">
        <v>0</v>
      </c>
      <c r="OM9" s="2" t="s">
        <v>93</v>
      </c>
      <c r="ON9" s="2" t="s">
        <v>93</v>
      </c>
      <c r="OO9" s="6">
        <v>0</v>
      </c>
      <c r="OP9" s="6">
        <v>0</v>
      </c>
      <c r="OQ9" s="4">
        <v>0</v>
      </c>
      <c r="OR9" s="6">
        <v>0</v>
      </c>
      <c r="OS9" s="4">
        <v>0</v>
      </c>
      <c r="OT9" s="2" t="s">
        <v>17</v>
      </c>
      <c r="OU9" s="2" t="s">
        <v>17</v>
      </c>
      <c r="OV9" s="2"/>
      <c r="OW9" s="2"/>
      <c r="OX9" s="5">
        <v>18005652</v>
      </c>
      <c r="OY9" s="6">
        <v>191549.49</v>
      </c>
      <c r="OZ9" s="2"/>
      <c r="PA9" s="2"/>
      <c r="PB9" s="2"/>
      <c r="PC9" s="2"/>
      <c r="PD9" s="8">
        <v>14597369</v>
      </c>
      <c r="PE9" s="8">
        <v>600000</v>
      </c>
      <c r="PF9" s="8">
        <v>15197369</v>
      </c>
      <c r="PG9" s="2"/>
      <c r="PH9" s="2"/>
      <c r="PI9" s="2"/>
      <c r="PJ9" s="2"/>
      <c r="PK9" s="2"/>
      <c r="PL9" s="2"/>
      <c r="PM9" s="8">
        <v>14597369</v>
      </c>
      <c r="PN9" s="8">
        <v>600000</v>
      </c>
      <c r="PO9" s="8">
        <v>15197369</v>
      </c>
      <c r="PP9" s="8">
        <v>2127631</v>
      </c>
      <c r="PQ9" s="2"/>
      <c r="PR9" s="8">
        <v>2127631</v>
      </c>
      <c r="PS9" s="6">
        <v>2127631</v>
      </c>
      <c r="PT9" s="8">
        <v>16725000</v>
      </c>
      <c r="PU9" s="8">
        <v>600000</v>
      </c>
      <c r="PV9" s="8">
        <v>17325000</v>
      </c>
      <c r="PW9" s="8">
        <v>866250</v>
      </c>
      <c r="PX9" s="2"/>
      <c r="PY9" s="8">
        <v>866250</v>
      </c>
      <c r="PZ9" s="6">
        <v>866250</v>
      </c>
      <c r="QA9" s="8">
        <v>1056000</v>
      </c>
      <c r="QB9" s="8">
        <v>317500</v>
      </c>
      <c r="QC9" s="8">
        <v>1373500</v>
      </c>
      <c r="QD9" s="8">
        <v>129938</v>
      </c>
      <c r="QE9" s="8">
        <v>100000</v>
      </c>
      <c r="QF9" s="8">
        <v>229938</v>
      </c>
      <c r="QG9" s="8">
        <v>522600</v>
      </c>
      <c r="QH9" s="8">
        <v>78500</v>
      </c>
      <c r="QI9" s="8">
        <v>601100</v>
      </c>
      <c r="QJ9" s="2"/>
      <c r="QK9" s="8">
        <v>449995</v>
      </c>
      <c r="QL9" s="8">
        <v>449995</v>
      </c>
      <c r="QM9" s="2"/>
      <c r="QN9" s="2"/>
      <c r="QO9" s="2"/>
      <c r="QP9" s="8">
        <v>500000</v>
      </c>
      <c r="QQ9" s="8">
        <v>250000</v>
      </c>
      <c r="QR9" s="8">
        <v>750000</v>
      </c>
      <c r="QS9" s="8">
        <v>2208538</v>
      </c>
      <c r="QT9" s="8">
        <v>1195995</v>
      </c>
      <c r="QU9" s="8">
        <v>3404533</v>
      </c>
      <c r="QV9" s="8">
        <v>75000</v>
      </c>
      <c r="QW9" s="2"/>
      <c r="QX9" s="8">
        <v>75000</v>
      </c>
      <c r="QY9" s="6">
        <v>170226.65</v>
      </c>
      <c r="QZ9" s="8">
        <v>823500</v>
      </c>
      <c r="RA9" s="8">
        <v>800000</v>
      </c>
      <c r="RB9" s="8">
        <v>1623500</v>
      </c>
      <c r="RC9" s="8">
        <v>52500</v>
      </c>
      <c r="RD9" s="8">
        <v>52500</v>
      </c>
      <c r="RE9" s="2"/>
      <c r="RF9" s="2"/>
      <c r="RG9" s="2"/>
      <c r="RH9" s="8">
        <v>823500</v>
      </c>
      <c r="RI9" s="8">
        <v>852500</v>
      </c>
      <c r="RJ9" s="8">
        <v>1676000</v>
      </c>
      <c r="RK9" s="2"/>
      <c r="RL9" s="2"/>
      <c r="RM9" s="8">
        <v>20698288</v>
      </c>
      <c r="RN9" s="8">
        <v>2648495</v>
      </c>
      <c r="RO9" s="8">
        <v>23346783</v>
      </c>
      <c r="RP9" s="2">
        <v>0</v>
      </c>
      <c r="RQ9" s="6">
        <v>0</v>
      </c>
      <c r="RR9" s="8">
        <v>3695484</v>
      </c>
      <c r="RS9" s="2"/>
      <c r="RT9" s="8">
        <v>3695484</v>
      </c>
      <c r="RU9" s="6">
        <v>3735485</v>
      </c>
      <c r="RV9" s="6">
        <v>0</v>
      </c>
      <c r="RW9" s="8">
        <v>3695484</v>
      </c>
      <c r="RX9" s="2"/>
      <c r="RY9" s="8">
        <v>3695484</v>
      </c>
      <c r="RZ9" s="6">
        <v>3735485</v>
      </c>
      <c r="SA9" s="8">
        <v>288705</v>
      </c>
      <c r="SB9" s="8">
        <v>288705</v>
      </c>
      <c r="SC9" s="6">
        <v>367500</v>
      </c>
      <c r="SD9" s="8">
        <v>3300000</v>
      </c>
      <c r="SE9" s="8">
        <v>3300000</v>
      </c>
      <c r="SF9" s="8">
        <v>24393772</v>
      </c>
      <c r="SG9" s="8">
        <v>6237200</v>
      </c>
      <c r="SH9" s="8">
        <v>30630972</v>
      </c>
      <c r="SI9" s="2"/>
      <c r="SJ9" s="2"/>
      <c r="SK9" s="2" t="s">
        <v>2877</v>
      </c>
      <c r="SL9" s="2"/>
      <c r="SM9" s="8">
        <v>19400000</v>
      </c>
      <c r="SN9" s="2" t="s">
        <v>95</v>
      </c>
      <c r="SO9" s="2">
        <v>0</v>
      </c>
      <c r="SP9" s="2" t="s">
        <v>180</v>
      </c>
      <c r="SQ9" s="2"/>
      <c r="SR9" s="2"/>
      <c r="SS9" s="2" t="s">
        <v>96</v>
      </c>
      <c r="ST9" s="2" t="s">
        <v>96</v>
      </c>
      <c r="SU9" s="2" t="s">
        <v>96</v>
      </c>
      <c r="SV9" s="2" t="s">
        <v>96</v>
      </c>
      <c r="SW9" s="8">
        <v>8943090</v>
      </c>
      <c r="SX9" s="2"/>
      <c r="SY9" s="2"/>
      <c r="SZ9" s="2"/>
      <c r="TA9" s="8">
        <v>2287882</v>
      </c>
      <c r="TB9" s="8">
        <v>30630972</v>
      </c>
      <c r="TC9" s="2">
        <v>0</v>
      </c>
      <c r="TD9" s="2" t="s">
        <v>9</v>
      </c>
      <c r="TE9" s="8">
        <v>5750000</v>
      </c>
      <c r="TF9" s="2" t="s">
        <v>95</v>
      </c>
      <c r="TG9" s="8">
        <v>610000</v>
      </c>
      <c r="TH9" s="2" t="s">
        <v>180</v>
      </c>
      <c r="TI9" s="2"/>
      <c r="TJ9" s="2"/>
      <c r="TK9" s="2" t="s">
        <v>96</v>
      </c>
      <c r="TL9" s="2" t="s">
        <v>96</v>
      </c>
      <c r="TM9" s="2" t="s">
        <v>96</v>
      </c>
      <c r="TN9" s="2" t="s">
        <v>96</v>
      </c>
      <c r="TO9" s="8">
        <v>22357724</v>
      </c>
      <c r="TP9" s="2"/>
      <c r="TQ9" s="2"/>
      <c r="TR9" s="2"/>
      <c r="TS9" s="8">
        <v>1913248</v>
      </c>
      <c r="TT9" s="8">
        <v>30630972</v>
      </c>
      <c r="TU9" s="6">
        <v>6360000</v>
      </c>
      <c r="TV9" s="2">
        <v>0</v>
      </c>
      <c r="TW9" s="2" t="s">
        <v>9</v>
      </c>
      <c r="TX9" s="2">
        <v>105</v>
      </c>
      <c r="TY9" s="5">
        <v>240000</v>
      </c>
      <c r="TZ9" s="6">
        <v>320000</v>
      </c>
      <c r="UA9" s="6">
        <v>320000</v>
      </c>
      <c r="UB9" s="6">
        <v>339200</v>
      </c>
      <c r="UC9" s="6">
        <v>35616000</v>
      </c>
      <c r="UD9" s="6">
        <v>5698560</v>
      </c>
      <c r="UE9" s="2" t="s">
        <v>97</v>
      </c>
      <c r="UF9" s="6">
        <v>5698560</v>
      </c>
      <c r="UG9" s="6">
        <v>41314560</v>
      </c>
      <c r="UH9" s="6">
        <v>27042267</v>
      </c>
      <c r="UI9" s="4">
        <v>0.99990000000000001</v>
      </c>
      <c r="UJ9" s="2" t="s">
        <v>9</v>
      </c>
      <c r="UK9" s="6">
        <v>610000</v>
      </c>
      <c r="UL9" s="2"/>
      <c r="UM9" s="6">
        <v>610000</v>
      </c>
      <c r="UN9" s="2"/>
      <c r="UO9" s="6">
        <v>0</v>
      </c>
      <c r="UP9" s="2"/>
      <c r="UQ9" s="6">
        <v>0</v>
      </c>
      <c r="UR9" s="6">
        <v>0</v>
      </c>
      <c r="US9" s="6">
        <v>610000</v>
      </c>
      <c r="UT9" s="6">
        <v>0</v>
      </c>
      <c r="UU9" s="6">
        <v>610000</v>
      </c>
      <c r="UV9" s="2" t="s">
        <v>2878</v>
      </c>
      <c r="UW9" s="2" t="s">
        <v>182</v>
      </c>
      <c r="UX9" s="2" t="s">
        <v>9</v>
      </c>
      <c r="UY9" s="2" t="s">
        <v>17</v>
      </c>
      <c r="UZ9" s="2" t="s">
        <v>17</v>
      </c>
      <c r="VA9" s="2" t="s">
        <v>17</v>
      </c>
      <c r="VB9" s="2" t="s">
        <v>2697</v>
      </c>
      <c r="VC9" s="2" t="s">
        <v>17</v>
      </c>
      <c r="VD9" s="2" t="s">
        <v>17</v>
      </c>
      <c r="VE9" s="2" t="s">
        <v>17</v>
      </c>
      <c r="VF9" s="2"/>
      <c r="VG9" s="2" t="s">
        <v>2879</v>
      </c>
      <c r="VH9" s="2"/>
      <c r="VI9" s="388" t="s">
        <v>494</v>
      </c>
      <c r="VJ9" s="2" t="s">
        <v>98</v>
      </c>
      <c r="VK9" s="2" t="s">
        <v>495</v>
      </c>
      <c r="VL9" s="23">
        <f t="shared" si="0"/>
        <v>155</v>
      </c>
      <c r="VM9" s="17">
        <f t="shared" si="1"/>
        <v>1.4761904761904763</v>
      </c>
      <c r="VN9" s="17" t="str">
        <f t="shared" si="2"/>
        <v>NC-MR-F</v>
      </c>
      <c r="VO9" s="17" t="str">
        <f t="shared" si="14"/>
        <v>NC-MR-F-Non</v>
      </c>
      <c r="VP9" s="12">
        <v>9</v>
      </c>
      <c r="VQ9" s="57">
        <v>1</v>
      </c>
      <c r="VR9" s="14">
        <f t="shared" si="3"/>
        <v>1</v>
      </c>
      <c r="VS9" s="14">
        <f t="shared" si="4"/>
        <v>1</v>
      </c>
      <c r="VT9" s="12">
        <f t="shared" si="5"/>
        <v>0.97</v>
      </c>
      <c r="VU9" s="29">
        <f t="shared" si="6"/>
        <v>20547626.399999999</v>
      </c>
      <c r="VV9" s="29">
        <f t="shared" si="7"/>
        <v>218591.77021276593</v>
      </c>
      <c r="VW9" s="12" t="str">
        <f t="shared" si="15"/>
        <v>A</v>
      </c>
      <c r="VX9" s="12" t="str">
        <f t="shared" si="8"/>
        <v>NC-MR-Non</v>
      </c>
      <c r="VY9" s="351">
        <f t="shared" si="16"/>
        <v>2</v>
      </c>
      <c r="VZ9" s="12"/>
      <c r="WA9" s="12">
        <f t="shared" si="17"/>
        <v>0</v>
      </c>
      <c r="WB9" s="12">
        <f t="shared" si="18"/>
        <v>0</v>
      </c>
      <c r="WC9" s="12">
        <f t="shared" si="19"/>
        <v>0</v>
      </c>
      <c r="WD9" s="12">
        <f t="shared" si="20"/>
        <v>0</v>
      </c>
      <c r="WE9" s="12">
        <f t="shared" si="21"/>
        <v>0</v>
      </c>
      <c r="WF9" s="12">
        <f t="shared" si="9"/>
        <v>0</v>
      </c>
      <c r="WG9" s="12">
        <f t="shared" si="10"/>
        <v>1</v>
      </c>
      <c r="WH9" s="12">
        <f t="shared" si="11"/>
        <v>0</v>
      </c>
      <c r="WI9" s="31">
        <f t="shared" si="12"/>
        <v>1</v>
      </c>
      <c r="WJ9" s="2"/>
      <c r="WK9" s="444" t="str">
        <f t="shared" si="13"/>
        <v>NC-MR-Non-BBN-BRN-NPH-F</v>
      </c>
      <c r="WL9" s="444"/>
      <c r="WM9" s="444"/>
      <c r="WN9" s="12"/>
      <c r="WO9" s="380" t="s">
        <v>2628</v>
      </c>
      <c r="WP9" s="144">
        <f>COUNTIFS($WE$2:$WE$72,"=1",$WA$2:$WA$72,"=1")</f>
        <v>11</v>
      </c>
      <c r="WQ9" s="144">
        <f>COUNTIFS($WE$2:$WE$72,"=1",$WB$2:$WB$72,"=1")</f>
        <v>0</v>
      </c>
      <c r="WR9" s="144">
        <f>COUNTIFS($WE$2:$WE$72,"=1",$WC$2:$WC$72,"=1")</f>
        <v>8</v>
      </c>
      <c r="WS9" s="144">
        <f>COUNTIFS($WE$2:$WE$72,"=1",$WD$2:$WD$72,"=1")</f>
        <v>7</v>
      </c>
      <c r="WT9" s="144">
        <f>COUNTIFS($WE$2:$WE$72,"=1",$WF$2:$WF$72,"=1")</f>
        <v>9</v>
      </c>
      <c r="WU9" s="144">
        <f>COUNTIFS($WE$2:$WE$72,"=1",$WG$2:$WG$72,"=1")</f>
        <v>12</v>
      </c>
      <c r="WV9" s="144">
        <f>COUNTIFS($WE$2:$WE$72,"=1",$WH$2:$WH$72,"=1")</f>
        <v>6</v>
      </c>
      <c r="WW9" s="384"/>
      <c r="WX9" s="205">
        <f>COUNTIF($WE$2:$WE$72,"=1")</f>
        <v>27</v>
      </c>
    </row>
    <row r="10" spans="1:622" x14ac:dyDescent="0.25">
      <c r="A10" s="2">
        <v>9533</v>
      </c>
      <c r="B10" s="2" t="s">
        <v>2880</v>
      </c>
      <c r="C10" s="2" t="s">
        <v>2652</v>
      </c>
      <c r="D10" s="3">
        <v>45152</v>
      </c>
      <c r="E10" s="2" t="s">
        <v>9</v>
      </c>
      <c r="F10" s="2">
        <v>3</v>
      </c>
      <c r="G10" s="2" t="s">
        <v>9</v>
      </c>
      <c r="H10" s="2">
        <v>3</v>
      </c>
      <c r="I10" s="2" t="s">
        <v>11</v>
      </c>
      <c r="J10" s="2">
        <v>0</v>
      </c>
      <c r="K10" s="2" t="s">
        <v>9</v>
      </c>
      <c r="L10" s="2">
        <v>3</v>
      </c>
      <c r="M10" s="2" t="s">
        <v>10</v>
      </c>
      <c r="N10" s="2">
        <v>0</v>
      </c>
      <c r="O10" s="2" t="s">
        <v>10</v>
      </c>
      <c r="P10" s="2">
        <v>0</v>
      </c>
      <c r="Q10" s="2" t="s">
        <v>11</v>
      </c>
      <c r="R10" s="2">
        <v>0</v>
      </c>
      <c r="S10" s="2" t="s">
        <v>9</v>
      </c>
      <c r="T10" s="2">
        <v>2</v>
      </c>
      <c r="U10" s="2" t="s">
        <v>9</v>
      </c>
      <c r="V10" s="2">
        <v>2</v>
      </c>
      <c r="W10" s="2" t="s">
        <v>9</v>
      </c>
      <c r="X10" s="2">
        <v>2</v>
      </c>
      <c r="Y10" s="2" t="s">
        <v>12</v>
      </c>
      <c r="Z10" s="2" t="s">
        <v>1608</v>
      </c>
      <c r="AA10" s="2" t="s">
        <v>435</v>
      </c>
      <c r="AB10" s="2" t="s">
        <v>842</v>
      </c>
      <c r="AC10" s="2" t="s">
        <v>15</v>
      </c>
      <c r="AD10" s="2" t="s">
        <v>15</v>
      </c>
      <c r="AE10" s="2" t="s">
        <v>15</v>
      </c>
      <c r="AF10" s="2">
        <v>3</v>
      </c>
      <c r="AG10" s="2" t="s">
        <v>2881</v>
      </c>
      <c r="AH10" s="2" t="s">
        <v>17</v>
      </c>
      <c r="AI10" s="4">
        <v>0.15853999999999999</v>
      </c>
      <c r="AJ10" s="2" t="s">
        <v>17</v>
      </c>
      <c r="AK10" s="2" t="s">
        <v>9</v>
      </c>
      <c r="AL10" s="2" t="s">
        <v>17</v>
      </c>
      <c r="AM10" s="2" t="s">
        <v>17</v>
      </c>
      <c r="AN10" s="2" t="s">
        <v>17</v>
      </c>
      <c r="AO10" s="2" t="s">
        <v>17</v>
      </c>
      <c r="AP10" s="2" t="s">
        <v>17</v>
      </c>
      <c r="AQ10" s="2" t="s">
        <v>17</v>
      </c>
      <c r="AR10" s="2" t="s">
        <v>17</v>
      </c>
      <c r="AS10" s="2" t="s">
        <v>9</v>
      </c>
      <c r="AT10" s="2">
        <v>5</v>
      </c>
      <c r="AU10" s="5">
        <v>75000</v>
      </c>
      <c r="AV10" s="5">
        <v>610000</v>
      </c>
      <c r="AW10" s="2">
        <v>0</v>
      </c>
      <c r="AX10" s="2">
        <v>6</v>
      </c>
      <c r="AY10" s="2">
        <v>0</v>
      </c>
      <c r="AZ10" s="2">
        <v>18</v>
      </c>
      <c r="BA10" s="2">
        <v>0</v>
      </c>
      <c r="BB10" s="2">
        <v>0</v>
      </c>
      <c r="BC10" s="2">
        <v>1</v>
      </c>
      <c r="BD10" s="2">
        <v>3</v>
      </c>
      <c r="BE10" s="2">
        <v>0</v>
      </c>
      <c r="BF10" s="2">
        <v>1</v>
      </c>
      <c r="BG10" s="2">
        <v>0</v>
      </c>
      <c r="BH10" s="2">
        <v>0</v>
      </c>
      <c r="BI10" s="2">
        <v>13</v>
      </c>
      <c r="BJ10" s="2">
        <v>1</v>
      </c>
      <c r="BK10" s="2">
        <v>0</v>
      </c>
      <c r="BL10" s="2">
        <v>3</v>
      </c>
      <c r="BM10" s="2">
        <v>0</v>
      </c>
      <c r="BN10" s="2">
        <v>10</v>
      </c>
      <c r="BO10" s="2">
        <v>11</v>
      </c>
      <c r="BP10" s="2">
        <v>0</v>
      </c>
      <c r="BQ10" s="2">
        <v>10</v>
      </c>
      <c r="BR10" s="2">
        <v>11.4</v>
      </c>
      <c r="BS10" s="2">
        <v>0</v>
      </c>
      <c r="BT10" s="4">
        <v>0.06</v>
      </c>
      <c r="BU10" s="2" t="s">
        <v>9</v>
      </c>
      <c r="BV10" s="6">
        <v>192294.16</v>
      </c>
      <c r="BW10" s="2" t="s">
        <v>18</v>
      </c>
      <c r="BX10" s="2" t="s">
        <v>17</v>
      </c>
      <c r="BY10" s="2" t="s">
        <v>17</v>
      </c>
      <c r="BZ10" s="2" t="s">
        <v>17</v>
      </c>
      <c r="CA10" s="2" t="s">
        <v>17</v>
      </c>
      <c r="CB10" s="2" t="s">
        <v>17</v>
      </c>
      <c r="CC10" s="2" t="s">
        <v>17</v>
      </c>
      <c r="CD10" s="2" t="s">
        <v>17</v>
      </c>
      <c r="CE10" s="2" t="s">
        <v>2882</v>
      </c>
      <c r="CF10" s="2" t="s">
        <v>17</v>
      </c>
      <c r="CG10" s="2" t="s">
        <v>789</v>
      </c>
      <c r="CH10" s="2" t="s">
        <v>2846</v>
      </c>
      <c r="CI10" s="2"/>
      <c r="CJ10" s="2" t="s">
        <v>9</v>
      </c>
      <c r="CK10" s="2" t="s">
        <v>791</v>
      </c>
      <c r="CL10" s="2" t="s">
        <v>789</v>
      </c>
      <c r="CM10" s="2" t="s">
        <v>792</v>
      </c>
      <c r="CN10" s="2" t="s">
        <v>2848</v>
      </c>
      <c r="CO10" s="2" t="s">
        <v>24</v>
      </c>
      <c r="CP10" s="2" t="s">
        <v>229</v>
      </c>
      <c r="CQ10" s="2">
        <v>153</v>
      </c>
      <c r="CR10" s="2" t="s">
        <v>289</v>
      </c>
      <c r="CS10" s="2">
        <v>2014</v>
      </c>
      <c r="CT10" s="2" t="s">
        <v>26</v>
      </c>
      <c r="CU10" s="2" t="s">
        <v>27</v>
      </c>
      <c r="CV10" s="2" t="s">
        <v>796</v>
      </c>
      <c r="CW10" s="2" t="s">
        <v>797</v>
      </c>
      <c r="CX10" s="2" t="s">
        <v>24</v>
      </c>
      <c r="CY10" s="2" t="s">
        <v>229</v>
      </c>
      <c r="CZ10" s="2">
        <v>72</v>
      </c>
      <c r="DA10" s="2" t="s">
        <v>289</v>
      </c>
      <c r="DB10" s="2">
        <v>2012</v>
      </c>
      <c r="DC10" s="2" t="s">
        <v>243</v>
      </c>
      <c r="DD10" s="2" t="s">
        <v>27</v>
      </c>
      <c r="DE10" s="2" t="s">
        <v>798</v>
      </c>
      <c r="DF10" s="2" t="s">
        <v>799</v>
      </c>
      <c r="DG10" s="2" t="s">
        <v>800</v>
      </c>
      <c r="DH10" s="2" t="s">
        <v>229</v>
      </c>
      <c r="DI10" s="2">
        <v>120</v>
      </c>
      <c r="DJ10" s="2" t="s">
        <v>289</v>
      </c>
      <c r="DK10" s="2">
        <v>2009</v>
      </c>
      <c r="DL10" s="2" t="s">
        <v>26</v>
      </c>
      <c r="DM10" s="2" t="s">
        <v>27</v>
      </c>
      <c r="DN10" s="2" t="s">
        <v>2663</v>
      </c>
      <c r="DO10" s="2" t="s">
        <v>801</v>
      </c>
      <c r="DP10" s="2"/>
      <c r="DQ10" s="2" t="s">
        <v>802</v>
      </c>
      <c r="DR10" s="2" t="s">
        <v>803</v>
      </c>
      <c r="DS10" s="2">
        <v>1</v>
      </c>
      <c r="DT10" s="2" t="s">
        <v>804</v>
      </c>
      <c r="DU10" s="2" t="s">
        <v>805</v>
      </c>
      <c r="DV10" s="2" t="s">
        <v>260</v>
      </c>
      <c r="DW10" s="2">
        <v>75019</v>
      </c>
      <c r="DX10" s="2" t="s">
        <v>806</v>
      </c>
      <c r="DY10" s="2">
        <v>228</v>
      </c>
      <c r="DZ10" s="2" t="s">
        <v>807</v>
      </c>
      <c r="EA10" s="2" t="s">
        <v>803</v>
      </c>
      <c r="EB10" s="2" t="s">
        <v>808</v>
      </c>
      <c r="EC10" s="2" t="s">
        <v>809</v>
      </c>
      <c r="ED10" s="2" t="s">
        <v>44</v>
      </c>
      <c r="EE10" s="2">
        <v>171</v>
      </c>
      <c r="EF10" s="2" t="s">
        <v>303</v>
      </c>
      <c r="EG10" s="2">
        <v>14</v>
      </c>
      <c r="EH10" s="2" t="s">
        <v>46</v>
      </c>
      <c r="EI10" s="2" t="s">
        <v>47</v>
      </c>
      <c r="EJ10" s="2" t="s">
        <v>2883</v>
      </c>
      <c r="EK10" s="2" t="s">
        <v>2852</v>
      </c>
      <c r="EL10" s="2" t="s">
        <v>44</v>
      </c>
      <c r="EM10" s="2">
        <v>61</v>
      </c>
      <c r="EN10" s="2" t="s">
        <v>303</v>
      </c>
      <c r="EO10" s="2">
        <v>8</v>
      </c>
      <c r="EP10" s="2" t="s">
        <v>46</v>
      </c>
      <c r="EQ10" s="2" t="s">
        <v>47</v>
      </c>
      <c r="ER10" s="2" t="s">
        <v>812</v>
      </c>
      <c r="ES10" s="2"/>
      <c r="ET10" s="2" t="s">
        <v>813</v>
      </c>
      <c r="EU10" s="2" t="s">
        <v>2882</v>
      </c>
      <c r="EV10" s="2" t="s">
        <v>2853</v>
      </c>
      <c r="EW10" s="2" t="s">
        <v>396</v>
      </c>
      <c r="EX10" s="2" t="s">
        <v>39</v>
      </c>
      <c r="EY10" s="2">
        <v>33607</v>
      </c>
      <c r="EZ10" s="2" t="s">
        <v>2884</v>
      </c>
      <c r="FA10" s="2"/>
      <c r="FB10" s="2" t="s">
        <v>2855</v>
      </c>
      <c r="FC10" s="2" t="s">
        <v>817</v>
      </c>
      <c r="FD10" s="2"/>
      <c r="FE10" s="2" t="s">
        <v>818</v>
      </c>
      <c r="FF10" s="2" t="s">
        <v>789</v>
      </c>
      <c r="FG10" s="2" t="s">
        <v>2853</v>
      </c>
      <c r="FH10" s="2" t="s">
        <v>396</v>
      </c>
      <c r="FI10" s="2" t="s">
        <v>39</v>
      </c>
      <c r="FJ10" s="2">
        <v>33607</v>
      </c>
      <c r="FK10" s="2" t="s">
        <v>2884</v>
      </c>
      <c r="FL10" s="2"/>
      <c r="FM10" s="2" t="s">
        <v>2856</v>
      </c>
      <c r="FN10" s="2" t="s">
        <v>2885</v>
      </c>
      <c r="FO10" s="2" t="s">
        <v>63</v>
      </c>
      <c r="FP10" s="2" t="s">
        <v>64</v>
      </c>
      <c r="FQ10" s="2" t="s">
        <v>9</v>
      </c>
      <c r="FR10" s="2" t="s">
        <v>17</v>
      </c>
      <c r="FS10" s="2" t="s">
        <v>17</v>
      </c>
      <c r="FT10" s="2" t="s">
        <v>9</v>
      </c>
      <c r="FU10" s="2">
        <v>0</v>
      </c>
      <c r="FV10" s="2">
        <v>0</v>
      </c>
      <c r="FW10" s="4">
        <v>0</v>
      </c>
      <c r="FX10" s="4">
        <v>0</v>
      </c>
      <c r="FY10" s="2" t="s">
        <v>65</v>
      </c>
      <c r="FZ10" s="2" t="s">
        <v>66</v>
      </c>
      <c r="GA10" s="2" t="s">
        <v>67</v>
      </c>
      <c r="GB10" s="2"/>
      <c r="GC10" s="2"/>
      <c r="GD10" s="2"/>
      <c r="GE10" s="2" t="s">
        <v>68</v>
      </c>
      <c r="GF10" s="2">
        <v>82</v>
      </c>
      <c r="GG10" s="2">
        <v>82</v>
      </c>
      <c r="GH10" s="2"/>
      <c r="GI10" s="2"/>
      <c r="GJ10" s="2"/>
      <c r="GK10" s="2"/>
      <c r="GL10" s="2"/>
      <c r="GM10" s="2"/>
      <c r="GN10" s="2"/>
      <c r="GO10" s="2"/>
      <c r="GP10" s="2"/>
      <c r="GQ10" s="2">
        <v>82</v>
      </c>
      <c r="GR10" s="2" t="s">
        <v>2802</v>
      </c>
      <c r="GS10" s="2" t="s">
        <v>2686</v>
      </c>
      <c r="GT10" s="2" t="s">
        <v>2886</v>
      </c>
      <c r="GU10" s="2" t="s">
        <v>2887</v>
      </c>
      <c r="GV10" s="2" t="s">
        <v>9</v>
      </c>
      <c r="GW10" s="2">
        <v>27.893927000000001</v>
      </c>
      <c r="GX10" s="2">
        <v>-82.810767999999996</v>
      </c>
      <c r="GY10" s="2" t="s">
        <v>2888</v>
      </c>
      <c r="GZ10" s="2" t="s">
        <v>9</v>
      </c>
      <c r="HA10" s="2">
        <v>3</v>
      </c>
      <c r="HB10" s="2" t="s">
        <v>17</v>
      </c>
      <c r="HC10" s="2"/>
      <c r="HD10" s="2">
        <v>0</v>
      </c>
      <c r="HE10" s="2">
        <v>27.891003999999999</v>
      </c>
      <c r="HF10" s="2">
        <v>-82.810032000000007</v>
      </c>
      <c r="HG10" s="2">
        <v>0.21</v>
      </c>
      <c r="HH10" s="2">
        <v>6</v>
      </c>
      <c r="HI10" s="2">
        <v>27.890895</v>
      </c>
      <c r="HJ10" s="2">
        <v>-82.809669999999997</v>
      </c>
      <c r="HK10" s="2">
        <v>0.22</v>
      </c>
      <c r="HL10" s="2">
        <v>27.891121999999999</v>
      </c>
      <c r="HM10" s="2">
        <v>-82.811355000000006</v>
      </c>
      <c r="HN10" s="2">
        <v>0.2</v>
      </c>
      <c r="HO10" s="2"/>
      <c r="HP10" s="2"/>
      <c r="HQ10" s="2"/>
      <c r="HR10" s="2"/>
      <c r="HS10" s="2"/>
      <c r="HT10" s="2"/>
      <c r="HU10" s="2"/>
      <c r="HV10" s="2"/>
      <c r="HW10" s="2" t="s">
        <v>73</v>
      </c>
      <c r="HX10" s="2" t="s">
        <v>549</v>
      </c>
      <c r="HY10" s="2" t="s">
        <v>2889</v>
      </c>
      <c r="HZ10" s="2">
        <v>1.01</v>
      </c>
      <c r="IA10" s="2">
        <v>2</v>
      </c>
      <c r="IB10" s="2"/>
      <c r="IC10" s="2"/>
      <c r="ID10" s="2"/>
      <c r="IE10" s="2"/>
      <c r="IF10" s="2" t="s">
        <v>549</v>
      </c>
      <c r="IG10" s="2" t="s">
        <v>2889</v>
      </c>
      <c r="IH10" s="2">
        <v>1.01</v>
      </c>
      <c r="II10" s="2">
        <v>2</v>
      </c>
      <c r="IJ10" s="2" t="s">
        <v>2890</v>
      </c>
      <c r="IK10" s="2" t="s">
        <v>2891</v>
      </c>
      <c r="IL10" s="2">
        <v>0.59</v>
      </c>
      <c r="IM10" s="2">
        <v>3.5</v>
      </c>
      <c r="IN10" s="2" t="s">
        <v>17</v>
      </c>
      <c r="IO10" s="2"/>
      <c r="IP10" s="2" t="s">
        <v>79</v>
      </c>
      <c r="IQ10" s="2">
        <v>6</v>
      </c>
      <c r="IR10" s="2">
        <v>7.5</v>
      </c>
      <c r="IS10" s="2">
        <v>3</v>
      </c>
      <c r="IT10" s="2">
        <v>16.5</v>
      </c>
      <c r="IU10" s="2" t="s">
        <v>17</v>
      </c>
      <c r="IV10" s="2" t="s">
        <v>17</v>
      </c>
      <c r="IW10" s="2" t="s">
        <v>17</v>
      </c>
      <c r="IX10" s="2" t="s">
        <v>9</v>
      </c>
      <c r="IY10" s="2">
        <v>13.5</v>
      </c>
      <c r="IZ10" s="2">
        <v>82</v>
      </c>
      <c r="JA10" s="2" t="s">
        <v>2809</v>
      </c>
      <c r="JB10" s="2" t="s">
        <v>82</v>
      </c>
      <c r="JC10" s="2"/>
      <c r="JD10" s="2"/>
      <c r="JE10" s="2"/>
      <c r="JF10" s="7">
        <v>0</v>
      </c>
      <c r="JG10" s="7"/>
      <c r="JH10" s="7"/>
      <c r="JI10" s="2">
        <v>0</v>
      </c>
      <c r="JJ10" s="7">
        <v>0</v>
      </c>
      <c r="JK10" s="2">
        <v>0</v>
      </c>
      <c r="JL10" s="7">
        <v>0</v>
      </c>
      <c r="JM10" s="2">
        <v>13</v>
      </c>
      <c r="JN10" s="2">
        <v>28</v>
      </c>
      <c r="JO10" s="2">
        <v>21</v>
      </c>
      <c r="JP10" s="2"/>
      <c r="JQ10" s="2">
        <v>20</v>
      </c>
      <c r="JR10" s="2">
        <v>0</v>
      </c>
      <c r="JS10" s="2">
        <v>0</v>
      </c>
      <c r="JT10" s="2"/>
      <c r="JU10" s="2"/>
      <c r="JV10" s="2">
        <v>82</v>
      </c>
      <c r="JW10" s="4">
        <v>1</v>
      </c>
      <c r="JX10" s="2">
        <v>82</v>
      </c>
      <c r="JY10" s="4">
        <v>0.56706999999999996</v>
      </c>
      <c r="JZ10" s="2">
        <v>0</v>
      </c>
      <c r="KA10" s="2"/>
      <c r="KB10" s="2"/>
      <c r="KC10" s="2"/>
      <c r="KD10" s="2"/>
      <c r="KE10" s="2"/>
      <c r="KF10" s="2"/>
      <c r="KG10" s="2"/>
      <c r="KH10" s="2">
        <v>28</v>
      </c>
      <c r="KI10" s="2"/>
      <c r="KJ10" s="2"/>
      <c r="KK10" s="2">
        <v>38</v>
      </c>
      <c r="KL10" s="2">
        <v>16</v>
      </c>
      <c r="KM10" s="2"/>
      <c r="KN10" s="2"/>
      <c r="KO10" s="2"/>
      <c r="KP10" s="2"/>
      <c r="KQ10" s="2" t="s">
        <v>83</v>
      </c>
      <c r="KR10" s="2" t="s">
        <v>73</v>
      </c>
      <c r="KS10" s="2"/>
      <c r="KT10" s="2">
        <v>10</v>
      </c>
      <c r="KU10" s="2" t="s">
        <v>84</v>
      </c>
      <c r="KV10" s="2" t="s">
        <v>85</v>
      </c>
      <c r="KW10" s="2" t="s">
        <v>86</v>
      </c>
      <c r="KX10" s="2" t="s">
        <v>17</v>
      </c>
      <c r="KY10" s="2" t="s">
        <v>17</v>
      </c>
      <c r="KZ10" s="2" t="s">
        <v>17</v>
      </c>
      <c r="LA10" s="2" t="s">
        <v>17</v>
      </c>
      <c r="LB10" s="2" t="s">
        <v>17</v>
      </c>
      <c r="LC10" s="2" t="s">
        <v>17</v>
      </c>
      <c r="LD10" s="2" t="s">
        <v>17</v>
      </c>
      <c r="LE10" s="2" t="s">
        <v>17</v>
      </c>
      <c r="LF10" s="2" t="s">
        <v>17</v>
      </c>
      <c r="LG10" s="2" t="s">
        <v>17</v>
      </c>
      <c r="LH10" s="2" t="s">
        <v>17</v>
      </c>
      <c r="LI10" s="2" t="s">
        <v>17</v>
      </c>
      <c r="LJ10" s="2" t="s">
        <v>87</v>
      </c>
      <c r="LK10" s="2" t="s">
        <v>17</v>
      </c>
      <c r="LL10" s="2" t="s">
        <v>17</v>
      </c>
      <c r="LM10" s="2">
        <v>0</v>
      </c>
      <c r="LN10" s="2" t="s">
        <v>17</v>
      </c>
      <c r="LO10" s="2" t="s">
        <v>17</v>
      </c>
      <c r="LP10" s="2" t="s">
        <v>9</v>
      </c>
      <c r="LQ10" s="2" t="s">
        <v>17</v>
      </c>
      <c r="LR10" s="2" t="s">
        <v>9</v>
      </c>
      <c r="LS10" s="2" t="s">
        <v>9</v>
      </c>
      <c r="LT10" s="2" t="s">
        <v>17</v>
      </c>
      <c r="LU10" s="2" t="s">
        <v>17</v>
      </c>
      <c r="LV10" s="2" t="s">
        <v>17</v>
      </c>
      <c r="LW10" s="2" t="s">
        <v>17</v>
      </c>
      <c r="LX10" s="2" t="s">
        <v>17</v>
      </c>
      <c r="LY10" s="5">
        <v>6500000</v>
      </c>
      <c r="LZ10" s="5">
        <v>0</v>
      </c>
      <c r="MA10" s="5">
        <v>8200000</v>
      </c>
      <c r="MB10" s="5">
        <v>0</v>
      </c>
      <c r="MC10" s="5">
        <v>0</v>
      </c>
      <c r="MD10" s="5">
        <v>0</v>
      </c>
      <c r="ME10" s="5">
        <v>8610000</v>
      </c>
      <c r="MF10" s="5">
        <v>0</v>
      </c>
      <c r="MG10" s="5">
        <v>0</v>
      </c>
      <c r="MH10" s="5">
        <v>0</v>
      </c>
      <c r="MI10" s="5">
        <v>0</v>
      </c>
      <c r="MJ10" s="5">
        <v>0</v>
      </c>
      <c r="MK10" s="5">
        <v>0</v>
      </c>
      <c r="ML10" s="2">
        <v>0</v>
      </c>
      <c r="MM10" s="5">
        <v>0</v>
      </c>
      <c r="MN10" s="5">
        <v>0</v>
      </c>
      <c r="MO10" s="2">
        <v>0</v>
      </c>
      <c r="MP10" s="2">
        <v>0</v>
      </c>
      <c r="MQ10" s="2">
        <v>0</v>
      </c>
      <c r="MR10" s="5">
        <v>2950000</v>
      </c>
      <c r="MS10" s="5">
        <v>0</v>
      </c>
      <c r="MT10" s="5">
        <v>4600000</v>
      </c>
      <c r="MU10" s="5">
        <v>0</v>
      </c>
      <c r="MV10" s="5">
        <v>0</v>
      </c>
      <c r="MW10" s="5">
        <v>0</v>
      </c>
      <c r="MX10" s="5">
        <v>0</v>
      </c>
      <c r="MY10" s="5">
        <v>2500000</v>
      </c>
      <c r="MZ10" s="5">
        <v>0</v>
      </c>
      <c r="NA10" s="5">
        <v>5000000</v>
      </c>
      <c r="NB10" s="5">
        <v>0</v>
      </c>
      <c r="NC10" s="5">
        <v>0</v>
      </c>
      <c r="ND10" s="5">
        <v>0</v>
      </c>
      <c r="NE10" s="5">
        <v>0</v>
      </c>
      <c r="NF10" s="5">
        <v>0</v>
      </c>
      <c r="NG10" s="5">
        <v>2353680</v>
      </c>
      <c r="NH10" s="5">
        <v>2353680</v>
      </c>
      <c r="NI10" s="5">
        <v>2353680</v>
      </c>
      <c r="NJ10" s="2" t="s">
        <v>17</v>
      </c>
      <c r="NK10" s="2"/>
      <c r="NL10" s="2"/>
      <c r="NM10" s="2" t="s">
        <v>17</v>
      </c>
      <c r="NN10" s="2"/>
      <c r="NO10" s="2" t="s">
        <v>17</v>
      </c>
      <c r="NP10" s="2"/>
      <c r="NQ10" s="2"/>
      <c r="NR10" s="2" t="s">
        <v>17</v>
      </c>
      <c r="NS10" s="2"/>
      <c r="NT10" s="2" t="s">
        <v>17</v>
      </c>
      <c r="NU10" s="2"/>
      <c r="NV10" s="2"/>
      <c r="NW10" s="2"/>
      <c r="NX10" s="2" t="s">
        <v>17</v>
      </c>
      <c r="NY10" s="2"/>
      <c r="NZ10" s="2"/>
      <c r="OA10" s="2" t="s">
        <v>118</v>
      </c>
      <c r="OB10" s="2" t="s">
        <v>118</v>
      </c>
      <c r="OC10" s="2" t="s">
        <v>118</v>
      </c>
      <c r="OD10" s="2" t="s">
        <v>17</v>
      </c>
      <c r="OE10" s="2" t="s">
        <v>91</v>
      </c>
      <c r="OF10" s="2" t="s">
        <v>17</v>
      </c>
      <c r="OG10" s="2"/>
      <c r="OH10" s="2" t="s">
        <v>17</v>
      </c>
      <c r="OI10" s="2" t="s">
        <v>17</v>
      </c>
      <c r="OJ10" s="2" t="s">
        <v>85</v>
      </c>
      <c r="OK10" s="6">
        <v>0</v>
      </c>
      <c r="OL10" s="6">
        <v>0</v>
      </c>
      <c r="OM10" s="2" t="s">
        <v>93</v>
      </c>
      <c r="ON10" s="2" t="s">
        <v>93</v>
      </c>
      <c r="OO10" s="6">
        <v>0</v>
      </c>
      <c r="OP10" s="6">
        <v>0</v>
      </c>
      <c r="OQ10" s="4">
        <v>0</v>
      </c>
      <c r="OR10" s="6">
        <v>0</v>
      </c>
      <c r="OS10" s="4">
        <v>0</v>
      </c>
      <c r="OT10" s="2" t="s">
        <v>9</v>
      </c>
      <c r="OU10" s="2" t="s">
        <v>9</v>
      </c>
      <c r="OV10" s="2" t="s">
        <v>2865</v>
      </c>
      <c r="OW10" s="2"/>
      <c r="OX10" s="5">
        <v>15768121</v>
      </c>
      <c r="OY10" s="6">
        <v>192294.16</v>
      </c>
      <c r="OZ10" s="8">
        <v>300000</v>
      </c>
      <c r="PA10" s="8">
        <v>300000</v>
      </c>
      <c r="PB10" s="2"/>
      <c r="PC10" s="2"/>
      <c r="PD10" s="8">
        <v>13838526</v>
      </c>
      <c r="PE10" s="2"/>
      <c r="PF10" s="8">
        <v>13838526</v>
      </c>
      <c r="PG10" s="8">
        <v>1912410</v>
      </c>
      <c r="PH10" s="8">
        <v>755319</v>
      </c>
      <c r="PI10" s="8">
        <v>2667729</v>
      </c>
      <c r="PJ10" s="2"/>
      <c r="PK10" s="2"/>
      <c r="PL10" s="2"/>
      <c r="PM10" s="8">
        <v>15750936</v>
      </c>
      <c r="PN10" s="8">
        <v>1055319</v>
      </c>
      <c r="PO10" s="8">
        <v>16806255</v>
      </c>
      <c r="PP10" s="8">
        <v>2291755</v>
      </c>
      <c r="PQ10" s="2"/>
      <c r="PR10" s="8">
        <v>2291755</v>
      </c>
      <c r="PS10" s="6">
        <v>2352875</v>
      </c>
      <c r="PT10" s="8">
        <v>18042691</v>
      </c>
      <c r="PU10" s="8">
        <v>1055319</v>
      </c>
      <c r="PV10" s="8">
        <v>19098010</v>
      </c>
      <c r="PW10" s="8">
        <v>950651</v>
      </c>
      <c r="PX10" s="2"/>
      <c r="PY10" s="8">
        <v>950651</v>
      </c>
      <c r="PZ10" s="6">
        <v>954900.5</v>
      </c>
      <c r="QA10" s="8">
        <v>902000</v>
      </c>
      <c r="QB10" s="8">
        <v>40000</v>
      </c>
      <c r="QC10" s="8">
        <v>942000</v>
      </c>
      <c r="QD10" s="8">
        <v>250000</v>
      </c>
      <c r="QE10" s="2"/>
      <c r="QF10" s="8">
        <v>250000</v>
      </c>
      <c r="QG10" s="8">
        <v>460000</v>
      </c>
      <c r="QH10" s="2"/>
      <c r="QI10" s="8">
        <v>460000</v>
      </c>
      <c r="QJ10" s="2"/>
      <c r="QK10" s="8">
        <v>460831</v>
      </c>
      <c r="QL10" s="8">
        <v>460831</v>
      </c>
      <c r="QM10" s="8">
        <v>400000</v>
      </c>
      <c r="QN10" s="8">
        <v>100000</v>
      </c>
      <c r="QO10" s="8">
        <v>500000</v>
      </c>
      <c r="QP10" s="2"/>
      <c r="QQ10" s="8">
        <v>75000</v>
      </c>
      <c r="QR10" s="8">
        <v>75000</v>
      </c>
      <c r="QS10" s="8">
        <v>2012000</v>
      </c>
      <c r="QT10" s="8">
        <v>675831</v>
      </c>
      <c r="QU10" s="8">
        <v>2687831</v>
      </c>
      <c r="QV10" s="8">
        <v>112142</v>
      </c>
      <c r="QW10" s="2"/>
      <c r="QX10" s="8">
        <v>112142</v>
      </c>
      <c r="QY10" s="6">
        <v>134391.54999999999</v>
      </c>
      <c r="QZ10" s="8">
        <v>2080000</v>
      </c>
      <c r="RA10" s="8">
        <v>430000</v>
      </c>
      <c r="RB10" s="8">
        <v>2510000</v>
      </c>
      <c r="RC10" s="8">
        <v>410700</v>
      </c>
      <c r="RD10" s="8">
        <v>410700</v>
      </c>
      <c r="RE10" s="2"/>
      <c r="RF10" s="2"/>
      <c r="RG10" s="2"/>
      <c r="RH10" s="8">
        <v>2080000</v>
      </c>
      <c r="RI10" s="8">
        <v>840700</v>
      </c>
      <c r="RJ10" s="8">
        <v>2920700</v>
      </c>
      <c r="RK10" s="2"/>
      <c r="RL10" s="2"/>
      <c r="RM10" s="8">
        <v>23197484</v>
      </c>
      <c r="RN10" s="8">
        <v>2571850</v>
      </c>
      <c r="RO10" s="8">
        <v>25769334</v>
      </c>
      <c r="RP10" s="2">
        <v>0</v>
      </c>
      <c r="RQ10" s="6">
        <v>0</v>
      </c>
      <c r="RR10" s="8">
        <v>4075461</v>
      </c>
      <c r="RS10" s="2"/>
      <c r="RT10" s="8">
        <v>4075461</v>
      </c>
      <c r="RU10" s="6">
        <v>4123093</v>
      </c>
      <c r="RV10" s="6">
        <v>0</v>
      </c>
      <c r="RW10" s="8">
        <v>4075461</v>
      </c>
      <c r="RX10" s="2"/>
      <c r="RY10" s="8">
        <v>4075461</v>
      </c>
      <c r="RZ10" s="6">
        <v>4123093</v>
      </c>
      <c r="SA10" s="8">
        <v>287000</v>
      </c>
      <c r="SB10" s="8">
        <v>287000</v>
      </c>
      <c r="SC10" s="6">
        <v>287000</v>
      </c>
      <c r="SD10" s="8">
        <v>2000000</v>
      </c>
      <c r="SE10" s="8">
        <v>2000000</v>
      </c>
      <c r="SF10" s="8">
        <v>27272945</v>
      </c>
      <c r="SG10" s="8">
        <v>4858850</v>
      </c>
      <c r="SH10" s="8">
        <v>32131795</v>
      </c>
      <c r="SI10" s="2" t="s">
        <v>2892</v>
      </c>
      <c r="SJ10" s="2"/>
      <c r="SK10" s="2" t="s">
        <v>2893</v>
      </c>
      <c r="SL10" s="2"/>
      <c r="SM10" s="8">
        <v>25000000</v>
      </c>
      <c r="SN10" s="2" t="s">
        <v>95</v>
      </c>
      <c r="SO10" s="8">
        <v>2000000</v>
      </c>
      <c r="SP10" s="2" t="s">
        <v>413</v>
      </c>
      <c r="SQ10" s="8">
        <v>75000</v>
      </c>
      <c r="SR10" s="2" t="s">
        <v>180</v>
      </c>
      <c r="SS10" s="2" t="s">
        <v>96</v>
      </c>
      <c r="ST10" s="2" t="s">
        <v>96</v>
      </c>
      <c r="SU10" s="2" t="s">
        <v>96</v>
      </c>
      <c r="SV10" s="2" t="s">
        <v>96</v>
      </c>
      <c r="SW10" s="8">
        <v>3318358</v>
      </c>
      <c r="SX10" s="2"/>
      <c r="SY10" s="2"/>
      <c r="SZ10" s="2"/>
      <c r="TA10" s="8">
        <v>1738437</v>
      </c>
      <c r="TB10" s="8">
        <v>32131795</v>
      </c>
      <c r="TC10" s="2">
        <v>0</v>
      </c>
      <c r="TD10" s="2" t="s">
        <v>9</v>
      </c>
      <c r="TE10" s="8">
        <v>7200000</v>
      </c>
      <c r="TF10" s="2" t="s">
        <v>95</v>
      </c>
      <c r="TG10" s="8">
        <v>2000000</v>
      </c>
      <c r="TH10" s="2" t="s">
        <v>413</v>
      </c>
      <c r="TI10" s="8">
        <v>75000</v>
      </c>
      <c r="TJ10" s="2" t="s">
        <v>180</v>
      </c>
      <c r="TK10" s="2" t="s">
        <v>96</v>
      </c>
      <c r="TL10" s="2" t="s">
        <v>96</v>
      </c>
      <c r="TM10" s="2" t="s">
        <v>96</v>
      </c>
      <c r="TN10" s="2" t="s">
        <v>96</v>
      </c>
      <c r="TO10" s="8">
        <v>22122380</v>
      </c>
      <c r="TP10" s="2"/>
      <c r="TQ10" s="2"/>
      <c r="TR10" s="2"/>
      <c r="TS10" s="8">
        <v>734415</v>
      </c>
      <c r="TT10" s="8">
        <v>32131795</v>
      </c>
      <c r="TU10" s="6">
        <v>9275000</v>
      </c>
      <c r="TV10" s="2">
        <v>0</v>
      </c>
      <c r="TW10" s="2" t="s">
        <v>9</v>
      </c>
      <c r="TX10" s="2">
        <v>82</v>
      </c>
      <c r="TY10" s="5">
        <v>240000</v>
      </c>
      <c r="TZ10" s="6">
        <v>320000</v>
      </c>
      <c r="UA10" s="6">
        <v>327500</v>
      </c>
      <c r="UB10" s="6">
        <v>347150</v>
      </c>
      <c r="UC10" s="6">
        <v>28466300</v>
      </c>
      <c r="UD10" s="6">
        <v>4554608</v>
      </c>
      <c r="UE10" s="2" t="s">
        <v>97</v>
      </c>
      <c r="UF10" s="6">
        <v>4554608</v>
      </c>
      <c r="UG10" s="6">
        <v>33020908</v>
      </c>
      <c r="UH10" s="6">
        <v>29044795</v>
      </c>
      <c r="UI10" s="4">
        <v>0.99990000000000001</v>
      </c>
      <c r="UJ10" s="2" t="s">
        <v>9</v>
      </c>
      <c r="UK10" s="6">
        <v>75000</v>
      </c>
      <c r="UL10" s="2" t="s">
        <v>794</v>
      </c>
      <c r="UM10" s="6">
        <v>75000</v>
      </c>
      <c r="UN10" s="2"/>
      <c r="UO10" s="6">
        <v>0</v>
      </c>
      <c r="UP10" s="2"/>
      <c r="UQ10" s="6">
        <v>0</v>
      </c>
      <c r="UR10" s="6">
        <v>0</v>
      </c>
      <c r="US10" s="6">
        <v>75000</v>
      </c>
      <c r="UT10" s="6">
        <v>0</v>
      </c>
      <c r="UU10" s="6">
        <v>75000</v>
      </c>
      <c r="UV10" s="2" t="s">
        <v>2813</v>
      </c>
      <c r="UW10" s="2" t="s">
        <v>182</v>
      </c>
      <c r="UX10" s="2" t="s">
        <v>17</v>
      </c>
      <c r="UY10" s="2" t="s">
        <v>17</v>
      </c>
      <c r="UZ10" s="2" t="s">
        <v>17</v>
      </c>
      <c r="VA10" s="2" t="s">
        <v>17</v>
      </c>
      <c r="VB10" s="2" t="s">
        <v>2894</v>
      </c>
      <c r="VC10" s="2" t="s">
        <v>17</v>
      </c>
      <c r="VD10" s="2" t="s">
        <v>17</v>
      </c>
      <c r="VE10" s="2" t="s">
        <v>17</v>
      </c>
      <c r="VF10" s="2"/>
      <c r="VG10" s="2" t="s">
        <v>2895</v>
      </c>
      <c r="VH10" s="2"/>
      <c r="VI10" s="388" t="s">
        <v>832</v>
      </c>
      <c r="VJ10" s="2" t="s">
        <v>98</v>
      </c>
      <c r="VK10" s="2" t="s">
        <v>1247</v>
      </c>
      <c r="VL10" s="23">
        <f t="shared" si="0"/>
        <v>152</v>
      </c>
      <c r="VM10" s="17">
        <f t="shared" si="1"/>
        <v>1.8536585365853659</v>
      </c>
      <c r="VN10" s="17" t="str">
        <f t="shared" si="2"/>
        <v>NC-GA-F</v>
      </c>
      <c r="VO10" s="17" t="str">
        <f t="shared" si="14"/>
        <v>NC-GA-F-ESS</v>
      </c>
      <c r="VP10" s="12">
        <v>9</v>
      </c>
      <c r="VQ10" s="57">
        <v>1</v>
      </c>
      <c r="VR10" s="14">
        <f t="shared" si="3"/>
        <v>1</v>
      </c>
      <c r="VS10" s="14">
        <f t="shared" si="4"/>
        <v>0.97</v>
      </c>
      <c r="VT10" s="12">
        <f t="shared" si="5"/>
        <v>0.93</v>
      </c>
      <c r="VU10" s="29">
        <f t="shared" si="6"/>
        <v>19109292.552000001</v>
      </c>
      <c r="VV10" s="29">
        <f t="shared" si="7"/>
        <v>233040.15307317075</v>
      </c>
      <c r="VW10" s="12" t="str">
        <f t="shared" si="15"/>
        <v>A</v>
      </c>
      <c r="VX10" s="12" t="str">
        <f t="shared" si="8"/>
        <v>NC-GA-ESS</v>
      </c>
      <c r="VY10" s="351">
        <f t="shared" si="16"/>
        <v>2</v>
      </c>
      <c r="VZ10" s="12"/>
      <c r="WA10" s="12">
        <f t="shared" si="17"/>
        <v>0</v>
      </c>
      <c r="WB10" s="12">
        <f t="shared" si="18"/>
        <v>0</v>
      </c>
      <c r="WC10" s="12">
        <f t="shared" si="19"/>
        <v>0</v>
      </c>
      <c r="WD10" s="12">
        <f t="shared" si="20"/>
        <v>1</v>
      </c>
      <c r="WE10" s="12">
        <f t="shared" si="21"/>
        <v>1</v>
      </c>
      <c r="WF10" s="12">
        <f t="shared" si="9"/>
        <v>1</v>
      </c>
      <c r="WG10" s="12">
        <f t="shared" si="10"/>
        <v>0</v>
      </c>
      <c r="WH10" s="12">
        <f t="shared" si="11"/>
        <v>0</v>
      </c>
      <c r="WI10" s="31">
        <f t="shared" si="12"/>
        <v>3</v>
      </c>
      <c r="WJ10" s="2"/>
      <c r="WK10" s="444" t="str">
        <f t="shared" si="13"/>
        <v>NC-GA-ESS-BBN-BRN-PHA-F</v>
      </c>
      <c r="WL10" s="444"/>
      <c r="WM10" s="444"/>
      <c r="WN10" s="12"/>
      <c r="WO10" s="381" t="s">
        <v>4945</v>
      </c>
      <c r="WP10" s="206">
        <f>COUNTIF($WA$2:$WA$72,"=1")</f>
        <v>12</v>
      </c>
      <c r="WQ10" s="204">
        <f>COUNTIF($WB$2:$WB$72,"=1")</f>
        <v>0</v>
      </c>
      <c r="WR10" s="204">
        <f>COUNTIF($WC$2:$WC$72,"=1")</f>
        <v>8</v>
      </c>
      <c r="WS10" s="204">
        <f>COUNTIF($WD$2:$WD$72,"=1")</f>
        <v>7</v>
      </c>
      <c r="WT10" s="204">
        <f>COUNTIF($WF$2:$WF$72,"=1")</f>
        <v>9</v>
      </c>
      <c r="WU10" s="204">
        <f>COUNTIF($WG$2:$WG$72,"=1")</f>
        <v>14</v>
      </c>
      <c r="WV10" s="204">
        <f>COUNTIF($WH$2:$WH$72,"=1")</f>
        <v>6</v>
      </c>
      <c r="WW10" s="208">
        <f>COUNTIF($WE$2:$WE$72,"=1")</f>
        <v>27</v>
      </c>
      <c r="WX10" s="385"/>
    </row>
    <row r="11" spans="1:622" x14ac:dyDescent="0.25">
      <c r="A11" s="2">
        <v>9614</v>
      </c>
      <c r="B11" s="2" t="s">
        <v>2896</v>
      </c>
      <c r="C11" s="2" t="s">
        <v>2652</v>
      </c>
      <c r="D11" s="3">
        <v>45152</v>
      </c>
      <c r="E11" s="2" t="s">
        <v>9</v>
      </c>
      <c r="F11" s="2">
        <v>3</v>
      </c>
      <c r="G11" s="2" t="s">
        <v>9</v>
      </c>
      <c r="H11" s="2">
        <v>3</v>
      </c>
      <c r="I11" s="2" t="s">
        <v>9</v>
      </c>
      <c r="J11" s="2">
        <v>2</v>
      </c>
      <c r="K11" s="2" t="s">
        <v>9</v>
      </c>
      <c r="L11" s="2">
        <v>3</v>
      </c>
      <c r="M11" s="2" t="s">
        <v>10</v>
      </c>
      <c r="N11" s="2">
        <v>0</v>
      </c>
      <c r="O11" s="2" t="s">
        <v>10</v>
      </c>
      <c r="P11" s="2">
        <v>0</v>
      </c>
      <c r="Q11" s="2" t="s">
        <v>11</v>
      </c>
      <c r="R11" s="2">
        <v>0</v>
      </c>
      <c r="S11" s="2" t="s">
        <v>9</v>
      </c>
      <c r="T11" s="2">
        <v>2</v>
      </c>
      <c r="U11" s="2" t="s">
        <v>9</v>
      </c>
      <c r="V11" s="2">
        <v>2</v>
      </c>
      <c r="W11" s="2" t="s">
        <v>9</v>
      </c>
      <c r="X11" s="2">
        <v>2</v>
      </c>
      <c r="Y11" s="2" t="s">
        <v>12</v>
      </c>
      <c r="Z11" s="2" t="s">
        <v>15</v>
      </c>
      <c r="AA11" s="2" t="s">
        <v>15</v>
      </c>
      <c r="AB11" s="2" t="s">
        <v>15</v>
      </c>
      <c r="AC11" s="2" t="s">
        <v>15</v>
      </c>
      <c r="AD11" s="2" t="s">
        <v>2843</v>
      </c>
      <c r="AE11" s="2" t="s">
        <v>15</v>
      </c>
      <c r="AF11" s="2">
        <v>0</v>
      </c>
      <c r="AG11" s="2" t="s">
        <v>234</v>
      </c>
      <c r="AH11" s="2" t="s">
        <v>17</v>
      </c>
      <c r="AI11" s="4">
        <v>0.15</v>
      </c>
      <c r="AJ11" s="2" t="s">
        <v>17</v>
      </c>
      <c r="AK11" s="2" t="s">
        <v>9</v>
      </c>
      <c r="AL11" s="2" t="s">
        <v>17</v>
      </c>
      <c r="AM11" s="2" t="s">
        <v>17</v>
      </c>
      <c r="AN11" s="2" t="s">
        <v>17</v>
      </c>
      <c r="AO11" s="2" t="s">
        <v>9</v>
      </c>
      <c r="AP11" s="2" t="s">
        <v>17</v>
      </c>
      <c r="AQ11" s="2" t="s">
        <v>17</v>
      </c>
      <c r="AR11" s="2" t="s">
        <v>17</v>
      </c>
      <c r="AS11" s="2" t="s">
        <v>17</v>
      </c>
      <c r="AT11" s="2">
        <v>5</v>
      </c>
      <c r="AU11" s="5">
        <v>75000</v>
      </c>
      <c r="AV11" s="5">
        <v>610000</v>
      </c>
      <c r="AW11" s="2">
        <v>0</v>
      </c>
      <c r="AX11" s="2">
        <v>11</v>
      </c>
      <c r="AY11" s="2">
        <v>0</v>
      </c>
      <c r="AZ11" s="2">
        <v>18</v>
      </c>
      <c r="BA11" s="2">
        <v>0</v>
      </c>
      <c r="BB11" s="2">
        <v>0</v>
      </c>
      <c r="BC11" s="2">
        <v>1</v>
      </c>
      <c r="BD11" s="2">
        <v>5</v>
      </c>
      <c r="BE11" s="2">
        <v>0</v>
      </c>
      <c r="BF11" s="2">
        <v>1</v>
      </c>
      <c r="BG11" s="2">
        <v>0</v>
      </c>
      <c r="BH11" s="2">
        <v>0</v>
      </c>
      <c r="BI11" s="2">
        <v>13</v>
      </c>
      <c r="BJ11" s="2">
        <v>1</v>
      </c>
      <c r="BK11" s="2">
        <v>0</v>
      </c>
      <c r="BL11" s="2">
        <v>2</v>
      </c>
      <c r="BM11" s="2">
        <v>0</v>
      </c>
      <c r="BN11" s="2">
        <v>10</v>
      </c>
      <c r="BO11" s="2">
        <v>11</v>
      </c>
      <c r="BP11" s="2">
        <v>0</v>
      </c>
      <c r="BQ11" s="2">
        <v>10</v>
      </c>
      <c r="BR11" s="2">
        <v>11.12</v>
      </c>
      <c r="BS11" s="2">
        <v>0</v>
      </c>
      <c r="BT11" s="4">
        <v>0.06</v>
      </c>
      <c r="BU11" s="2" t="s">
        <v>9</v>
      </c>
      <c r="BV11" s="6">
        <v>195811.47</v>
      </c>
      <c r="BW11" s="2" t="s">
        <v>126</v>
      </c>
      <c r="BX11" s="2" t="s">
        <v>17</v>
      </c>
      <c r="BY11" s="2" t="s">
        <v>17</v>
      </c>
      <c r="BZ11" s="2" t="s">
        <v>17</v>
      </c>
      <c r="CA11" s="2" t="s">
        <v>17</v>
      </c>
      <c r="CB11" s="2" t="s">
        <v>17</v>
      </c>
      <c r="CC11" s="2" t="s">
        <v>17</v>
      </c>
      <c r="CD11" s="2" t="s">
        <v>17</v>
      </c>
      <c r="CE11" s="2" t="s">
        <v>2897</v>
      </c>
      <c r="CF11" s="2" t="s">
        <v>17</v>
      </c>
      <c r="CG11" s="2" t="s">
        <v>2898</v>
      </c>
      <c r="CH11" s="2"/>
      <c r="CI11" s="2"/>
      <c r="CJ11" s="2" t="s">
        <v>9</v>
      </c>
      <c r="CK11" s="2" t="s">
        <v>1523</v>
      </c>
      <c r="CL11" s="2" t="s">
        <v>2898</v>
      </c>
      <c r="CM11" s="2" t="s">
        <v>2747</v>
      </c>
      <c r="CN11" s="2" t="s">
        <v>1243</v>
      </c>
      <c r="CO11" s="2" t="s">
        <v>24</v>
      </c>
      <c r="CP11" s="2"/>
      <c r="CQ11" s="2">
        <v>192</v>
      </c>
      <c r="CR11" s="2" t="s">
        <v>375</v>
      </c>
      <c r="CS11" s="2">
        <v>2021</v>
      </c>
      <c r="CT11" s="2" t="s">
        <v>26</v>
      </c>
      <c r="CU11" s="2" t="s">
        <v>27</v>
      </c>
      <c r="CV11" s="2" t="s">
        <v>1276</v>
      </c>
      <c r="CW11" s="2" t="s">
        <v>1277</v>
      </c>
      <c r="CX11" s="2" t="s">
        <v>24</v>
      </c>
      <c r="CY11" s="2"/>
      <c r="CZ11" s="2">
        <v>144</v>
      </c>
      <c r="DA11" s="2" t="s">
        <v>375</v>
      </c>
      <c r="DB11" s="2">
        <v>2020</v>
      </c>
      <c r="DC11" s="2" t="s">
        <v>30</v>
      </c>
      <c r="DD11" s="2" t="s">
        <v>27</v>
      </c>
      <c r="DE11" s="2" t="s">
        <v>1278</v>
      </c>
      <c r="DF11" s="2" t="s">
        <v>1279</v>
      </c>
      <c r="DG11" s="2" t="s">
        <v>853</v>
      </c>
      <c r="DH11" s="2"/>
      <c r="DI11" s="2">
        <v>404</v>
      </c>
      <c r="DJ11" s="2" t="s">
        <v>375</v>
      </c>
      <c r="DK11" s="2">
        <v>2018</v>
      </c>
      <c r="DL11" s="2" t="s">
        <v>26</v>
      </c>
      <c r="DM11" s="2" t="s">
        <v>27</v>
      </c>
      <c r="DN11" s="2" t="s">
        <v>2663</v>
      </c>
      <c r="DO11" s="2" t="s">
        <v>1282</v>
      </c>
      <c r="DP11" s="2"/>
      <c r="DQ11" s="2" t="s">
        <v>1283</v>
      </c>
      <c r="DR11" s="2" t="s">
        <v>1284</v>
      </c>
      <c r="DS11" s="2">
        <v>1</v>
      </c>
      <c r="DT11" s="2" t="s">
        <v>2899</v>
      </c>
      <c r="DU11" s="2" t="s">
        <v>1286</v>
      </c>
      <c r="DV11" s="2" t="s">
        <v>39</v>
      </c>
      <c r="DW11" s="2">
        <v>33511</v>
      </c>
      <c r="DX11" s="2" t="s">
        <v>2900</v>
      </c>
      <c r="DY11" s="2"/>
      <c r="DZ11" s="2" t="s">
        <v>2901</v>
      </c>
      <c r="EA11" s="2" t="s">
        <v>1284</v>
      </c>
      <c r="EB11" s="2" t="s">
        <v>2747</v>
      </c>
      <c r="EC11" s="2" t="s">
        <v>1243</v>
      </c>
      <c r="ED11" s="2" t="s">
        <v>44</v>
      </c>
      <c r="EE11" s="2">
        <v>192</v>
      </c>
      <c r="EF11" s="2" t="s">
        <v>390</v>
      </c>
      <c r="EG11" s="2">
        <v>7</v>
      </c>
      <c r="EH11" s="2" t="s">
        <v>46</v>
      </c>
      <c r="EI11" s="2" t="s">
        <v>47</v>
      </c>
      <c r="EJ11" s="2" t="s">
        <v>2902</v>
      </c>
      <c r="EK11" s="2" t="s">
        <v>1243</v>
      </c>
      <c r="EL11" s="2" t="s">
        <v>44</v>
      </c>
      <c r="EM11" s="2">
        <v>168</v>
      </c>
      <c r="EN11" s="2" t="s">
        <v>390</v>
      </c>
      <c r="EO11" s="2">
        <v>4</v>
      </c>
      <c r="EP11" s="2" t="s">
        <v>46</v>
      </c>
      <c r="EQ11" s="2" t="s">
        <v>47</v>
      </c>
      <c r="ER11" s="2" t="s">
        <v>1293</v>
      </c>
      <c r="ES11" s="2"/>
      <c r="ET11" s="2" t="s">
        <v>1294</v>
      </c>
      <c r="EU11" s="2" t="s">
        <v>2903</v>
      </c>
      <c r="EV11" s="2" t="s">
        <v>1801</v>
      </c>
      <c r="EW11" s="2" t="s">
        <v>1297</v>
      </c>
      <c r="EX11" s="2" t="s">
        <v>39</v>
      </c>
      <c r="EY11" s="2">
        <v>33444</v>
      </c>
      <c r="EZ11" s="2" t="s">
        <v>2760</v>
      </c>
      <c r="FA11" s="2"/>
      <c r="FB11" s="2" t="s">
        <v>1299</v>
      </c>
      <c r="FC11" s="2" t="s">
        <v>50</v>
      </c>
      <c r="FD11" s="2"/>
      <c r="FE11" s="2" t="s">
        <v>2761</v>
      </c>
      <c r="FF11" s="2" t="s">
        <v>2762</v>
      </c>
      <c r="FG11" s="2" t="s">
        <v>1801</v>
      </c>
      <c r="FH11" s="2" t="s">
        <v>1297</v>
      </c>
      <c r="FI11" s="2" t="s">
        <v>39</v>
      </c>
      <c r="FJ11" s="2">
        <v>33444</v>
      </c>
      <c r="FK11" s="2" t="s">
        <v>2763</v>
      </c>
      <c r="FL11" s="2"/>
      <c r="FM11" s="2" t="s">
        <v>2764</v>
      </c>
      <c r="FN11" s="2" t="s">
        <v>2904</v>
      </c>
      <c r="FO11" s="2" t="s">
        <v>63</v>
      </c>
      <c r="FP11" s="2" t="s">
        <v>64</v>
      </c>
      <c r="FQ11" s="2" t="s">
        <v>9</v>
      </c>
      <c r="FR11" s="2" t="s">
        <v>17</v>
      </c>
      <c r="FS11" s="2" t="s">
        <v>17</v>
      </c>
      <c r="FT11" s="2" t="s">
        <v>9</v>
      </c>
      <c r="FU11" s="2">
        <v>0</v>
      </c>
      <c r="FV11" s="2">
        <v>0</v>
      </c>
      <c r="FW11" s="4">
        <v>0</v>
      </c>
      <c r="FX11" s="4">
        <v>0</v>
      </c>
      <c r="FY11" s="2" t="s">
        <v>65</v>
      </c>
      <c r="FZ11" s="2" t="s">
        <v>66</v>
      </c>
      <c r="GA11" s="2" t="s">
        <v>67</v>
      </c>
      <c r="GB11" s="2"/>
      <c r="GC11" s="2"/>
      <c r="GD11" s="2"/>
      <c r="GE11" s="2" t="s">
        <v>1612</v>
      </c>
      <c r="GF11" s="2"/>
      <c r="GG11" s="2"/>
      <c r="GH11" s="2"/>
      <c r="GI11" s="2">
        <v>80</v>
      </c>
      <c r="GJ11" s="2"/>
      <c r="GK11" s="2"/>
      <c r="GL11" s="2"/>
      <c r="GM11" s="2"/>
      <c r="GN11" s="2"/>
      <c r="GO11" s="2"/>
      <c r="GP11" s="2"/>
      <c r="GQ11" s="2">
        <v>80</v>
      </c>
      <c r="GR11" s="2" t="s">
        <v>2873</v>
      </c>
      <c r="GS11" s="2" t="s">
        <v>2686</v>
      </c>
      <c r="GT11" s="2" t="s">
        <v>2905</v>
      </c>
      <c r="GU11" s="2" t="s">
        <v>479</v>
      </c>
      <c r="GV11" s="2" t="s">
        <v>17</v>
      </c>
      <c r="GW11" s="2">
        <v>30.331182999999999</v>
      </c>
      <c r="GX11" s="2">
        <v>-81.653108000000003</v>
      </c>
      <c r="GY11" s="2"/>
      <c r="GZ11" s="2" t="s">
        <v>17</v>
      </c>
      <c r="HA11" s="2">
        <v>0</v>
      </c>
      <c r="HB11" s="2" t="s">
        <v>17</v>
      </c>
      <c r="HC11" s="2" t="s">
        <v>17</v>
      </c>
      <c r="HD11" s="2">
        <v>0</v>
      </c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>
        <v>30.333480999999999</v>
      </c>
      <c r="HP11" s="2">
        <v>-81.658716999999996</v>
      </c>
      <c r="HQ11" s="2">
        <v>0.34</v>
      </c>
      <c r="HR11" s="2">
        <v>5.5</v>
      </c>
      <c r="HS11" s="2"/>
      <c r="HT11" s="2"/>
      <c r="HU11" s="2"/>
      <c r="HV11" s="2"/>
      <c r="HW11" s="2" t="s">
        <v>73</v>
      </c>
      <c r="HX11" s="2" t="s">
        <v>1069</v>
      </c>
      <c r="HY11" s="2" t="s">
        <v>2906</v>
      </c>
      <c r="HZ11" s="2">
        <v>7.0000000000000007E-2</v>
      </c>
      <c r="IA11" s="2">
        <v>4</v>
      </c>
      <c r="IB11" s="2"/>
      <c r="IC11" s="2"/>
      <c r="ID11" s="2"/>
      <c r="IE11" s="2"/>
      <c r="IF11" s="2" t="s">
        <v>2907</v>
      </c>
      <c r="IG11" s="2" t="s">
        <v>2906</v>
      </c>
      <c r="IH11" s="2">
        <v>7.0000000000000007E-2</v>
      </c>
      <c r="II11" s="2">
        <v>4</v>
      </c>
      <c r="IJ11" s="2" t="s">
        <v>2908</v>
      </c>
      <c r="IK11" s="2" t="s">
        <v>2909</v>
      </c>
      <c r="IL11" s="2">
        <v>1.18</v>
      </c>
      <c r="IM11" s="2">
        <v>2.5</v>
      </c>
      <c r="IN11" s="2" t="s">
        <v>17</v>
      </c>
      <c r="IO11" s="2"/>
      <c r="IP11" s="2" t="s">
        <v>79</v>
      </c>
      <c r="IQ11" s="2">
        <v>5.5</v>
      </c>
      <c r="IR11" s="2">
        <v>10.5</v>
      </c>
      <c r="IS11" s="2">
        <v>0</v>
      </c>
      <c r="IT11" s="2">
        <v>16</v>
      </c>
      <c r="IU11" s="2" t="s">
        <v>17</v>
      </c>
      <c r="IV11" s="2" t="s">
        <v>17</v>
      </c>
      <c r="IW11" s="2" t="s">
        <v>17</v>
      </c>
      <c r="IX11" s="2" t="s">
        <v>9</v>
      </c>
      <c r="IY11" s="2">
        <v>16</v>
      </c>
      <c r="IZ11" s="2">
        <v>80</v>
      </c>
      <c r="JA11" s="2" t="s">
        <v>2693</v>
      </c>
      <c r="JB11" s="2" t="s">
        <v>82</v>
      </c>
      <c r="JC11" s="2"/>
      <c r="JD11" s="2"/>
      <c r="JE11" s="2"/>
      <c r="JF11" s="7">
        <v>0</v>
      </c>
      <c r="JG11" s="7"/>
      <c r="JH11" s="7"/>
      <c r="JI11" s="2">
        <v>0</v>
      </c>
      <c r="JJ11" s="7">
        <v>0</v>
      </c>
      <c r="JK11" s="2">
        <v>0</v>
      </c>
      <c r="JL11" s="7">
        <v>0</v>
      </c>
      <c r="JM11" s="2">
        <v>12</v>
      </c>
      <c r="JN11" s="2"/>
      <c r="JO11" s="2">
        <v>32</v>
      </c>
      <c r="JP11" s="2">
        <v>36</v>
      </c>
      <c r="JQ11" s="2"/>
      <c r="JR11" s="2">
        <v>0</v>
      </c>
      <c r="JS11" s="2">
        <v>0</v>
      </c>
      <c r="JT11" s="2"/>
      <c r="JU11" s="2"/>
      <c r="JV11" s="2">
        <v>80</v>
      </c>
      <c r="JW11" s="4">
        <v>1</v>
      </c>
      <c r="JX11" s="2">
        <v>80</v>
      </c>
      <c r="JY11" s="4">
        <v>0.6</v>
      </c>
      <c r="JZ11" s="2">
        <v>0</v>
      </c>
      <c r="KA11" s="2"/>
      <c r="KB11" s="2"/>
      <c r="KC11" s="2"/>
      <c r="KD11" s="2"/>
      <c r="KE11" s="2"/>
      <c r="KF11" s="2"/>
      <c r="KG11" s="2"/>
      <c r="KH11" s="2">
        <v>64</v>
      </c>
      <c r="KI11" s="2"/>
      <c r="KJ11" s="2"/>
      <c r="KK11" s="2">
        <v>16</v>
      </c>
      <c r="KL11" s="2"/>
      <c r="KM11" s="2"/>
      <c r="KN11" s="2"/>
      <c r="KO11" s="2"/>
      <c r="KP11" s="2"/>
      <c r="KQ11" s="2" t="s">
        <v>83</v>
      </c>
      <c r="KR11" s="2"/>
      <c r="KS11" s="2" t="s">
        <v>73</v>
      </c>
      <c r="KT11" s="2">
        <v>1</v>
      </c>
      <c r="KU11" s="2" t="s">
        <v>84</v>
      </c>
      <c r="KV11" s="2" t="s">
        <v>85</v>
      </c>
      <c r="KW11" s="2" t="s">
        <v>86</v>
      </c>
      <c r="KX11" s="2" t="s">
        <v>17</v>
      </c>
      <c r="KY11" s="2" t="s">
        <v>17</v>
      </c>
      <c r="KZ11" s="2" t="s">
        <v>17</v>
      </c>
      <c r="LA11" s="2" t="s">
        <v>17</v>
      </c>
      <c r="LB11" s="2" t="s">
        <v>17</v>
      </c>
      <c r="LC11" s="2" t="s">
        <v>17</v>
      </c>
      <c r="LD11" s="2" t="s">
        <v>17</v>
      </c>
      <c r="LE11" s="2" t="s">
        <v>17</v>
      </c>
      <c r="LF11" s="2" t="s">
        <v>17</v>
      </c>
      <c r="LG11" s="2" t="s">
        <v>17</v>
      </c>
      <c r="LH11" s="2" t="s">
        <v>17</v>
      </c>
      <c r="LI11" s="2" t="s">
        <v>17</v>
      </c>
      <c r="LJ11" s="2" t="s">
        <v>87</v>
      </c>
      <c r="LK11" s="2" t="s">
        <v>17</v>
      </c>
      <c r="LL11" s="2" t="s">
        <v>17</v>
      </c>
      <c r="LM11" s="2">
        <v>0</v>
      </c>
      <c r="LN11" s="2" t="s">
        <v>17</v>
      </c>
      <c r="LO11" s="2" t="s">
        <v>17</v>
      </c>
      <c r="LP11" s="2" t="s">
        <v>17</v>
      </c>
      <c r="LQ11" s="2" t="s">
        <v>17</v>
      </c>
      <c r="LR11" s="2" t="s">
        <v>17</v>
      </c>
      <c r="LS11" s="2" t="s">
        <v>17</v>
      </c>
      <c r="LT11" s="2" t="s">
        <v>9</v>
      </c>
      <c r="LU11" s="2" t="s">
        <v>9</v>
      </c>
      <c r="LV11" s="2" t="s">
        <v>9</v>
      </c>
      <c r="LW11" s="2" t="s">
        <v>17</v>
      </c>
      <c r="LX11" s="2" t="s">
        <v>17</v>
      </c>
      <c r="LY11" s="5">
        <v>6400000</v>
      </c>
      <c r="LZ11" s="5">
        <v>0</v>
      </c>
      <c r="MA11" s="5">
        <v>8000000</v>
      </c>
      <c r="MB11" s="5">
        <v>0</v>
      </c>
      <c r="MC11" s="5">
        <v>0</v>
      </c>
      <c r="MD11" s="5">
        <v>0</v>
      </c>
      <c r="ME11" s="5">
        <v>8400000</v>
      </c>
      <c r="MF11" s="5">
        <v>0</v>
      </c>
      <c r="MG11" s="5">
        <v>0</v>
      </c>
      <c r="MH11" s="5">
        <v>0</v>
      </c>
      <c r="MI11" s="5">
        <v>0</v>
      </c>
      <c r="MJ11" s="5">
        <v>0</v>
      </c>
      <c r="MK11" s="5">
        <v>0</v>
      </c>
      <c r="ML11" s="2">
        <v>0</v>
      </c>
      <c r="MM11" s="5">
        <v>0</v>
      </c>
      <c r="MN11" s="5">
        <v>0</v>
      </c>
      <c r="MO11" s="2">
        <v>0</v>
      </c>
      <c r="MP11" s="2">
        <v>0</v>
      </c>
      <c r="MQ11" s="2">
        <v>0</v>
      </c>
      <c r="MR11" s="5">
        <v>2950000</v>
      </c>
      <c r="MS11" s="5">
        <v>0</v>
      </c>
      <c r="MT11" s="5">
        <v>4600000</v>
      </c>
      <c r="MU11" s="5">
        <v>0</v>
      </c>
      <c r="MV11" s="5">
        <v>0</v>
      </c>
      <c r="MW11" s="5">
        <v>0</v>
      </c>
      <c r="MX11" s="5">
        <v>0</v>
      </c>
      <c r="MY11" s="5">
        <v>2500000</v>
      </c>
      <c r="MZ11" s="5">
        <v>0</v>
      </c>
      <c r="NA11" s="5">
        <v>5000000</v>
      </c>
      <c r="NB11" s="5">
        <v>0</v>
      </c>
      <c r="NC11" s="5">
        <v>0</v>
      </c>
      <c r="ND11" s="5">
        <v>0</v>
      </c>
      <c r="NE11" s="5">
        <v>0</v>
      </c>
      <c r="NF11" s="5">
        <v>0</v>
      </c>
      <c r="NG11" s="5">
        <v>2353680</v>
      </c>
      <c r="NH11" s="5">
        <v>2353680</v>
      </c>
      <c r="NI11" s="5">
        <v>2353680</v>
      </c>
      <c r="NJ11" s="2" t="s">
        <v>17</v>
      </c>
      <c r="NK11" s="2"/>
      <c r="NL11" s="2"/>
      <c r="NM11" s="2" t="s">
        <v>17</v>
      </c>
      <c r="NN11" s="2"/>
      <c r="NO11" s="2" t="s">
        <v>17</v>
      </c>
      <c r="NP11" s="2"/>
      <c r="NQ11" s="2"/>
      <c r="NR11" s="2" t="s">
        <v>17</v>
      </c>
      <c r="NS11" s="2"/>
      <c r="NT11" s="2" t="s">
        <v>9</v>
      </c>
      <c r="NU11" s="2" t="s">
        <v>450</v>
      </c>
      <c r="NV11" s="2">
        <v>10</v>
      </c>
      <c r="NW11" s="2" t="s">
        <v>2910</v>
      </c>
      <c r="NX11" s="2" t="s">
        <v>17</v>
      </c>
      <c r="NY11" s="2"/>
      <c r="NZ11" s="2"/>
      <c r="OA11" s="2" t="s">
        <v>118</v>
      </c>
      <c r="OB11" s="2" t="s">
        <v>118</v>
      </c>
      <c r="OC11" s="2" t="s">
        <v>118</v>
      </c>
      <c r="OD11" s="2" t="s">
        <v>17</v>
      </c>
      <c r="OE11" s="2" t="s">
        <v>119</v>
      </c>
      <c r="OF11" s="2" t="s">
        <v>17</v>
      </c>
      <c r="OG11" s="2"/>
      <c r="OH11" s="2" t="s">
        <v>17</v>
      </c>
      <c r="OI11" s="2" t="s">
        <v>17</v>
      </c>
      <c r="OJ11" s="2" t="s">
        <v>85</v>
      </c>
      <c r="OK11" s="6">
        <v>0</v>
      </c>
      <c r="OL11" s="6">
        <v>0</v>
      </c>
      <c r="OM11" s="2" t="s">
        <v>93</v>
      </c>
      <c r="ON11" s="2" t="s">
        <v>93</v>
      </c>
      <c r="OO11" s="6">
        <v>0</v>
      </c>
      <c r="OP11" s="6">
        <v>0</v>
      </c>
      <c r="OQ11" s="4">
        <v>0</v>
      </c>
      <c r="OR11" s="6">
        <v>0</v>
      </c>
      <c r="OS11" s="4">
        <v>0</v>
      </c>
      <c r="OT11" s="2" t="s">
        <v>17</v>
      </c>
      <c r="OU11" s="2" t="s">
        <v>17</v>
      </c>
      <c r="OV11" s="2"/>
      <c r="OW11" s="2"/>
      <c r="OX11" s="5">
        <v>15664917</v>
      </c>
      <c r="OY11" s="6">
        <v>195811.47</v>
      </c>
      <c r="OZ11" s="2"/>
      <c r="PA11" s="2"/>
      <c r="PB11" s="2"/>
      <c r="PC11" s="2"/>
      <c r="PD11" s="8">
        <v>14661655</v>
      </c>
      <c r="PE11" s="2"/>
      <c r="PF11" s="8">
        <v>14661655</v>
      </c>
      <c r="PG11" s="2"/>
      <c r="PH11" s="2"/>
      <c r="PI11" s="2"/>
      <c r="PJ11" s="2"/>
      <c r="PK11" s="2"/>
      <c r="PL11" s="2"/>
      <c r="PM11" s="8">
        <v>14661655</v>
      </c>
      <c r="PN11" s="2"/>
      <c r="PO11" s="8">
        <v>14661655</v>
      </c>
      <c r="PP11" s="8">
        <v>2052631</v>
      </c>
      <c r="PQ11" s="2"/>
      <c r="PR11" s="8">
        <v>2052631</v>
      </c>
      <c r="PS11" s="6">
        <v>2052631</v>
      </c>
      <c r="PT11" s="8">
        <v>16714286</v>
      </c>
      <c r="PU11" s="2"/>
      <c r="PV11" s="8">
        <v>16714286</v>
      </c>
      <c r="PW11" s="8">
        <v>835714</v>
      </c>
      <c r="PX11" s="2"/>
      <c r="PY11" s="8">
        <v>835714</v>
      </c>
      <c r="PZ11" s="6">
        <v>835714.3</v>
      </c>
      <c r="QA11" s="8">
        <v>1166000</v>
      </c>
      <c r="QB11" s="8">
        <v>217500</v>
      </c>
      <c r="QC11" s="8">
        <v>1383500</v>
      </c>
      <c r="QD11" s="8">
        <v>208929</v>
      </c>
      <c r="QE11" s="8">
        <v>160000</v>
      </c>
      <c r="QF11" s="8">
        <v>368929</v>
      </c>
      <c r="QG11" s="8">
        <v>510000</v>
      </c>
      <c r="QH11" s="2"/>
      <c r="QI11" s="8">
        <v>510000</v>
      </c>
      <c r="QJ11" s="2"/>
      <c r="QK11" s="8">
        <v>378929</v>
      </c>
      <c r="QL11" s="8">
        <v>378929</v>
      </c>
      <c r="QM11" s="2"/>
      <c r="QN11" s="2"/>
      <c r="QO11" s="2"/>
      <c r="QP11" s="8">
        <v>1296128</v>
      </c>
      <c r="QQ11" s="8">
        <v>380108</v>
      </c>
      <c r="QR11" s="8">
        <v>1676236</v>
      </c>
      <c r="QS11" s="8">
        <v>3181057</v>
      </c>
      <c r="QT11" s="8">
        <v>1136537</v>
      </c>
      <c r="QU11" s="8">
        <v>4317594</v>
      </c>
      <c r="QV11" s="8">
        <v>113856</v>
      </c>
      <c r="QW11" s="2"/>
      <c r="QX11" s="8">
        <v>113856</v>
      </c>
      <c r="QY11" s="6">
        <v>215879.7</v>
      </c>
      <c r="QZ11" s="8">
        <v>136500</v>
      </c>
      <c r="RA11" s="2"/>
      <c r="RB11" s="8">
        <v>136500</v>
      </c>
      <c r="RC11" s="8">
        <v>33110</v>
      </c>
      <c r="RD11" s="8">
        <v>33110</v>
      </c>
      <c r="RE11" s="2"/>
      <c r="RF11" s="2"/>
      <c r="RG11" s="2"/>
      <c r="RH11" s="8">
        <v>136500</v>
      </c>
      <c r="RI11" s="8">
        <v>33110</v>
      </c>
      <c r="RJ11" s="8">
        <v>169610</v>
      </c>
      <c r="RK11" s="2"/>
      <c r="RL11" s="2"/>
      <c r="RM11" s="8">
        <v>20981413</v>
      </c>
      <c r="RN11" s="8">
        <v>1169647</v>
      </c>
      <c r="RO11" s="8">
        <v>22151060</v>
      </c>
      <c r="RP11" s="2">
        <v>0</v>
      </c>
      <c r="RQ11" s="6">
        <v>0</v>
      </c>
      <c r="RR11" s="8">
        <v>3544091</v>
      </c>
      <c r="RS11" s="2"/>
      <c r="RT11" s="8">
        <v>3544091</v>
      </c>
      <c r="RU11" s="6">
        <v>3544169</v>
      </c>
      <c r="RV11" s="6">
        <v>0</v>
      </c>
      <c r="RW11" s="8">
        <v>3544091</v>
      </c>
      <c r="RX11" s="2"/>
      <c r="RY11" s="8">
        <v>3544091</v>
      </c>
      <c r="RZ11" s="6">
        <v>3544169</v>
      </c>
      <c r="SA11" s="8">
        <v>186015</v>
      </c>
      <c r="SB11" s="8">
        <v>186015</v>
      </c>
      <c r="SC11" s="6">
        <v>280000</v>
      </c>
      <c r="SD11" s="8">
        <v>1600000</v>
      </c>
      <c r="SE11" s="8">
        <v>1600000</v>
      </c>
      <c r="SF11" s="8">
        <v>24525504</v>
      </c>
      <c r="SG11" s="8">
        <v>2955662</v>
      </c>
      <c r="SH11" s="8">
        <v>27481166</v>
      </c>
      <c r="SI11" s="2"/>
      <c r="SJ11" s="2"/>
      <c r="SK11" s="2" t="s">
        <v>2911</v>
      </c>
      <c r="SL11" s="2"/>
      <c r="SM11" s="8">
        <v>18200000</v>
      </c>
      <c r="SN11" s="2" t="s">
        <v>95</v>
      </c>
      <c r="SO11" s="8">
        <v>104000</v>
      </c>
      <c r="SP11" s="2" t="s">
        <v>180</v>
      </c>
      <c r="SQ11" s="8">
        <v>1600000</v>
      </c>
      <c r="SR11" s="2" t="s">
        <v>1316</v>
      </c>
      <c r="SS11" s="2" t="s">
        <v>96</v>
      </c>
      <c r="ST11" s="2" t="s">
        <v>96</v>
      </c>
      <c r="SU11" s="2" t="s">
        <v>96</v>
      </c>
      <c r="SV11" s="2" t="s">
        <v>96</v>
      </c>
      <c r="SW11" s="8">
        <v>4471545</v>
      </c>
      <c r="SX11" s="2"/>
      <c r="SY11" s="2"/>
      <c r="SZ11" s="2"/>
      <c r="TA11" s="8">
        <v>3105621</v>
      </c>
      <c r="TB11" s="8">
        <v>27481166</v>
      </c>
      <c r="TC11" s="2">
        <v>0</v>
      </c>
      <c r="TD11" s="2" t="s">
        <v>9</v>
      </c>
      <c r="TE11" s="8">
        <v>2660000</v>
      </c>
      <c r="TF11" s="2" t="s">
        <v>95</v>
      </c>
      <c r="TG11" s="8">
        <v>104000</v>
      </c>
      <c r="TH11" s="2" t="s">
        <v>180</v>
      </c>
      <c r="TI11" s="8">
        <v>1600000</v>
      </c>
      <c r="TJ11" s="2" t="s">
        <v>1316</v>
      </c>
      <c r="TK11" s="2" t="s">
        <v>96</v>
      </c>
      <c r="TL11" s="2" t="s">
        <v>96</v>
      </c>
      <c r="TM11" s="2" t="s">
        <v>96</v>
      </c>
      <c r="TN11" s="2" t="s">
        <v>96</v>
      </c>
      <c r="TO11" s="8">
        <v>22357724</v>
      </c>
      <c r="TP11" s="2"/>
      <c r="TQ11" s="2"/>
      <c r="TR11" s="2"/>
      <c r="TS11" s="8">
        <v>759442</v>
      </c>
      <c r="TT11" s="8">
        <v>27481166</v>
      </c>
      <c r="TU11" s="6">
        <v>4364000</v>
      </c>
      <c r="TV11" s="2">
        <v>0</v>
      </c>
      <c r="TW11" s="2" t="s">
        <v>9</v>
      </c>
      <c r="TX11" s="2">
        <v>80</v>
      </c>
      <c r="TY11" s="5">
        <v>270000</v>
      </c>
      <c r="TZ11" s="6">
        <v>360000</v>
      </c>
      <c r="UA11" s="6">
        <v>360000</v>
      </c>
      <c r="UB11" s="6">
        <v>381600</v>
      </c>
      <c r="UC11" s="6">
        <v>30528000</v>
      </c>
      <c r="UD11" s="6">
        <v>4884480</v>
      </c>
      <c r="UE11" s="2" t="s">
        <v>97</v>
      </c>
      <c r="UF11" s="6">
        <v>4884480</v>
      </c>
      <c r="UG11" s="6">
        <v>35412480</v>
      </c>
      <c r="UH11" s="6">
        <v>25695151</v>
      </c>
      <c r="UI11" s="4">
        <v>0.99990000000000001</v>
      </c>
      <c r="UJ11" s="2" t="s">
        <v>9</v>
      </c>
      <c r="UK11" s="6">
        <v>104000</v>
      </c>
      <c r="UL11" s="6">
        <v>28110.080000000002</v>
      </c>
      <c r="UM11" s="6">
        <v>75889.919999999998</v>
      </c>
      <c r="UN11" s="2"/>
      <c r="UO11" s="6">
        <v>0</v>
      </c>
      <c r="UP11" s="2"/>
      <c r="UQ11" s="6">
        <v>0</v>
      </c>
      <c r="UR11" s="6">
        <v>0</v>
      </c>
      <c r="US11" s="6">
        <v>104000</v>
      </c>
      <c r="UT11" s="6">
        <v>28110.080000000002</v>
      </c>
      <c r="UU11" s="6">
        <v>75889.919999999998</v>
      </c>
      <c r="UV11" s="2" t="s">
        <v>2878</v>
      </c>
      <c r="UW11" s="2" t="s">
        <v>182</v>
      </c>
      <c r="UX11" s="2" t="s">
        <v>17</v>
      </c>
      <c r="UY11" s="2" t="s">
        <v>17</v>
      </c>
      <c r="UZ11" s="2" t="s">
        <v>17</v>
      </c>
      <c r="VA11" s="2" t="s">
        <v>17</v>
      </c>
      <c r="VB11" s="2" t="s">
        <v>2894</v>
      </c>
      <c r="VC11" s="2" t="s">
        <v>17</v>
      </c>
      <c r="VD11" s="2" t="s">
        <v>17</v>
      </c>
      <c r="VE11" s="2" t="s">
        <v>17</v>
      </c>
      <c r="VF11" s="2"/>
      <c r="VG11" s="2" t="s">
        <v>2912</v>
      </c>
      <c r="VH11" s="2"/>
      <c r="VI11" s="387" t="s">
        <v>1275</v>
      </c>
      <c r="VJ11" s="2" t="s">
        <v>98</v>
      </c>
      <c r="VK11" s="2" t="s">
        <v>1319</v>
      </c>
      <c r="VL11" s="23">
        <f t="shared" si="0"/>
        <v>96</v>
      </c>
      <c r="VM11" s="17">
        <f t="shared" si="1"/>
        <v>1.2</v>
      </c>
      <c r="VN11" s="17" t="str">
        <f t="shared" si="2"/>
        <v>NC-MR-E</v>
      </c>
      <c r="VO11" s="17" t="str">
        <f t="shared" si="14"/>
        <v>NC-MR-E-ESS</v>
      </c>
      <c r="VP11" s="12">
        <v>9</v>
      </c>
      <c r="VQ11" s="57">
        <v>1</v>
      </c>
      <c r="VR11" s="14">
        <f t="shared" si="3"/>
        <v>1</v>
      </c>
      <c r="VS11" s="14">
        <f t="shared" si="4"/>
        <v>1</v>
      </c>
      <c r="VT11" s="12">
        <f t="shared" si="5"/>
        <v>0.9020999999999999</v>
      </c>
      <c r="VU11" s="29">
        <f t="shared" si="6"/>
        <v>19109292.551999997</v>
      </c>
      <c r="VV11" s="29">
        <f t="shared" si="7"/>
        <v>238866.15689999997</v>
      </c>
      <c r="VW11" s="12" t="str">
        <f t="shared" si="15"/>
        <v>A</v>
      </c>
      <c r="VX11" s="12" t="str">
        <f t="shared" si="8"/>
        <v>NC-MR-ESS</v>
      </c>
      <c r="VY11" s="351">
        <f t="shared" si="16"/>
        <v>3</v>
      </c>
      <c r="VZ11" s="12"/>
      <c r="WA11" s="12">
        <f t="shared" si="17"/>
        <v>1</v>
      </c>
      <c r="WB11" s="12">
        <f t="shared" si="18"/>
        <v>0</v>
      </c>
      <c r="WC11" s="12">
        <f t="shared" si="19"/>
        <v>0</v>
      </c>
      <c r="WD11" s="12">
        <f t="shared" si="20"/>
        <v>0</v>
      </c>
      <c r="WE11" s="12">
        <f t="shared" si="21"/>
        <v>1</v>
      </c>
      <c r="WF11" s="12">
        <f t="shared" si="9"/>
        <v>0</v>
      </c>
      <c r="WG11" s="12">
        <f t="shared" si="10"/>
        <v>1</v>
      </c>
      <c r="WH11" s="12">
        <f t="shared" si="11"/>
        <v>0</v>
      </c>
      <c r="WI11" s="31">
        <f t="shared" si="12"/>
        <v>3</v>
      </c>
      <c r="WJ11" s="2"/>
      <c r="WK11" s="444" t="str">
        <f t="shared" si="13"/>
        <v>NC-MR-ESS-BBN-BRN-NPH-E</v>
      </c>
      <c r="WL11" s="444"/>
      <c r="WM11" s="444"/>
      <c r="WN11" s="12"/>
    </row>
    <row r="12" spans="1:622" x14ac:dyDescent="0.25">
      <c r="A12" s="2">
        <v>9605</v>
      </c>
      <c r="B12" s="2" t="s">
        <v>2913</v>
      </c>
      <c r="C12" s="2" t="s">
        <v>2652</v>
      </c>
      <c r="D12" s="3">
        <v>45152</v>
      </c>
      <c r="E12" s="2" t="s">
        <v>9</v>
      </c>
      <c r="F12" s="2">
        <v>3</v>
      </c>
      <c r="G12" s="2" t="s">
        <v>9</v>
      </c>
      <c r="H12" s="2">
        <v>3</v>
      </c>
      <c r="I12" s="2" t="s">
        <v>9</v>
      </c>
      <c r="J12" s="2">
        <v>1</v>
      </c>
      <c r="K12" s="2" t="s">
        <v>9</v>
      </c>
      <c r="L12" s="2">
        <v>3</v>
      </c>
      <c r="M12" s="2" t="s">
        <v>10</v>
      </c>
      <c r="N12" s="2">
        <v>0</v>
      </c>
      <c r="O12" s="2" t="s">
        <v>10</v>
      </c>
      <c r="P12" s="2">
        <v>0</v>
      </c>
      <c r="Q12" s="2" t="s">
        <v>11</v>
      </c>
      <c r="R12" s="2">
        <v>0</v>
      </c>
      <c r="S12" s="2" t="s">
        <v>9</v>
      </c>
      <c r="T12" s="2">
        <v>2</v>
      </c>
      <c r="U12" s="2" t="s">
        <v>9</v>
      </c>
      <c r="V12" s="2">
        <v>2</v>
      </c>
      <c r="W12" s="2" t="s">
        <v>9</v>
      </c>
      <c r="X12" s="2">
        <v>2</v>
      </c>
      <c r="Y12" s="2" t="s">
        <v>12</v>
      </c>
      <c r="Z12" s="2" t="s">
        <v>2008</v>
      </c>
      <c r="AA12" s="2" t="s">
        <v>2914</v>
      </c>
      <c r="AB12" s="2" t="s">
        <v>2914</v>
      </c>
      <c r="AC12" s="2" t="s">
        <v>15</v>
      </c>
      <c r="AD12" s="2" t="s">
        <v>15</v>
      </c>
      <c r="AE12" s="2" t="s">
        <v>15</v>
      </c>
      <c r="AF12" s="2">
        <v>3</v>
      </c>
      <c r="AG12" s="2" t="s">
        <v>2915</v>
      </c>
      <c r="AH12" s="2" t="s">
        <v>17</v>
      </c>
      <c r="AI12" s="4">
        <v>0.1</v>
      </c>
      <c r="AJ12" s="2" t="s">
        <v>17</v>
      </c>
      <c r="AK12" s="2" t="s">
        <v>9</v>
      </c>
      <c r="AL12" s="2" t="s">
        <v>17</v>
      </c>
      <c r="AM12" s="2" t="s">
        <v>17</v>
      </c>
      <c r="AN12" s="2" t="s">
        <v>17</v>
      </c>
      <c r="AO12" s="2" t="s">
        <v>17</v>
      </c>
      <c r="AP12" s="2" t="s">
        <v>17</v>
      </c>
      <c r="AQ12" s="2" t="s">
        <v>17</v>
      </c>
      <c r="AR12" s="2" t="s">
        <v>17</v>
      </c>
      <c r="AS12" s="2" t="s">
        <v>9</v>
      </c>
      <c r="AT12" s="2">
        <v>5</v>
      </c>
      <c r="AU12" s="5">
        <v>75000</v>
      </c>
      <c r="AV12" s="5">
        <v>610000</v>
      </c>
      <c r="AW12" s="2">
        <v>0</v>
      </c>
      <c r="AX12" s="2">
        <v>7</v>
      </c>
      <c r="AY12" s="2">
        <v>0</v>
      </c>
      <c r="AZ12" s="2">
        <v>18</v>
      </c>
      <c r="BA12" s="2">
        <v>0</v>
      </c>
      <c r="BB12" s="2">
        <v>0</v>
      </c>
      <c r="BC12" s="2">
        <v>1</v>
      </c>
      <c r="BD12" s="2">
        <v>3</v>
      </c>
      <c r="BE12" s="2">
        <v>0</v>
      </c>
      <c r="BF12" s="2">
        <v>1</v>
      </c>
      <c r="BG12" s="2">
        <v>0</v>
      </c>
      <c r="BH12" s="2">
        <v>0</v>
      </c>
      <c r="BI12" s="2">
        <v>13</v>
      </c>
      <c r="BJ12" s="2">
        <v>1</v>
      </c>
      <c r="BK12" s="2">
        <v>0</v>
      </c>
      <c r="BL12" s="2">
        <v>2</v>
      </c>
      <c r="BM12" s="2">
        <v>0</v>
      </c>
      <c r="BN12" s="2">
        <v>10</v>
      </c>
      <c r="BO12" s="2">
        <v>11</v>
      </c>
      <c r="BP12" s="2">
        <v>0</v>
      </c>
      <c r="BQ12" s="2">
        <v>10</v>
      </c>
      <c r="BR12" s="2">
        <v>11.12</v>
      </c>
      <c r="BS12" s="2">
        <v>0</v>
      </c>
      <c r="BT12" s="4">
        <v>0.06</v>
      </c>
      <c r="BU12" s="2" t="s">
        <v>9</v>
      </c>
      <c r="BV12" s="6">
        <v>197101.52</v>
      </c>
      <c r="BW12" s="2" t="s">
        <v>126</v>
      </c>
      <c r="BX12" s="2" t="s">
        <v>17</v>
      </c>
      <c r="BY12" s="2" t="s">
        <v>17</v>
      </c>
      <c r="BZ12" s="2" t="s">
        <v>17</v>
      </c>
      <c r="CA12" s="2" t="s">
        <v>17</v>
      </c>
      <c r="CB12" s="2" t="s">
        <v>17</v>
      </c>
      <c r="CC12" s="2" t="s">
        <v>17</v>
      </c>
      <c r="CD12" s="2" t="s">
        <v>17</v>
      </c>
      <c r="CE12" s="2" t="s">
        <v>2916</v>
      </c>
      <c r="CF12" s="2" t="s">
        <v>17</v>
      </c>
      <c r="CG12" s="2" t="s">
        <v>789</v>
      </c>
      <c r="CH12" s="2" t="s">
        <v>2846</v>
      </c>
      <c r="CI12" s="2"/>
      <c r="CJ12" s="2" t="s">
        <v>9</v>
      </c>
      <c r="CK12" s="2" t="s">
        <v>791</v>
      </c>
      <c r="CL12" s="2" t="s">
        <v>789</v>
      </c>
      <c r="CM12" s="2" t="s">
        <v>792</v>
      </c>
      <c r="CN12" s="2" t="s">
        <v>2848</v>
      </c>
      <c r="CO12" s="2" t="s">
        <v>24</v>
      </c>
      <c r="CP12" s="2"/>
      <c r="CQ12" s="2">
        <v>153</v>
      </c>
      <c r="CR12" s="2" t="s">
        <v>375</v>
      </c>
      <c r="CS12" s="2">
        <v>2014</v>
      </c>
      <c r="CT12" s="2" t="s">
        <v>26</v>
      </c>
      <c r="CU12" s="2" t="s">
        <v>27</v>
      </c>
      <c r="CV12" s="2" t="s">
        <v>808</v>
      </c>
      <c r="CW12" s="2" t="s">
        <v>809</v>
      </c>
      <c r="CX12" s="2" t="s">
        <v>24</v>
      </c>
      <c r="CY12" s="2"/>
      <c r="CZ12" s="2">
        <v>171</v>
      </c>
      <c r="DA12" s="2" t="s">
        <v>375</v>
      </c>
      <c r="DB12" s="2">
        <v>2008</v>
      </c>
      <c r="DC12" s="2" t="s">
        <v>243</v>
      </c>
      <c r="DD12" s="2" t="s">
        <v>27</v>
      </c>
      <c r="DE12" s="2" t="s">
        <v>796</v>
      </c>
      <c r="DF12" s="2" t="s">
        <v>797</v>
      </c>
      <c r="DG12" s="2" t="s">
        <v>24</v>
      </c>
      <c r="DH12" s="2"/>
      <c r="DI12" s="2">
        <v>72</v>
      </c>
      <c r="DJ12" s="2" t="s">
        <v>375</v>
      </c>
      <c r="DK12" s="2">
        <v>2012</v>
      </c>
      <c r="DL12" s="2" t="s">
        <v>243</v>
      </c>
      <c r="DM12" s="2" t="s">
        <v>27</v>
      </c>
      <c r="DN12" s="2" t="s">
        <v>2663</v>
      </c>
      <c r="DO12" s="2" t="s">
        <v>801</v>
      </c>
      <c r="DP12" s="2"/>
      <c r="DQ12" s="2" t="s">
        <v>802</v>
      </c>
      <c r="DR12" s="2" t="s">
        <v>803</v>
      </c>
      <c r="DS12" s="2">
        <v>1</v>
      </c>
      <c r="DT12" s="2" t="s">
        <v>2849</v>
      </c>
      <c r="DU12" s="2" t="s">
        <v>805</v>
      </c>
      <c r="DV12" s="2" t="s">
        <v>260</v>
      </c>
      <c r="DW12" s="2">
        <v>75019</v>
      </c>
      <c r="DX12" s="2" t="s">
        <v>2850</v>
      </c>
      <c r="DY12" s="2">
        <v>228</v>
      </c>
      <c r="DZ12" s="2" t="s">
        <v>807</v>
      </c>
      <c r="EA12" s="2" t="s">
        <v>803</v>
      </c>
      <c r="EB12" s="2" t="s">
        <v>808</v>
      </c>
      <c r="EC12" s="2" t="s">
        <v>809</v>
      </c>
      <c r="ED12" s="2" t="s">
        <v>44</v>
      </c>
      <c r="EE12" s="2">
        <v>171</v>
      </c>
      <c r="EF12" s="2" t="s">
        <v>390</v>
      </c>
      <c r="EG12" s="2">
        <v>14</v>
      </c>
      <c r="EH12" s="2" t="s">
        <v>46</v>
      </c>
      <c r="EI12" s="2" t="s">
        <v>47</v>
      </c>
      <c r="EJ12" s="2" t="s">
        <v>2851</v>
      </c>
      <c r="EK12" s="2" t="s">
        <v>2852</v>
      </c>
      <c r="EL12" s="2" t="s">
        <v>44</v>
      </c>
      <c r="EM12" s="2">
        <v>61</v>
      </c>
      <c r="EN12" s="2" t="s">
        <v>390</v>
      </c>
      <c r="EO12" s="2">
        <v>8</v>
      </c>
      <c r="EP12" s="2" t="s">
        <v>46</v>
      </c>
      <c r="EQ12" s="2" t="s">
        <v>47</v>
      </c>
      <c r="ER12" s="2" t="s">
        <v>812</v>
      </c>
      <c r="ES12" s="2"/>
      <c r="ET12" s="2" t="s">
        <v>813</v>
      </c>
      <c r="EU12" s="2" t="s">
        <v>2916</v>
      </c>
      <c r="EV12" s="2" t="s">
        <v>2853</v>
      </c>
      <c r="EW12" s="2" t="s">
        <v>396</v>
      </c>
      <c r="EX12" s="2" t="s">
        <v>39</v>
      </c>
      <c r="EY12" s="2">
        <v>33607</v>
      </c>
      <c r="EZ12" s="2" t="s">
        <v>2854</v>
      </c>
      <c r="FA12" s="2">
        <v>202</v>
      </c>
      <c r="FB12" s="2" t="s">
        <v>2855</v>
      </c>
      <c r="FC12" s="2" t="s">
        <v>817</v>
      </c>
      <c r="FD12" s="2"/>
      <c r="FE12" s="2" t="s">
        <v>818</v>
      </c>
      <c r="FF12" s="2" t="s">
        <v>789</v>
      </c>
      <c r="FG12" s="2" t="s">
        <v>2853</v>
      </c>
      <c r="FH12" s="2" t="s">
        <v>396</v>
      </c>
      <c r="FI12" s="2" t="s">
        <v>39</v>
      </c>
      <c r="FJ12" s="2">
        <v>33607</v>
      </c>
      <c r="FK12" s="2" t="s">
        <v>2854</v>
      </c>
      <c r="FL12" s="2">
        <v>204</v>
      </c>
      <c r="FM12" s="2" t="s">
        <v>2856</v>
      </c>
      <c r="FN12" s="2" t="s">
        <v>2917</v>
      </c>
      <c r="FO12" s="2" t="s">
        <v>63</v>
      </c>
      <c r="FP12" s="2" t="s">
        <v>64</v>
      </c>
      <c r="FQ12" s="2" t="s">
        <v>9</v>
      </c>
      <c r="FR12" s="2" t="s">
        <v>17</v>
      </c>
      <c r="FS12" s="2" t="s">
        <v>17</v>
      </c>
      <c r="FT12" s="2" t="s">
        <v>9</v>
      </c>
      <c r="FU12" s="2">
        <v>0</v>
      </c>
      <c r="FV12" s="2">
        <v>0</v>
      </c>
      <c r="FW12" s="4">
        <v>0</v>
      </c>
      <c r="FX12" s="4">
        <v>0</v>
      </c>
      <c r="FY12" s="2" t="s">
        <v>65</v>
      </c>
      <c r="FZ12" s="2" t="s">
        <v>66</v>
      </c>
      <c r="GA12" s="2" t="s">
        <v>67</v>
      </c>
      <c r="GB12" s="2"/>
      <c r="GC12" s="2"/>
      <c r="GD12" s="2"/>
      <c r="GE12" s="2" t="s">
        <v>68</v>
      </c>
      <c r="GF12" s="2">
        <v>80</v>
      </c>
      <c r="GG12" s="2">
        <v>80</v>
      </c>
      <c r="GH12" s="2"/>
      <c r="GI12" s="2"/>
      <c r="GJ12" s="2"/>
      <c r="GK12" s="2"/>
      <c r="GL12" s="2"/>
      <c r="GM12" s="2"/>
      <c r="GN12" s="2"/>
      <c r="GO12" s="2"/>
      <c r="GP12" s="2"/>
      <c r="GQ12" s="2">
        <v>80</v>
      </c>
      <c r="GR12" s="2" t="s">
        <v>2802</v>
      </c>
      <c r="GS12" s="2" t="s">
        <v>2686</v>
      </c>
      <c r="GT12" s="2" t="s">
        <v>2918</v>
      </c>
      <c r="GU12" s="2" t="s">
        <v>2887</v>
      </c>
      <c r="GV12" s="2" t="s">
        <v>9</v>
      </c>
      <c r="GW12" s="2">
        <v>27.891441</v>
      </c>
      <c r="GX12" s="2">
        <v>-82.810393000000005</v>
      </c>
      <c r="GY12" s="2" t="s">
        <v>2919</v>
      </c>
      <c r="GZ12" s="2" t="s">
        <v>9</v>
      </c>
      <c r="HA12" s="2">
        <v>3</v>
      </c>
      <c r="HB12" s="2" t="s">
        <v>17</v>
      </c>
      <c r="HC12" s="2" t="s">
        <v>17</v>
      </c>
      <c r="HD12" s="2">
        <v>0</v>
      </c>
      <c r="HE12" s="2">
        <v>27.891003999999999</v>
      </c>
      <c r="HF12" s="2">
        <v>-82.810032000000007</v>
      </c>
      <c r="HG12" s="2">
        <v>0.04</v>
      </c>
      <c r="HH12" s="2">
        <v>6</v>
      </c>
      <c r="HI12" s="2">
        <v>27.890895</v>
      </c>
      <c r="HJ12" s="2">
        <v>-82.809669999999997</v>
      </c>
      <c r="HK12" s="2">
        <v>0.06</v>
      </c>
      <c r="HL12" s="2">
        <v>27.891121999999999</v>
      </c>
      <c r="HM12" s="2">
        <v>-82.811355000000006</v>
      </c>
      <c r="HN12" s="2">
        <v>0.06</v>
      </c>
      <c r="HO12" s="2"/>
      <c r="HP12" s="2"/>
      <c r="HQ12" s="2"/>
      <c r="HR12" s="2"/>
      <c r="HS12" s="2"/>
      <c r="HT12" s="2"/>
      <c r="HU12" s="2"/>
      <c r="HV12" s="2"/>
      <c r="HW12" s="2" t="s">
        <v>73</v>
      </c>
      <c r="HX12" s="2" t="s">
        <v>549</v>
      </c>
      <c r="HY12" s="2" t="s">
        <v>2920</v>
      </c>
      <c r="HZ12" s="2">
        <v>0.89</v>
      </c>
      <c r="IA12" s="2">
        <v>2.5</v>
      </c>
      <c r="IB12" s="2"/>
      <c r="IC12" s="2"/>
      <c r="ID12" s="2"/>
      <c r="IE12" s="2"/>
      <c r="IF12" s="2" t="s">
        <v>549</v>
      </c>
      <c r="IG12" s="2" t="s">
        <v>2920</v>
      </c>
      <c r="IH12" s="2">
        <v>0.89</v>
      </c>
      <c r="II12" s="2">
        <v>2.5</v>
      </c>
      <c r="IJ12" s="2" t="s">
        <v>2890</v>
      </c>
      <c r="IK12" s="2" t="s">
        <v>2921</v>
      </c>
      <c r="IL12" s="2">
        <v>0.68</v>
      </c>
      <c r="IM12" s="2">
        <v>3.5</v>
      </c>
      <c r="IN12" s="2" t="s">
        <v>17</v>
      </c>
      <c r="IO12" s="2"/>
      <c r="IP12" s="2" t="s">
        <v>79</v>
      </c>
      <c r="IQ12" s="2">
        <v>6</v>
      </c>
      <c r="IR12" s="2">
        <v>8.5</v>
      </c>
      <c r="IS12" s="2">
        <v>3</v>
      </c>
      <c r="IT12" s="2">
        <v>17.5</v>
      </c>
      <c r="IU12" s="2" t="s">
        <v>17</v>
      </c>
      <c r="IV12" s="2" t="s">
        <v>17</v>
      </c>
      <c r="IW12" s="2" t="s">
        <v>17</v>
      </c>
      <c r="IX12" s="2" t="s">
        <v>9</v>
      </c>
      <c r="IY12" s="2">
        <v>14.5</v>
      </c>
      <c r="IZ12" s="2">
        <v>80</v>
      </c>
      <c r="JA12" s="2" t="s">
        <v>2922</v>
      </c>
      <c r="JB12" s="2" t="s">
        <v>173</v>
      </c>
      <c r="JC12" s="2"/>
      <c r="JD12" s="7">
        <v>0.1</v>
      </c>
      <c r="JE12" s="7">
        <v>0.9</v>
      </c>
      <c r="JF12" s="7">
        <v>0</v>
      </c>
      <c r="JG12" s="7"/>
      <c r="JH12" s="7"/>
      <c r="JI12" s="2">
        <v>80</v>
      </c>
      <c r="JJ12" s="7">
        <v>1</v>
      </c>
      <c r="JK12" s="2">
        <v>80</v>
      </c>
      <c r="JL12" s="7">
        <v>1</v>
      </c>
      <c r="JM12" s="2"/>
      <c r="JN12" s="2"/>
      <c r="JO12" s="2"/>
      <c r="JP12" s="2"/>
      <c r="JQ12" s="2"/>
      <c r="JR12" s="2">
        <v>0</v>
      </c>
      <c r="JS12" s="2">
        <v>0</v>
      </c>
      <c r="JT12" s="2"/>
      <c r="JU12" s="2"/>
      <c r="JV12" s="2">
        <v>0</v>
      </c>
      <c r="JW12" s="4">
        <v>0</v>
      </c>
      <c r="JX12" s="2">
        <v>0</v>
      </c>
      <c r="JY12" s="4">
        <v>0</v>
      </c>
      <c r="JZ12" s="2">
        <v>0</v>
      </c>
      <c r="KA12" s="2"/>
      <c r="KB12" s="2"/>
      <c r="KC12" s="2"/>
      <c r="KD12" s="2"/>
      <c r="KE12" s="2"/>
      <c r="KF12" s="2"/>
      <c r="KG12" s="2"/>
      <c r="KH12" s="2">
        <v>74</v>
      </c>
      <c r="KI12" s="2"/>
      <c r="KJ12" s="2"/>
      <c r="KK12" s="2">
        <v>6</v>
      </c>
      <c r="KL12" s="2"/>
      <c r="KM12" s="2"/>
      <c r="KN12" s="2"/>
      <c r="KO12" s="2"/>
      <c r="KP12" s="2"/>
      <c r="KQ12" s="2" t="s">
        <v>83</v>
      </c>
      <c r="KR12" s="2"/>
      <c r="KS12" s="2" t="s">
        <v>73</v>
      </c>
      <c r="KT12" s="2">
        <v>1</v>
      </c>
      <c r="KU12" s="2" t="s">
        <v>84</v>
      </c>
      <c r="KV12" s="2" t="s">
        <v>85</v>
      </c>
      <c r="KW12" s="2" t="s">
        <v>86</v>
      </c>
      <c r="KX12" s="2" t="s">
        <v>17</v>
      </c>
      <c r="KY12" s="2" t="s">
        <v>17</v>
      </c>
      <c r="KZ12" s="2" t="s">
        <v>17</v>
      </c>
      <c r="LA12" s="2" t="s">
        <v>17</v>
      </c>
      <c r="LB12" s="2" t="s">
        <v>17</v>
      </c>
      <c r="LC12" s="2" t="s">
        <v>17</v>
      </c>
      <c r="LD12" s="2" t="s">
        <v>17</v>
      </c>
      <c r="LE12" s="2" t="s">
        <v>17</v>
      </c>
      <c r="LF12" s="2" t="s">
        <v>17</v>
      </c>
      <c r="LG12" s="2" t="s">
        <v>17</v>
      </c>
      <c r="LH12" s="2" t="s">
        <v>17</v>
      </c>
      <c r="LI12" s="2" t="s">
        <v>17</v>
      </c>
      <c r="LJ12" s="2" t="s">
        <v>87</v>
      </c>
      <c r="LK12" s="2" t="s">
        <v>17</v>
      </c>
      <c r="LL12" s="2" t="s">
        <v>17</v>
      </c>
      <c r="LM12" s="2">
        <v>0</v>
      </c>
      <c r="LN12" s="2" t="s">
        <v>17</v>
      </c>
      <c r="LO12" s="2" t="s">
        <v>17</v>
      </c>
      <c r="LP12" s="2" t="s">
        <v>17</v>
      </c>
      <c r="LQ12" s="2" t="s">
        <v>17</v>
      </c>
      <c r="LR12" s="2" t="s">
        <v>17</v>
      </c>
      <c r="LS12" s="2" t="s">
        <v>17</v>
      </c>
      <c r="LT12" s="2" t="s">
        <v>9</v>
      </c>
      <c r="LU12" s="2" t="s">
        <v>17</v>
      </c>
      <c r="LV12" s="2" t="s">
        <v>9</v>
      </c>
      <c r="LW12" s="2" t="s">
        <v>17</v>
      </c>
      <c r="LX12" s="2" t="s">
        <v>9</v>
      </c>
      <c r="LY12" s="5">
        <v>6400000</v>
      </c>
      <c r="LZ12" s="5">
        <v>0</v>
      </c>
      <c r="MA12" s="5">
        <v>8000000</v>
      </c>
      <c r="MB12" s="5">
        <v>0</v>
      </c>
      <c r="MC12" s="5">
        <v>0</v>
      </c>
      <c r="MD12" s="5">
        <v>0</v>
      </c>
      <c r="ME12" s="5">
        <v>8400000</v>
      </c>
      <c r="MF12" s="5">
        <v>0</v>
      </c>
      <c r="MG12" s="5">
        <v>0</v>
      </c>
      <c r="MH12" s="5">
        <v>0</v>
      </c>
      <c r="MI12" s="5">
        <v>0</v>
      </c>
      <c r="MJ12" s="5">
        <v>0</v>
      </c>
      <c r="MK12" s="5">
        <v>0</v>
      </c>
      <c r="ML12" s="2">
        <v>0</v>
      </c>
      <c r="MM12" s="5">
        <v>0</v>
      </c>
      <c r="MN12" s="5">
        <v>0</v>
      </c>
      <c r="MO12" s="2">
        <v>0</v>
      </c>
      <c r="MP12" s="2">
        <v>0</v>
      </c>
      <c r="MQ12" s="2">
        <v>0</v>
      </c>
      <c r="MR12" s="5">
        <v>2950000</v>
      </c>
      <c r="MS12" s="5">
        <v>0</v>
      </c>
      <c r="MT12" s="5">
        <v>4600000</v>
      </c>
      <c r="MU12" s="5">
        <v>0</v>
      </c>
      <c r="MV12" s="5">
        <v>0</v>
      </c>
      <c r="MW12" s="5">
        <v>0</v>
      </c>
      <c r="MX12" s="5">
        <v>0</v>
      </c>
      <c r="MY12" s="5">
        <v>2500000</v>
      </c>
      <c r="MZ12" s="5">
        <v>0</v>
      </c>
      <c r="NA12" s="5">
        <v>5000000</v>
      </c>
      <c r="NB12" s="5">
        <v>0</v>
      </c>
      <c r="NC12" s="5">
        <v>0</v>
      </c>
      <c r="ND12" s="5">
        <v>0</v>
      </c>
      <c r="NE12" s="5">
        <v>0</v>
      </c>
      <c r="NF12" s="5">
        <v>0</v>
      </c>
      <c r="NG12" s="5">
        <v>2353680</v>
      </c>
      <c r="NH12" s="5">
        <v>2353680</v>
      </c>
      <c r="NI12" s="5">
        <v>2353680</v>
      </c>
      <c r="NJ12" s="2" t="s">
        <v>17</v>
      </c>
      <c r="NK12" s="2"/>
      <c r="NL12" s="2"/>
      <c r="NM12" s="2" t="s">
        <v>17</v>
      </c>
      <c r="NN12" s="2"/>
      <c r="NO12" s="2" t="s">
        <v>17</v>
      </c>
      <c r="NP12" s="2"/>
      <c r="NQ12" s="2"/>
      <c r="NR12" s="2" t="s">
        <v>17</v>
      </c>
      <c r="NS12" s="2"/>
      <c r="NT12" s="2" t="s">
        <v>17</v>
      </c>
      <c r="NU12" s="2"/>
      <c r="NV12" s="2"/>
      <c r="NW12" s="2"/>
      <c r="NX12" s="2" t="s">
        <v>17</v>
      </c>
      <c r="NY12" s="2"/>
      <c r="NZ12" s="2"/>
      <c r="OA12" s="2" t="s">
        <v>118</v>
      </c>
      <c r="OB12" s="2" t="s">
        <v>118</v>
      </c>
      <c r="OC12" s="2" t="s">
        <v>118</v>
      </c>
      <c r="OD12" s="2" t="s">
        <v>17</v>
      </c>
      <c r="OE12" s="2" t="s">
        <v>91</v>
      </c>
      <c r="OF12" s="2" t="s">
        <v>17</v>
      </c>
      <c r="OG12" s="2"/>
      <c r="OH12" s="2" t="s">
        <v>17</v>
      </c>
      <c r="OI12" s="2" t="s">
        <v>17</v>
      </c>
      <c r="OJ12" s="2" t="s">
        <v>85</v>
      </c>
      <c r="OK12" s="6">
        <v>0</v>
      </c>
      <c r="OL12" s="6">
        <v>0</v>
      </c>
      <c r="OM12" s="2" t="s">
        <v>93</v>
      </c>
      <c r="ON12" s="2" t="s">
        <v>93</v>
      </c>
      <c r="OO12" s="6">
        <v>0</v>
      </c>
      <c r="OP12" s="6">
        <v>0</v>
      </c>
      <c r="OQ12" s="4">
        <v>0</v>
      </c>
      <c r="OR12" s="6">
        <v>0</v>
      </c>
      <c r="OS12" s="4">
        <v>0</v>
      </c>
      <c r="OT12" s="2" t="s">
        <v>9</v>
      </c>
      <c r="OU12" s="2" t="s">
        <v>9</v>
      </c>
      <c r="OV12" s="2" t="s">
        <v>2865</v>
      </c>
      <c r="OW12" s="2"/>
      <c r="OX12" s="5">
        <v>15768121</v>
      </c>
      <c r="OY12" s="6">
        <v>197101.52</v>
      </c>
      <c r="OZ12" s="8">
        <v>310441</v>
      </c>
      <c r="PA12" s="8">
        <v>310441</v>
      </c>
      <c r="PB12" s="2"/>
      <c r="PC12" s="2"/>
      <c r="PD12" s="8">
        <v>14123753</v>
      </c>
      <c r="PE12" s="2"/>
      <c r="PF12" s="8">
        <v>14123753</v>
      </c>
      <c r="PG12" s="8">
        <v>1784860</v>
      </c>
      <c r="PH12" s="8">
        <v>315140</v>
      </c>
      <c r="PI12" s="8">
        <v>2100000</v>
      </c>
      <c r="PJ12" s="2"/>
      <c r="PK12" s="2"/>
      <c r="PL12" s="2"/>
      <c r="PM12" s="8">
        <v>15908613</v>
      </c>
      <c r="PN12" s="8">
        <v>625581</v>
      </c>
      <c r="PO12" s="8">
        <v>16534194</v>
      </c>
      <c r="PP12" s="8">
        <v>2259498</v>
      </c>
      <c r="PQ12" s="2"/>
      <c r="PR12" s="8">
        <v>2259498</v>
      </c>
      <c r="PS12" s="6">
        <v>2314787</v>
      </c>
      <c r="PT12" s="8">
        <v>18168111</v>
      </c>
      <c r="PU12" s="8">
        <v>625581</v>
      </c>
      <c r="PV12" s="8">
        <v>18793692</v>
      </c>
      <c r="PW12" s="8">
        <v>936935</v>
      </c>
      <c r="PX12" s="2"/>
      <c r="PY12" s="8">
        <v>936935</v>
      </c>
      <c r="PZ12" s="6">
        <v>939684.6</v>
      </c>
      <c r="QA12" s="8">
        <v>1214500</v>
      </c>
      <c r="QB12" s="8">
        <v>7500</v>
      </c>
      <c r="QC12" s="8">
        <v>1222000</v>
      </c>
      <c r="QD12" s="8">
        <v>250000</v>
      </c>
      <c r="QE12" s="2"/>
      <c r="QF12" s="8">
        <v>250000</v>
      </c>
      <c r="QG12" s="8">
        <v>415000</v>
      </c>
      <c r="QH12" s="2"/>
      <c r="QI12" s="8">
        <v>415000</v>
      </c>
      <c r="QJ12" s="2"/>
      <c r="QK12" s="8">
        <v>485377</v>
      </c>
      <c r="QL12" s="8">
        <v>485377</v>
      </c>
      <c r="QM12" s="8">
        <v>327000</v>
      </c>
      <c r="QN12" s="8">
        <v>218000</v>
      </c>
      <c r="QO12" s="8">
        <v>545000</v>
      </c>
      <c r="QP12" s="2"/>
      <c r="QQ12" s="8">
        <v>75000</v>
      </c>
      <c r="QR12" s="8">
        <v>75000</v>
      </c>
      <c r="QS12" s="8">
        <v>2206500</v>
      </c>
      <c r="QT12" s="8">
        <v>785877</v>
      </c>
      <c r="QU12" s="8">
        <v>2992377</v>
      </c>
      <c r="QV12" s="8">
        <v>129869</v>
      </c>
      <c r="QW12" s="2"/>
      <c r="QX12" s="8">
        <v>129869</v>
      </c>
      <c r="QY12" s="6">
        <v>149618.85</v>
      </c>
      <c r="QZ12" s="8">
        <v>2280000</v>
      </c>
      <c r="RA12" s="8">
        <v>450000</v>
      </c>
      <c r="RB12" s="8">
        <v>2730000</v>
      </c>
      <c r="RC12" s="8">
        <v>387500</v>
      </c>
      <c r="RD12" s="8">
        <v>387500</v>
      </c>
      <c r="RE12" s="2"/>
      <c r="RF12" s="2"/>
      <c r="RG12" s="2"/>
      <c r="RH12" s="8">
        <v>2280000</v>
      </c>
      <c r="RI12" s="8">
        <v>837500</v>
      </c>
      <c r="RJ12" s="8">
        <v>3117500</v>
      </c>
      <c r="RK12" s="2"/>
      <c r="RL12" s="2"/>
      <c r="RM12" s="8">
        <v>23721415</v>
      </c>
      <c r="RN12" s="8">
        <v>2248958</v>
      </c>
      <c r="RO12" s="8">
        <v>25970373</v>
      </c>
      <c r="RP12" s="2">
        <v>0</v>
      </c>
      <c r="RQ12" s="6">
        <v>0</v>
      </c>
      <c r="RR12" s="8">
        <v>4120060</v>
      </c>
      <c r="RS12" s="2"/>
      <c r="RT12" s="8">
        <v>4120060</v>
      </c>
      <c r="RU12" s="6">
        <v>4155259</v>
      </c>
      <c r="RV12" s="6">
        <v>0</v>
      </c>
      <c r="RW12" s="8">
        <v>4120060</v>
      </c>
      <c r="RX12" s="2"/>
      <c r="RY12" s="8">
        <v>4120060</v>
      </c>
      <c r="RZ12" s="6">
        <v>4155259</v>
      </c>
      <c r="SA12" s="8">
        <v>280000</v>
      </c>
      <c r="SB12" s="8">
        <v>280000</v>
      </c>
      <c r="SC12" s="6">
        <v>280000</v>
      </c>
      <c r="SD12" s="8">
        <v>1700000</v>
      </c>
      <c r="SE12" s="8">
        <v>1700000</v>
      </c>
      <c r="SF12" s="8">
        <v>27841475</v>
      </c>
      <c r="SG12" s="8">
        <v>4228958</v>
      </c>
      <c r="SH12" s="8">
        <v>32070433</v>
      </c>
      <c r="SI12" s="2" t="s">
        <v>410</v>
      </c>
      <c r="SJ12" s="2"/>
      <c r="SK12" s="2" t="s">
        <v>829</v>
      </c>
      <c r="SL12" s="2"/>
      <c r="SM12" s="8">
        <v>25500000</v>
      </c>
      <c r="SN12" s="2" t="s">
        <v>95</v>
      </c>
      <c r="SO12" s="8">
        <v>1700000</v>
      </c>
      <c r="SP12" s="2" t="s">
        <v>1316</v>
      </c>
      <c r="SQ12" s="8">
        <v>75000</v>
      </c>
      <c r="SR12" s="2" t="s">
        <v>180</v>
      </c>
      <c r="SS12" s="2" t="s">
        <v>96</v>
      </c>
      <c r="ST12" s="2" t="s">
        <v>96</v>
      </c>
      <c r="SU12" s="2" t="s">
        <v>96</v>
      </c>
      <c r="SV12" s="2" t="s">
        <v>96</v>
      </c>
      <c r="SW12" s="8">
        <v>3318358</v>
      </c>
      <c r="SX12" s="2"/>
      <c r="SY12" s="2"/>
      <c r="SZ12" s="2"/>
      <c r="TA12" s="8">
        <v>1477075</v>
      </c>
      <c r="TB12" s="8">
        <v>32070433</v>
      </c>
      <c r="TC12" s="2">
        <v>0</v>
      </c>
      <c r="TD12" s="2" t="s">
        <v>9</v>
      </c>
      <c r="TE12" s="8">
        <v>6750000</v>
      </c>
      <c r="TF12" s="2" t="s">
        <v>95</v>
      </c>
      <c r="TG12" s="8">
        <v>1700000</v>
      </c>
      <c r="TH12" s="2" t="s">
        <v>1316</v>
      </c>
      <c r="TI12" s="8">
        <v>75000</v>
      </c>
      <c r="TJ12" s="2" t="s">
        <v>180</v>
      </c>
      <c r="TK12" s="2" t="s">
        <v>96</v>
      </c>
      <c r="TL12" s="2" t="s">
        <v>96</v>
      </c>
      <c r="TM12" s="2" t="s">
        <v>96</v>
      </c>
      <c r="TN12" s="2" t="s">
        <v>96</v>
      </c>
      <c r="TO12" s="8">
        <v>22122380</v>
      </c>
      <c r="TP12" s="2"/>
      <c r="TQ12" s="2"/>
      <c r="TR12" s="2"/>
      <c r="TS12" s="8">
        <v>1423053</v>
      </c>
      <c r="TT12" s="8">
        <v>32070433</v>
      </c>
      <c r="TU12" s="6">
        <v>8525000</v>
      </c>
      <c r="TV12" s="2">
        <v>0</v>
      </c>
      <c r="TW12" s="2" t="s">
        <v>9</v>
      </c>
      <c r="TX12" s="2">
        <v>80</v>
      </c>
      <c r="TY12" s="5">
        <v>240000</v>
      </c>
      <c r="TZ12" s="6">
        <v>320000</v>
      </c>
      <c r="UA12" s="6">
        <v>327500</v>
      </c>
      <c r="UB12" s="6">
        <v>347150</v>
      </c>
      <c r="UC12" s="6">
        <v>27772000</v>
      </c>
      <c r="UD12" s="6">
        <v>4443520</v>
      </c>
      <c r="UE12" s="2" t="s">
        <v>97</v>
      </c>
      <c r="UF12" s="6">
        <v>4443520</v>
      </c>
      <c r="UG12" s="6">
        <v>32215520</v>
      </c>
      <c r="UH12" s="6">
        <v>29234992</v>
      </c>
      <c r="UI12" s="4">
        <v>0.99990000000000001</v>
      </c>
      <c r="UJ12" s="2" t="s">
        <v>9</v>
      </c>
      <c r="UK12" s="6">
        <v>75000</v>
      </c>
      <c r="UL12" s="2"/>
      <c r="UM12" s="6">
        <v>75000</v>
      </c>
      <c r="UN12" s="2"/>
      <c r="UO12" s="6">
        <v>0</v>
      </c>
      <c r="UP12" s="2"/>
      <c r="UQ12" s="6">
        <v>0</v>
      </c>
      <c r="UR12" s="6">
        <v>0</v>
      </c>
      <c r="US12" s="6">
        <v>75000</v>
      </c>
      <c r="UT12" s="6">
        <v>0</v>
      </c>
      <c r="UU12" s="6">
        <v>75000</v>
      </c>
      <c r="UV12" s="2" t="s">
        <v>2813</v>
      </c>
      <c r="UW12" s="2" t="s">
        <v>182</v>
      </c>
      <c r="UX12" s="2" t="s">
        <v>17</v>
      </c>
      <c r="UY12" s="2" t="s">
        <v>17</v>
      </c>
      <c r="UZ12" s="2" t="s">
        <v>17</v>
      </c>
      <c r="VA12" s="2" t="s">
        <v>17</v>
      </c>
      <c r="VB12" s="2" t="s">
        <v>2894</v>
      </c>
      <c r="VC12" s="2" t="s">
        <v>17</v>
      </c>
      <c r="VD12" s="2" t="s">
        <v>17</v>
      </c>
      <c r="VE12" s="2" t="s">
        <v>17</v>
      </c>
      <c r="VF12" s="2"/>
      <c r="VG12" s="2" t="s">
        <v>2923</v>
      </c>
      <c r="VH12" s="2"/>
      <c r="VI12" s="388" t="s">
        <v>832</v>
      </c>
      <c r="VJ12" s="2" t="s">
        <v>98</v>
      </c>
      <c r="VK12" s="2" t="s">
        <v>232</v>
      </c>
      <c r="VL12" s="23">
        <f t="shared" si="0"/>
        <v>86</v>
      </c>
      <c r="VM12" s="17">
        <f t="shared" si="1"/>
        <v>1.075</v>
      </c>
      <c r="VN12" s="17" t="str">
        <f t="shared" si="2"/>
        <v>NC-GA-E</v>
      </c>
      <c r="VO12" s="17" t="str">
        <f t="shared" si="14"/>
        <v>NC-GA-E-ESS</v>
      </c>
      <c r="VP12" s="12">
        <v>9</v>
      </c>
      <c r="VQ12" s="57">
        <v>1</v>
      </c>
      <c r="VR12" s="14">
        <f t="shared" si="3"/>
        <v>1</v>
      </c>
      <c r="VS12" s="14">
        <f t="shared" si="4"/>
        <v>0.97</v>
      </c>
      <c r="VT12" s="12">
        <f t="shared" si="5"/>
        <v>0.93</v>
      </c>
      <c r="VU12" s="29">
        <f t="shared" si="6"/>
        <v>19109292.552000001</v>
      </c>
      <c r="VV12" s="29">
        <f t="shared" si="7"/>
        <v>238866.1569</v>
      </c>
      <c r="VW12" s="12" t="str">
        <f t="shared" si="15"/>
        <v>A</v>
      </c>
      <c r="VX12" s="12" t="str">
        <f t="shared" si="8"/>
        <v>NC-GA-ESS</v>
      </c>
      <c r="VY12" s="351">
        <f t="shared" si="16"/>
        <v>3</v>
      </c>
      <c r="VZ12" s="12"/>
      <c r="WA12" s="12">
        <f t="shared" si="17"/>
        <v>1</v>
      </c>
      <c r="WB12" s="12">
        <f t="shared" si="18"/>
        <v>0</v>
      </c>
      <c r="WC12" s="12">
        <f t="shared" si="19"/>
        <v>0</v>
      </c>
      <c r="WD12" s="12">
        <f t="shared" si="20"/>
        <v>1</v>
      </c>
      <c r="WE12" s="12">
        <f t="shared" si="21"/>
        <v>1</v>
      </c>
      <c r="WF12" s="12">
        <f t="shared" si="9"/>
        <v>1</v>
      </c>
      <c r="WG12" s="12">
        <f t="shared" si="10"/>
        <v>0</v>
      </c>
      <c r="WH12" s="12">
        <f t="shared" si="11"/>
        <v>0</v>
      </c>
      <c r="WI12" s="31">
        <f t="shared" si="12"/>
        <v>4</v>
      </c>
      <c r="WJ12" s="2"/>
      <c r="WK12" s="444" t="str">
        <f t="shared" si="13"/>
        <v>NC-GA-ESS-BBN-BRN-PHA-E</v>
      </c>
      <c r="WL12" s="444"/>
      <c r="WM12" s="444"/>
      <c r="WN12" s="12"/>
    </row>
    <row r="13" spans="1:622" x14ac:dyDescent="0.25">
      <c r="A13" s="2">
        <v>9623</v>
      </c>
      <c r="B13" s="2" t="s">
        <v>2924</v>
      </c>
      <c r="C13" s="2" t="s">
        <v>2652</v>
      </c>
      <c r="D13" s="3">
        <v>45152</v>
      </c>
      <c r="E13" s="2" t="s">
        <v>9</v>
      </c>
      <c r="F13" s="2">
        <v>3</v>
      </c>
      <c r="G13" s="2" t="s">
        <v>9</v>
      </c>
      <c r="H13" s="2">
        <v>3</v>
      </c>
      <c r="I13" s="2" t="s">
        <v>9</v>
      </c>
      <c r="J13" s="2">
        <v>2</v>
      </c>
      <c r="K13" s="2" t="s">
        <v>9</v>
      </c>
      <c r="L13" s="2">
        <v>3</v>
      </c>
      <c r="M13" s="2" t="s">
        <v>10</v>
      </c>
      <c r="N13" s="2">
        <v>0</v>
      </c>
      <c r="O13" s="2" t="s">
        <v>10</v>
      </c>
      <c r="P13" s="2">
        <v>0</v>
      </c>
      <c r="Q13" s="2" t="s">
        <v>11</v>
      </c>
      <c r="R13" s="2">
        <v>0</v>
      </c>
      <c r="S13" s="2" t="s">
        <v>9</v>
      </c>
      <c r="T13" s="2">
        <v>2</v>
      </c>
      <c r="U13" s="2" t="s">
        <v>9</v>
      </c>
      <c r="V13" s="2">
        <v>2</v>
      </c>
      <c r="W13" s="2" t="s">
        <v>9</v>
      </c>
      <c r="X13" s="2">
        <v>2</v>
      </c>
      <c r="Y13" s="2" t="s">
        <v>12</v>
      </c>
      <c r="Z13" s="2" t="s">
        <v>538</v>
      </c>
      <c r="AA13" s="2" t="s">
        <v>2914</v>
      </c>
      <c r="AB13" s="2" t="s">
        <v>1620</v>
      </c>
      <c r="AC13" s="2" t="s">
        <v>15</v>
      </c>
      <c r="AD13" s="2" t="s">
        <v>15</v>
      </c>
      <c r="AE13" s="2" t="s">
        <v>15</v>
      </c>
      <c r="AF13" s="2">
        <v>3</v>
      </c>
      <c r="AG13" s="2" t="s">
        <v>1621</v>
      </c>
      <c r="AH13" s="2" t="s">
        <v>17</v>
      </c>
      <c r="AI13" s="4">
        <v>0.15556</v>
      </c>
      <c r="AJ13" s="2" t="s">
        <v>17</v>
      </c>
      <c r="AK13" s="2" t="s">
        <v>9</v>
      </c>
      <c r="AL13" s="2" t="s">
        <v>17</v>
      </c>
      <c r="AM13" s="2" t="s">
        <v>9</v>
      </c>
      <c r="AN13" s="2" t="s">
        <v>17</v>
      </c>
      <c r="AO13" s="2" t="s">
        <v>17</v>
      </c>
      <c r="AP13" s="2" t="s">
        <v>17</v>
      </c>
      <c r="AQ13" s="2" t="s">
        <v>17</v>
      </c>
      <c r="AR13" s="2" t="s">
        <v>17</v>
      </c>
      <c r="AS13" s="2" t="s">
        <v>17</v>
      </c>
      <c r="AT13" s="2">
        <v>5</v>
      </c>
      <c r="AU13" s="5">
        <v>100000</v>
      </c>
      <c r="AV13" s="5">
        <v>640000</v>
      </c>
      <c r="AW13" s="2">
        <v>0</v>
      </c>
      <c r="AX13" s="2">
        <v>10</v>
      </c>
      <c r="AY13" s="2">
        <v>0</v>
      </c>
      <c r="AZ13" s="2">
        <v>18</v>
      </c>
      <c r="BA13" s="2">
        <v>0</v>
      </c>
      <c r="BB13" s="2">
        <v>0</v>
      </c>
      <c r="BC13" s="2">
        <v>1</v>
      </c>
      <c r="BD13" s="2">
        <v>3</v>
      </c>
      <c r="BE13" s="2">
        <v>0</v>
      </c>
      <c r="BF13" s="2">
        <v>1</v>
      </c>
      <c r="BG13" s="2">
        <v>0</v>
      </c>
      <c r="BH13" s="2">
        <v>0</v>
      </c>
      <c r="BI13" s="2">
        <v>13</v>
      </c>
      <c r="BJ13" s="2">
        <v>1</v>
      </c>
      <c r="BK13" s="2">
        <v>0</v>
      </c>
      <c r="BL13" s="2">
        <v>3</v>
      </c>
      <c r="BM13" s="2">
        <v>0</v>
      </c>
      <c r="BN13" s="2">
        <v>11</v>
      </c>
      <c r="BO13" s="2">
        <v>11</v>
      </c>
      <c r="BP13" s="2">
        <v>0</v>
      </c>
      <c r="BQ13" s="2">
        <v>10</v>
      </c>
      <c r="BR13" s="2">
        <v>9.27</v>
      </c>
      <c r="BS13" s="2">
        <v>0</v>
      </c>
      <c r="BT13" s="4">
        <v>0.06</v>
      </c>
      <c r="BU13" s="2" t="s">
        <v>9</v>
      </c>
      <c r="BV13" s="6">
        <v>199323.96</v>
      </c>
      <c r="BW13" s="2" t="s">
        <v>18</v>
      </c>
      <c r="BX13" s="2" t="s">
        <v>17</v>
      </c>
      <c r="BY13" s="2" t="s">
        <v>17</v>
      </c>
      <c r="BZ13" s="2" t="s">
        <v>17</v>
      </c>
      <c r="CA13" s="2" t="s">
        <v>17</v>
      </c>
      <c r="CB13" s="2" t="s">
        <v>17</v>
      </c>
      <c r="CC13" s="2" t="s">
        <v>17</v>
      </c>
      <c r="CD13" s="2" t="s">
        <v>17</v>
      </c>
      <c r="CE13" s="2" t="s">
        <v>2925</v>
      </c>
      <c r="CF13" s="2" t="s">
        <v>17</v>
      </c>
      <c r="CG13" s="2" t="s">
        <v>2926</v>
      </c>
      <c r="CH13" s="2"/>
      <c r="CI13" s="2"/>
      <c r="CJ13" s="2" t="s">
        <v>9</v>
      </c>
      <c r="CK13" s="2" t="s">
        <v>1085</v>
      </c>
      <c r="CL13" s="2" t="s">
        <v>2927</v>
      </c>
      <c r="CM13" s="2" t="s">
        <v>1087</v>
      </c>
      <c r="CN13" s="2" t="s">
        <v>147</v>
      </c>
      <c r="CO13" s="2" t="s">
        <v>24</v>
      </c>
      <c r="CP13" s="2"/>
      <c r="CQ13" s="2">
        <v>112</v>
      </c>
      <c r="CR13" s="2" t="s">
        <v>25</v>
      </c>
      <c r="CS13" s="2">
        <v>2014</v>
      </c>
      <c r="CT13" s="2" t="s">
        <v>26</v>
      </c>
      <c r="CU13" s="2" t="s">
        <v>27</v>
      </c>
      <c r="CV13" s="2" t="s">
        <v>1088</v>
      </c>
      <c r="CW13" s="2" t="s">
        <v>330</v>
      </c>
      <c r="CX13" s="2" t="s">
        <v>24</v>
      </c>
      <c r="CY13" s="2"/>
      <c r="CZ13" s="2">
        <v>73</v>
      </c>
      <c r="DA13" s="2" t="s">
        <v>25</v>
      </c>
      <c r="DB13" s="2">
        <v>2017</v>
      </c>
      <c r="DC13" s="2" t="s">
        <v>30</v>
      </c>
      <c r="DD13" s="2" t="s">
        <v>27</v>
      </c>
      <c r="DE13" s="2" t="s">
        <v>1090</v>
      </c>
      <c r="DF13" s="2" t="s">
        <v>330</v>
      </c>
      <c r="DG13" s="2" t="s">
        <v>24</v>
      </c>
      <c r="DH13" s="2"/>
      <c r="DI13" s="2">
        <v>99</v>
      </c>
      <c r="DJ13" s="2" t="s">
        <v>25</v>
      </c>
      <c r="DK13" s="2">
        <v>2012</v>
      </c>
      <c r="DL13" s="2" t="s">
        <v>243</v>
      </c>
      <c r="DM13" s="2" t="s">
        <v>27</v>
      </c>
      <c r="DN13" s="2" t="s">
        <v>2663</v>
      </c>
      <c r="DO13" s="2" t="s">
        <v>1091</v>
      </c>
      <c r="DP13" s="2" t="s">
        <v>2629</v>
      </c>
      <c r="DQ13" s="2" t="s">
        <v>1092</v>
      </c>
      <c r="DR13" s="2" t="s">
        <v>1093</v>
      </c>
      <c r="DS13" s="2">
        <v>1</v>
      </c>
      <c r="DT13" s="2" t="s">
        <v>1388</v>
      </c>
      <c r="DU13" s="2" t="s">
        <v>1095</v>
      </c>
      <c r="DV13" s="2" t="s">
        <v>260</v>
      </c>
      <c r="DW13" s="2">
        <v>77024</v>
      </c>
      <c r="DX13" s="2" t="s">
        <v>386</v>
      </c>
      <c r="DY13" s="2"/>
      <c r="DZ13" s="2" t="s">
        <v>1097</v>
      </c>
      <c r="EA13" s="2" t="s">
        <v>1093</v>
      </c>
      <c r="EB13" s="2" t="s">
        <v>2782</v>
      </c>
      <c r="EC13" s="2" t="s">
        <v>333</v>
      </c>
      <c r="ED13" s="2" t="s">
        <v>44</v>
      </c>
      <c r="EE13" s="2">
        <v>188</v>
      </c>
      <c r="EF13" s="2" t="s">
        <v>45</v>
      </c>
      <c r="EG13" s="2">
        <v>7</v>
      </c>
      <c r="EH13" s="2" t="s">
        <v>46</v>
      </c>
      <c r="EI13" s="2" t="s">
        <v>47</v>
      </c>
      <c r="EJ13" s="2" t="s">
        <v>1099</v>
      </c>
      <c r="EK13" s="2" t="s">
        <v>389</v>
      </c>
      <c r="EL13" s="2" t="s">
        <v>44</v>
      </c>
      <c r="EM13" s="2">
        <v>160</v>
      </c>
      <c r="EN13" s="2" t="s">
        <v>45</v>
      </c>
      <c r="EO13" s="2">
        <v>3</v>
      </c>
      <c r="EP13" s="2" t="s">
        <v>46</v>
      </c>
      <c r="EQ13" s="2" t="s">
        <v>47</v>
      </c>
      <c r="ER13" s="2" t="s">
        <v>1100</v>
      </c>
      <c r="ES13" s="2" t="s">
        <v>951</v>
      </c>
      <c r="ET13" s="2" t="s">
        <v>1101</v>
      </c>
      <c r="EU13" s="2" t="s">
        <v>1102</v>
      </c>
      <c r="EV13" s="2" t="s">
        <v>1103</v>
      </c>
      <c r="EW13" s="2" t="s">
        <v>299</v>
      </c>
      <c r="EX13" s="2" t="s">
        <v>39</v>
      </c>
      <c r="EY13" s="2">
        <v>33131</v>
      </c>
      <c r="EZ13" s="2" t="s">
        <v>1390</v>
      </c>
      <c r="FA13" s="2"/>
      <c r="FB13" s="2" t="s">
        <v>1105</v>
      </c>
      <c r="FC13" s="2" t="s">
        <v>2783</v>
      </c>
      <c r="FD13" s="2"/>
      <c r="FE13" s="2" t="s">
        <v>1107</v>
      </c>
      <c r="FF13" s="2" t="s">
        <v>1102</v>
      </c>
      <c r="FG13" s="2" t="s">
        <v>1103</v>
      </c>
      <c r="FH13" s="2" t="s">
        <v>299</v>
      </c>
      <c r="FI13" s="2" t="s">
        <v>39</v>
      </c>
      <c r="FJ13" s="2">
        <v>33131</v>
      </c>
      <c r="FK13" s="2" t="s">
        <v>2784</v>
      </c>
      <c r="FL13" s="2"/>
      <c r="FM13" s="2" t="s">
        <v>1110</v>
      </c>
      <c r="FN13" s="2" t="s">
        <v>2928</v>
      </c>
      <c r="FO13" s="2" t="s">
        <v>63</v>
      </c>
      <c r="FP13" s="2" t="s">
        <v>64</v>
      </c>
      <c r="FQ13" s="2" t="s">
        <v>9</v>
      </c>
      <c r="FR13" s="2" t="s">
        <v>17</v>
      </c>
      <c r="FS13" s="2" t="s">
        <v>17</v>
      </c>
      <c r="FT13" s="2" t="s">
        <v>9</v>
      </c>
      <c r="FU13" s="2">
        <v>0</v>
      </c>
      <c r="FV13" s="2">
        <v>0</v>
      </c>
      <c r="FW13" s="4">
        <v>0</v>
      </c>
      <c r="FX13" s="4">
        <v>0</v>
      </c>
      <c r="FY13" s="2" t="s">
        <v>65</v>
      </c>
      <c r="FZ13" s="2" t="s">
        <v>66</v>
      </c>
      <c r="GA13" s="2" t="s">
        <v>67</v>
      </c>
      <c r="GB13" s="2"/>
      <c r="GC13" s="2"/>
      <c r="GD13" s="2"/>
      <c r="GE13" s="2" t="s">
        <v>2684</v>
      </c>
      <c r="GF13" s="2"/>
      <c r="GG13" s="2"/>
      <c r="GH13" s="2"/>
      <c r="GI13" s="2"/>
      <c r="GJ13" s="2"/>
      <c r="GK13" s="2">
        <v>90</v>
      </c>
      <c r="GL13" s="2"/>
      <c r="GM13" s="2"/>
      <c r="GN13" s="2"/>
      <c r="GO13" s="2"/>
      <c r="GP13" s="2"/>
      <c r="GQ13" s="2">
        <v>90</v>
      </c>
      <c r="GR13" s="2" t="s">
        <v>2617</v>
      </c>
      <c r="GS13" s="2" t="s">
        <v>2686</v>
      </c>
      <c r="GT13" s="2" t="s">
        <v>2929</v>
      </c>
      <c r="GU13" s="2" t="s">
        <v>2930</v>
      </c>
      <c r="GV13" s="2" t="s">
        <v>17</v>
      </c>
      <c r="GW13" s="2">
        <v>26.143916999999998</v>
      </c>
      <c r="GX13" s="2">
        <v>-80.140330000000006</v>
      </c>
      <c r="GY13" s="2"/>
      <c r="GZ13" s="2" t="s">
        <v>17</v>
      </c>
      <c r="HA13" s="2">
        <v>0</v>
      </c>
      <c r="HB13" s="2" t="s">
        <v>17</v>
      </c>
      <c r="HC13" s="2"/>
      <c r="HD13" s="2">
        <v>0</v>
      </c>
      <c r="HE13" s="2">
        <v>26.144189000000001</v>
      </c>
      <c r="HF13" s="2">
        <v>-80.140763000000007</v>
      </c>
      <c r="HG13" s="2">
        <v>0.03</v>
      </c>
      <c r="HH13" s="2">
        <v>6</v>
      </c>
      <c r="HI13" s="2">
        <v>26.143028000000001</v>
      </c>
      <c r="HJ13" s="2">
        <v>-80.140551000000002</v>
      </c>
      <c r="HK13" s="2">
        <v>0.06</v>
      </c>
      <c r="HL13" s="2">
        <v>26.144178</v>
      </c>
      <c r="HM13" s="2">
        <v>-80.144399000000007</v>
      </c>
      <c r="HN13" s="2">
        <v>0.25</v>
      </c>
      <c r="HO13" s="2"/>
      <c r="HP13" s="2"/>
      <c r="HQ13" s="2"/>
      <c r="HR13" s="2"/>
      <c r="HS13" s="2"/>
      <c r="HT13" s="2"/>
      <c r="HU13" s="2"/>
      <c r="HV13" s="2"/>
      <c r="HW13" s="2" t="s">
        <v>73</v>
      </c>
      <c r="HX13" s="2" t="s">
        <v>2931</v>
      </c>
      <c r="HY13" s="2" t="s">
        <v>2932</v>
      </c>
      <c r="HZ13" s="2">
        <v>0.63</v>
      </c>
      <c r="IA13" s="2">
        <v>3</v>
      </c>
      <c r="IB13" s="2"/>
      <c r="IC13" s="2"/>
      <c r="ID13" s="2"/>
      <c r="IE13" s="2"/>
      <c r="IF13" s="2" t="s">
        <v>1118</v>
      </c>
      <c r="IG13" s="2" t="s">
        <v>2933</v>
      </c>
      <c r="IH13" s="2">
        <v>0.53</v>
      </c>
      <c r="II13" s="2">
        <v>3</v>
      </c>
      <c r="IJ13" s="2" t="s">
        <v>2934</v>
      </c>
      <c r="IK13" s="2" t="s">
        <v>2935</v>
      </c>
      <c r="IL13" s="2">
        <v>0.4</v>
      </c>
      <c r="IM13" s="2">
        <v>4</v>
      </c>
      <c r="IN13" s="2" t="s">
        <v>17</v>
      </c>
      <c r="IO13" s="2"/>
      <c r="IP13" s="2" t="s">
        <v>79</v>
      </c>
      <c r="IQ13" s="2">
        <v>6</v>
      </c>
      <c r="IR13" s="2">
        <v>10</v>
      </c>
      <c r="IS13" s="2">
        <v>0</v>
      </c>
      <c r="IT13" s="2">
        <v>16</v>
      </c>
      <c r="IU13" s="2" t="s">
        <v>17</v>
      </c>
      <c r="IV13" s="2" t="s">
        <v>17</v>
      </c>
      <c r="IW13" s="2" t="s">
        <v>17</v>
      </c>
      <c r="IX13" s="2" t="s">
        <v>9</v>
      </c>
      <c r="IY13" s="2">
        <v>16</v>
      </c>
      <c r="IZ13" s="2">
        <v>90</v>
      </c>
      <c r="JA13" s="2" t="s">
        <v>2731</v>
      </c>
      <c r="JB13" s="2" t="s">
        <v>82</v>
      </c>
      <c r="JC13" s="2"/>
      <c r="JD13" s="2"/>
      <c r="JE13" s="2"/>
      <c r="JF13" s="7">
        <v>0</v>
      </c>
      <c r="JG13" s="7"/>
      <c r="JH13" s="7"/>
      <c r="JI13" s="2">
        <v>0</v>
      </c>
      <c r="JJ13" s="7">
        <v>0</v>
      </c>
      <c r="JK13" s="2">
        <v>0</v>
      </c>
      <c r="JL13" s="7">
        <v>0</v>
      </c>
      <c r="JM13" s="2">
        <v>14</v>
      </c>
      <c r="JN13" s="2"/>
      <c r="JO13" s="2">
        <v>34</v>
      </c>
      <c r="JP13" s="2">
        <v>42</v>
      </c>
      <c r="JQ13" s="2"/>
      <c r="JR13" s="2">
        <v>0</v>
      </c>
      <c r="JS13" s="2">
        <v>0</v>
      </c>
      <c r="JT13" s="2"/>
      <c r="JU13" s="2"/>
      <c r="JV13" s="2">
        <v>90</v>
      </c>
      <c r="JW13" s="4">
        <v>1</v>
      </c>
      <c r="JX13" s="2">
        <v>90</v>
      </c>
      <c r="JY13" s="4">
        <v>0.6</v>
      </c>
      <c r="JZ13" s="2">
        <v>0</v>
      </c>
      <c r="KA13" s="2"/>
      <c r="KB13" s="2"/>
      <c r="KC13" s="2"/>
      <c r="KD13" s="2"/>
      <c r="KE13" s="2"/>
      <c r="KF13" s="2"/>
      <c r="KG13" s="2"/>
      <c r="KH13" s="2">
        <v>55</v>
      </c>
      <c r="KI13" s="2"/>
      <c r="KJ13" s="2"/>
      <c r="KK13" s="2">
        <v>35</v>
      </c>
      <c r="KL13" s="2"/>
      <c r="KM13" s="2"/>
      <c r="KN13" s="2"/>
      <c r="KO13" s="2"/>
      <c r="KP13" s="2"/>
      <c r="KQ13" s="2" t="s">
        <v>83</v>
      </c>
      <c r="KR13" s="2" t="s">
        <v>73</v>
      </c>
      <c r="KS13" s="2"/>
      <c r="KT13" s="2">
        <v>1</v>
      </c>
      <c r="KU13" s="2" t="s">
        <v>84</v>
      </c>
      <c r="KV13" s="2" t="s">
        <v>85</v>
      </c>
      <c r="KW13" s="2" t="s">
        <v>86</v>
      </c>
      <c r="KX13" s="2" t="s">
        <v>17</v>
      </c>
      <c r="KY13" s="2" t="s">
        <v>17</v>
      </c>
      <c r="KZ13" s="2" t="s">
        <v>17</v>
      </c>
      <c r="LA13" s="2" t="s">
        <v>17</v>
      </c>
      <c r="LB13" s="2" t="s">
        <v>17</v>
      </c>
      <c r="LC13" s="2" t="s">
        <v>17</v>
      </c>
      <c r="LD13" s="2" t="s">
        <v>17</v>
      </c>
      <c r="LE13" s="2" t="s">
        <v>17</v>
      </c>
      <c r="LF13" s="2" t="s">
        <v>17</v>
      </c>
      <c r="LG13" s="2" t="s">
        <v>17</v>
      </c>
      <c r="LH13" s="2" t="s">
        <v>17</v>
      </c>
      <c r="LI13" s="2" t="s">
        <v>17</v>
      </c>
      <c r="LJ13" s="2" t="s">
        <v>87</v>
      </c>
      <c r="LK13" s="2" t="s">
        <v>17</v>
      </c>
      <c r="LL13" s="2" t="s">
        <v>17</v>
      </c>
      <c r="LM13" s="2">
        <v>0</v>
      </c>
      <c r="LN13" s="2" t="s">
        <v>17</v>
      </c>
      <c r="LO13" s="2" t="s">
        <v>9</v>
      </c>
      <c r="LP13" s="2" t="s">
        <v>9</v>
      </c>
      <c r="LQ13" s="2" t="s">
        <v>17</v>
      </c>
      <c r="LR13" s="2" t="s">
        <v>9</v>
      </c>
      <c r="LS13" s="2" t="s">
        <v>17</v>
      </c>
      <c r="LT13" s="2" t="s">
        <v>17</v>
      </c>
      <c r="LU13" s="2" t="s">
        <v>17</v>
      </c>
      <c r="LV13" s="2" t="s">
        <v>17</v>
      </c>
      <c r="LW13" s="2" t="s">
        <v>17</v>
      </c>
      <c r="LX13" s="2" t="s">
        <v>17</v>
      </c>
      <c r="LY13" s="5">
        <v>6500000</v>
      </c>
      <c r="LZ13" s="5">
        <v>0</v>
      </c>
      <c r="MA13" s="5">
        <v>8400000</v>
      </c>
      <c r="MB13" s="5">
        <v>0</v>
      </c>
      <c r="MC13" s="5">
        <v>0</v>
      </c>
      <c r="MD13" s="5">
        <v>0</v>
      </c>
      <c r="ME13" s="5">
        <v>9450000</v>
      </c>
      <c r="MF13" s="5">
        <v>0</v>
      </c>
      <c r="MG13" s="5">
        <v>0</v>
      </c>
      <c r="MH13" s="5">
        <v>0</v>
      </c>
      <c r="MI13" s="5">
        <v>0</v>
      </c>
      <c r="MJ13" s="5">
        <v>0</v>
      </c>
      <c r="MK13" s="5">
        <v>0</v>
      </c>
      <c r="ML13" s="2">
        <v>0</v>
      </c>
      <c r="MM13" s="5">
        <v>0</v>
      </c>
      <c r="MN13" s="5">
        <v>0</v>
      </c>
      <c r="MO13" s="2">
        <v>0</v>
      </c>
      <c r="MP13" s="2">
        <v>0</v>
      </c>
      <c r="MQ13" s="2">
        <v>0</v>
      </c>
      <c r="MR13" s="5">
        <v>2950000</v>
      </c>
      <c r="MS13" s="5">
        <v>0</v>
      </c>
      <c r="MT13" s="5">
        <v>4600000</v>
      </c>
      <c r="MU13" s="5">
        <v>0</v>
      </c>
      <c r="MV13" s="5">
        <v>0</v>
      </c>
      <c r="MW13" s="5">
        <v>0</v>
      </c>
      <c r="MX13" s="5">
        <v>0</v>
      </c>
      <c r="MY13" s="5">
        <v>2500000</v>
      </c>
      <c r="MZ13" s="5">
        <v>0</v>
      </c>
      <c r="NA13" s="5">
        <v>5000000</v>
      </c>
      <c r="NB13" s="5">
        <v>0</v>
      </c>
      <c r="NC13" s="5">
        <v>0</v>
      </c>
      <c r="ND13" s="5">
        <v>0</v>
      </c>
      <c r="NE13" s="5">
        <v>0</v>
      </c>
      <c r="NF13" s="5">
        <v>0</v>
      </c>
      <c r="NG13" s="5">
        <v>3458400</v>
      </c>
      <c r="NH13" s="5">
        <v>3175000</v>
      </c>
      <c r="NI13" s="5">
        <v>3175000</v>
      </c>
      <c r="NJ13" s="2" t="s">
        <v>9</v>
      </c>
      <c r="NK13" s="2"/>
      <c r="NL13" s="2"/>
      <c r="NM13" s="2" t="s">
        <v>17</v>
      </c>
      <c r="NN13" s="2"/>
      <c r="NO13" s="2" t="s">
        <v>9</v>
      </c>
      <c r="NP13" s="2">
        <v>33304</v>
      </c>
      <c r="NQ13" s="2" t="s">
        <v>2732</v>
      </c>
      <c r="NR13" s="2" t="s">
        <v>17</v>
      </c>
      <c r="NS13" s="2"/>
      <c r="NT13" s="2" t="s">
        <v>17</v>
      </c>
      <c r="NU13" s="2"/>
      <c r="NV13" s="2"/>
      <c r="NW13" s="2"/>
      <c r="NX13" s="2" t="s">
        <v>9</v>
      </c>
      <c r="NY13" s="2" t="s">
        <v>119</v>
      </c>
      <c r="NZ13" s="2">
        <v>408.02</v>
      </c>
      <c r="OA13" s="2" t="s">
        <v>2733</v>
      </c>
      <c r="OB13" s="2" t="s">
        <v>2734</v>
      </c>
      <c r="OC13" s="2" t="s">
        <v>2734</v>
      </c>
      <c r="OD13" s="2" t="s">
        <v>17</v>
      </c>
      <c r="OE13" s="2" t="s">
        <v>119</v>
      </c>
      <c r="OF13" s="2" t="s">
        <v>9</v>
      </c>
      <c r="OG13" s="2" t="s">
        <v>557</v>
      </c>
      <c r="OH13" s="2" t="s">
        <v>17</v>
      </c>
      <c r="OI13" s="2" t="s">
        <v>17</v>
      </c>
      <c r="OJ13" s="2" t="s">
        <v>85</v>
      </c>
      <c r="OK13" s="6">
        <v>0</v>
      </c>
      <c r="OL13" s="6">
        <v>0</v>
      </c>
      <c r="OM13" s="2" t="s">
        <v>93</v>
      </c>
      <c r="ON13" s="2" t="s">
        <v>93</v>
      </c>
      <c r="OO13" s="6">
        <v>0</v>
      </c>
      <c r="OP13" s="6">
        <v>0</v>
      </c>
      <c r="OQ13" s="4">
        <v>0</v>
      </c>
      <c r="OR13" s="6">
        <v>0</v>
      </c>
      <c r="OS13" s="4">
        <v>0</v>
      </c>
      <c r="OT13" s="2" t="s">
        <v>17</v>
      </c>
      <c r="OU13" s="2" t="s">
        <v>17</v>
      </c>
      <c r="OV13" s="2"/>
      <c r="OW13" s="2"/>
      <c r="OX13" s="5">
        <v>17939156</v>
      </c>
      <c r="OY13" s="6">
        <v>199323.96</v>
      </c>
      <c r="OZ13" s="2"/>
      <c r="PA13" s="2"/>
      <c r="PB13" s="2"/>
      <c r="PC13" s="2"/>
      <c r="PD13" s="8">
        <v>18278509</v>
      </c>
      <c r="PE13" s="2"/>
      <c r="PF13" s="8">
        <v>18278509</v>
      </c>
      <c r="PG13" s="2"/>
      <c r="PH13" s="2"/>
      <c r="PI13" s="2"/>
      <c r="PJ13" s="8">
        <v>300000</v>
      </c>
      <c r="PK13" s="2"/>
      <c r="PL13" s="8">
        <v>300000</v>
      </c>
      <c r="PM13" s="8">
        <v>18578509</v>
      </c>
      <c r="PN13" s="2"/>
      <c r="PO13" s="8">
        <v>18578509</v>
      </c>
      <c r="PP13" s="8">
        <v>2558992</v>
      </c>
      <c r="PQ13" s="2"/>
      <c r="PR13" s="8">
        <v>2558992</v>
      </c>
      <c r="PS13" s="6">
        <v>2600991</v>
      </c>
      <c r="PT13" s="8">
        <v>21137501</v>
      </c>
      <c r="PU13" s="2"/>
      <c r="PV13" s="8">
        <v>21137501</v>
      </c>
      <c r="PW13" s="8">
        <v>1041875</v>
      </c>
      <c r="PX13" s="2"/>
      <c r="PY13" s="8">
        <v>1041875</v>
      </c>
      <c r="PZ13" s="6">
        <v>1056875.05</v>
      </c>
      <c r="QA13" s="8">
        <v>932950</v>
      </c>
      <c r="QB13" s="8">
        <v>6500</v>
      </c>
      <c r="QC13" s="8">
        <v>939450</v>
      </c>
      <c r="QD13" s="8">
        <v>191281</v>
      </c>
      <c r="QE13" s="2"/>
      <c r="QF13" s="8">
        <v>191281</v>
      </c>
      <c r="QG13" s="8">
        <v>810000</v>
      </c>
      <c r="QH13" s="2"/>
      <c r="QI13" s="8">
        <v>810000</v>
      </c>
      <c r="QJ13" s="2"/>
      <c r="QK13" s="8">
        <v>583750</v>
      </c>
      <c r="QL13" s="8">
        <v>583750</v>
      </c>
      <c r="QM13" s="2"/>
      <c r="QN13" s="2"/>
      <c r="QO13" s="2"/>
      <c r="QP13" s="8">
        <v>325000</v>
      </c>
      <c r="QQ13" s="8">
        <v>639104</v>
      </c>
      <c r="QR13" s="8">
        <v>964104</v>
      </c>
      <c r="QS13" s="8">
        <v>2259231</v>
      </c>
      <c r="QT13" s="8">
        <v>1229354</v>
      </c>
      <c r="QU13" s="8">
        <v>3488585</v>
      </c>
      <c r="QV13" s="8">
        <v>107973</v>
      </c>
      <c r="QW13" s="2"/>
      <c r="QX13" s="8">
        <v>107973</v>
      </c>
      <c r="QY13" s="6">
        <v>174429.25</v>
      </c>
      <c r="QZ13" s="8">
        <v>275000</v>
      </c>
      <c r="RA13" s="2"/>
      <c r="RB13" s="8">
        <v>275000</v>
      </c>
      <c r="RC13" s="8">
        <v>195383</v>
      </c>
      <c r="RD13" s="8">
        <v>195383</v>
      </c>
      <c r="RE13" s="8">
        <v>1449193</v>
      </c>
      <c r="RF13" s="8">
        <v>512002</v>
      </c>
      <c r="RG13" s="8">
        <v>1961195</v>
      </c>
      <c r="RH13" s="8">
        <v>1724193</v>
      </c>
      <c r="RI13" s="8">
        <v>707385</v>
      </c>
      <c r="RJ13" s="8">
        <v>2431578</v>
      </c>
      <c r="RK13" s="2"/>
      <c r="RL13" s="2"/>
      <c r="RM13" s="8">
        <v>26270773</v>
      </c>
      <c r="RN13" s="8">
        <v>1936739</v>
      </c>
      <c r="RO13" s="8">
        <v>28207512</v>
      </c>
      <c r="RP13" s="2">
        <v>0</v>
      </c>
      <c r="RQ13" s="6">
        <v>0</v>
      </c>
      <c r="RR13" s="8">
        <v>4513201</v>
      </c>
      <c r="RS13" s="2"/>
      <c r="RT13" s="8">
        <v>4513201</v>
      </c>
      <c r="RU13" s="6">
        <v>4513201</v>
      </c>
      <c r="RV13" s="6">
        <v>0</v>
      </c>
      <c r="RW13" s="8">
        <v>4513201</v>
      </c>
      <c r="RX13" s="2"/>
      <c r="RY13" s="8">
        <v>4513201</v>
      </c>
      <c r="RZ13" s="6">
        <v>4513201</v>
      </c>
      <c r="SA13" s="8">
        <v>288634</v>
      </c>
      <c r="SB13" s="8">
        <v>288634</v>
      </c>
      <c r="SC13" s="6">
        <v>315000</v>
      </c>
      <c r="SD13" s="8">
        <v>3000000</v>
      </c>
      <c r="SE13" s="8">
        <v>3000000</v>
      </c>
      <c r="SF13" s="8">
        <v>30783974</v>
      </c>
      <c r="SG13" s="8">
        <v>5225373</v>
      </c>
      <c r="SH13" s="8">
        <v>36009347</v>
      </c>
      <c r="SI13" s="2"/>
      <c r="SJ13" s="2" t="s">
        <v>2793</v>
      </c>
      <c r="SK13" s="2" t="s">
        <v>2936</v>
      </c>
      <c r="SL13" s="2" t="s">
        <v>2795</v>
      </c>
      <c r="SM13" s="8">
        <v>27000000</v>
      </c>
      <c r="SN13" s="2" t="s">
        <v>95</v>
      </c>
      <c r="SO13" s="2"/>
      <c r="SP13" s="2"/>
      <c r="SQ13" s="2"/>
      <c r="SR13" s="2"/>
      <c r="SS13" s="2" t="s">
        <v>96</v>
      </c>
      <c r="ST13" s="2" t="s">
        <v>96</v>
      </c>
      <c r="SU13" s="2" t="s">
        <v>96</v>
      </c>
      <c r="SV13" s="2" t="s">
        <v>96</v>
      </c>
      <c r="SW13" s="8">
        <v>7539871</v>
      </c>
      <c r="SX13" s="2" t="s">
        <v>2738</v>
      </c>
      <c r="SY13" s="8">
        <v>100000</v>
      </c>
      <c r="SZ13" s="2" t="s">
        <v>180</v>
      </c>
      <c r="TA13" s="8">
        <v>1369476</v>
      </c>
      <c r="TB13" s="8">
        <v>36009347</v>
      </c>
      <c r="TC13" s="2">
        <v>0</v>
      </c>
      <c r="TD13" s="2" t="s">
        <v>9</v>
      </c>
      <c r="TE13" s="8">
        <v>4785000</v>
      </c>
      <c r="TF13" s="2" t="s">
        <v>95</v>
      </c>
      <c r="TG13" s="2"/>
      <c r="TH13" s="2"/>
      <c r="TI13" s="2"/>
      <c r="TJ13" s="2"/>
      <c r="TK13" s="2" t="s">
        <v>96</v>
      </c>
      <c r="TL13" s="2" t="s">
        <v>96</v>
      </c>
      <c r="TM13" s="2" t="s">
        <v>96</v>
      </c>
      <c r="TN13" s="2" t="s">
        <v>96</v>
      </c>
      <c r="TO13" s="8">
        <v>30159484</v>
      </c>
      <c r="TP13" s="2" t="s">
        <v>2937</v>
      </c>
      <c r="TQ13" s="8">
        <v>100000</v>
      </c>
      <c r="TR13" s="2" t="s">
        <v>180</v>
      </c>
      <c r="TS13" s="8">
        <v>964863</v>
      </c>
      <c r="TT13" s="8">
        <v>36009347</v>
      </c>
      <c r="TU13" s="6">
        <v>4885000</v>
      </c>
      <c r="TV13" s="2">
        <v>0</v>
      </c>
      <c r="TW13" s="2" t="s">
        <v>9</v>
      </c>
      <c r="TX13" s="2">
        <v>90</v>
      </c>
      <c r="TY13" s="5">
        <v>310000</v>
      </c>
      <c r="TZ13" s="6">
        <v>413333.33</v>
      </c>
      <c r="UA13" s="6">
        <v>413333.33</v>
      </c>
      <c r="UB13" s="6">
        <v>438133.33</v>
      </c>
      <c r="UC13" s="6">
        <v>39432000</v>
      </c>
      <c r="UD13" s="6">
        <v>6309120</v>
      </c>
      <c r="UE13" s="2" t="s">
        <v>97</v>
      </c>
      <c r="UF13" s="6">
        <v>6309120</v>
      </c>
      <c r="UG13" s="6">
        <v>45741120</v>
      </c>
      <c r="UH13" s="6">
        <v>32720713</v>
      </c>
      <c r="UI13" s="4">
        <v>0.99990000000000001</v>
      </c>
      <c r="UJ13" s="2" t="s">
        <v>9</v>
      </c>
      <c r="UK13" s="2"/>
      <c r="UL13" s="2"/>
      <c r="UM13" s="6">
        <v>0</v>
      </c>
      <c r="UN13" s="6">
        <v>100000</v>
      </c>
      <c r="UO13" s="6">
        <v>100000</v>
      </c>
      <c r="UP13" s="2"/>
      <c r="UQ13" s="6">
        <v>0</v>
      </c>
      <c r="UR13" s="6">
        <v>0</v>
      </c>
      <c r="US13" s="6">
        <v>100000</v>
      </c>
      <c r="UT13" s="6">
        <v>0</v>
      </c>
      <c r="UU13" s="6">
        <v>100000</v>
      </c>
      <c r="UV13" s="2" t="s">
        <v>2739</v>
      </c>
      <c r="UW13" s="2" t="s">
        <v>453</v>
      </c>
      <c r="UX13" s="2" t="s">
        <v>17</v>
      </c>
      <c r="UY13" s="2" t="s">
        <v>17</v>
      </c>
      <c r="UZ13" s="2" t="s">
        <v>17</v>
      </c>
      <c r="VA13" s="2" t="s">
        <v>17</v>
      </c>
      <c r="VB13" s="2" t="s">
        <v>2740</v>
      </c>
      <c r="VC13" s="2" t="s">
        <v>17</v>
      </c>
      <c r="VD13" s="2" t="s">
        <v>17</v>
      </c>
      <c r="VE13" s="2" t="s">
        <v>17</v>
      </c>
      <c r="VF13" s="2"/>
      <c r="VG13" s="2" t="s">
        <v>2938</v>
      </c>
      <c r="VH13" s="2"/>
      <c r="VI13" s="388" t="s">
        <v>1125</v>
      </c>
      <c r="VJ13" s="2" t="s">
        <v>98</v>
      </c>
      <c r="VK13" s="2" t="s">
        <v>2939</v>
      </c>
      <c r="VL13" s="23">
        <f t="shared" si="0"/>
        <v>125</v>
      </c>
      <c r="VM13" s="17">
        <f t="shared" si="1"/>
        <v>1.3888888888888888</v>
      </c>
      <c r="VN13" s="17" t="str">
        <f t="shared" si="2"/>
        <v>NC-HR-F</v>
      </c>
      <c r="VO13" s="17" t="str">
        <f t="shared" si="14"/>
        <v>NC-HR-F-ESS</v>
      </c>
      <c r="VP13" s="12">
        <v>9</v>
      </c>
      <c r="VQ13" s="57">
        <v>1</v>
      </c>
      <c r="VR13" s="14">
        <f t="shared" si="3"/>
        <v>0.88</v>
      </c>
      <c r="VS13" s="14">
        <f t="shared" si="4"/>
        <v>1</v>
      </c>
      <c r="VT13" s="12">
        <f t="shared" si="5"/>
        <v>0.88349999999999995</v>
      </c>
      <c r="VU13" s="29">
        <f t="shared" si="6"/>
        <v>22216491</v>
      </c>
      <c r="VV13" s="29">
        <f t="shared" si="7"/>
        <v>246849.9</v>
      </c>
      <c r="VW13" s="12" t="str">
        <f t="shared" si="15"/>
        <v>A</v>
      </c>
      <c r="VX13" s="12" t="str">
        <f t="shared" si="8"/>
        <v>NC-HR-ESS</v>
      </c>
      <c r="VY13" s="351">
        <f t="shared" si="16"/>
        <v>4</v>
      </c>
      <c r="VZ13" s="12"/>
      <c r="WA13" s="12">
        <f t="shared" si="17"/>
        <v>0</v>
      </c>
      <c r="WB13" s="12">
        <f t="shared" si="18"/>
        <v>0</v>
      </c>
      <c r="WC13" s="12">
        <f t="shared" si="19"/>
        <v>1</v>
      </c>
      <c r="WD13" s="12">
        <f t="shared" si="20"/>
        <v>0</v>
      </c>
      <c r="WE13" s="12">
        <f t="shared" si="21"/>
        <v>1</v>
      </c>
      <c r="WF13" s="12">
        <f t="shared" si="9"/>
        <v>0</v>
      </c>
      <c r="WG13" s="12">
        <f t="shared" si="10"/>
        <v>0</v>
      </c>
      <c r="WH13" s="12">
        <f t="shared" si="11"/>
        <v>1</v>
      </c>
      <c r="WI13" s="31">
        <f t="shared" si="12"/>
        <v>3</v>
      </c>
      <c r="WJ13" s="2"/>
      <c r="WK13" s="444" t="str">
        <f t="shared" si="13"/>
        <v>NC-HR-ESS-BBN-BRY-NPH-F</v>
      </c>
      <c r="WL13" s="444"/>
      <c r="WM13" s="444"/>
      <c r="WN13" s="12"/>
      <c r="WO13" s="12"/>
    </row>
    <row r="14" spans="1:622" x14ac:dyDescent="0.25">
      <c r="A14" s="2">
        <v>9587</v>
      </c>
      <c r="B14" s="2" t="s">
        <v>2940</v>
      </c>
      <c r="C14" s="2" t="s">
        <v>2652</v>
      </c>
      <c r="D14" s="3">
        <v>45152</v>
      </c>
      <c r="E14" s="2" t="s">
        <v>9</v>
      </c>
      <c r="F14" s="2">
        <v>3</v>
      </c>
      <c r="G14" s="2" t="s">
        <v>9</v>
      </c>
      <c r="H14" s="2">
        <v>3</v>
      </c>
      <c r="I14" s="2" t="s">
        <v>9</v>
      </c>
      <c r="J14" s="2">
        <v>2</v>
      </c>
      <c r="K14" s="2" t="s">
        <v>9</v>
      </c>
      <c r="L14" s="2">
        <v>3</v>
      </c>
      <c r="M14" s="2" t="s">
        <v>10</v>
      </c>
      <c r="N14" s="2">
        <v>0</v>
      </c>
      <c r="O14" s="2" t="s">
        <v>10</v>
      </c>
      <c r="P14" s="2">
        <v>0</v>
      </c>
      <c r="Q14" s="2" t="s">
        <v>11</v>
      </c>
      <c r="R14" s="2">
        <v>0</v>
      </c>
      <c r="S14" s="2" t="s">
        <v>9</v>
      </c>
      <c r="T14" s="2">
        <v>2</v>
      </c>
      <c r="U14" s="2" t="s">
        <v>9</v>
      </c>
      <c r="V14" s="2">
        <v>2</v>
      </c>
      <c r="W14" s="2" t="s">
        <v>9</v>
      </c>
      <c r="X14" s="2">
        <v>2</v>
      </c>
      <c r="Y14" s="2" t="s">
        <v>12</v>
      </c>
      <c r="Z14" s="2" t="s">
        <v>189</v>
      </c>
      <c r="AA14" s="2" t="s">
        <v>434</v>
      </c>
      <c r="AB14" s="2" t="s">
        <v>188</v>
      </c>
      <c r="AC14" s="2" t="s">
        <v>15</v>
      </c>
      <c r="AD14" s="2" t="s">
        <v>15</v>
      </c>
      <c r="AE14" s="2" t="s">
        <v>15</v>
      </c>
      <c r="AF14" s="2">
        <v>3</v>
      </c>
      <c r="AG14" s="2" t="s">
        <v>190</v>
      </c>
      <c r="AH14" s="2" t="s">
        <v>17</v>
      </c>
      <c r="AI14" s="4">
        <v>0.15476000000000001</v>
      </c>
      <c r="AJ14" s="2" t="s">
        <v>17</v>
      </c>
      <c r="AK14" s="2" t="s">
        <v>9</v>
      </c>
      <c r="AL14" s="2" t="s">
        <v>17</v>
      </c>
      <c r="AM14" s="2" t="s">
        <v>9</v>
      </c>
      <c r="AN14" s="2" t="s">
        <v>17</v>
      </c>
      <c r="AO14" s="2" t="s">
        <v>17</v>
      </c>
      <c r="AP14" s="2" t="s">
        <v>17</v>
      </c>
      <c r="AQ14" s="2" t="s">
        <v>17</v>
      </c>
      <c r="AR14" s="2" t="s">
        <v>17</v>
      </c>
      <c r="AS14" s="2" t="s">
        <v>17</v>
      </c>
      <c r="AT14" s="2">
        <v>5</v>
      </c>
      <c r="AU14" s="5">
        <v>100000</v>
      </c>
      <c r="AV14" s="5">
        <v>640000</v>
      </c>
      <c r="AW14" s="2">
        <v>0</v>
      </c>
      <c r="AX14" s="2">
        <v>9</v>
      </c>
      <c r="AY14" s="2">
        <v>0</v>
      </c>
      <c r="AZ14" s="2">
        <v>18</v>
      </c>
      <c r="BA14" s="2">
        <v>0</v>
      </c>
      <c r="BB14" s="2">
        <v>0</v>
      </c>
      <c r="BC14" s="2">
        <v>1</v>
      </c>
      <c r="BD14" s="2">
        <v>3</v>
      </c>
      <c r="BE14" s="2">
        <v>0</v>
      </c>
      <c r="BF14" s="2">
        <v>1</v>
      </c>
      <c r="BG14" s="2">
        <v>0</v>
      </c>
      <c r="BH14" s="2">
        <v>0</v>
      </c>
      <c r="BI14" s="2">
        <v>13</v>
      </c>
      <c r="BJ14" s="2">
        <v>1</v>
      </c>
      <c r="BK14" s="2">
        <v>0</v>
      </c>
      <c r="BL14" s="2">
        <v>3</v>
      </c>
      <c r="BM14" s="2">
        <v>0</v>
      </c>
      <c r="BN14" s="2">
        <v>11</v>
      </c>
      <c r="BO14" s="2">
        <v>11</v>
      </c>
      <c r="BP14" s="2">
        <v>0</v>
      </c>
      <c r="BQ14" s="2">
        <v>10</v>
      </c>
      <c r="BR14" s="2">
        <v>9.58</v>
      </c>
      <c r="BS14" s="2">
        <v>0</v>
      </c>
      <c r="BT14" s="4">
        <v>0.06</v>
      </c>
      <c r="BU14" s="2" t="s">
        <v>9</v>
      </c>
      <c r="BV14" s="6">
        <v>200000.63</v>
      </c>
      <c r="BW14" s="2" t="s">
        <v>18</v>
      </c>
      <c r="BX14" s="2" t="s">
        <v>17</v>
      </c>
      <c r="BY14" s="2" t="s">
        <v>17</v>
      </c>
      <c r="BZ14" s="2" t="s">
        <v>17</v>
      </c>
      <c r="CA14" s="2" t="s">
        <v>17</v>
      </c>
      <c r="CB14" s="2" t="s">
        <v>17</v>
      </c>
      <c r="CC14" s="2" t="s">
        <v>17</v>
      </c>
      <c r="CD14" s="2" t="s">
        <v>17</v>
      </c>
      <c r="CE14" s="2" t="s">
        <v>2941</v>
      </c>
      <c r="CF14" s="2" t="s">
        <v>17</v>
      </c>
      <c r="CG14" s="2" t="s">
        <v>1817</v>
      </c>
      <c r="CH14" s="2" t="s">
        <v>1818</v>
      </c>
      <c r="CI14" s="2" t="s">
        <v>1819</v>
      </c>
      <c r="CJ14" s="2" t="s">
        <v>9</v>
      </c>
      <c r="CK14" s="2" t="s">
        <v>1820</v>
      </c>
      <c r="CL14" s="2" t="s">
        <v>1817</v>
      </c>
      <c r="CM14" s="2" t="s">
        <v>1821</v>
      </c>
      <c r="CN14" s="2" t="s">
        <v>1822</v>
      </c>
      <c r="CO14" s="2" t="s">
        <v>24</v>
      </c>
      <c r="CP14" s="2"/>
      <c r="CQ14" s="2">
        <v>117</v>
      </c>
      <c r="CR14" s="2" t="s">
        <v>461</v>
      </c>
      <c r="CS14" s="2">
        <v>2019</v>
      </c>
      <c r="CT14" s="2" t="s">
        <v>26</v>
      </c>
      <c r="CU14" s="2" t="s">
        <v>27</v>
      </c>
      <c r="CV14" s="2" t="s">
        <v>2942</v>
      </c>
      <c r="CW14" s="2" t="s">
        <v>2943</v>
      </c>
      <c r="CX14" s="2" t="s">
        <v>800</v>
      </c>
      <c r="CY14" s="2"/>
      <c r="CZ14" s="2">
        <v>92</v>
      </c>
      <c r="DA14" s="2" t="s">
        <v>461</v>
      </c>
      <c r="DB14" s="2">
        <v>2017</v>
      </c>
      <c r="DC14" s="2" t="s">
        <v>26</v>
      </c>
      <c r="DD14" s="2" t="s">
        <v>27</v>
      </c>
      <c r="DE14" s="2" t="s">
        <v>1825</v>
      </c>
      <c r="DF14" s="2" t="s">
        <v>1824</v>
      </c>
      <c r="DG14" s="2" t="s">
        <v>24</v>
      </c>
      <c r="DH14" s="2"/>
      <c r="DI14" s="2">
        <v>116</v>
      </c>
      <c r="DJ14" s="2" t="s">
        <v>461</v>
      </c>
      <c r="DK14" s="2">
        <v>2018</v>
      </c>
      <c r="DL14" s="2" t="s">
        <v>30</v>
      </c>
      <c r="DM14" s="2" t="s">
        <v>27</v>
      </c>
      <c r="DN14" s="2" t="s">
        <v>2663</v>
      </c>
      <c r="DO14" s="2" t="s">
        <v>1826</v>
      </c>
      <c r="DP14" s="2"/>
      <c r="DQ14" s="2" t="s">
        <v>1827</v>
      </c>
      <c r="DR14" s="2" t="s">
        <v>1828</v>
      </c>
      <c r="DS14" s="2">
        <v>1</v>
      </c>
      <c r="DT14" s="2" t="s">
        <v>1829</v>
      </c>
      <c r="DU14" s="2" t="s">
        <v>1830</v>
      </c>
      <c r="DV14" s="2" t="s">
        <v>701</v>
      </c>
      <c r="DW14" s="2">
        <v>30005</v>
      </c>
      <c r="DX14" s="2" t="s">
        <v>2944</v>
      </c>
      <c r="DY14" s="2"/>
      <c r="DZ14" s="2" t="s">
        <v>1832</v>
      </c>
      <c r="EA14" s="2" t="s">
        <v>1828</v>
      </c>
      <c r="EB14" s="2" t="s">
        <v>1833</v>
      </c>
      <c r="EC14" s="2" t="s">
        <v>1834</v>
      </c>
      <c r="ED14" s="2" t="s">
        <v>44</v>
      </c>
      <c r="EE14" s="2">
        <v>100</v>
      </c>
      <c r="EF14" s="2" t="s">
        <v>473</v>
      </c>
      <c r="EG14" s="2">
        <v>8</v>
      </c>
      <c r="EH14" s="2" t="s">
        <v>46</v>
      </c>
      <c r="EI14" s="2" t="s">
        <v>47</v>
      </c>
      <c r="EJ14" s="2" t="s">
        <v>1821</v>
      </c>
      <c r="EK14" s="2" t="s">
        <v>1822</v>
      </c>
      <c r="EL14" s="2" t="s">
        <v>44</v>
      </c>
      <c r="EM14" s="2">
        <v>117</v>
      </c>
      <c r="EN14" s="2" t="s">
        <v>473</v>
      </c>
      <c r="EO14" s="2">
        <v>4</v>
      </c>
      <c r="EP14" s="2" t="s">
        <v>46</v>
      </c>
      <c r="EQ14" s="2" t="s">
        <v>47</v>
      </c>
      <c r="ER14" s="2" t="s">
        <v>1826</v>
      </c>
      <c r="ES14" s="2"/>
      <c r="ET14" s="2" t="s">
        <v>1827</v>
      </c>
      <c r="EU14" s="2" t="s">
        <v>2941</v>
      </c>
      <c r="EV14" s="2" t="s">
        <v>2945</v>
      </c>
      <c r="EW14" s="2" t="s">
        <v>1830</v>
      </c>
      <c r="EX14" s="2" t="s">
        <v>701</v>
      </c>
      <c r="EY14" s="2">
        <v>30005</v>
      </c>
      <c r="EZ14" s="2" t="s">
        <v>2944</v>
      </c>
      <c r="FA14" s="2"/>
      <c r="FB14" s="2" t="s">
        <v>1832</v>
      </c>
      <c r="FC14" s="2" t="s">
        <v>1836</v>
      </c>
      <c r="FD14" s="2"/>
      <c r="FE14" s="2" t="s">
        <v>1837</v>
      </c>
      <c r="FF14" s="2" t="s">
        <v>2941</v>
      </c>
      <c r="FG14" s="2" t="s">
        <v>1838</v>
      </c>
      <c r="FH14" s="2" t="s">
        <v>1839</v>
      </c>
      <c r="FI14" s="2" t="s">
        <v>39</v>
      </c>
      <c r="FJ14" s="2">
        <v>33411</v>
      </c>
      <c r="FK14" s="2" t="s">
        <v>1840</v>
      </c>
      <c r="FL14" s="2"/>
      <c r="FM14" s="2" t="s">
        <v>1841</v>
      </c>
      <c r="FN14" s="2" t="s">
        <v>2946</v>
      </c>
      <c r="FO14" s="2" t="s">
        <v>63</v>
      </c>
      <c r="FP14" s="2" t="s">
        <v>64</v>
      </c>
      <c r="FQ14" s="2" t="s">
        <v>9</v>
      </c>
      <c r="FR14" s="2" t="s">
        <v>17</v>
      </c>
      <c r="FS14" s="2" t="s">
        <v>17</v>
      </c>
      <c r="FT14" s="2" t="s">
        <v>9</v>
      </c>
      <c r="FU14" s="2">
        <v>0</v>
      </c>
      <c r="FV14" s="2">
        <v>0</v>
      </c>
      <c r="FW14" s="4">
        <v>0</v>
      </c>
      <c r="FX14" s="4">
        <v>0</v>
      </c>
      <c r="FY14" s="2" t="s">
        <v>65</v>
      </c>
      <c r="FZ14" s="2" t="s">
        <v>66</v>
      </c>
      <c r="GA14" s="2" t="s">
        <v>67</v>
      </c>
      <c r="GB14" s="2"/>
      <c r="GC14" s="2"/>
      <c r="GD14" s="2"/>
      <c r="GE14" s="2" t="s">
        <v>1612</v>
      </c>
      <c r="GF14" s="2"/>
      <c r="GG14" s="2"/>
      <c r="GH14" s="2"/>
      <c r="GI14" s="2">
        <v>84</v>
      </c>
      <c r="GJ14" s="2"/>
      <c r="GK14" s="2"/>
      <c r="GL14" s="2"/>
      <c r="GM14" s="2"/>
      <c r="GN14" s="2"/>
      <c r="GO14" s="2"/>
      <c r="GP14" s="2"/>
      <c r="GQ14" s="2">
        <v>84</v>
      </c>
      <c r="GR14" s="2" t="s">
        <v>2617</v>
      </c>
      <c r="GS14" s="2" t="s">
        <v>2686</v>
      </c>
      <c r="GT14" s="2" t="s">
        <v>2947</v>
      </c>
      <c r="GU14" s="2" t="s">
        <v>2948</v>
      </c>
      <c r="GV14" s="2" t="s">
        <v>17</v>
      </c>
      <c r="GW14" s="2">
        <v>25.979254999999998</v>
      </c>
      <c r="GX14" s="2">
        <v>-80.265355</v>
      </c>
      <c r="GY14" s="2"/>
      <c r="GZ14" s="2" t="s">
        <v>17</v>
      </c>
      <c r="HA14" s="2">
        <v>0</v>
      </c>
      <c r="HB14" s="2" t="s">
        <v>17</v>
      </c>
      <c r="HC14" s="2"/>
      <c r="HD14" s="2">
        <v>0</v>
      </c>
      <c r="HE14" s="2">
        <v>25.976410000000001</v>
      </c>
      <c r="HF14" s="2">
        <v>-80.262579000000002</v>
      </c>
      <c r="HG14" s="2">
        <v>0.26</v>
      </c>
      <c r="HH14" s="2">
        <v>6</v>
      </c>
      <c r="HI14" s="2">
        <v>25.980881</v>
      </c>
      <c r="HJ14" s="2">
        <v>-80.265714000000003</v>
      </c>
      <c r="HK14" s="2">
        <v>0.12</v>
      </c>
      <c r="HL14" s="2">
        <v>25.981147</v>
      </c>
      <c r="HM14" s="2">
        <v>-80.263765000000006</v>
      </c>
      <c r="HN14" s="2">
        <v>0.16</v>
      </c>
      <c r="HO14" s="2"/>
      <c r="HP14" s="2"/>
      <c r="HQ14" s="2"/>
      <c r="HR14" s="2"/>
      <c r="HS14" s="2"/>
      <c r="HT14" s="2"/>
      <c r="HU14" s="2"/>
      <c r="HV14" s="2"/>
      <c r="HW14" s="2" t="s">
        <v>73</v>
      </c>
      <c r="HX14" s="2" t="s">
        <v>549</v>
      </c>
      <c r="HY14" s="2" t="s">
        <v>2949</v>
      </c>
      <c r="HZ14" s="2">
        <v>0.8</v>
      </c>
      <c r="IA14" s="2">
        <v>2.5</v>
      </c>
      <c r="IB14" s="2"/>
      <c r="IC14" s="2"/>
      <c r="ID14" s="2"/>
      <c r="IE14" s="2"/>
      <c r="IF14" s="2" t="s">
        <v>527</v>
      </c>
      <c r="IG14" s="2" t="s">
        <v>2950</v>
      </c>
      <c r="IH14" s="2">
        <v>0.2</v>
      </c>
      <c r="II14" s="2">
        <v>4</v>
      </c>
      <c r="IJ14" s="2" t="s">
        <v>2951</v>
      </c>
      <c r="IK14" s="2" t="s">
        <v>2952</v>
      </c>
      <c r="IL14" s="2">
        <v>0.28999999999999998</v>
      </c>
      <c r="IM14" s="2">
        <v>4</v>
      </c>
      <c r="IN14" s="2" t="s">
        <v>17</v>
      </c>
      <c r="IO14" s="2"/>
      <c r="IP14" s="2" t="s">
        <v>79</v>
      </c>
      <c r="IQ14" s="2">
        <v>6</v>
      </c>
      <c r="IR14" s="2">
        <v>10.5</v>
      </c>
      <c r="IS14" s="2">
        <v>0</v>
      </c>
      <c r="IT14" s="2">
        <v>16.5</v>
      </c>
      <c r="IU14" s="2" t="s">
        <v>17</v>
      </c>
      <c r="IV14" s="2" t="s">
        <v>17</v>
      </c>
      <c r="IW14" s="2" t="s">
        <v>17</v>
      </c>
      <c r="IX14" s="2" t="s">
        <v>9</v>
      </c>
      <c r="IY14" s="2">
        <v>16.5</v>
      </c>
      <c r="IZ14" s="2">
        <v>84</v>
      </c>
      <c r="JA14" s="2" t="s">
        <v>2731</v>
      </c>
      <c r="JB14" s="2" t="s">
        <v>82</v>
      </c>
      <c r="JC14" s="2"/>
      <c r="JD14" s="2"/>
      <c r="JE14" s="2"/>
      <c r="JF14" s="7">
        <v>0</v>
      </c>
      <c r="JG14" s="7"/>
      <c r="JH14" s="7"/>
      <c r="JI14" s="2">
        <v>0</v>
      </c>
      <c r="JJ14" s="7">
        <v>0</v>
      </c>
      <c r="JK14" s="2">
        <v>0</v>
      </c>
      <c r="JL14" s="7">
        <v>0</v>
      </c>
      <c r="JM14" s="2">
        <v>13</v>
      </c>
      <c r="JN14" s="2"/>
      <c r="JO14" s="2">
        <v>52</v>
      </c>
      <c r="JP14" s="2"/>
      <c r="JQ14" s="2">
        <v>19</v>
      </c>
      <c r="JR14" s="2">
        <v>0</v>
      </c>
      <c r="JS14" s="2">
        <v>0</v>
      </c>
      <c r="JT14" s="2"/>
      <c r="JU14" s="2"/>
      <c r="JV14" s="2">
        <v>84</v>
      </c>
      <c r="JW14" s="4">
        <v>1</v>
      </c>
      <c r="JX14" s="2">
        <v>84</v>
      </c>
      <c r="JY14" s="4">
        <v>0.59880999999999995</v>
      </c>
      <c r="JZ14" s="2">
        <v>0</v>
      </c>
      <c r="KA14" s="2"/>
      <c r="KB14" s="2"/>
      <c r="KC14" s="2"/>
      <c r="KD14" s="2"/>
      <c r="KE14" s="2"/>
      <c r="KF14" s="2"/>
      <c r="KG14" s="2"/>
      <c r="KH14" s="2">
        <v>16</v>
      </c>
      <c r="KI14" s="2"/>
      <c r="KJ14" s="2"/>
      <c r="KK14" s="2">
        <v>53</v>
      </c>
      <c r="KL14" s="2">
        <v>15</v>
      </c>
      <c r="KM14" s="2"/>
      <c r="KN14" s="2"/>
      <c r="KO14" s="2"/>
      <c r="KP14" s="2"/>
      <c r="KQ14" s="2" t="s">
        <v>83</v>
      </c>
      <c r="KR14" s="2" t="s">
        <v>73</v>
      </c>
      <c r="KS14" s="2"/>
      <c r="KT14" s="2">
        <v>1</v>
      </c>
      <c r="KU14" s="2" t="s">
        <v>84</v>
      </c>
      <c r="KV14" s="2" t="s">
        <v>85</v>
      </c>
      <c r="KW14" s="2" t="s">
        <v>530</v>
      </c>
      <c r="KX14" s="2" t="s">
        <v>17</v>
      </c>
      <c r="KY14" s="2" t="s">
        <v>17</v>
      </c>
      <c r="KZ14" s="2" t="s">
        <v>17</v>
      </c>
      <c r="LA14" s="2" t="s">
        <v>17</v>
      </c>
      <c r="LB14" s="2" t="s">
        <v>17</v>
      </c>
      <c r="LC14" s="2" t="s">
        <v>17</v>
      </c>
      <c r="LD14" s="2" t="s">
        <v>17</v>
      </c>
      <c r="LE14" s="2" t="s">
        <v>17</v>
      </c>
      <c r="LF14" s="2" t="s">
        <v>17</v>
      </c>
      <c r="LG14" s="2" t="s">
        <v>17</v>
      </c>
      <c r="LH14" s="2" t="s">
        <v>17</v>
      </c>
      <c r="LI14" s="2" t="s">
        <v>17</v>
      </c>
      <c r="LJ14" s="2" t="s">
        <v>87</v>
      </c>
      <c r="LK14" s="2" t="s">
        <v>17</v>
      </c>
      <c r="LL14" s="2" t="s">
        <v>17</v>
      </c>
      <c r="LM14" s="2">
        <v>0</v>
      </c>
      <c r="LN14" s="2" t="s">
        <v>9</v>
      </c>
      <c r="LO14" s="2" t="s">
        <v>9</v>
      </c>
      <c r="LP14" s="2" t="s">
        <v>9</v>
      </c>
      <c r="LQ14" s="2" t="s">
        <v>17</v>
      </c>
      <c r="LR14" s="2" t="s">
        <v>17</v>
      </c>
      <c r="LS14" s="2" t="s">
        <v>17</v>
      </c>
      <c r="LT14" s="2" t="s">
        <v>17</v>
      </c>
      <c r="LU14" s="2" t="s">
        <v>17</v>
      </c>
      <c r="LV14" s="2" t="s">
        <v>17</v>
      </c>
      <c r="LW14" s="2" t="s">
        <v>17</v>
      </c>
      <c r="LX14" s="2" t="s">
        <v>17</v>
      </c>
      <c r="LY14" s="5">
        <v>6500000</v>
      </c>
      <c r="LZ14" s="5">
        <v>0</v>
      </c>
      <c r="MA14" s="5">
        <v>8400000</v>
      </c>
      <c r="MB14" s="5">
        <v>0</v>
      </c>
      <c r="MC14" s="5">
        <v>0</v>
      </c>
      <c r="MD14" s="5">
        <v>0</v>
      </c>
      <c r="ME14" s="5">
        <v>8820000</v>
      </c>
      <c r="MF14" s="5">
        <v>0</v>
      </c>
      <c r="MG14" s="5">
        <v>0</v>
      </c>
      <c r="MH14" s="5">
        <v>0</v>
      </c>
      <c r="MI14" s="5">
        <v>0</v>
      </c>
      <c r="MJ14" s="5">
        <v>0</v>
      </c>
      <c r="MK14" s="5">
        <v>0</v>
      </c>
      <c r="ML14" s="2">
        <v>0</v>
      </c>
      <c r="MM14" s="5">
        <v>0</v>
      </c>
      <c r="MN14" s="5">
        <v>0</v>
      </c>
      <c r="MO14" s="2">
        <v>0</v>
      </c>
      <c r="MP14" s="2">
        <v>0</v>
      </c>
      <c r="MQ14" s="2">
        <v>0</v>
      </c>
      <c r="MR14" s="5">
        <v>2950000</v>
      </c>
      <c r="MS14" s="5">
        <v>0</v>
      </c>
      <c r="MT14" s="5">
        <v>4600000</v>
      </c>
      <c r="MU14" s="5">
        <v>0</v>
      </c>
      <c r="MV14" s="5">
        <v>0</v>
      </c>
      <c r="MW14" s="5">
        <v>0</v>
      </c>
      <c r="MX14" s="5">
        <v>0</v>
      </c>
      <c r="MY14" s="5">
        <v>2500000</v>
      </c>
      <c r="MZ14" s="5">
        <v>0</v>
      </c>
      <c r="NA14" s="5">
        <v>5000000</v>
      </c>
      <c r="NB14" s="5">
        <v>0</v>
      </c>
      <c r="NC14" s="5">
        <v>0</v>
      </c>
      <c r="ND14" s="5">
        <v>0</v>
      </c>
      <c r="NE14" s="5">
        <v>0</v>
      </c>
      <c r="NF14" s="5">
        <v>0</v>
      </c>
      <c r="NG14" s="5">
        <v>3458400</v>
      </c>
      <c r="NH14" s="5">
        <v>2868450</v>
      </c>
      <c r="NI14" s="5">
        <v>2868450</v>
      </c>
      <c r="NJ14" s="2" t="s">
        <v>17</v>
      </c>
      <c r="NK14" s="2"/>
      <c r="NL14" s="2"/>
      <c r="NM14" s="2" t="s">
        <v>17</v>
      </c>
      <c r="NN14" s="2"/>
      <c r="NO14" s="2" t="s">
        <v>9</v>
      </c>
      <c r="NP14" s="2">
        <v>33025</v>
      </c>
      <c r="NQ14" s="2" t="s">
        <v>2732</v>
      </c>
      <c r="NR14" s="2" t="s">
        <v>17</v>
      </c>
      <c r="NS14" s="2"/>
      <c r="NT14" s="2" t="s">
        <v>17</v>
      </c>
      <c r="NU14" s="2"/>
      <c r="NV14" s="2"/>
      <c r="NW14" s="2"/>
      <c r="NX14" s="2" t="s">
        <v>9</v>
      </c>
      <c r="NY14" s="2" t="s">
        <v>119</v>
      </c>
      <c r="NZ14" s="2">
        <v>1103.23</v>
      </c>
      <c r="OA14" s="2" t="s">
        <v>2733</v>
      </c>
      <c r="OB14" s="2" t="s">
        <v>2734</v>
      </c>
      <c r="OC14" s="2" t="s">
        <v>2734</v>
      </c>
      <c r="OD14" s="2" t="s">
        <v>17</v>
      </c>
      <c r="OE14" s="2" t="s">
        <v>119</v>
      </c>
      <c r="OF14" s="2" t="s">
        <v>9</v>
      </c>
      <c r="OG14" s="2" t="s">
        <v>92</v>
      </c>
      <c r="OH14" s="2" t="s">
        <v>17</v>
      </c>
      <c r="OI14" s="2" t="s">
        <v>17</v>
      </c>
      <c r="OJ14" s="2" t="s">
        <v>85</v>
      </c>
      <c r="OK14" s="6">
        <v>0</v>
      </c>
      <c r="OL14" s="6">
        <v>0</v>
      </c>
      <c r="OM14" s="2" t="s">
        <v>93</v>
      </c>
      <c r="ON14" s="2" t="s">
        <v>93</v>
      </c>
      <c r="OO14" s="6">
        <v>0</v>
      </c>
      <c r="OP14" s="6">
        <v>0</v>
      </c>
      <c r="OQ14" s="4">
        <v>0</v>
      </c>
      <c r="OR14" s="6">
        <v>0</v>
      </c>
      <c r="OS14" s="4">
        <v>0</v>
      </c>
      <c r="OT14" s="2" t="s">
        <v>17</v>
      </c>
      <c r="OU14" s="2" t="s">
        <v>17</v>
      </c>
      <c r="OV14" s="2"/>
      <c r="OW14" s="2"/>
      <c r="OX14" s="5">
        <v>16800053</v>
      </c>
      <c r="OY14" s="6">
        <v>200000.63</v>
      </c>
      <c r="OZ14" s="2"/>
      <c r="PA14" s="2"/>
      <c r="PB14" s="2"/>
      <c r="PC14" s="2"/>
      <c r="PD14" s="8">
        <v>18648504</v>
      </c>
      <c r="PE14" s="2"/>
      <c r="PF14" s="8">
        <v>18648504</v>
      </c>
      <c r="PG14" s="2"/>
      <c r="PH14" s="2"/>
      <c r="PI14" s="2"/>
      <c r="PJ14" s="2"/>
      <c r="PK14" s="2"/>
      <c r="PL14" s="2"/>
      <c r="PM14" s="8">
        <v>18648504</v>
      </c>
      <c r="PN14" s="2"/>
      <c r="PO14" s="8">
        <v>18648504</v>
      </c>
      <c r="PP14" s="8">
        <v>2610790</v>
      </c>
      <c r="PQ14" s="2"/>
      <c r="PR14" s="8">
        <v>2610790</v>
      </c>
      <c r="PS14" s="6">
        <v>2610790</v>
      </c>
      <c r="PT14" s="8">
        <v>21259294</v>
      </c>
      <c r="PU14" s="2"/>
      <c r="PV14" s="8">
        <v>21259294</v>
      </c>
      <c r="PW14" s="8">
        <v>1062964</v>
      </c>
      <c r="PX14" s="2"/>
      <c r="PY14" s="8">
        <v>1062964</v>
      </c>
      <c r="PZ14" s="6">
        <v>1062964.7</v>
      </c>
      <c r="QA14" s="8">
        <v>1127400</v>
      </c>
      <c r="QB14" s="8">
        <v>75000</v>
      </c>
      <c r="QC14" s="8">
        <v>1202400</v>
      </c>
      <c r="QD14" s="8">
        <v>250000</v>
      </c>
      <c r="QE14" s="2"/>
      <c r="QF14" s="8">
        <v>250000</v>
      </c>
      <c r="QG14" s="8">
        <v>919186</v>
      </c>
      <c r="QH14" s="8">
        <v>225000</v>
      </c>
      <c r="QI14" s="8">
        <v>1144186</v>
      </c>
      <c r="QJ14" s="2"/>
      <c r="QK14" s="8">
        <v>478761</v>
      </c>
      <c r="QL14" s="8">
        <v>478761</v>
      </c>
      <c r="QM14" s="2"/>
      <c r="QN14" s="2"/>
      <c r="QO14" s="2"/>
      <c r="QP14" s="8">
        <v>150000</v>
      </c>
      <c r="QQ14" s="2"/>
      <c r="QR14" s="8">
        <v>150000</v>
      </c>
      <c r="QS14" s="8">
        <v>2446586</v>
      </c>
      <c r="QT14" s="8">
        <v>778761</v>
      </c>
      <c r="QU14" s="8">
        <v>3225347</v>
      </c>
      <c r="QV14" s="8">
        <v>161267</v>
      </c>
      <c r="QW14" s="2"/>
      <c r="QX14" s="8">
        <v>161267</v>
      </c>
      <c r="QY14" s="6">
        <v>161267.35</v>
      </c>
      <c r="QZ14" s="8">
        <v>1071614</v>
      </c>
      <c r="RA14" s="8">
        <v>338964</v>
      </c>
      <c r="RB14" s="8">
        <v>1410578</v>
      </c>
      <c r="RC14" s="8">
        <v>72000</v>
      </c>
      <c r="RD14" s="8">
        <v>72000</v>
      </c>
      <c r="RE14" s="2"/>
      <c r="RF14" s="2"/>
      <c r="RG14" s="2"/>
      <c r="RH14" s="8">
        <v>1071614</v>
      </c>
      <c r="RI14" s="8">
        <v>410964</v>
      </c>
      <c r="RJ14" s="8">
        <v>1482578</v>
      </c>
      <c r="RK14" s="2"/>
      <c r="RL14" s="2"/>
      <c r="RM14" s="8">
        <v>26001725</v>
      </c>
      <c r="RN14" s="8">
        <v>1189725</v>
      </c>
      <c r="RO14" s="8">
        <v>27191450</v>
      </c>
      <c r="RP14" s="2">
        <v>0</v>
      </c>
      <c r="RQ14" s="6">
        <v>0</v>
      </c>
      <c r="RR14" s="8">
        <v>4350631</v>
      </c>
      <c r="RS14" s="2"/>
      <c r="RT14" s="8">
        <v>4350631</v>
      </c>
      <c r="RU14" s="6">
        <v>4350632</v>
      </c>
      <c r="RV14" s="6">
        <v>0</v>
      </c>
      <c r="RW14" s="8">
        <v>4350631</v>
      </c>
      <c r="RX14" s="2"/>
      <c r="RY14" s="8">
        <v>4350631</v>
      </c>
      <c r="RZ14" s="6">
        <v>4350632</v>
      </c>
      <c r="SA14" s="2"/>
      <c r="SB14" s="2"/>
      <c r="SC14" s="6">
        <v>294000</v>
      </c>
      <c r="SD14" s="8">
        <v>3600000</v>
      </c>
      <c r="SE14" s="8">
        <v>3600000</v>
      </c>
      <c r="SF14" s="8">
        <v>30352356</v>
      </c>
      <c r="SG14" s="8">
        <v>4789725</v>
      </c>
      <c r="SH14" s="8">
        <v>35142081</v>
      </c>
      <c r="SI14" s="2"/>
      <c r="SJ14" s="2"/>
      <c r="SK14" s="2" t="s">
        <v>2953</v>
      </c>
      <c r="SL14" s="2"/>
      <c r="SM14" s="8">
        <v>28069428</v>
      </c>
      <c r="SN14" s="2" t="s">
        <v>95</v>
      </c>
      <c r="SO14" s="2"/>
      <c r="SP14" s="2"/>
      <c r="SQ14" s="2"/>
      <c r="SR14" s="2"/>
      <c r="SS14" s="2" t="s">
        <v>96</v>
      </c>
      <c r="ST14" s="2" t="s">
        <v>96</v>
      </c>
      <c r="SU14" s="2" t="s">
        <v>96</v>
      </c>
      <c r="SV14" s="2" t="s">
        <v>96</v>
      </c>
      <c r="SW14" s="8">
        <v>9034714</v>
      </c>
      <c r="SX14" s="2" t="s">
        <v>2954</v>
      </c>
      <c r="SY14" s="8">
        <v>100000</v>
      </c>
      <c r="SZ14" s="2" t="s">
        <v>453</v>
      </c>
      <c r="TA14" s="2">
        <v>0</v>
      </c>
      <c r="TB14" s="8">
        <v>37204142</v>
      </c>
      <c r="TC14" s="8">
        <v>2062061</v>
      </c>
      <c r="TD14" s="2" t="s">
        <v>9</v>
      </c>
      <c r="TE14" s="8">
        <v>7200000</v>
      </c>
      <c r="TF14" s="2" t="s">
        <v>95</v>
      </c>
      <c r="TG14" s="2"/>
      <c r="TH14" s="2"/>
      <c r="TI14" s="2"/>
      <c r="TJ14" s="2"/>
      <c r="TK14" s="2" t="s">
        <v>96</v>
      </c>
      <c r="TL14" s="2" t="s">
        <v>96</v>
      </c>
      <c r="TM14" s="2" t="s">
        <v>96</v>
      </c>
      <c r="TN14" s="2" t="s">
        <v>96</v>
      </c>
      <c r="TO14" s="8">
        <v>25813468</v>
      </c>
      <c r="TP14" s="2" t="s">
        <v>2954</v>
      </c>
      <c r="TQ14" s="8">
        <v>100000</v>
      </c>
      <c r="TR14" s="2" t="s">
        <v>453</v>
      </c>
      <c r="TS14" s="8">
        <v>2028613</v>
      </c>
      <c r="TT14" s="8">
        <v>35142081</v>
      </c>
      <c r="TU14" s="6">
        <v>7300000</v>
      </c>
      <c r="TV14" s="2">
        <v>0</v>
      </c>
      <c r="TW14" s="2" t="s">
        <v>9</v>
      </c>
      <c r="TX14" s="2">
        <v>84</v>
      </c>
      <c r="TY14" s="5">
        <v>290000</v>
      </c>
      <c r="TZ14" s="6">
        <v>386666.67</v>
      </c>
      <c r="UA14" s="6">
        <v>386666.67</v>
      </c>
      <c r="UB14" s="6">
        <v>409866.67</v>
      </c>
      <c r="UC14" s="6">
        <v>34428800</v>
      </c>
      <c r="UD14" s="6">
        <v>5508608</v>
      </c>
      <c r="UE14" s="2" t="s">
        <v>97</v>
      </c>
      <c r="UF14" s="6">
        <v>5508608</v>
      </c>
      <c r="UG14" s="6">
        <v>39937408</v>
      </c>
      <c r="UH14" s="6">
        <v>31542081</v>
      </c>
      <c r="UI14" s="4">
        <v>0.99990000000000001</v>
      </c>
      <c r="UJ14" s="2" t="s">
        <v>9</v>
      </c>
      <c r="UK14" s="2"/>
      <c r="UL14" s="2"/>
      <c r="UM14" s="6">
        <v>0</v>
      </c>
      <c r="UN14" s="6">
        <v>100000</v>
      </c>
      <c r="UO14" s="6">
        <v>100000</v>
      </c>
      <c r="UP14" s="2"/>
      <c r="UQ14" s="6">
        <v>0</v>
      </c>
      <c r="UR14" s="6">
        <v>0</v>
      </c>
      <c r="US14" s="6">
        <v>100000</v>
      </c>
      <c r="UT14" s="6">
        <v>0</v>
      </c>
      <c r="UU14" s="6">
        <v>100000</v>
      </c>
      <c r="UV14" s="2" t="s">
        <v>2955</v>
      </c>
      <c r="UW14" s="2" t="s">
        <v>453</v>
      </c>
      <c r="UX14" s="2" t="s">
        <v>17</v>
      </c>
      <c r="UY14" s="2" t="s">
        <v>17</v>
      </c>
      <c r="UZ14" s="2" t="s">
        <v>17</v>
      </c>
      <c r="VA14" s="2" t="s">
        <v>17</v>
      </c>
      <c r="VB14" s="2" t="s">
        <v>2740</v>
      </c>
      <c r="VC14" s="2" t="s">
        <v>17</v>
      </c>
      <c r="VD14" s="2" t="s">
        <v>17</v>
      </c>
      <c r="VE14" s="2" t="s">
        <v>17</v>
      </c>
      <c r="VF14" s="2"/>
      <c r="VG14" s="2" t="s">
        <v>2956</v>
      </c>
      <c r="VH14" s="2"/>
      <c r="VI14" s="388" t="s">
        <v>1820</v>
      </c>
      <c r="VJ14" s="2" t="s">
        <v>98</v>
      </c>
      <c r="VK14" s="2" t="s">
        <v>1851</v>
      </c>
      <c r="VL14" s="23">
        <f t="shared" si="0"/>
        <v>167</v>
      </c>
      <c r="VM14" s="17">
        <f t="shared" si="1"/>
        <v>1.9880952380952381</v>
      </c>
      <c r="VN14" s="17" t="str">
        <f t="shared" si="2"/>
        <v>NC-MR-F</v>
      </c>
      <c r="VO14" s="17" t="str">
        <f t="shared" si="14"/>
        <v>NC-MR-F-ESS</v>
      </c>
      <c r="VP14" s="12">
        <v>9</v>
      </c>
      <c r="VQ14" s="57">
        <v>1</v>
      </c>
      <c r="VR14" s="14">
        <f t="shared" si="3"/>
        <v>0.88</v>
      </c>
      <c r="VS14" s="14">
        <f t="shared" si="4"/>
        <v>1</v>
      </c>
      <c r="VT14" s="12">
        <f t="shared" si="5"/>
        <v>0.90210000000000012</v>
      </c>
      <c r="VU14" s="29">
        <f t="shared" si="6"/>
        <v>20494019.660400003</v>
      </c>
      <c r="VV14" s="29">
        <f t="shared" si="7"/>
        <v>243976.42452857146</v>
      </c>
      <c r="VW14" s="12" t="str">
        <f t="shared" si="15"/>
        <v>A</v>
      </c>
      <c r="VX14" s="12" t="str">
        <f t="shared" si="8"/>
        <v>NC-MR-ESS</v>
      </c>
      <c r="VY14" s="351">
        <f t="shared" si="16"/>
        <v>3</v>
      </c>
      <c r="VZ14" s="12"/>
      <c r="WA14" s="12">
        <f t="shared" si="17"/>
        <v>0</v>
      </c>
      <c r="WB14" s="12">
        <f t="shared" si="18"/>
        <v>0</v>
      </c>
      <c r="WC14" s="12">
        <f t="shared" si="19"/>
        <v>1</v>
      </c>
      <c r="WD14" s="12">
        <f t="shared" si="20"/>
        <v>0</v>
      </c>
      <c r="WE14" s="12">
        <f t="shared" si="21"/>
        <v>1</v>
      </c>
      <c r="WF14" s="12">
        <f t="shared" si="9"/>
        <v>0</v>
      </c>
      <c r="WG14" s="12">
        <f t="shared" si="10"/>
        <v>1</v>
      </c>
      <c r="WH14" s="12">
        <f t="shared" si="11"/>
        <v>0</v>
      </c>
      <c r="WI14" s="31">
        <f t="shared" si="12"/>
        <v>3</v>
      </c>
      <c r="WJ14" s="2"/>
      <c r="WK14" s="444" t="str">
        <f t="shared" si="13"/>
        <v>NC-MR-ESS-BBN-BRY-NPH-F</v>
      </c>
      <c r="WL14" s="444"/>
      <c r="WM14" s="444"/>
      <c r="WN14" s="12"/>
      <c r="WO14" s="12"/>
    </row>
    <row r="15" spans="1:622" x14ac:dyDescent="0.25">
      <c r="A15" s="2">
        <v>9595</v>
      </c>
      <c r="B15" s="2" t="s">
        <v>2957</v>
      </c>
      <c r="C15" s="2" t="s">
        <v>2652</v>
      </c>
      <c r="D15" s="3">
        <v>45152</v>
      </c>
      <c r="E15" s="2" t="s">
        <v>9</v>
      </c>
      <c r="F15" s="2">
        <v>3</v>
      </c>
      <c r="G15" s="2" t="s">
        <v>9</v>
      </c>
      <c r="H15" s="2">
        <v>3</v>
      </c>
      <c r="I15" s="2" t="s">
        <v>9</v>
      </c>
      <c r="J15" s="2">
        <v>3</v>
      </c>
      <c r="K15" s="2" t="s">
        <v>9</v>
      </c>
      <c r="L15" s="2">
        <v>3</v>
      </c>
      <c r="M15" s="2" t="s">
        <v>10</v>
      </c>
      <c r="N15" s="2">
        <v>0</v>
      </c>
      <c r="O15" s="2" t="s">
        <v>10</v>
      </c>
      <c r="P15" s="2">
        <v>0</v>
      </c>
      <c r="Q15" s="2" t="s">
        <v>11</v>
      </c>
      <c r="R15" s="2">
        <v>0</v>
      </c>
      <c r="S15" s="2" t="s">
        <v>9</v>
      </c>
      <c r="T15" s="2">
        <v>2</v>
      </c>
      <c r="U15" s="2" t="s">
        <v>9</v>
      </c>
      <c r="V15" s="2">
        <v>2</v>
      </c>
      <c r="W15" s="2" t="s">
        <v>9</v>
      </c>
      <c r="X15" s="2">
        <v>2</v>
      </c>
      <c r="Y15" s="2" t="s">
        <v>12</v>
      </c>
      <c r="Z15" s="2" t="s">
        <v>978</v>
      </c>
      <c r="AA15" s="2" t="s">
        <v>101</v>
      </c>
      <c r="AB15" s="2" t="s">
        <v>1227</v>
      </c>
      <c r="AC15" s="2" t="s">
        <v>15</v>
      </c>
      <c r="AD15" s="2" t="s">
        <v>15</v>
      </c>
      <c r="AE15" s="2" t="s">
        <v>15</v>
      </c>
      <c r="AF15" s="2">
        <v>3</v>
      </c>
      <c r="AG15" s="2" t="s">
        <v>436</v>
      </c>
      <c r="AH15" s="2" t="s">
        <v>17</v>
      </c>
      <c r="AI15" s="4">
        <v>0.1</v>
      </c>
      <c r="AJ15" s="2" t="s">
        <v>17</v>
      </c>
      <c r="AK15" s="2" t="s">
        <v>9</v>
      </c>
      <c r="AL15" s="2" t="s">
        <v>9</v>
      </c>
      <c r="AM15" s="2" t="s">
        <v>17</v>
      </c>
      <c r="AN15" s="2" t="s">
        <v>17</v>
      </c>
      <c r="AO15" s="2" t="s">
        <v>9</v>
      </c>
      <c r="AP15" s="2" t="s">
        <v>17</v>
      </c>
      <c r="AQ15" s="2" t="s">
        <v>17</v>
      </c>
      <c r="AR15" s="2" t="s">
        <v>17</v>
      </c>
      <c r="AS15" s="2" t="s">
        <v>17</v>
      </c>
      <c r="AT15" s="2">
        <v>5</v>
      </c>
      <c r="AU15" s="5">
        <v>75000</v>
      </c>
      <c r="AV15" s="5">
        <v>610000</v>
      </c>
      <c r="AW15" s="2">
        <v>0</v>
      </c>
      <c r="AX15" s="2">
        <v>5</v>
      </c>
      <c r="AY15" s="2">
        <v>0</v>
      </c>
      <c r="AZ15" s="2">
        <v>18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1</v>
      </c>
      <c r="BG15" s="2">
        <v>0</v>
      </c>
      <c r="BH15" s="2">
        <v>0</v>
      </c>
      <c r="BI15" s="2">
        <v>13</v>
      </c>
      <c r="BJ15" s="2">
        <v>1</v>
      </c>
      <c r="BK15" s="2">
        <v>0</v>
      </c>
      <c r="BL15" s="2">
        <v>2</v>
      </c>
      <c r="BM15" s="2">
        <v>0</v>
      </c>
      <c r="BN15" s="2">
        <v>9</v>
      </c>
      <c r="BO15" s="2">
        <v>11</v>
      </c>
      <c r="BP15" s="2">
        <v>0</v>
      </c>
      <c r="BQ15" s="2">
        <v>10</v>
      </c>
      <c r="BR15" s="2">
        <v>10.86</v>
      </c>
      <c r="BS15" s="2">
        <v>0</v>
      </c>
      <c r="BT15" s="4">
        <v>0.06</v>
      </c>
      <c r="BU15" s="2" t="s">
        <v>9</v>
      </c>
      <c r="BV15" s="6">
        <v>200421.31</v>
      </c>
      <c r="BW15" s="2" t="s">
        <v>126</v>
      </c>
      <c r="BX15" s="2" t="s">
        <v>17</v>
      </c>
      <c r="BY15" s="2" t="s">
        <v>17</v>
      </c>
      <c r="BZ15" s="2" t="s">
        <v>17</v>
      </c>
      <c r="CA15" s="2" t="s">
        <v>17</v>
      </c>
      <c r="CB15" s="2" t="s">
        <v>17</v>
      </c>
      <c r="CC15" s="2" t="s">
        <v>17</v>
      </c>
      <c r="CD15" s="2" t="s">
        <v>17</v>
      </c>
      <c r="CE15" s="2" t="s">
        <v>2958</v>
      </c>
      <c r="CF15" s="2" t="s">
        <v>17</v>
      </c>
      <c r="CG15" s="2" t="s">
        <v>1322</v>
      </c>
      <c r="CH15" s="2" t="s">
        <v>1323</v>
      </c>
      <c r="CI15" s="2"/>
      <c r="CJ15" s="2" t="s">
        <v>9</v>
      </c>
      <c r="CK15" s="2" t="s">
        <v>1324</v>
      </c>
      <c r="CL15" s="2" t="s">
        <v>1322</v>
      </c>
      <c r="CM15" s="2" t="s">
        <v>1325</v>
      </c>
      <c r="CN15" s="2" t="s">
        <v>1326</v>
      </c>
      <c r="CO15" s="2" t="s">
        <v>24</v>
      </c>
      <c r="CP15" s="2"/>
      <c r="CQ15" s="2">
        <v>80</v>
      </c>
      <c r="CR15" s="2" t="s">
        <v>984</v>
      </c>
      <c r="CS15" s="2">
        <v>2019</v>
      </c>
      <c r="CT15" s="2" t="s">
        <v>26</v>
      </c>
      <c r="CU15" s="2" t="s">
        <v>27</v>
      </c>
      <c r="CV15" s="2" t="s">
        <v>1327</v>
      </c>
      <c r="CW15" s="2" t="s">
        <v>692</v>
      </c>
      <c r="CX15" s="2" t="s">
        <v>24</v>
      </c>
      <c r="CY15" s="2"/>
      <c r="CZ15" s="2">
        <v>110</v>
      </c>
      <c r="DA15" s="2" t="s">
        <v>984</v>
      </c>
      <c r="DB15" s="2">
        <v>2021</v>
      </c>
      <c r="DC15" s="2" t="s">
        <v>30</v>
      </c>
      <c r="DD15" s="2" t="s">
        <v>27</v>
      </c>
      <c r="DE15" s="2" t="s">
        <v>1328</v>
      </c>
      <c r="DF15" s="2" t="s">
        <v>389</v>
      </c>
      <c r="DG15" s="2" t="s">
        <v>24</v>
      </c>
      <c r="DH15" s="2"/>
      <c r="DI15" s="2">
        <v>102</v>
      </c>
      <c r="DJ15" s="2" t="s">
        <v>984</v>
      </c>
      <c r="DK15" s="2">
        <v>2022</v>
      </c>
      <c r="DL15" s="2" t="s">
        <v>30</v>
      </c>
      <c r="DM15" s="2" t="s">
        <v>27</v>
      </c>
      <c r="DN15" s="2" t="s">
        <v>2663</v>
      </c>
      <c r="DO15" s="2" t="s">
        <v>1329</v>
      </c>
      <c r="DP15" s="2" t="s">
        <v>1330</v>
      </c>
      <c r="DQ15" s="2" t="s">
        <v>1331</v>
      </c>
      <c r="DR15" s="2" t="s">
        <v>1332</v>
      </c>
      <c r="DS15" s="2">
        <v>1</v>
      </c>
      <c r="DT15" s="2" t="s">
        <v>1333</v>
      </c>
      <c r="DU15" s="2" t="s">
        <v>1334</v>
      </c>
      <c r="DV15" s="2" t="s">
        <v>39</v>
      </c>
      <c r="DW15" s="2">
        <v>34744</v>
      </c>
      <c r="DX15" s="2" t="s">
        <v>1335</v>
      </c>
      <c r="DY15" s="2">
        <v>2</v>
      </c>
      <c r="DZ15" s="2" t="s">
        <v>1336</v>
      </c>
      <c r="EA15" s="2" t="s">
        <v>1332</v>
      </c>
      <c r="EB15" s="2" t="s">
        <v>1337</v>
      </c>
      <c r="EC15" s="2" t="s">
        <v>1338</v>
      </c>
      <c r="ED15" s="2" t="s">
        <v>44</v>
      </c>
      <c r="EE15" s="2">
        <v>96</v>
      </c>
      <c r="EF15" s="2" t="s">
        <v>991</v>
      </c>
      <c r="EG15" s="2">
        <v>13</v>
      </c>
      <c r="EH15" s="2" t="s">
        <v>46</v>
      </c>
      <c r="EI15" s="2" t="s">
        <v>47</v>
      </c>
      <c r="EJ15" s="2" t="s">
        <v>1339</v>
      </c>
      <c r="EK15" s="2" t="s">
        <v>1340</v>
      </c>
      <c r="EL15" s="2" t="s">
        <v>44</v>
      </c>
      <c r="EM15" s="2">
        <v>92</v>
      </c>
      <c r="EN15" s="2" t="s">
        <v>991</v>
      </c>
      <c r="EO15" s="2">
        <v>12</v>
      </c>
      <c r="EP15" s="2" t="s">
        <v>46</v>
      </c>
      <c r="EQ15" s="2" t="s">
        <v>47</v>
      </c>
      <c r="ER15" s="2" t="s">
        <v>1341</v>
      </c>
      <c r="ES15" s="2" t="s">
        <v>256</v>
      </c>
      <c r="ET15" s="2" t="s">
        <v>1342</v>
      </c>
      <c r="EU15" s="2" t="s">
        <v>1322</v>
      </c>
      <c r="EV15" s="2" t="s">
        <v>1343</v>
      </c>
      <c r="EW15" s="2" t="s">
        <v>752</v>
      </c>
      <c r="EX15" s="2" t="s">
        <v>39</v>
      </c>
      <c r="EY15" s="2">
        <v>32789</v>
      </c>
      <c r="EZ15" s="2" t="s">
        <v>1344</v>
      </c>
      <c r="FA15" s="2"/>
      <c r="FB15" s="2" t="s">
        <v>1345</v>
      </c>
      <c r="FC15" s="2" t="s">
        <v>1346</v>
      </c>
      <c r="FD15" s="2"/>
      <c r="FE15" s="2" t="s">
        <v>1347</v>
      </c>
      <c r="FF15" s="2" t="s">
        <v>1323</v>
      </c>
      <c r="FG15" s="2" t="s">
        <v>1343</v>
      </c>
      <c r="FH15" s="2" t="s">
        <v>752</v>
      </c>
      <c r="FI15" s="2" t="s">
        <v>39</v>
      </c>
      <c r="FJ15" s="2">
        <v>32789</v>
      </c>
      <c r="FK15" s="2" t="s">
        <v>1348</v>
      </c>
      <c r="FL15" s="2"/>
      <c r="FM15" s="2" t="s">
        <v>1349</v>
      </c>
      <c r="FN15" s="2" t="s">
        <v>2959</v>
      </c>
      <c r="FO15" s="2" t="s">
        <v>63</v>
      </c>
      <c r="FP15" s="2" t="s">
        <v>64</v>
      </c>
      <c r="FQ15" s="2" t="s">
        <v>9</v>
      </c>
      <c r="FR15" s="2" t="s">
        <v>17</v>
      </c>
      <c r="FS15" s="2" t="s">
        <v>17</v>
      </c>
      <c r="FT15" s="2" t="s">
        <v>9</v>
      </c>
      <c r="FU15" s="2">
        <v>0</v>
      </c>
      <c r="FV15" s="2">
        <v>0</v>
      </c>
      <c r="FW15" s="4">
        <v>0</v>
      </c>
      <c r="FX15" s="4">
        <v>0</v>
      </c>
      <c r="FY15" s="2" t="s">
        <v>65</v>
      </c>
      <c r="FZ15" s="2" t="s">
        <v>66</v>
      </c>
      <c r="GA15" s="2" t="s">
        <v>67</v>
      </c>
      <c r="GB15" s="2"/>
      <c r="GC15" s="2"/>
      <c r="GD15" s="2"/>
      <c r="GE15" s="2" t="s">
        <v>1612</v>
      </c>
      <c r="GF15" s="2"/>
      <c r="GG15" s="2"/>
      <c r="GH15" s="2"/>
      <c r="GI15" s="2">
        <v>88</v>
      </c>
      <c r="GJ15" s="2"/>
      <c r="GK15" s="2"/>
      <c r="GL15" s="2"/>
      <c r="GM15" s="2"/>
      <c r="GN15" s="2"/>
      <c r="GO15" s="2"/>
      <c r="GP15" s="2"/>
      <c r="GQ15" s="2">
        <v>88</v>
      </c>
      <c r="GR15" s="2" t="s">
        <v>2960</v>
      </c>
      <c r="GS15" s="2" t="s">
        <v>2686</v>
      </c>
      <c r="GT15" s="2" t="s">
        <v>2961</v>
      </c>
      <c r="GU15" s="2" t="s">
        <v>396</v>
      </c>
      <c r="GV15" s="2" t="s">
        <v>17</v>
      </c>
      <c r="GW15" s="2">
        <v>27.994861</v>
      </c>
      <c r="GX15" s="2">
        <v>-82.417000000000002</v>
      </c>
      <c r="GY15" s="2"/>
      <c r="GZ15" s="2" t="s">
        <v>17</v>
      </c>
      <c r="HA15" s="2">
        <v>0</v>
      </c>
      <c r="HB15" s="2" t="s">
        <v>17</v>
      </c>
      <c r="HC15" s="2" t="s">
        <v>17</v>
      </c>
      <c r="HD15" s="2">
        <v>0</v>
      </c>
      <c r="HE15" s="2">
        <v>27.996193999999999</v>
      </c>
      <c r="HF15" s="2">
        <v>-82.415610999999998</v>
      </c>
      <c r="HG15" s="2">
        <v>0.13</v>
      </c>
      <c r="HH15" s="2">
        <v>6</v>
      </c>
      <c r="HI15" s="2">
        <v>27.995916999999999</v>
      </c>
      <c r="HJ15" s="2">
        <v>-82.418527999999995</v>
      </c>
      <c r="HK15" s="2">
        <v>0.12</v>
      </c>
      <c r="HL15" s="2">
        <v>27.996694000000002</v>
      </c>
      <c r="HM15" s="2">
        <v>-82.413944000000001</v>
      </c>
      <c r="HN15" s="2">
        <v>0.23</v>
      </c>
      <c r="HO15" s="2"/>
      <c r="HP15" s="2"/>
      <c r="HQ15" s="2"/>
      <c r="HR15" s="2"/>
      <c r="HS15" s="2"/>
      <c r="HT15" s="2"/>
      <c r="HU15" s="2"/>
      <c r="HV15" s="2"/>
      <c r="HW15" s="2" t="s">
        <v>73</v>
      </c>
      <c r="HX15" s="2" t="s">
        <v>74</v>
      </c>
      <c r="HY15" s="2" t="s">
        <v>2962</v>
      </c>
      <c r="HZ15" s="2">
        <v>1.42</v>
      </c>
      <c r="IA15" s="2">
        <v>1.5</v>
      </c>
      <c r="IB15" s="2"/>
      <c r="IC15" s="2"/>
      <c r="ID15" s="2"/>
      <c r="IE15" s="2"/>
      <c r="IF15" s="2" t="s">
        <v>1118</v>
      </c>
      <c r="IG15" s="2" t="s">
        <v>2963</v>
      </c>
      <c r="IH15" s="2">
        <v>1.1200000000000001</v>
      </c>
      <c r="II15" s="2">
        <v>2</v>
      </c>
      <c r="IJ15" s="2" t="s">
        <v>2964</v>
      </c>
      <c r="IK15" s="2" t="s">
        <v>2965</v>
      </c>
      <c r="IL15" s="2">
        <v>0.68</v>
      </c>
      <c r="IM15" s="2">
        <v>3.5</v>
      </c>
      <c r="IN15" s="2" t="s">
        <v>17</v>
      </c>
      <c r="IO15" s="2"/>
      <c r="IP15" s="2" t="s">
        <v>79</v>
      </c>
      <c r="IQ15" s="2">
        <v>6</v>
      </c>
      <c r="IR15" s="2">
        <v>7</v>
      </c>
      <c r="IS15" s="2">
        <v>0</v>
      </c>
      <c r="IT15" s="2">
        <v>13</v>
      </c>
      <c r="IU15" s="2" t="s">
        <v>9</v>
      </c>
      <c r="IV15" s="2" t="s">
        <v>17</v>
      </c>
      <c r="IW15" s="2" t="s">
        <v>17</v>
      </c>
      <c r="IX15" s="2" t="s">
        <v>9</v>
      </c>
      <c r="IY15" s="2">
        <v>13</v>
      </c>
      <c r="IZ15" s="2">
        <v>88</v>
      </c>
      <c r="JA15" s="2" t="s">
        <v>2693</v>
      </c>
      <c r="JB15" s="2" t="s">
        <v>173</v>
      </c>
      <c r="JC15" s="2"/>
      <c r="JD15" s="7">
        <v>0.1</v>
      </c>
      <c r="JE15" s="7">
        <v>0.9</v>
      </c>
      <c r="JF15" s="7">
        <v>0</v>
      </c>
      <c r="JG15" s="7"/>
      <c r="JH15" s="7"/>
      <c r="JI15" s="2">
        <v>88</v>
      </c>
      <c r="JJ15" s="7">
        <v>1</v>
      </c>
      <c r="JK15" s="2">
        <v>88</v>
      </c>
      <c r="JL15" s="7">
        <v>1</v>
      </c>
      <c r="JM15" s="2"/>
      <c r="JN15" s="2"/>
      <c r="JO15" s="2"/>
      <c r="JP15" s="2"/>
      <c r="JQ15" s="2"/>
      <c r="JR15" s="2">
        <v>0</v>
      </c>
      <c r="JS15" s="2">
        <v>0</v>
      </c>
      <c r="JT15" s="2"/>
      <c r="JU15" s="2"/>
      <c r="JV15" s="2">
        <v>0</v>
      </c>
      <c r="JW15" s="4">
        <v>0</v>
      </c>
      <c r="JX15" s="2">
        <v>0</v>
      </c>
      <c r="JY15" s="4">
        <v>0</v>
      </c>
      <c r="JZ15" s="2">
        <v>0</v>
      </c>
      <c r="KA15" s="2"/>
      <c r="KB15" s="2"/>
      <c r="KC15" s="2"/>
      <c r="KD15" s="2"/>
      <c r="KE15" s="2"/>
      <c r="KF15" s="2"/>
      <c r="KG15" s="2"/>
      <c r="KH15" s="2">
        <v>70</v>
      </c>
      <c r="KI15" s="2"/>
      <c r="KJ15" s="2"/>
      <c r="KK15" s="2">
        <v>18</v>
      </c>
      <c r="KL15" s="2"/>
      <c r="KM15" s="2"/>
      <c r="KN15" s="2"/>
      <c r="KO15" s="2"/>
      <c r="KP15" s="2"/>
      <c r="KQ15" s="2" t="s">
        <v>83</v>
      </c>
      <c r="KR15" s="2"/>
      <c r="KS15" s="2" t="s">
        <v>73</v>
      </c>
      <c r="KT15" s="2">
        <v>1</v>
      </c>
      <c r="KU15" s="2" t="s">
        <v>84</v>
      </c>
      <c r="KV15" s="2" t="s">
        <v>85</v>
      </c>
      <c r="KW15" s="2" t="s">
        <v>86</v>
      </c>
      <c r="KX15" s="2" t="s">
        <v>17</v>
      </c>
      <c r="KY15" s="2" t="s">
        <v>17</v>
      </c>
      <c r="KZ15" s="2" t="s">
        <v>17</v>
      </c>
      <c r="LA15" s="2" t="s">
        <v>17</v>
      </c>
      <c r="LB15" s="2" t="s">
        <v>17</v>
      </c>
      <c r="LC15" s="2" t="s">
        <v>17</v>
      </c>
      <c r="LD15" s="2" t="s">
        <v>17</v>
      </c>
      <c r="LE15" s="2" t="s">
        <v>17</v>
      </c>
      <c r="LF15" s="2" t="s">
        <v>17</v>
      </c>
      <c r="LG15" s="2" t="s">
        <v>17</v>
      </c>
      <c r="LH15" s="2" t="s">
        <v>17</v>
      </c>
      <c r="LI15" s="2" t="s">
        <v>17</v>
      </c>
      <c r="LJ15" s="2" t="s">
        <v>87</v>
      </c>
      <c r="LK15" s="2" t="s">
        <v>17</v>
      </c>
      <c r="LL15" s="2" t="s">
        <v>17</v>
      </c>
      <c r="LM15" s="2">
        <v>0</v>
      </c>
      <c r="LN15" s="2" t="s">
        <v>17</v>
      </c>
      <c r="LO15" s="2" t="s">
        <v>17</v>
      </c>
      <c r="LP15" s="2" t="s">
        <v>17</v>
      </c>
      <c r="LQ15" s="2" t="s">
        <v>17</v>
      </c>
      <c r="LR15" s="2" t="s">
        <v>17</v>
      </c>
      <c r="LS15" s="2" t="s">
        <v>17</v>
      </c>
      <c r="LT15" s="2" t="s">
        <v>17</v>
      </c>
      <c r="LU15" s="2" t="s">
        <v>17</v>
      </c>
      <c r="LV15" s="2" t="s">
        <v>9</v>
      </c>
      <c r="LW15" s="2" t="s">
        <v>9</v>
      </c>
      <c r="LX15" s="2" t="s">
        <v>9</v>
      </c>
      <c r="LY15" s="5">
        <v>6500000</v>
      </c>
      <c r="LZ15" s="5">
        <v>0</v>
      </c>
      <c r="MA15" s="5">
        <v>8400000</v>
      </c>
      <c r="MB15" s="5">
        <v>0</v>
      </c>
      <c r="MC15" s="5">
        <v>0</v>
      </c>
      <c r="MD15" s="5">
        <v>0</v>
      </c>
      <c r="ME15" s="5">
        <v>9240000</v>
      </c>
      <c r="MF15" s="5">
        <v>0</v>
      </c>
      <c r="MG15" s="5">
        <v>0</v>
      </c>
      <c r="MH15" s="5">
        <v>0</v>
      </c>
      <c r="MI15" s="5">
        <v>0</v>
      </c>
      <c r="MJ15" s="5">
        <v>0</v>
      </c>
      <c r="MK15" s="5">
        <v>0</v>
      </c>
      <c r="ML15" s="2">
        <v>0</v>
      </c>
      <c r="MM15" s="5">
        <v>0</v>
      </c>
      <c r="MN15" s="5">
        <v>0</v>
      </c>
      <c r="MO15" s="2">
        <v>0</v>
      </c>
      <c r="MP15" s="2">
        <v>0</v>
      </c>
      <c r="MQ15" s="2">
        <v>0</v>
      </c>
      <c r="MR15" s="5">
        <v>2950000</v>
      </c>
      <c r="MS15" s="5">
        <v>0</v>
      </c>
      <c r="MT15" s="5">
        <v>4600000</v>
      </c>
      <c r="MU15" s="5">
        <v>0</v>
      </c>
      <c r="MV15" s="5">
        <v>0</v>
      </c>
      <c r="MW15" s="5">
        <v>0</v>
      </c>
      <c r="MX15" s="5">
        <v>0</v>
      </c>
      <c r="MY15" s="5">
        <v>2500000</v>
      </c>
      <c r="MZ15" s="5">
        <v>0</v>
      </c>
      <c r="NA15" s="5">
        <v>5000000</v>
      </c>
      <c r="NB15" s="5">
        <v>0</v>
      </c>
      <c r="NC15" s="5">
        <v>0</v>
      </c>
      <c r="ND15" s="5">
        <v>0</v>
      </c>
      <c r="NE15" s="5">
        <v>0</v>
      </c>
      <c r="NF15" s="5">
        <v>0</v>
      </c>
      <c r="NG15" s="5">
        <v>2992500</v>
      </c>
      <c r="NH15" s="5">
        <v>2650000</v>
      </c>
      <c r="NI15" s="5">
        <v>2650000</v>
      </c>
      <c r="NJ15" s="2" t="s">
        <v>17</v>
      </c>
      <c r="NK15" s="2"/>
      <c r="NL15" s="2"/>
      <c r="NM15" s="2" t="s">
        <v>9</v>
      </c>
      <c r="NN15" s="2" t="s">
        <v>2966</v>
      </c>
      <c r="NO15" s="2" t="s">
        <v>17</v>
      </c>
      <c r="NP15" s="2"/>
      <c r="NQ15" s="2"/>
      <c r="NR15" s="2" t="s">
        <v>17</v>
      </c>
      <c r="NS15" s="2"/>
      <c r="NT15" s="2" t="s">
        <v>9</v>
      </c>
      <c r="NU15" s="2" t="s">
        <v>450</v>
      </c>
      <c r="NV15" s="2">
        <v>18</v>
      </c>
      <c r="NW15" s="2" t="s">
        <v>2967</v>
      </c>
      <c r="NX15" s="2" t="s">
        <v>17</v>
      </c>
      <c r="NY15" s="2"/>
      <c r="NZ15" s="2"/>
      <c r="OA15" s="2" t="s">
        <v>118</v>
      </c>
      <c r="OB15" s="2" t="s">
        <v>118</v>
      </c>
      <c r="OC15" s="2" t="s">
        <v>118</v>
      </c>
      <c r="OD15" s="2" t="s">
        <v>17</v>
      </c>
      <c r="OE15" s="2" t="s">
        <v>119</v>
      </c>
      <c r="OF15" s="2" t="s">
        <v>17</v>
      </c>
      <c r="OG15" s="2"/>
      <c r="OH15" s="2" t="s">
        <v>17</v>
      </c>
      <c r="OI15" s="2" t="s">
        <v>17</v>
      </c>
      <c r="OJ15" s="2" t="s">
        <v>85</v>
      </c>
      <c r="OK15" s="6">
        <v>0</v>
      </c>
      <c r="OL15" s="6">
        <v>0</v>
      </c>
      <c r="OM15" s="2" t="s">
        <v>93</v>
      </c>
      <c r="ON15" s="2" t="s">
        <v>93</v>
      </c>
      <c r="OO15" s="6">
        <v>0</v>
      </c>
      <c r="OP15" s="6">
        <v>0</v>
      </c>
      <c r="OQ15" s="4">
        <v>0</v>
      </c>
      <c r="OR15" s="6">
        <v>0</v>
      </c>
      <c r="OS15" s="4">
        <v>0</v>
      </c>
      <c r="OT15" s="2" t="s">
        <v>17</v>
      </c>
      <c r="OU15" s="2" t="s">
        <v>17</v>
      </c>
      <c r="OV15" s="2"/>
      <c r="OW15" s="2"/>
      <c r="OX15" s="5">
        <v>17637075</v>
      </c>
      <c r="OY15" s="6">
        <v>200421.31</v>
      </c>
      <c r="OZ15" s="2"/>
      <c r="PA15" s="2"/>
      <c r="PB15" s="2"/>
      <c r="PC15" s="2"/>
      <c r="PD15" s="8">
        <v>16410000</v>
      </c>
      <c r="PE15" s="2"/>
      <c r="PF15" s="8">
        <v>16410000</v>
      </c>
      <c r="PG15" s="8">
        <v>500000</v>
      </c>
      <c r="PH15" s="2"/>
      <c r="PI15" s="8">
        <v>500000</v>
      </c>
      <c r="PJ15" s="2"/>
      <c r="PK15" s="2"/>
      <c r="PL15" s="2"/>
      <c r="PM15" s="8">
        <v>16910000</v>
      </c>
      <c r="PN15" s="2"/>
      <c r="PO15" s="8">
        <v>16910000</v>
      </c>
      <c r="PP15" s="8">
        <v>2367390</v>
      </c>
      <c r="PQ15" s="2"/>
      <c r="PR15" s="8">
        <v>2367390</v>
      </c>
      <c r="PS15" s="6">
        <v>2367400</v>
      </c>
      <c r="PT15" s="8">
        <v>19277390</v>
      </c>
      <c r="PU15" s="2"/>
      <c r="PV15" s="8">
        <v>19277390</v>
      </c>
      <c r="PW15" s="8">
        <v>963869</v>
      </c>
      <c r="PX15" s="2"/>
      <c r="PY15" s="8">
        <v>963869</v>
      </c>
      <c r="PZ15" s="6">
        <v>963869.5</v>
      </c>
      <c r="QA15" s="8">
        <v>787500</v>
      </c>
      <c r="QB15" s="8">
        <v>35000</v>
      </c>
      <c r="QC15" s="8">
        <v>822500</v>
      </c>
      <c r="QD15" s="8">
        <v>126250</v>
      </c>
      <c r="QE15" s="8">
        <v>50000</v>
      </c>
      <c r="QF15" s="8">
        <v>176250</v>
      </c>
      <c r="QG15" s="8">
        <v>300000</v>
      </c>
      <c r="QH15" s="2">
        <v>0</v>
      </c>
      <c r="QI15" s="8">
        <v>300000</v>
      </c>
      <c r="QJ15" s="2">
        <v>0</v>
      </c>
      <c r="QK15" s="8">
        <v>456500</v>
      </c>
      <c r="QL15" s="8">
        <v>456500</v>
      </c>
      <c r="QM15" s="2"/>
      <c r="QN15" s="2"/>
      <c r="QO15" s="2"/>
      <c r="QP15" s="2"/>
      <c r="QQ15" s="2"/>
      <c r="QR15" s="2"/>
      <c r="QS15" s="8">
        <v>1213750</v>
      </c>
      <c r="QT15" s="8">
        <v>541500</v>
      </c>
      <c r="QU15" s="8">
        <v>1755250</v>
      </c>
      <c r="QV15" s="8">
        <v>60687</v>
      </c>
      <c r="QW15" s="8">
        <v>27066</v>
      </c>
      <c r="QX15" s="8">
        <v>87753</v>
      </c>
      <c r="QY15" s="6">
        <v>87762.5</v>
      </c>
      <c r="QZ15" s="8">
        <v>971679</v>
      </c>
      <c r="RA15" s="8">
        <v>94143</v>
      </c>
      <c r="RB15" s="8">
        <v>1065822</v>
      </c>
      <c r="RC15" s="8">
        <v>31000</v>
      </c>
      <c r="RD15" s="8">
        <v>31000</v>
      </c>
      <c r="RE15" s="2"/>
      <c r="RF15" s="2"/>
      <c r="RG15" s="2"/>
      <c r="RH15" s="8">
        <v>971679</v>
      </c>
      <c r="RI15" s="8">
        <v>125143</v>
      </c>
      <c r="RJ15" s="8">
        <v>1096822</v>
      </c>
      <c r="RK15" s="2"/>
      <c r="RL15" s="2"/>
      <c r="RM15" s="8">
        <v>22487375</v>
      </c>
      <c r="RN15" s="8">
        <v>693709</v>
      </c>
      <c r="RO15" s="8">
        <v>23181084</v>
      </c>
      <c r="RP15" s="2">
        <v>0</v>
      </c>
      <c r="RQ15" s="6">
        <v>0</v>
      </c>
      <c r="RR15" s="8">
        <v>3597970</v>
      </c>
      <c r="RS15" s="8">
        <v>110983</v>
      </c>
      <c r="RT15" s="8">
        <v>3708953</v>
      </c>
      <c r="RU15" s="6">
        <v>3708973</v>
      </c>
      <c r="RV15" s="6">
        <v>0</v>
      </c>
      <c r="RW15" s="8">
        <v>3597970</v>
      </c>
      <c r="RX15" s="8">
        <v>110983</v>
      </c>
      <c r="RY15" s="8">
        <v>3708953</v>
      </c>
      <c r="RZ15" s="6">
        <v>3708973</v>
      </c>
      <c r="SA15" s="8">
        <v>196615</v>
      </c>
      <c r="SB15" s="8">
        <v>196615</v>
      </c>
      <c r="SC15" s="6">
        <v>308000</v>
      </c>
      <c r="SD15" s="8">
        <v>1500000</v>
      </c>
      <c r="SE15" s="8">
        <v>1500000</v>
      </c>
      <c r="SF15" s="8">
        <v>26085345</v>
      </c>
      <c r="SG15" s="8">
        <v>2501307</v>
      </c>
      <c r="SH15" s="8">
        <v>28586652</v>
      </c>
      <c r="SI15" s="2" t="s">
        <v>229</v>
      </c>
      <c r="SJ15" s="2"/>
      <c r="SK15" s="2"/>
      <c r="SL15" s="2"/>
      <c r="SM15" s="8">
        <v>2350000</v>
      </c>
      <c r="SN15" s="2" t="s">
        <v>95</v>
      </c>
      <c r="SO15" s="8">
        <v>750000</v>
      </c>
      <c r="SP15" s="2" t="s">
        <v>180</v>
      </c>
      <c r="SQ15" s="2"/>
      <c r="SR15" s="2"/>
      <c r="SS15" s="2" t="s">
        <v>96</v>
      </c>
      <c r="ST15" s="2" t="s">
        <v>96</v>
      </c>
      <c r="SU15" s="2" t="s">
        <v>96</v>
      </c>
      <c r="SV15" s="2" t="s">
        <v>96</v>
      </c>
      <c r="SW15" s="8">
        <v>3681012</v>
      </c>
      <c r="SX15" s="2" t="s">
        <v>1355</v>
      </c>
      <c r="SY15" s="8">
        <v>18849935</v>
      </c>
      <c r="SZ15" s="2" t="s">
        <v>95</v>
      </c>
      <c r="TA15" s="8">
        <v>2955705</v>
      </c>
      <c r="TB15" s="8">
        <v>28586652</v>
      </c>
      <c r="TC15" s="2">
        <v>0</v>
      </c>
      <c r="TD15" s="2" t="s">
        <v>9</v>
      </c>
      <c r="TE15" s="8">
        <v>2350000</v>
      </c>
      <c r="TF15" s="2" t="s">
        <v>95</v>
      </c>
      <c r="TG15" s="8">
        <v>750000</v>
      </c>
      <c r="TH15" s="2" t="s">
        <v>180</v>
      </c>
      <c r="TI15" s="2"/>
      <c r="TJ15" s="2"/>
      <c r="TK15" s="2" t="s">
        <v>96</v>
      </c>
      <c r="TL15" s="2" t="s">
        <v>96</v>
      </c>
      <c r="TM15" s="2" t="s">
        <v>96</v>
      </c>
      <c r="TN15" s="2" t="s">
        <v>96</v>
      </c>
      <c r="TO15" s="8">
        <v>24377562</v>
      </c>
      <c r="TP15" s="2"/>
      <c r="TQ15" s="2"/>
      <c r="TR15" s="2"/>
      <c r="TS15" s="8">
        <v>1109090</v>
      </c>
      <c r="TT15" s="8">
        <v>28586652</v>
      </c>
      <c r="TU15" s="6">
        <v>3100000</v>
      </c>
      <c r="TV15" s="2">
        <v>0</v>
      </c>
      <c r="TW15" s="2" t="s">
        <v>9</v>
      </c>
      <c r="TX15" s="2">
        <v>88</v>
      </c>
      <c r="TY15" s="5">
        <v>270000</v>
      </c>
      <c r="TZ15" s="6">
        <v>360000</v>
      </c>
      <c r="UA15" s="6">
        <v>360000</v>
      </c>
      <c r="UB15" s="6">
        <v>381600</v>
      </c>
      <c r="UC15" s="6">
        <v>33580800</v>
      </c>
      <c r="UD15" s="6">
        <v>5372928</v>
      </c>
      <c r="UE15" s="2" t="s">
        <v>97</v>
      </c>
      <c r="UF15" s="6">
        <v>5372928</v>
      </c>
      <c r="UG15" s="6">
        <v>38953728</v>
      </c>
      <c r="UH15" s="6">
        <v>26890037</v>
      </c>
      <c r="UI15" s="4">
        <v>0.99990000000000001</v>
      </c>
      <c r="UJ15" s="2" t="s">
        <v>9</v>
      </c>
      <c r="UK15" s="6">
        <v>750000</v>
      </c>
      <c r="UL15" s="2"/>
      <c r="UM15" s="6">
        <v>750000</v>
      </c>
      <c r="UN15" s="2"/>
      <c r="UO15" s="6">
        <v>0</v>
      </c>
      <c r="UP15" s="2"/>
      <c r="UQ15" s="6">
        <v>0</v>
      </c>
      <c r="UR15" s="6">
        <v>0</v>
      </c>
      <c r="US15" s="6">
        <v>750000</v>
      </c>
      <c r="UT15" s="6">
        <v>0</v>
      </c>
      <c r="UU15" s="6">
        <v>750000</v>
      </c>
      <c r="UV15" s="2" t="s">
        <v>2968</v>
      </c>
      <c r="UW15" s="2" t="s">
        <v>182</v>
      </c>
      <c r="UX15" s="2" t="s">
        <v>9</v>
      </c>
      <c r="UY15" s="2" t="s">
        <v>17</v>
      </c>
      <c r="UZ15" s="2" t="s">
        <v>17</v>
      </c>
      <c r="VA15" s="2" t="s">
        <v>17</v>
      </c>
      <c r="VB15" s="2" t="s">
        <v>2697</v>
      </c>
      <c r="VC15" s="2" t="s">
        <v>17</v>
      </c>
      <c r="VD15" s="2" t="s">
        <v>17</v>
      </c>
      <c r="VE15" s="2" t="s">
        <v>17</v>
      </c>
      <c r="VF15" s="2"/>
      <c r="VG15" s="2" t="s">
        <v>2969</v>
      </c>
      <c r="VH15" s="2"/>
      <c r="VI15" s="388" t="s">
        <v>1324</v>
      </c>
      <c r="VJ15" s="2" t="s">
        <v>98</v>
      </c>
      <c r="VK15" s="2" t="s">
        <v>536</v>
      </c>
      <c r="VL15" s="23">
        <f t="shared" si="0"/>
        <v>106</v>
      </c>
      <c r="VM15" s="17">
        <f t="shared" si="1"/>
        <v>1.2045454545454546</v>
      </c>
      <c r="VN15" s="17" t="str">
        <f t="shared" si="2"/>
        <v>NC-MR-E</v>
      </c>
      <c r="VO15" s="17" t="str">
        <f t="shared" si="14"/>
        <v>NC-MR-E-ESS</v>
      </c>
      <c r="VP15" s="12">
        <v>9</v>
      </c>
      <c r="VQ15" s="57">
        <v>1</v>
      </c>
      <c r="VR15" s="14">
        <f t="shared" si="3"/>
        <v>1</v>
      </c>
      <c r="VS15" s="14">
        <f t="shared" si="4"/>
        <v>1</v>
      </c>
      <c r="VT15" s="12">
        <f t="shared" si="5"/>
        <v>0.90210000000000001</v>
      </c>
      <c r="VU15" s="29">
        <f t="shared" si="6"/>
        <v>21515085</v>
      </c>
      <c r="VV15" s="29">
        <f t="shared" si="7"/>
        <v>244489.60227272726</v>
      </c>
      <c r="VW15" s="12" t="str">
        <f t="shared" si="15"/>
        <v>A</v>
      </c>
      <c r="VX15" s="12" t="str">
        <f t="shared" si="8"/>
        <v>NC-MR-ESS</v>
      </c>
      <c r="VY15" s="351">
        <f t="shared" si="16"/>
        <v>3</v>
      </c>
      <c r="VZ15" s="12"/>
      <c r="WA15" s="12">
        <f t="shared" si="17"/>
        <v>1</v>
      </c>
      <c r="WB15" s="12">
        <f t="shared" si="18"/>
        <v>0</v>
      </c>
      <c r="WC15" s="12">
        <f t="shared" si="19"/>
        <v>0</v>
      </c>
      <c r="WD15" s="12">
        <f t="shared" si="20"/>
        <v>0</v>
      </c>
      <c r="WE15" s="12">
        <f t="shared" si="21"/>
        <v>1</v>
      </c>
      <c r="WF15" s="12">
        <f t="shared" si="9"/>
        <v>0</v>
      </c>
      <c r="WG15" s="12">
        <f t="shared" si="10"/>
        <v>1</v>
      </c>
      <c r="WH15" s="12">
        <f t="shared" si="11"/>
        <v>0</v>
      </c>
      <c r="WI15" s="31">
        <f t="shared" si="12"/>
        <v>3</v>
      </c>
      <c r="WJ15" s="2"/>
      <c r="WK15" s="444" t="str">
        <f t="shared" si="13"/>
        <v>NC-MR-ESS-BBN-BRN-NPH-E</v>
      </c>
      <c r="WL15" s="444"/>
      <c r="WM15" s="444"/>
      <c r="WN15" s="12"/>
      <c r="WO15" s="12"/>
    </row>
    <row r="16" spans="1:622" x14ac:dyDescent="0.25">
      <c r="A16" s="2">
        <v>9452</v>
      </c>
      <c r="B16" s="2" t="s">
        <v>2970</v>
      </c>
      <c r="C16" s="2" t="s">
        <v>2652</v>
      </c>
      <c r="D16" s="3">
        <v>45100</v>
      </c>
      <c r="E16" s="2" t="s">
        <v>9</v>
      </c>
      <c r="F16" s="2">
        <v>3</v>
      </c>
      <c r="G16" s="2" t="s">
        <v>9</v>
      </c>
      <c r="H16" s="2">
        <v>3</v>
      </c>
      <c r="I16" s="2" t="s">
        <v>9</v>
      </c>
      <c r="J16" s="2">
        <v>3</v>
      </c>
      <c r="K16" s="2" t="s">
        <v>9</v>
      </c>
      <c r="L16" s="2">
        <v>3</v>
      </c>
      <c r="M16" s="2" t="s">
        <v>10</v>
      </c>
      <c r="N16" s="2">
        <v>0</v>
      </c>
      <c r="O16" s="2" t="s">
        <v>10</v>
      </c>
      <c r="P16" s="2">
        <v>0</v>
      </c>
      <c r="Q16" s="2" t="s">
        <v>11</v>
      </c>
      <c r="R16" s="2">
        <v>0</v>
      </c>
      <c r="S16" s="2" t="s">
        <v>9</v>
      </c>
      <c r="T16" s="2">
        <v>2</v>
      </c>
      <c r="U16" s="2" t="s">
        <v>9</v>
      </c>
      <c r="V16" s="2">
        <v>2</v>
      </c>
      <c r="W16" s="2" t="s">
        <v>9</v>
      </c>
      <c r="X16" s="2">
        <v>2</v>
      </c>
      <c r="Y16" s="2" t="s">
        <v>12</v>
      </c>
      <c r="Z16" s="2" t="s">
        <v>1227</v>
      </c>
      <c r="AA16" s="2" t="s">
        <v>1608</v>
      </c>
      <c r="AB16" s="2" t="s">
        <v>842</v>
      </c>
      <c r="AC16" s="2" t="s">
        <v>15</v>
      </c>
      <c r="AD16" s="2" t="s">
        <v>15</v>
      </c>
      <c r="AE16" s="2" t="s">
        <v>15</v>
      </c>
      <c r="AF16" s="2">
        <v>3</v>
      </c>
      <c r="AG16" s="2" t="s">
        <v>436</v>
      </c>
      <c r="AH16" s="2" t="s">
        <v>17</v>
      </c>
      <c r="AI16" s="4">
        <v>0.15</v>
      </c>
      <c r="AJ16" s="2" t="s">
        <v>17</v>
      </c>
      <c r="AK16" s="2" t="s">
        <v>9</v>
      </c>
      <c r="AL16" s="2" t="s">
        <v>17</v>
      </c>
      <c r="AM16" s="2" t="s">
        <v>17</v>
      </c>
      <c r="AN16" s="2" t="s">
        <v>17</v>
      </c>
      <c r="AO16" s="2" t="s">
        <v>17</v>
      </c>
      <c r="AP16" s="2" t="s">
        <v>17</v>
      </c>
      <c r="AQ16" s="2" t="s">
        <v>17</v>
      </c>
      <c r="AR16" s="2" t="s">
        <v>9</v>
      </c>
      <c r="AS16" s="2" t="s">
        <v>9</v>
      </c>
      <c r="AT16" s="2">
        <v>5</v>
      </c>
      <c r="AU16" s="5">
        <v>100000</v>
      </c>
      <c r="AV16" s="5">
        <v>640000</v>
      </c>
      <c r="AW16" s="2">
        <v>0</v>
      </c>
      <c r="AX16" s="2">
        <v>7</v>
      </c>
      <c r="AY16" s="2">
        <v>0</v>
      </c>
      <c r="AZ16" s="2">
        <v>18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1</v>
      </c>
      <c r="BG16" s="2">
        <v>0</v>
      </c>
      <c r="BH16" s="2">
        <v>0</v>
      </c>
      <c r="BI16" s="2">
        <v>13</v>
      </c>
      <c r="BJ16" s="2">
        <v>1</v>
      </c>
      <c r="BK16" s="2">
        <v>0</v>
      </c>
      <c r="BL16" s="2">
        <v>3</v>
      </c>
      <c r="BM16" s="2">
        <v>0</v>
      </c>
      <c r="BN16" s="2">
        <v>10</v>
      </c>
      <c r="BO16" s="2">
        <v>11</v>
      </c>
      <c r="BP16" s="2">
        <v>0</v>
      </c>
      <c r="BQ16" s="2">
        <v>10</v>
      </c>
      <c r="BR16" s="2">
        <v>9.52</v>
      </c>
      <c r="BS16" s="2">
        <v>0</v>
      </c>
      <c r="BT16" s="4">
        <v>0.06</v>
      </c>
      <c r="BU16" s="2" t="s">
        <v>9</v>
      </c>
      <c r="BV16" s="6">
        <v>202655.28</v>
      </c>
      <c r="BW16" s="2" t="s">
        <v>18</v>
      </c>
      <c r="BX16" s="2" t="s">
        <v>17</v>
      </c>
      <c r="BY16" s="2" t="s">
        <v>17</v>
      </c>
      <c r="BZ16" s="2" t="s">
        <v>17</v>
      </c>
      <c r="CA16" s="2" t="s">
        <v>17</v>
      </c>
      <c r="CB16" s="2" t="s">
        <v>17</v>
      </c>
      <c r="CC16" s="2" t="s">
        <v>17</v>
      </c>
      <c r="CD16" s="2" t="s">
        <v>17</v>
      </c>
      <c r="CE16" s="2" t="s">
        <v>2971</v>
      </c>
      <c r="CF16" s="2" t="s">
        <v>9</v>
      </c>
      <c r="CG16" s="2" t="s">
        <v>2972</v>
      </c>
      <c r="CH16" s="2" t="s">
        <v>2973</v>
      </c>
      <c r="CI16" s="2"/>
      <c r="CJ16" s="2" t="s">
        <v>9</v>
      </c>
      <c r="CK16" s="2" t="s">
        <v>286</v>
      </c>
      <c r="CL16" s="2" t="s">
        <v>2972</v>
      </c>
      <c r="CM16" s="2" t="s">
        <v>287</v>
      </c>
      <c r="CN16" s="2" t="s">
        <v>288</v>
      </c>
      <c r="CO16" s="2" t="s">
        <v>24</v>
      </c>
      <c r="CP16" s="2"/>
      <c r="CQ16" s="2">
        <v>100</v>
      </c>
      <c r="CR16" s="2" t="s">
        <v>375</v>
      </c>
      <c r="CS16" s="2">
        <v>2021</v>
      </c>
      <c r="CT16" s="2" t="s">
        <v>26</v>
      </c>
      <c r="CU16" s="2" t="s">
        <v>27</v>
      </c>
      <c r="CV16" s="2" t="s">
        <v>290</v>
      </c>
      <c r="CW16" s="2" t="s">
        <v>291</v>
      </c>
      <c r="CX16" s="2" t="s">
        <v>24</v>
      </c>
      <c r="CY16" s="2"/>
      <c r="CZ16" s="2">
        <v>110</v>
      </c>
      <c r="DA16" s="2" t="s">
        <v>375</v>
      </c>
      <c r="DB16" s="2">
        <v>2021</v>
      </c>
      <c r="DC16" s="2" t="s">
        <v>30</v>
      </c>
      <c r="DD16" s="2" t="s">
        <v>27</v>
      </c>
      <c r="DE16" s="2" t="s">
        <v>292</v>
      </c>
      <c r="DF16" s="2" t="s">
        <v>293</v>
      </c>
      <c r="DG16" s="2" t="s">
        <v>24</v>
      </c>
      <c r="DH16" s="2"/>
      <c r="DI16" s="2">
        <v>132</v>
      </c>
      <c r="DJ16" s="2" t="s">
        <v>375</v>
      </c>
      <c r="DK16" s="2">
        <v>2020</v>
      </c>
      <c r="DL16" s="2" t="s">
        <v>30</v>
      </c>
      <c r="DM16" s="2" t="s">
        <v>27</v>
      </c>
      <c r="DN16" s="2" t="s">
        <v>2663</v>
      </c>
      <c r="DO16" s="2" t="s">
        <v>294</v>
      </c>
      <c r="DP16" s="2" t="s">
        <v>295</v>
      </c>
      <c r="DQ16" s="2" t="s">
        <v>296</v>
      </c>
      <c r="DR16" s="2" t="s">
        <v>297</v>
      </c>
      <c r="DS16" s="2">
        <v>1</v>
      </c>
      <c r="DT16" s="2" t="s">
        <v>298</v>
      </c>
      <c r="DU16" s="2" t="s">
        <v>299</v>
      </c>
      <c r="DV16" s="2" t="s">
        <v>39</v>
      </c>
      <c r="DW16" s="2">
        <v>33133</v>
      </c>
      <c r="DX16" s="2" t="s">
        <v>300</v>
      </c>
      <c r="DY16" s="2">
        <v>125</v>
      </c>
      <c r="DZ16" s="2" t="s">
        <v>301</v>
      </c>
      <c r="EA16" s="2" t="s">
        <v>297</v>
      </c>
      <c r="EB16" s="2" t="s">
        <v>302</v>
      </c>
      <c r="EC16" s="2" t="s">
        <v>291</v>
      </c>
      <c r="ED16" s="2" t="s">
        <v>44</v>
      </c>
      <c r="EE16" s="2">
        <v>144</v>
      </c>
      <c r="EF16" s="2" t="s">
        <v>390</v>
      </c>
      <c r="EG16" s="2">
        <v>7</v>
      </c>
      <c r="EH16" s="2" t="s">
        <v>46</v>
      </c>
      <c r="EI16" s="2" t="s">
        <v>47</v>
      </c>
      <c r="EJ16" s="2" t="s">
        <v>2974</v>
      </c>
      <c r="EK16" s="2" t="s">
        <v>305</v>
      </c>
      <c r="EL16" s="2" t="s">
        <v>44</v>
      </c>
      <c r="EM16" s="2">
        <v>150</v>
      </c>
      <c r="EN16" s="2" t="s">
        <v>390</v>
      </c>
      <c r="EO16" s="2">
        <v>5</v>
      </c>
      <c r="EP16" s="2" t="s">
        <v>46</v>
      </c>
      <c r="EQ16" s="2" t="s">
        <v>47</v>
      </c>
      <c r="ER16" s="2" t="s">
        <v>294</v>
      </c>
      <c r="ES16" s="2" t="s">
        <v>295</v>
      </c>
      <c r="ET16" s="2" t="s">
        <v>296</v>
      </c>
      <c r="EU16" s="2" t="s">
        <v>2971</v>
      </c>
      <c r="EV16" s="2" t="s">
        <v>1060</v>
      </c>
      <c r="EW16" s="2" t="s">
        <v>299</v>
      </c>
      <c r="EX16" s="2" t="s">
        <v>39</v>
      </c>
      <c r="EY16" s="2">
        <v>33133</v>
      </c>
      <c r="EZ16" s="2" t="s">
        <v>300</v>
      </c>
      <c r="FA16" s="2">
        <v>125</v>
      </c>
      <c r="FB16" s="2" t="s">
        <v>301</v>
      </c>
      <c r="FC16" s="2" t="s">
        <v>307</v>
      </c>
      <c r="FD16" s="2"/>
      <c r="FE16" s="2" t="s">
        <v>308</v>
      </c>
      <c r="FF16" s="2" t="s">
        <v>309</v>
      </c>
      <c r="FG16" s="2" t="s">
        <v>1060</v>
      </c>
      <c r="FH16" s="2" t="s">
        <v>299</v>
      </c>
      <c r="FI16" s="2" t="s">
        <v>39</v>
      </c>
      <c r="FJ16" s="2">
        <v>33133</v>
      </c>
      <c r="FK16" s="2" t="s">
        <v>310</v>
      </c>
      <c r="FL16" s="2"/>
      <c r="FM16" s="2" t="s">
        <v>311</v>
      </c>
      <c r="FN16" s="2" t="s">
        <v>2975</v>
      </c>
      <c r="FO16" s="2" t="s">
        <v>63</v>
      </c>
      <c r="FP16" s="2" t="s">
        <v>64</v>
      </c>
      <c r="FQ16" s="2" t="s">
        <v>9</v>
      </c>
      <c r="FR16" s="2" t="s">
        <v>17</v>
      </c>
      <c r="FS16" s="2" t="s">
        <v>17</v>
      </c>
      <c r="FT16" s="2" t="s">
        <v>9</v>
      </c>
      <c r="FU16" s="2">
        <v>0</v>
      </c>
      <c r="FV16" s="2">
        <v>0</v>
      </c>
      <c r="FW16" s="4">
        <v>0</v>
      </c>
      <c r="FX16" s="4">
        <v>0</v>
      </c>
      <c r="FY16" s="2" t="s">
        <v>65</v>
      </c>
      <c r="FZ16" s="2" t="s">
        <v>66</v>
      </c>
      <c r="GA16" s="2" t="s">
        <v>67</v>
      </c>
      <c r="GB16" s="2"/>
      <c r="GC16" s="2"/>
      <c r="GD16" s="2"/>
      <c r="GE16" s="2" t="s">
        <v>68</v>
      </c>
      <c r="GF16" s="2">
        <v>80</v>
      </c>
      <c r="GG16" s="2">
        <v>80</v>
      </c>
      <c r="GH16" s="2"/>
      <c r="GI16" s="2"/>
      <c r="GJ16" s="2"/>
      <c r="GK16" s="2"/>
      <c r="GL16" s="2"/>
      <c r="GM16" s="2"/>
      <c r="GN16" s="2"/>
      <c r="GO16" s="2"/>
      <c r="GP16" s="2"/>
      <c r="GQ16" s="2">
        <v>80</v>
      </c>
      <c r="GR16" s="2" t="s">
        <v>2617</v>
      </c>
      <c r="GS16" s="2" t="s">
        <v>2686</v>
      </c>
      <c r="GT16" s="2" t="s">
        <v>2976</v>
      </c>
      <c r="GU16" s="2" t="s">
        <v>634</v>
      </c>
      <c r="GV16" s="2" t="s">
        <v>9</v>
      </c>
      <c r="GW16" s="2">
        <v>26.278282999999998</v>
      </c>
      <c r="GX16" s="2">
        <v>-80.116221999999993</v>
      </c>
      <c r="GY16" s="2" t="s">
        <v>2977</v>
      </c>
      <c r="GZ16" s="2" t="s">
        <v>9</v>
      </c>
      <c r="HA16" s="2">
        <v>3</v>
      </c>
      <c r="HB16" s="2" t="s">
        <v>17</v>
      </c>
      <c r="HC16" s="2"/>
      <c r="HD16" s="2">
        <v>0</v>
      </c>
      <c r="HE16" s="2">
        <v>26.277394000000001</v>
      </c>
      <c r="HF16" s="2">
        <v>-80.119731000000002</v>
      </c>
      <c r="HG16" s="2">
        <v>0.23</v>
      </c>
      <c r="HH16" s="2">
        <v>6</v>
      </c>
      <c r="HI16" s="2">
        <v>26.278192000000001</v>
      </c>
      <c r="HJ16" s="2">
        <v>-80.112756000000005</v>
      </c>
      <c r="HK16" s="2">
        <v>0.22</v>
      </c>
      <c r="HL16" s="2">
        <v>26.278314000000002</v>
      </c>
      <c r="HM16" s="2">
        <v>-80.113007999999994</v>
      </c>
      <c r="HN16" s="2">
        <v>0.2</v>
      </c>
      <c r="HO16" s="2"/>
      <c r="HP16" s="2"/>
      <c r="HQ16" s="2"/>
      <c r="HR16" s="2"/>
      <c r="HS16" s="2"/>
      <c r="HT16" s="2"/>
      <c r="HU16" s="2"/>
      <c r="HV16" s="2"/>
      <c r="HW16" s="2" t="s">
        <v>73</v>
      </c>
      <c r="HX16" s="2"/>
      <c r="HY16" s="2"/>
      <c r="HZ16" s="2"/>
      <c r="IA16" s="2"/>
      <c r="IB16" s="2" t="s">
        <v>2978</v>
      </c>
      <c r="IC16" s="2" t="s">
        <v>2979</v>
      </c>
      <c r="ID16" s="2">
        <v>0.3</v>
      </c>
      <c r="IE16" s="2">
        <v>4</v>
      </c>
      <c r="IF16" s="2" t="s">
        <v>2980</v>
      </c>
      <c r="IG16" s="2" t="s">
        <v>2981</v>
      </c>
      <c r="IH16" s="2">
        <v>0.44</v>
      </c>
      <c r="II16" s="2">
        <v>3.5</v>
      </c>
      <c r="IJ16" s="2" t="s">
        <v>2982</v>
      </c>
      <c r="IK16" s="2" t="s">
        <v>2983</v>
      </c>
      <c r="IL16" s="2">
        <v>0.38</v>
      </c>
      <c r="IM16" s="2">
        <v>4</v>
      </c>
      <c r="IN16" s="2" t="s">
        <v>17</v>
      </c>
      <c r="IO16" s="2"/>
      <c r="IP16" s="2" t="s">
        <v>79</v>
      </c>
      <c r="IQ16" s="2">
        <v>6</v>
      </c>
      <c r="IR16" s="2">
        <v>11.5</v>
      </c>
      <c r="IS16" s="2">
        <v>3</v>
      </c>
      <c r="IT16" s="2">
        <v>20.5</v>
      </c>
      <c r="IU16" s="2" t="s">
        <v>9</v>
      </c>
      <c r="IV16" s="2" t="s">
        <v>17</v>
      </c>
      <c r="IW16" s="2" t="s">
        <v>17</v>
      </c>
      <c r="IX16" s="2" t="s">
        <v>9</v>
      </c>
      <c r="IY16" s="2">
        <v>17.5</v>
      </c>
      <c r="IZ16" s="2">
        <v>80</v>
      </c>
      <c r="JA16" s="2" t="s">
        <v>2731</v>
      </c>
      <c r="JB16" s="2" t="s">
        <v>82</v>
      </c>
      <c r="JC16" s="2"/>
      <c r="JD16" s="2"/>
      <c r="JE16" s="2"/>
      <c r="JF16" s="7">
        <v>0</v>
      </c>
      <c r="JG16" s="7"/>
      <c r="JH16" s="7"/>
      <c r="JI16" s="2">
        <v>0</v>
      </c>
      <c r="JJ16" s="7">
        <v>0</v>
      </c>
      <c r="JK16" s="2">
        <v>0</v>
      </c>
      <c r="JL16" s="7">
        <v>0</v>
      </c>
      <c r="JM16" s="2">
        <v>12</v>
      </c>
      <c r="JN16" s="2"/>
      <c r="JO16" s="2">
        <v>32</v>
      </c>
      <c r="JP16" s="2">
        <v>36</v>
      </c>
      <c r="JQ16" s="2"/>
      <c r="JR16" s="2">
        <v>0</v>
      </c>
      <c r="JS16" s="2">
        <v>0</v>
      </c>
      <c r="JT16" s="2"/>
      <c r="JU16" s="2"/>
      <c r="JV16" s="2">
        <v>80</v>
      </c>
      <c r="JW16" s="4">
        <v>1</v>
      </c>
      <c r="JX16" s="2">
        <v>80</v>
      </c>
      <c r="JY16" s="4">
        <v>0.6</v>
      </c>
      <c r="JZ16" s="2">
        <v>0</v>
      </c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>
        <v>44</v>
      </c>
      <c r="KL16" s="2">
        <v>36</v>
      </c>
      <c r="KM16" s="2"/>
      <c r="KN16" s="2"/>
      <c r="KO16" s="2"/>
      <c r="KP16" s="2"/>
      <c r="KQ16" s="2" t="s">
        <v>83</v>
      </c>
      <c r="KR16" s="2" t="s">
        <v>73</v>
      </c>
      <c r="KS16" s="2"/>
      <c r="KT16" s="2">
        <v>9</v>
      </c>
      <c r="KU16" s="2" t="s">
        <v>84</v>
      </c>
      <c r="KV16" s="2" t="s">
        <v>85</v>
      </c>
      <c r="KW16" s="2" t="s">
        <v>86</v>
      </c>
      <c r="KX16" s="2" t="s">
        <v>17</v>
      </c>
      <c r="KY16" s="2" t="s">
        <v>17</v>
      </c>
      <c r="KZ16" s="2" t="s">
        <v>17</v>
      </c>
      <c r="LA16" s="2" t="s">
        <v>17</v>
      </c>
      <c r="LB16" s="2" t="s">
        <v>17</v>
      </c>
      <c r="LC16" s="2" t="s">
        <v>17</v>
      </c>
      <c r="LD16" s="2" t="s">
        <v>17</v>
      </c>
      <c r="LE16" s="2" t="s">
        <v>17</v>
      </c>
      <c r="LF16" s="2" t="s">
        <v>17</v>
      </c>
      <c r="LG16" s="2" t="s">
        <v>17</v>
      </c>
      <c r="LH16" s="2" t="s">
        <v>17</v>
      </c>
      <c r="LI16" s="2" t="s">
        <v>17</v>
      </c>
      <c r="LJ16" s="2" t="s">
        <v>87</v>
      </c>
      <c r="LK16" s="2" t="s">
        <v>17</v>
      </c>
      <c r="LL16" s="2" t="s">
        <v>17</v>
      </c>
      <c r="LM16" s="2">
        <v>0</v>
      </c>
      <c r="LN16" s="2" t="s">
        <v>17</v>
      </c>
      <c r="LO16" s="2" t="s">
        <v>9</v>
      </c>
      <c r="LP16" s="2" t="s">
        <v>9</v>
      </c>
      <c r="LQ16" s="2" t="s">
        <v>17</v>
      </c>
      <c r="LR16" s="2" t="s">
        <v>9</v>
      </c>
      <c r="LS16" s="2" t="s">
        <v>17</v>
      </c>
      <c r="LT16" s="2" t="s">
        <v>17</v>
      </c>
      <c r="LU16" s="2" t="s">
        <v>17</v>
      </c>
      <c r="LV16" s="2" t="s">
        <v>17</v>
      </c>
      <c r="LW16" s="2" t="s">
        <v>17</v>
      </c>
      <c r="LX16" s="2" t="s">
        <v>17</v>
      </c>
      <c r="LY16" s="5">
        <v>6400000</v>
      </c>
      <c r="LZ16" s="5">
        <v>0</v>
      </c>
      <c r="MA16" s="5">
        <v>8000000</v>
      </c>
      <c r="MB16" s="5">
        <v>0</v>
      </c>
      <c r="MC16" s="5">
        <v>0</v>
      </c>
      <c r="MD16" s="5">
        <v>0</v>
      </c>
      <c r="ME16" s="5">
        <v>8400000</v>
      </c>
      <c r="MF16" s="5">
        <v>0</v>
      </c>
      <c r="MG16" s="5">
        <v>0</v>
      </c>
      <c r="MH16" s="5">
        <v>0</v>
      </c>
      <c r="MI16" s="5">
        <v>0</v>
      </c>
      <c r="MJ16" s="5">
        <v>0</v>
      </c>
      <c r="MK16" s="5">
        <v>0</v>
      </c>
      <c r="ML16" s="2">
        <v>0</v>
      </c>
      <c r="MM16" s="5">
        <v>0</v>
      </c>
      <c r="MN16" s="5">
        <v>0</v>
      </c>
      <c r="MO16" s="2">
        <v>0</v>
      </c>
      <c r="MP16" s="2">
        <v>0</v>
      </c>
      <c r="MQ16" s="2">
        <v>0</v>
      </c>
      <c r="MR16" s="5">
        <v>2950000</v>
      </c>
      <c r="MS16" s="5">
        <v>0</v>
      </c>
      <c r="MT16" s="5">
        <v>4600000</v>
      </c>
      <c r="MU16" s="5">
        <v>0</v>
      </c>
      <c r="MV16" s="5">
        <v>0</v>
      </c>
      <c r="MW16" s="5">
        <v>0</v>
      </c>
      <c r="MX16" s="5">
        <v>0</v>
      </c>
      <c r="MY16" s="5">
        <v>2500000</v>
      </c>
      <c r="MZ16" s="5">
        <v>0</v>
      </c>
      <c r="NA16" s="5">
        <v>5000000</v>
      </c>
      <c r="NB16" s="5">
        <v>0</v>
      </c>
      <c r="NC16" s="5">
        <v>0</v>
      </c>
      <c r="ND16" s="5">
        <v>0</v>
      </c>
      <c r="NE16" s="5">
        <v>0</v>
      </c>
      <c r="NF16" s="5">
        <v>0</v>
      </c>
      <c r="NG16" s="5">
        <v>3458400</v>
      </c>
      <c r="NH16" s="5">
        <v>2750000</v>
      </c>
      <c r="NI16" s="5">
        <v>2750000</v>
      </c>
      <c r="NJ16" s="2" t="s">
        <v>17</v>
      </c>
      <c r="NK16" s="2"/>
      <c r="NL16" s="2"/>
      <c r="NM16" s="2" t="s">
        <v>17</v>
      </c>
      <c r="NN16" s="2"/>
      <c r="NO16" s="2" t="s">
        <v>17</v>
      </c>
      <c r="NP16" s="2"/>
      <c r="NQ16" s="2"/>
      <c r="NR16" s="2" t="s">
        <v>17</v>
      </c>
      <c r="NS16" s="2"/>
      <c r="NT16" s="2" t="s">
        <v>17</v>
      </c>
      <c r="NU16" s="2"/>
      <c r="NV16" s="2"/>
      <c r="NW16" s="2"/>
      <c r="NX16" s="2" t="s">
        <v>17</v>
      </c>
      <c r="NY16" s="2"/>
      <c r="NZ16" s="2"/>
      <c r="OA16" s="2" t="s">
        <v>118</v>
      </c>
      <c r="OB16" s="2" t="s">
        <v>118</v>
      </c>
      <c r="OC16" s="2" t="s">
        <v>118</v>
      </c>
      <c r="OD16" s="2" t="s">
        <v>9</v>
      </c>
      <c r="OE16" s="2" t="s">
        <v>320</v>
      </c>
      <c r="OF16" s="2" t="s">
        <v>17</v>
      </c>
      <c r="OG16" s="2"/>
      <c r="OH16" s="2" t="s">
        <v>17</v>
      </c>
      <c r="OI16" s="2" t="s">
        <v>17</v>
      </c>
      <c r="OJ16" s="2" t="s">
        <v>85</v>
      </c>
      <c r="OK16" s="6">
        <v>0</v>
      </c>
      <c r="OL16" s="6">
        <v>0</v>
      </c>
      <c r="OM16" s="2" t="s">
        <v>93</v>
      </c>
      <c r="ON16" s="2" t="s">
        <v>93</v>
      </c>
      <c r="OO16" s="6">
        <v>0</v>
      </c>
      <c r="OP16" s="6">
        <v>0</v>
      </c>
      <c r="OQ16" s="4">
        <v>0</v>
      </c>
      <c r="OR16" s="6">
        <v>0</v>
      </c>
      <c r="OS16" s="4">
        <v>0</v>
      </c>
      <c r="OT16" s="2" t="s">
        <v>9</v>
      </c>
      <c r="OU16" s="2" t="s">
        <v>9</v>
      </c>
      <c r="OV16" s="2" t="s">
        <v>2984</v>
      </c>
      <c r="OW16" s="2"/>
      <c r="OX16" s="5">
        <v>16212422</v>
      </c>
      <c r="OY16" s="6">
        <v>202655.28</v>
      </c>
      <c r="OZ16" s="2"/>
      <c r="PA16" s="2"/>
      <c r="PB16" s="2"/>
      <c r="PC16" s="2"/>
      <c r="PD16" s="8">
        <v>17746703</v>
      </c>
      <c r="PE16" s="8">
        <v>173598</v>
      </c>
      <c r="PF16" s="8">
        <v>17920301</v>
      </c>
      <c r="PG16" s="2"/>
      <c r="PH16" s="2"/>
      <c r="PI16" s="2"/>
      <c r="PJ16" s="2"/>
      <c r="PK16" s="2"/>
      <c r="PL16" s="2"/>
      <c r="PM16" s="8">
        <v>17746703</v>
      </c>
      <c r="PN16" s="8">
        <v>173598</v>
      </c>
      <c r="PO16" s="8">
        <v>17920301</v>
      </c>
      <c r="PP16" s="8">
        <v>2508842</v>
      </c>
      <c r="PQ16" s="2"/>
      <c r="PR16" s="8">
        <v>2508842</v>
      </c>
      <c r="PS16" s="6">
        <v>2508842</v>
      </c>
      <c r="PT16" s="8">
        <v>20255545</v>
      </c>
      <c r="PU16" s="8">
        <v>173598</v>
      </c>
      <c r="PV16" s="8">
        <v>20429143</v>
      </c>
      <c r="PW16" s="8">
        <v>1021457</v>
      </c>
      <c r="PX16" s="2"/>
      <c r="PY16" s="8">
        <v>1021457</v>
      </c>
      <c r="PZ16" s="6">
        <v>1021457.15</v>
      </c>
      <c r="QA16" s="8">
        <v>1103436</v>
      </c>
      <c r="QB16" s="8">
        <v>406356</v>
      </c>
      <c r="QC16" s="8">
        <v>1509792</v>
      </c>
      <c r="QD16" s="8">
        <v>243037</v>
      </c>
      <c r="QE16" s="2"/>
      <c r="QF16" s="8">
        <v>243037</v>
      </c>
      <c r="QG16" s="8">
        <v>1731095</v>
      </c>
      <c r="QH16" s="2"/>
      <c r="QI16" s="8">
        <v>1731095</v>
      </c>
      <c r="QJ16" s="2"/>
      <c r="QK16" s="8">
        <v>382095</v>
      </c>
      <c r="QL16" s="8">
        <v>382095</v>
      </c>
      <c r="QM16" s="2"/>
      <c r="QN16" s="2"/>
      <c r="QO16" s="2"/>
      <c r="QP16" s="2"/>
      <c r="QQ16" s="2"/>
      <c r="QR16" s="2"/>
      <c r="QS16" s="8">
        <v>3077568</v>
      </c>
      <c r="QT16" s="8">
        <v>788451</v>
      </c>
      <c r="QU16" s="8">
        <v>3866019</v>
      </c>
      <c r="QV16" s="8">
        <v>153061</v>
      </c>
      <c r="QW16" s="8">
        <v>40015</v>
      </c>
      <c r="QX16" s="8">
        <v>193076</v>
      </c>
      <c r="QY16" s="6">
        <v>193300.95</v>
      </c>
      <c r="QZ16" s="8">
        <v>1166885</v>
      </c>
      <c r="RA16" s="8">
        <v>1223488</v>
      </c>
      <c r="RB16" s="8">
        <v>2390373</v>
      </c>
      <c r="RC16" s="8">
        <v>95520</v>
      </c>
      <c r="RD16" s="8">
        <v>95520</v>
      </c>
      <c r="RE16" s="2"/>
      <c r="RF16" s="2"/>
      <c r="RG16" s="2"/>
      <c r="RH16" s="8">
        <v>1166885</v>
      </c>
      <c r="RI16" s="8">
        <v>1319008</v>
      </c>
      <c r="RJ16" s="8">
        <v>2485893</v>
      </c>
      <c r="RK16" s="2"/>
      <c r="RL16" s="2"/>
      <c r="RM16" s="8">
        <v>25674516</v>
      </c>
      <c r="RN16" s="8">
        <v>2321072</v>
      </c>
      <c r="RO16" s="8">
        <v>27995588</v>
      </c>
      <c r="RP16" s="2">
        <v>0</v>
      </c>
      <c r="RQ16" s="6">
        <v>0</v>
      </c>
      <c r="RR16" s="8">
        <v>4474998</v>
      </c>
      <c r="RS16" s="2"/>
      <c r="RT16" s="8">
        <v>4474998</v>
      </c>
      <c r="RU16" s="6">
        <v>4479294</v>
      </c>
      <c r="RV16" s="6">
        <v>0</v>
      </c>
      <c r="RW16" s="8">
        <v>4474998</v>
      </c>
      <c r="RX16" s="2"/>
      <c r="RY16" s="8">
        <v>4474998</v>
      </c>
      <c r="RZ16" s="6">
        <v>4479294</v>
      </c>
      <c r="SA16" s="8">
        <v>278093</v>
      </c>
      <c r="SB16" s="8">
        <v>278093</v>
      </c>
      <c r="SC16" s="6">
        <v>280000</v>
      </c>
      <c r="SD16" s="8">
        <v>1600000</v>
      </c>
      <c r="SE16" s="8">
        <v>1600000</v>
      </c>
      <c r="SF16" s="8">
        <v>30149514</v>
      </c>
      <c r="SG16" s="8">
        <v>4199165</v>
      </c>
      <c r="SH16" s="8">
        <v>34348679</v>
      </c>
      <c r="SI16" s="2"/>
      <c r="SJ16" s="2"/>
      <c r="SK16" s="2"/>
      <c r="SL16" s="2"/>
      <c r="SM16" s="8">
        <v>27000000</v>
      </c>
      <c r="SN16" s="2" t="s">
        <v>95</v>
      </c>
      <c r="SO16" s="8">
        <v>640000</v>
      </c>
      <c r="SP16" s="2" t="s">
        <v>180</v>
      </c>
      <c r="SQ16" s="2"/>
      <c r="SR16" s="2"/>
      <c r="SS16" s="2" t="s">
        <v>96</v>
      </c>
      <c r="ST16" s="2" t="s">
        <v>96</v>
      </c>
      <c r="SU16" s="2" t="s">
        <v>96</v>
      </c>
      <c r="SV16" s="2" t="s">
        <v>96</v>
      </c>
      <c r="SW16" s="8">
        <v>12648750</v>
      </c>
      <c r="SX16" s="2"/>
      <c r="SY16" s="2"/>
      <c r="SZ16" s="2"/>
      <c r="TA16" s="2">
        <v>0</v>
      </c>
      <c r="TB16" s="8">
        <v>40288750</v>
      </c>
      <c r="TC16" s="8">
        <v>5940071</v>
      </c>
      <c r="TD16" s="2" t="s">
        <v>9</v>
      </c>
      <c r="TE16" s="8">
        <v>8000000</v>
      </c>
      <c r="TF16" s="2" t="s">
        <v>95</v>
      </c>
      <c r="TG16" s="8">
        <v>640000</v>
      </c>
      <c r="TH16" s="2" t="s">
        <v>180</v>
      </c>
      <c r="TI16" s="2"/>
      <c r="TJ16" s="2"/>
      <c r="TK16" s="2" t="s">
        <v>96</v>
      </c>
      <c r="TL16" s="2" t="s">
        <v>96</v>
      </c>
      <c r="TM16" s="2" t="s">
        <v>96</v>
      </c>
      <c r="TN16" s="2" t="s">
        <v>96</v>
      </c>
      <c r="TO16" s="8">
        <v>25297500</v>
      </c>
      <c r="TP16" s="2"/>
      <c r="TQ16" s="2"/>
      <c r="TR16" s="2"/>
      <c r="TS16" s="8">
        <v>411179</v>
      </c>
      <c r="TT16" s="8">
        <v>34348679</v>
      </c>
      <c r="TU16" s="6">
        <v>8640000</v>
      </c>
      <c r="TV16" s="2">
        <v>0</v>
      </c>
      <c r="TW16" s="2" t="s">
        <v>9</v>
      </c>
      <c r="TX16" s="2">
        <v>80</v>
      </c>
      <c r="TY16" s="5">
        <v>260000</v>
      </c>
      <c r="TZ16" s="6">
        <v>346666.67</v>
      </c>
      <c r="UA16" s="6">
        <v>354166.67</v>
      </c>
      <c r="UB16" s="6">
        <v>375416.67</v>
      </c>
      <c r="UC16" s="6">
        <v>30033333.329999998</v>
      </c>
      <c r="UD16" s="6">
        <v>4805333</v>
      </c>
      <c r="UE16" s="2" t="s">
        <v>97</v>
      </c>
      <c r="UF16" s="6">
        <v>4805333</v>
      </c>
      <c r="UG16" s="6">
        <v>34838666.329999998</v>
      </c>
      <c r="UH16" s="6">
        <v>32470586</v>
      </c>
      <c r="UI16" s="4">
        <v>0.99990000000000001</v>
      </c>
      <c r="UJ16" s="2" t="s">
        <v>9</v>
      </c>
      <c r="UK16" s="6">
        <v>640000</v>
      </c>
      <c r="UL16" s="2"/>
      <c r="UM16" s="6">
        <v>640000</v>
      </c>
      <c r="UN16" s="2"/>
      <c r="UO16" s="6">
        <v>0</v>
      </c>
      <c r="UP16" s="2"/>
      <c r="UQ16" s="6">
        <v>0</v>
      </c>
      <c r="UR16" s="6">
        <v>0</v>
      </c>
      <c r="US16" s="6">
        <v>640000</v>
      </c>
      <c r="UT16" s="6">
        <v>0</v>
      </c>
      <c r="UU16" s="6">
        <v>640000</v>
      </c>
      <c r="UV16" s="2" t="s">
        <v>2985</v>
      </c>
      <c r="UW16" s="2" t="s">
        <v>182</v>
      </c>
      <c r="UX16" s="2" t="s">
        <v>9</v>
      </c>
      <c r="UY16" s="2" t="s">
        <v>17</v>
      </c>
      <c r="UZ16" s="2" t="s">
        <v>17</v>
      </c>
      <c r="VA16" s="2" t="s">
        <v>17</v>
      </c>
      <c r="VB16" s="2" t="s">
        <v>2697</v>
      </c>
      <c r="VC16" s="2" t="s">
        <v>17</v>
      </c>
      <c r="VD16" s="2" t="s">
        <v>17</v>
      </c>
      <c r="VE16" s="2" t="s">
        <v>17</v>
      </c>
      <c r="VF16" s="2" t="s">
        <v>2986</v>
      </c>
      <c r="VG16" s="2" t="s">
        <v>2987</v>
      </c>
      <c r="VH16" s="2"/>
      <c r="VI16" s="388" t="s">
        <v>286</v>
      </c>
      <c r="VJ16" s="2" t="s">
        <v>98</v>
      </c>
      <c r="VK16" s="2" t="s">
        <v>1081</v>
      </c>
      <c r="VL16" s="23">
        <f t="shared" si="0"/>
        <v>196</v>
      </c>
      <c r="VM16" s="17">
        <f t="shared" si="1"/>
        <v>2.4500000000000002</v>
      </c>
      <c r="VN16" s="17" t="str">
        <f t="shared" si="2"/>
        <v>NC-GA-F</v>
      </c>
      <c r="VO16" s="17" t="str">
        <f t="shared" si="14"/>
        <v>NC-GA-F-ESS</v>
      </c>
      <c r="VP16" s="12">
        <v>9</v>
      </c>
      <c r="VQ16" s="57">
        <v>1</v>
      </c>
      <c r="VR16" s="14">
        <f t="shared" si="3"/>
        <v>0.88</v>
      </c>
      <c r="VS16" s="14">
        <f t="shared" si="4"/>
        <v>0.97</v>
      </c>
      <c r="VT16" s="12">
        <f t="shared" si="5"/>
        <v>0.93</v>
      </c>
      <c r="VU16" s="29">
        <f t="shared" si="6"/>
        <v>19647738</v>
      </c>
      <c r="VV16" s="29">
        <f t="shared" si="7"/>
        <v>245596.72500000001</v>
      </c>
      <c r="VW16" s="12" t="str">
        <f t="shared" si="15"/>
        <v>A</v>
      </c>
      <c r="VX16" s="12" t="str">
        <f t="shared" si="8"/>
        <v>NC-GA-ESS</v>
      </c>
      <c r="VY16" s="351">
        <f t="shared" si="16"/>
        <v>3</v>
      </c>
      <c r="VZ16" s="12"/>
      <c r="WA16" s="12">
        <f t="shared" si="17"/>
        <v>0</v>
      </c>
      <c r="WB16" s="12">
        <f t="shared" si="18"/>
        <v>0</v>
      </c>
      <c r="WC16" s="12">
        <f t="shared" si="19"/>
        <v>1</v>
      </c>
      <c r="WD16" s="12">
        <f t="shared" si="20"/>
        <v>1</v>
      </c>
      <c r="WE16" s="12">
        <f t="shared" si="21"/>
        <v>1</v>
      </c>
      <c r="WF16" s="12">
        <f t="shared" si="9"/>
        <v>1</v>
      </c>
      <c r="WG16" s="12">
        <f t="shared" si="10"/>
        <v>0</v>
      </c>
      <c r="WH16" s="12">
        <f t="shared" si="11"/>
        <v>0</v>
      </c>
      <c r="WI16" s="31">
        <f t="shared" si="12"/>
        <v>4</v>
      </c>
      <c r="WJ16" s="2"/>
      <c r="WK16" s="444" t="str">
        <f t="shared" si="13"/>
        <v>NC-GA-ESS-BBN-BRY-PHA-F</v>
      </c>
      <c r="WL16" s="444"/>
      <c r="WM16" s="444"/>
      <c r="WN16" s="12"/>
      <c r="WO16" s="12"/>
    </row>
    <row r="17" spans="1:613" x14ac:dyDescent="0.25">
      <c r="A17" s="2">
        <v>9517</v>
      </c>
      <c r="B17" s="2" t="s">
        <v>2988</v>
      </c>
      <c r="C17" s="2" t="s">
        <v>2652</v>
      </c>
      <c r="D17" s="3">
        <v>45152</v>
      </c>
      <c r="E17" s="2" t="s">
        <v>9</v>
      </c>
      <c r="F17" s="2">
        <v>3</v>
      </c>
      <c r="G17" s="2" t="s">
        <v>9</v>
      </c>
      <c r="H17" s="2">
        <v>3</v>
      </c>
      <c r="I17" s="2" t="s">
        <v>9</v>
      </c>
      <c r="J17" s="2">
        <v>3</v>
      </c>
      <c r="K17" s="2" t="s">
        <v>9</v>
      </c>
      <c r="L17" s="2">
        <v>3</v>
      </c>
      <c r="M17" s="2" t="s">
        <v>10</v>
      </c>
      <c r="N17" s="2">
        <v>0</v>
      </c>
      <c r="O17" s="2" t="s">
        <v>10</v>
      </c>
      <c r="P17" s="2">
        <v>0</v>
      </c>
      <c r="Q17" s="2" t="s">
        <v>11</v>
      </c>
      <c r="R17" s="2">
        <v>0</v>
      </c>
      <c r="S17" s="2" t="s">
        <v>9</v>
      </c>
      <c r="T17" s="2">
        <v>2</v>
      </c>
      <c r="U17" s="2" t="s">
        <v>9</v>
      </c>
      <c r="V17" s="2">
        <v>2</v>
      </c>
      <c r="W17" s="2" t="s">
        <v>9</v>
      </c>
      <c r="X17" s="2">
        <v>2</v>
      </c>
      <c r="Y17" s="2" t="s">
        <v>12</v>
      </c>
      <c r="Z17" s="2" t="s">
        <v>15</v>
      </c>
      <c r="AA17" s="2" t="s">
        <v>15</v>
      </c>
      <c r="AB17" s="2" t="s">
        <v>15</v>
      </c>
      <c r="AC17" s="2" t="s">
        <v>15</v>
      </c>
      <c r="AD17" s="2" t="s">
        <v>15</v>
      </c>
      <c r="AE17" s="2" t="s">
        <v>15</v>
      </c>
      <c r="AF17" s="2">
        <v>0</v>
      </c>
      <c r="AG17" s="2" t="s">
        <v>234</v>
      </c>
      <c r="AH17" s="2" t="s">
        <v>17</v>
      </c>
      <c r="AI17" s="4">
        <v>0.1</v>
      </c>
      <c r="AJ17" s="2" t="s">
        <v>17</v>
      </c>
      <c r="AK17" s="2" t="s">
        <v>9</v>
      </c>
      <c r="AL17" s="2" t="s">
        <v>17</v>
      </c>
      <c r="AM17" s="2" t="s">
        <v>17</v>
      </c>
      <c r="AN17" s="2" t="s">
        <v>17</v>
      </c>
      <c r="AO17" s="2" t="s">
        <v>9</v>
      </c>
      <c r="AP17" s="2" t="s">
        <v>17</v>
      </c>
      <c r="AQ17" s="2" t="s">
        <v>17</v>
      </c>
      <c r="AR17" s="2" t="s">
        <v>17</v>
      </c>
      <c r="AS17" s="2" t="s">
        <v>17</v>
      </c>
      <c r="AT17" s="2">
        <v>5</v>
      </c>
      <c r="AU17" s="5">
        <v>75000</v>
      </c>
      <c r="AV17" s="5">
        <v>640000</v>
      </c>
      <c r="AW17" s="2">
        <v>0</v>
      </c>
      <c r="AX17" s="2">
        <v>5</v>
      </c>
      <c r="AY17" s="2">
        <v>0</v>
      </c>
      <c r="AZ17" s="2">
        <v>18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1</v>
      </c>
      <c r="BG17" s="2">
        <v>0</v>
      </c>
      <c r="BH17" s="2">
        <v>0</v>
      </c>
      <c r="BI17" s="2">
        <v>13</v>
      </c>
      <c r="BJ17" s="2">
        <v>1</v>
      </c>
      <c r="BK17" s="2">
        <v>0</v>
      </c>
      <c r="BL17" s="2">
        <v>2</v>
      </c>
      <c r="BM17" s="2">
        <v>0</v>
      </c>
      <c r="BN17" s="2">
        <v>10</v>
      </c>
      <c r="BO17" s="2">
        <v>11</v>
      </c>
      <c r="BP17" s="2">
        <v>0</v>
      </c>
      <c r="BQ17" s="2">
        <v>10</v>
      </c>
      <c r="BR17" s="2">
        <v>10.63</v>
      </c>
      <c r="BS17" s="2">
        <v>0</v>
      </c>
      <c r="BT17" s="4">
        <v>0.06</v>
      </c>
      <c r="BU17" s="2" t="s">
        <v>9</v>
      </c>
      <c r="BV17" s="6">
        <v>204784.62</v>
      </c>
      <c r="BW17" s="2" t="s">
        <v>126</v>
      </c>
      <c r="BX17" s="2" t="s">
        <v>17</v>
      </c>
      <c r="BY17" s="2" t="s">
        <v>17</v>
      </c>
      <c r="BZ17" s="2" t="s">
        <v>17</v>
      </c>
      <c r="CA17" s="2" t="s">
        <v>17</v>
      </c>
      <c r="CB17" s="2" t="s">
        <v>17</v>
      </c>
      <c r="CC17" s="2" t="s">
        <v>17</v>
      </c>
      <c r="CD17" s="2" t="s">
        <v>17</v>
      </c>
      <c r="CE17" s="2" t="s">
        <v>2989</v>
      </c>
      <c r="CF17" s="2" t="s">
        <v>17</v>
      </c>
      <c r="CG17" s="2" t="s">
        <v>1322</v>
      </c>
      <c r="CH17" s="2" t="s">
        <v>1323</v>
      </c>
      <c r="CI17" s="2"/>
      <c r="CJ17" s="2" t="s">
        <v>9</v>
      </c>
      <c r="CK17" s="2" t="s">
        <v>1324</v>
      </c>
      <c r="CL17" s="2" t="s">
        <v>1322</v>
      </c>
      <c r="CM17" s="2" t="s">
        <v>1325</v>
      </c>
      <c r="CN17" s="2" t="s">
        <v>1326</v>
      </c>
      <c r="CO17" s="2" t="s">
        <v>24</v>
      </c>
      <c r="CP17" s="2"/>
      <c r="CQ17" s="2">
        <v>80</v>
      </c>
      <c r="CR17" s="2" t="s">
        <v>2990</v>
      </c>
      <c r="CS17" s="2">
        <v>2019</v>
      </c>
      <c r="CT17" s="2" t="s">
        <v>26</v>
      </c>
      <c r="CU17" s="2" t="s">
        <v>27</v>
      </c>
      <c r="CV17" s="2" t="s">
        <v>1327</v>
      </c>
      <c r="CW17" s="2" t="s">
        <v>692</v>
      </c>
      <c r="CX17" s="2" t="s">
        <v>24</v>
      </c>
      <c r="CY17" s="2"/>
      <c r="CZ17" s="2">
        <v>110</v>
      </c>
      <c r="DA17" s="2" t="s">
        <v>2990</v>
      </c>
      <c r="DB17" s="2">
        <v>2021</v>
      </c>
      <c r="DC17" s="2" t="s">
        <v>30</v>
      </c>
      <c r="DD17" s="2" t="s">
        <v>27</v>
      </c>
      <c r="DE17" s="2" t="s">
        <v>1328</v>
      </c>
      <c r="DF17" s="2" t="s">
        <v>389</v>
      </c>
      <c r="DG17" s="2" t="s">
        <v>24</v>
      </c>
      <c r="DH17" s="2"/>
      <c r="DI17" s="2">
        <v>102</v>
      </c>
      <c r="DJ17" s="2" t="s">
        <v>2990</v>
      </c>
      <c r="DK17" s="2">
        <v>2022</v>
      </c>
      <c r="DL17" s="2" t="s">
        <v>30</v>
      </c>
      <c r="DM17" s="2" t="s">
        <v>27</v>
      </c>
      <c r="DN17" s="2" t="s">
        <v>2663</v>
      </c>
      <c r="DO17" s="2" t="s">
        <v>1329</v>
      </c>
      <c r="DP17" s="2" t="s">
        <v>1330</v>
      </c>
      <c r="DQ17" s="2" t="s">
        <v>1331</v>
      </c>
      <c r="DR17" s="2" t="s">
        <v>1332</v>
      </c>
      <c r="DS17" s="2">
        <v>1</v>
      </c>
      <c r="DT17" s="2" t="s">
        <v>1333</v>
      </c>
      <c r="DU17" s="2" t="s">
        <v>1334</v>
      </c>
      <c r="DV17" s="2" t="s">
        <v>39</v>
      </c>
      <c r="DW17" s="2">
        <v>34744</v>
      </c>
      <c r="DX17" s="2" t="s">
        <v>1335</v>
      </c>
      <c r="DY17" s="2">
        <v>2</v>
      </c>
      <c r="DZ17" s="2" t="s">
        <v>1336</v>
      </c>
      <c r="EA17" s="2" t="s">
        <v>1332</v>
      </c>
      <c r="EB17" s="2" t="s">
        <v>1337</v>
      </c>
      <c r="EC17" s="2" t="s">
        <v>1338</v>
      </c>
      <c r="ED17" s="2" t="s">
        <v>44</v>
      </c>
      <c r="EE17" s="2">
        <v>96</v>
      </c>
      <c r="EF17" s="2" t="s">
        <v>2991</v>
      </c>
      <c r="EG17" s="2">
        <v>13</v>
      </c>
      <c r="EH17" s="2" t="s">
        <v>46</v>
      </c>
      <c r="EI17" s="2" t="s">
        <v>47</v>
      </c>
      <c r="EJ17" s="2" t="s">
        <v>1339</v>
      </c>
      <c r="EK17" s="2" t="s">
        <v>1340</v>
      </c>
      <c r="EL17" s="2" t="s">
        <v>44</v>
      </c>
      <c r="EM17" s="2">
        <v>92</v>
      </c>
      <c r="EN17" s="2" t="s">
        <v>2991</v>
      </c>
      <c r="EO17" s="2">
        <v>12</v>
      </c>
      <c r="EP17" s="2" t="s">
        <v>46</v>
      </c>
      <c r="EQ17" s="2" t="s">
        <v>47</v>
      </c>
      <c r="ER17" s="2" t="s">
        <v>1341</v>
      </c>
      <c r="ES17" s="2" t="s">
        <v>256</v>
      </c>
      <c r="ET17" s="2" t="s">
        <v>1342</v>
      </c>
      <c r="EU17" s="2" t="s">
        <v>1322</v>
      </c>
      <c r="EV17" s="2" t="s">
        <v>1343</v>
      </c>
      <c r="EW17" s="2" t="s">
        <v>752</v>
      </c>
      <c r="EX17" s="2" t="s">
        <v>39</v>
      </c>
      <c r="EY17" s="2">
        <v>32789</v>
      </c>
      <c r="EZ17" s="2" t="s">
        <v>1344</v>
      </c>
      <c r="FA17" s="2"/>
      <c r="FB17" s="2" t="s">
        <v>1345</v>
      </c>
      <c r="FC17" s="2" t="s">
        <v>1346</v>
      </c>
      <c r="FD17" s="2"/>
      <c r="FE17" s="2" t="s">
        <v>1347</v>
      </c>
      <c r="FF17" s="2" t="s">
        <v>1323</v>
      </c>
      <c r="FG17" s="2" t="s">
        <v>1343</v>
      </c>
      <c r="FH17" s="2" t="s">
        <v>752</v>
      </c>
      <c r="FI17" s="2" t="s">
        <v>39</v>
      </c>
      <c r="FJ17" s="2">
        <v>32789</v>
      </c>
      <c r="FK17" s="2" t="s">
        <v>1348</v>
      </c>
      <c r="FL17" s="2"/>
      <c r="FM17" s="2" t="s">
        <v>1349</v>
      </c>
      <c r="FN17" s="2" t="s">
        <v>2992</v>
      </c>
      <c r="FO17" s="2" t="s">
        <v>63</v>
      </c>
      <c r="FP17" s="2" t="s">
        <v>64</v>
      </c>
      <c r="FQ17" s="2" t="s">
        <v>9</v>
      </c>
      <c r="FR17" s="2" t="s">
        <v>17</v>
      </c>
      <c r="FS17" s="2" t="s">
        <v>17</v>
      </c>
      <c r="FT17" s="2" t="s">
        <v>9</v>
      </c>
      <c r="FU17" s="2">
        <v>0</v>
      </c>
      <c r="FV17" s="2">
        <v>0</v>
      </c>
      <c r="FW17" s="4">
        <v>0</v>
      </c>
      <c r="FX17" s="4">
        <v>0</v>
      </c>
      <c r="FY17" s="2" t="s">
        <v>65</v>
      </c>
      <c r="FZ17" s="2" t="s">
        <v>66</v>
      </c>
      <c r="GA17" s="2" t="s">
        <v>67</v>
      </c>
      <c r="GB17" s="2"/>
      <c r="GC17" s="2"/>
      <c r="GD17" s="2"/>
      <c r="GE17" s="2" t="s">
        <v>1612</v>
      </c>
      <c r="GF17" s="2"/>
      <c r="GG17" s="2"/>
      <c r="GH17" s="2"/>
      <c r="GI17" s="2">
        <v>91</v>
      </c>
      <c r="GJ17" s="2"/>
      <c r="GK17" s="2"/>
      <c r="GL17" s="2"/>
      <c r="GM17" s="2"/>
      <c r="GN17" s="2"/>
      <c r="GO17" s="2"/>
      <c r="GP17" s="2"/>
      <c r="GQ17" s="2">
        <v>91</v>
      </c>
      <c r="GR17" s="2" t="s">
        <v>2685</v>
      </c>
      <c r="GS17" s="2" t="s">
        <v>2686</v>
      </c>
      <c r="GT17" s="2" t="s">
        <v>2993</v>
      </c>
      <c r="GU17" s="2" t="s">
        <v>2994</v>
      </c>
      <c r="GV17" s="2" t="s">
        <v>17</v>
      </c>
      <c r="GW17" s="2">
        <v>26.605388999999999</v>
      </c>
      <c r="GX17" s="2">
        <v>-80.057944000000006</v>
      </c>
      <c r="GY17" s="2"/>
      <c r="GZ17" s="2" t="s">
        <v>17</v>
      </c>
      <c r="HA17" s="2">
        <v>0</v>
      </c>
      <c r="HB17" s="2" t="s">
        <v>17</v>
      </c>
      <c r="HC17" s="2" t="s">
        <v>17</v>
      </c>
      <c r="HD17" s="2">
        <v>0</v>
      </c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 t="s">
        <v>73</v>
      </c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 t="s">
        <v>17</v>
      </c>
      <c r="IO17" s="2"/>
      <c r="IP17" s="2" t="s">
        <v>79</v>
      </c>
      <c r="IQ17" s="2">
        <v>0</v>
      </c>
      <c r="IR17" s="2">
        <v>0</v>
      </c>
      <c r="IS17" s="2">
        <v>0</v>
      </c>
      <c r="IT17" s="2">
        <v>0</v>
      </c>
      <c r="IU17" s="2" t="s">
        <v>9</v>
      </c>
      <c r="IV17" s="2" t="s">
        <v>17</v>
      </c>
      <c r="IW17" s="2" t="s">
        <v>17</v>
      </c>
      <c r="IX17" s="2" t="s">
        <v>17</v>
      </c>
      <c r="IY17" s="2">
        <v>0</v>
      </c>
      <c r="IZ17" s="2">
        <v>91</v>
      </c>
      <c r="JA17" s="2" t="s">
        <v>2693</v>
      </c>
      <c r="JB17" s="2" t="s">
        <v>173</v>
      </c>
      <c r="JC17" s="7">
        <v>0.1</v>
      </c>
      <c r="JD17" s="2"/>
      <c r="JE17" s="7">
        <v>0.9</v>
      </c>
      <c r="JF17" s="7">
        <v>0</v>
      </c>
      <c r="JG17" s="7"/>
      <c r="JH17" s="7"/>
      <c r="JI17" s="2">
        <v>91</v>
      </c>
      <c r="JJ17" s="7">
        <v>1</v>
      </c>
      <c r="JK17" s="2">
        <v>91</v>
      </c>
      <c r="JL17" s="7">
        <v>1</v>
      </c>
      <c r="JM17" s="2"/>
      <c r="JN17" s="2"/>
      <c r="JO17" s="2"/>
      <c r="JP17" s="2"/>
      <c r="JQ17" s="2"/>
      <c r="JR17" s="2">
        <v>0</v>
      </c>
      <c r="JS17" s="2">
        <v>0</v>
      </c>
      <c r="JT17" s="2"/>
      <c r="JU17" s="2"/>
      <c r="JV17" s="2">
        <v>0</v>
      </c>
      <c r="JW17" s="4">
        <v>0</v>
      </c>
      <c r="JX17" s="2">
        <v>0</v>
      </c>
      <c r="JY17" s="4">
        <v>0</v>
      </c>
      <c r="JZ17" s="2">
        <v>0</v>
      </c>
      <c r="KA17" s="2"/>
      <c r="KB17" s="2"/>
      <c r="KC17" s="2"/>
      <c r="KD17" s="2"/>
      <c r="KE17" s="2"/>
      <c r="KF17" s="2"/>
      <c r="KG17" s="2">
        <v>8</v>
      </c>
      <c r="KH17" s="2">
        <v>83</v>
      </c>
      <c r="KI17" s="2"/>
      <c r="KJ17" s="2"/>
      <c r="KK17" s="2"/>
      <c r="KL17" s="2"/>
      <c r="KM17" s="2"/>
      <c r="KN17" s="2"/>
      <c r="KO17" s="2"/>
      <c r="KP17" s="2"/>
      <c r="KQ17" s="2" t="s">
        <v>83</v>
      </c>
      <c r="KR17" s="2"/>
      <c r="KS17" s="2" t="s">
        <v>73</v>
      </c>
      <c r="KT17" s="2">
        <v>1</v>
      </c>
      <c r="KU17" s="2" t="s">
        <v>84</v>
      </c>
      <c r="KV17" s="2" t="s">
        <v>85</v>
      </c>
      <c r="KW17" s="2" t="s">
        <v>86</v>
      </c>
      <c r="KX17" s="2" t="s">
        <v>17</v>
      </c>
      <c r="KY17" s="2" t="s">
        <v>17</v>
      </c>
      <c r="KZ17" s="2" t="s">
        <v>17</v>
      </c>
      <c r="LA17" s="2" t="s">
        <v>17</v>
      </c>
      <c r="LB17" s="2" t="s">
        <v>17</v>
      </c>
      <c r="LC17" s="2" t="s">
        <v>17</v>
      </c>
      <c r="LD17" s="2" t="s">
        <v>17</v>
      </c>
      <c r="LE17" s="2" t="s">
        <v>17</v>
      </c>
      <c r="LF17" s="2" t="s">
        <v>17</v>
      </c>
      <c r="LG17" s="2" t="s">
        <v>17</v>
      </c>
      <c r="LH17" s="2" t="s">
        <v>17</v>
      </c>
      <c r="LI17" s="2" t="s">
        <v>17</v>
      </c>
      <c r="LJ17" s="2" t="s">
        <v>87</v>
      </c>
      <c r="LK17" s="2" t="s">
        <v>17</v>
      </c>
      <c r="LL17" s="2" t="s">
        <v>17</v>
      </c>
      <c r="LM17" s="2">
        <v>0</v>
      </c>
      <c r="LN17" s="2" t="s">
        <v>17</v>
      </c>
      <c r="LO17" s="2" t="s">
        <v>17</v>
      </c>
      <c r="LP17" s="2" t="s">
        <v>17</v>
      </c>
      <c r="LQ17" s="2" t="s">
        <v>17</v>
      </c>
      <c r="LR17" s="2" t="s">
        <v>17</v>
      </c>
      <c r="LS17" s="2" t="s">
        <v>17</v>
      </c>
      <c r="LT17" s="2" t="s">
        <v>17</v>
      </c>
      <c r="LU17" s="2" t="s">
        <v>17</v>
      </c>
      <c r="LV17" s="2" t="s">
        <v>9</v>
      </c>
      <c r="LW17" s="2" t="s">
        <v>9</v>
      </c>
      <c r="LX17" s="2" t="s">
        <v>9</v>
      </c>
      <c r="LY17" s="5">
        <v>6500000</v>
      </c>
      <c r="LZ17" s="5">
        <v>0</v>
      </c>
      <c r="MA17" s="5">
        <v>8400000</v>
      </c>
      <c r="MB17" s="5">
        <v>0</v>
      </c>
      <c r="MC17" s="5">
        <v>0</v>
      </c>
      <c r="MD17" s="5">
        <v>0</v>
      </c>
      <c r="ME17" s="5">
        <v>9555000</v>
      </c>
      <c r="MF17" s="5">
        <v>0</v>
      </c>
      <c r="MG17" s="5">
        <v>0</v>
      </c>
      <c r="MH17" s="5">
        <v>0</v>
      </c>
      <c r="MI17" s="5">
        <v>0</v>
      </c>
      <c r="MJ17" s="5">
        <v>0</v>
      </c>
      <c r="MK17" s="5">
        <v>0</v>
      </c>
      <c r="ML17" s="2">
        <v>0</v>
      </c>
      <c r="MM17" s="5">
        <v>0</v>
      </c>
      <c r="MN17" s="5">
        <v>0</v>
      </c>
      <c r="MO17" s="2">
        <v>0</v>
      </c>
      <c r="MP17" s="2">
        <v>0</v>
      </c>
      <c r="MQ17" s="2">
        <v>0</v>
      </c>
      <c r="MR17" s="5">
        <v>2950000</v>
      </c>
      <c r="MS17" s="5">
        <v>0</v>
      </c>
      <c r="MT17" s="5">
        <v>4600000</v>
      </c>
      <c r="MU17" s="5">
        <v>0</v>
      </c>
      <c r="MV17" s="5">
        <v>0</v>
      </c>
      <c r="MW17" s="5">
        <v>0</v>
      </c>
      <c r="MX17" s="5">
        <v>0</v>
      </c>
      <c r="MY17" s="5">
        <v>2500000</v>
      </c>
      <c r="MZ17" s="5">
        <v>0</v>
      </c>
      <c r="NA17" s="5">
        <v>5000000</v>
      </c>
      <c r="NB17" s="5">
        <v>0</v>
      </c>
      <c r="NC17" s="5">
        <v>0</v>
      </c>
      <c r="ND17" s="5">
        <v>0</v>
      </c>
      <c r="NE17" s="5">
        <v>0</v>
      </c>
      <c r="NF17" s="5">
        <v>0</v>
      </c>
      <c r="NG17" s="5">
        <v>2992500</v>
      </c>
      <c r="NH17" s="5">
        <v>2800000</v>
      </c>
      <c r="NI17" s="5">
        <v>2800000</v>
      </c>
      <c r="NJ17" s="2" t="s">
        <v>9</v>
      </c>
      <c r="NK17" s="2"/>
      <c r="NL17" s="2"/>
      <c r="NM17" s="2" t="s">
        <v>17</v>
      </c>
      <c r="NN17" s="2"/>
      <c r="NO17" s="2" t="s">
        <v>17</v>
      </c>
      <c r="NP17" s="2"/>
      <c r="NQ17" s="2"/>
      <c r="NR17" s="2" t="s">
        <v>17</v>
      </c>
      <c r="NS17" s="2"/>
      <c r="NT17" s="2" t="s">
        <v>9</v>
      </c>
      <c r="NU17" s="2" t="s">
        <v>450</v>
      </c>
      <c r="NV17" s="2">
        <v>52.02</v>
      </c>
      <c r="NW17" s="2" t="s">
        <v>2995</v>
      </c>
      <c r="NX17" s="2" t="s">
        <v>17</v>
      </c>
      <c r="NY17" s="2"/>
      <c r="NZ17" s="2"/>
      <c r="OA17" s="2" t="s">
        <v>118</v>
      </c>
      <c r="OB17" s="2" t="s">
        <v>118</v>
      </c>
      <c r="OC17" s="2" t="s">
        <v>118</v>
      </c>
      <c r="OD17" s="2" t="s">
        <v>17</v>
      </c>
      <c r="OE17" s="2" t="s">
        <v>119</v>
      </c>
      <c r="OF17" s="2" t="s">
        <v>17</v>
      </c>
      <c r="OG17" s="2"/>
      <c r="OH17" s="2" t="s">
        <v>17</v>
      </c>
      <c r="OI17" s="2" t="s">
        <v>17</v>
      </c>
      <c r="OJ17" s="2" t="s">
        <v>85</v>
      </c>
      <c r="OK17" s="6">
        <v>0</v>
      </c>
      <c r="OL17" s="6">
        <v>0</v>
      </c>
      <c r="OM17" s="2" t="s">
        <v>93</v>
      </c>
      <c r="ON17" s="2" t="s">
        <v>93</v>
      </c>
      <c r="OO17" s="6">
        <v>0</v>
      </c>
      <c r="OP17" s="6">
        <v>0</v>
      </c>
      <c r="OQ17" s="4">
        <v>0</v>
      </c>
      <c r="OR17" s="6">
        <v>0</v>
      </c>
      <c r="OS17" s="4">
        <v>0</v>
      </c>
      <c r="OT17" s="2" t="s">
        <v>17</v>
      </c>
      <c r="OU17" s="2" t="s">
        <v>17</v>
      </c>
      <c r="OV17" s="2"/>
      <c r="OW17" s="2"/>
      <c r="OX17" s="5">
        <v>18635400</v>
      </c>
      <c r="OY17" s="6">
        <v>204784.62</v>
      </c>
      <c r="OZ17" s="2"/>
      <c r="PA17" s="2"/>
      <c r="PB17" s="2"/>
      <c r="PC17" s="2"/>
      <c r="PD17" s="8">
        <v>17000000</v>
      </c>
      <c r="PE17" s="2"/>
      <c r="PF17" s="8">
        <v>17000000</v>
      </c>
      <c r="PG17" s="8">
        <v>500000</v>
      </c>
      <c r="PH17" s="2"/>
      <c r="PI17" s="8">
        <v>500000</v>
      </c>
      <c r="PJ17" s="2"/>
      <c r="PK17" s="2"/>
      <c r="PL17" s="2"/>
      <c r="PM17" s="8">
        <v>17500000</v>
      </c>
      <c r="PN17" s="2"/>
      <c r="PO17" s="8">
        <v>17500000</v>
      </c>
      <c r="PP17" s="8">
        <v>2449990</v>
      </c>
      <c r="PQ17" s="2"/>
      <c r="PR17" s="8">
        <v>2449990</v>
      </c>
      <c r="PS17" s="6">
        <v>2450000</v>
      </c>
      <c r="PT17" s="8">
        <v>19949990</v>
      </c>
      <c r="PU17" s="2"/>
      <c r="PV17" s="8">
        <v>19949990</v>
      </c>
      <c r="PW17" s="8">
        <v>997490</v>
      </c>
      <c r="PX17" s="2"/>
      <c r="PY17" s="8">
        <v>997490</v>
      </c>
      <c r="PZ17" s="6">
        <v>997499.5</v>
      </c>
      <c r="QA17" s="8">
        <v>789500</v>
      </c>
      <c r="QB17" s="8">
        <v>35000</v>
      </c>
      <c r="QC17" s="8">
        <v>824500</v>
      </c>
      <c r="QD17" s="8">
        <v>126250</v>
      </c>
      <c r="QE17" s="8">
        <v>50000</v>
      </c>
      <c r="QF17" s="8">
        <v>176250</v>
      </c>
      <c r="QG17" s="8">
        <v>765000</v>
      </c>
      <c r="QH17" s="2"/>
      <c r="QI17" s="8">
        <v>765000</v>
      </c>
      <c r="QJ17" s="2"/>
      <c r="QK17" s="8">
        <v>470000</v>
      </c>
      <c r="QL17" s="8">
        <v>470000</v>
      </c>
      <c r="QM17" s="2"/>
      <c r="QN17" s="2"/>
      <c r="QO17" s="2"/>
      <c r="QP17" s="2"/>
      <c r="QQ17" s="2"/>
      <c r="QR17" s="2"/>
      <c r="QS17" s="8">
        <v>1680750</v>
      </c>
      <c r="QT17" s="8">
        <v>555000</v>
      </c>
      <c r="QU17" s="8">
        <v>2235750</v>
      </c>
      <c r="QV17" s="8">
        <v>84028</v>
      </c>
      <c r="QW17" s="8">
        <v>27738</v>
      </c>
      <c r="QX17" s="8">
        <v>111766</v>
      </c>
      <c r="QY17" s="6">
        <v>111787.5</v>
      </c>
      <c r="QZ17" s="8">
        <v>1116218</v>
      </c>
      <c r="RA17" s="8">
        <v>184861</v>
      </c>
      <c r="RB17" s="8">
        <v>1301079</v>
      </c>
      <c r="RC17" s="8">
        <v>42501</v>
      </c>
      <c r="RD17" s="8">
        <v>42501</v>
      </c>
      <c r="RE17" s="2"/>
      <c r="RF17" s="2"/>
      <c r="RG17" s="2"/>
      <c r="RH17" s="8">
        <v>1116218</v>
      </c>
      <c r="RI17" s="8">
        <v>227362</v>
      </c>
      <c r="RJ17" s="8">
        <v>1343580</v>
      </c>
      <c r="RK17" s="2"/>
      <c r="RL17" s="2"/>
      <c r="RM17" s="8">
        <v>23828476</v>
      </c>
      <c r="RN17" s="8">
        <v>810100</v>
      </c>
      <c r="RO17" s="8">
        <v>24638576</v>
      </c>
      <c r="RP17" s="2">
        <v>0</v>
      </c>
      <c r="RQ17" s="6">
        <v>0</v>
      </c>
      <c r="RR17" s="8">
        <v>3812546</v>
      </c>
      <c r="RS17" s="8">
        <v>129606</v>
      </c>
      <c r="RT17" s="8">
        <v>3942152</v>
      </c>
      <c r="RU17" s="6">
        <v>3942172</v>
      </c>
      <c r="RV17" s="6">
        <v>0</v>
      </c>
      <c r="RW17" s="8">
        <v>3812546</v>
      </c>
      <c r="RX17" s="8">
        <v>129606</v>
      </c>
      <c r="RY17" s="8">
        <v>3942152</v>
      </c>
      <c r="RZ17" s="6">
        <v>3942172</v>
      </c>
      <c r="SA17" s="8">
        <v>227242</v>
      </c>
      <c r="SB17" s="8">
        <v>227242</v>
      </c>
      <c r="SC17" s="6">
        <v>318500</v>
      </c>
      <c r="SD17" s="8">
        <v>2585500</v>
      </c>
      <c r="SE17" s="8">
        <v>2585500</v>
      </c>
      <c r="SF17" s="8">
        <v>27641022</v>
      </c>
      <c r="SG17" s="8">
        <v>3752448</v>
      </c>
      <c r="SH17" s="8">
        <v>31393470</v>
      </c>
      <c r="SI17" s="2" t="s">
        <v>229</v>
      </c>
      <c r="SJ17" s="2"/>
      <c r="SK17" s="2"/>
      <c r="SL17" s="2"/>
      <c r="SM17" s="8">
        <v>3500000</v>
      </c>
      <c r="SN17" s="2" t="s">
        <v>95</v>
      </c>
      <c r="SO17" s="8">
        <v>640000</v>
      </c>
      <c r="SP17" s="2" t="s">
        <v>180</v>
      </c>
      <c r="SQ17" s="2"/>
      <c r="SR17" s="2"/>
      <c r="SS17" s="2" t="s">
        <v>96</v>
      </c>
      <c r="ST17" s="2" t="s">
        <v>96</v>
      </c>
      <c r="SU17" s="2" t="s">
        <v>96</v>
      </c>
      <c r="SV17" s="2" t="s">
        <v>96</v>
      </c>
      <c r="SW17" s="8">
        <v>3847095</v>
      </c>
      <c r="SX17" s="2" t="s">
        <v>1355</v>
      </c>
      <c r="SY17" s="8">
        <v>20103114</v>
      </c>
      <c r="SZ17" s="2" t="s">
        <v>95</v>
      </c>
      <c r="TA17" s="8">
        <v>3303261</v>
      </c>
      <c r="TB17" s="8">
        <v>31393470</v>
      </c>
      <c r="TC17" s="2">
        <v>0</v>
      </c>
      <c r="TD17" s="2" t="s">
        <v>9</v>
      </c>
      <c r="TE17" s="8">
        <v>3500000</v>
      </c>
      <c r="TF17" s="2" t="s">
        <v>95</v>
      </c>
      <c r="TG17" s="8">
        <v>640000</v>
      </c>
      <c r="TH17" s="2" t="s">
        <v>180</v>
      </c>
      <c r="TI17" s="2"/>
      <c r="TJ17" s="2"/>
      <c r="TK17" s="2" t="s">
        <v>96</v>
      </c>
      <c r="TL17" s="2" t="s">
        <v>96</v>
      </c>
      <c r="TM17" s="2" t="s">
        <v>96</v>
      </c>
      <c r="TN17" s="2" t="s">
        <v>96</v>
      </c>
      <c r="TO17" s="8">
        <v>25477452</v>
      </c>
      <c r="TP17" s="2"/>
      <c r="TQ17" s="2"/>
      <c r="TR17" s="2"/>
      <c r="TS17" s="8">
        <v>1776018</v>
      </c>
      <c r="TT17" s="8">
        <v>31393470</v>
      </c>
      <c r="TU17" s="6">
        <v>4140000</v>
      </c>
      <c r="TV17" s="2">
        <v>0</v>
      </c>
      <c r="TW17" s="2" t="s">
        <v>9</v>
      </c>
      <c r="TX17" s="2">
        <v>91</v>
      </c>
      <c r="TY17" s="5">
        <v>290000</v>
      </c>
      <c r="TZ17" s="6">
        <v>386666.67</v>
      </c>
      <c r="UA17" s="6">
        <v>386666.67</v>
      </c>
      <c r="UB17" s="6">
        <v>409866.67</v>
      </c>
      <c r="UC17" s="6">
        <v>37297866.670000002</v>
      </c>
      <c r="UD17" s="6">
        <v>5967658</v>
      </c>
      <c r="UE17" s="2" t="s">
        <v>97</v>
      </c>
      <c r="UF17" s="6">
        <v>5967658</v>
      </c>
      <c r="UG17" s="6">
        <v>43265524.670000002</v>
      </c>
      <c r="UH17" s="6">
        <v>28580728</v>
      </c>
      <c r="UI17" s="4">
        <v>0.99990000000000001</v>
      </c>
      <c r="UJ17" s="2" t="s">
        <v>9</v>
      </c>
      <c r="UK17" s="6">
        <v>640000</v>
      </c>
      <c r="UL17" s="2"/>
      <c r="UM17" s="6">
        <v>640000</v>
      </c>
      <c r="UN17" s="2"/>
      <c r="UO17" s="6">
        <v>0</v>
      </c>
      <c r="UP17" s="2"/>
      <c r="UQ17" s="6">
        <v>0</v>
      </c>
      <c r="UR17" s="6">
        <v>0</v>
      </c>
      <c r="US17" s="6">
        <v>640000</v>
      </c>
      <c r="UT17" s="6">
        <v>0</v>
      </c>
      <c r="UU17" s="6">
        <v>640000</v>
      </c>
      <c r="UV17" s="2" t="s">
        <v>2996</v>
      </c>
      <c r="UW17" s="2" t="s">
        <v>182</v>
      </c>
      <c r="UX17" s="2" t="s">
        <v>9</v>
      </c>
      <c r="UY17" s="2" t="s">
        <v>17</v>
      </c>
      <c r="UZ17" s="2" t="s">
        <v>17</v>
      </c>
      <c r="VA17" s="2" t="s">
        <v>17</v>
      </c>
      <c r="VB17" s="2" t="s">
        <v>2697</v>
      </c>
      <c r="VC17" s="2" t="s">
        <v>17</v>
      </c>
      <c r="VD17" s="2" t="s">
        <v>17</v>
      </c>
      <c r="VE17" s="2" t="s">
        <v>17</v>
      </c>
      <c r="VF17" s="2"/>
      <c r="VG17" s="2" t="s">
        <v>2997</v>
      </c>
      <c r="VH17" s="2"/>
      <c r="VI17" s="388" t="s">
        <v>1324</v>
      </c>
      <c r="VJ17" s="2" t="s">
        <v>98</v>
      </c>
      <c r="VK17" s="2" t="s">
        <v>536</v>
      </c>
      <c r="VL17" s="23">
        <f t="shared" si="0"/>
        <v>91</v>
      </c>
      <c r="VM17" s="17">
        <f t="shared" si="1"/>
        <v>1</v>
      </c>
      <c r="VN17" s="17" t="str">
        <f t="shared" si="2"/>
        <v>NC-MR-E</v>
      </c>
      <c r="VO17" s="17" t="str">
        <f t="shared" si="14"/>
        <v>NC-MR-E-ESS</v>
      </c>
      <c r="VP17" s="12">
        <v>9</v>
      </c>
      <c r="VQ17" s="57">
        <v>1</v>
      </c>
      <c r="VR17" s="14">
        <f t="shared" si="3"/>
        <v>1</v>
      </c>
      <c r="VS17" s="14">
        <f t="shared" si="4"/>
        <v>1</v>
      </c>
      <c r="VT17" s="12">
        <f t="shared" si="5"/>
        <v>0.90210000000000001</v>
      </c>
      <c r="VU17" s="29">
        <f t="shared" si="6"/>
        <v>22732920</v>
      </c>
      <c r="VV17" s="29">
        <f t="shared" si="7"/>
        <v>249812.30769230769</v>
      </c>
      <c r="VW17" s="12" t="str">
        <f t="shared" si="15"/>
        <v>A</v>
      </c>
      <c r="VX17" s="12" t="str">
        <f t="shared" si="8"/>
        <v>NC-MR-ESS</v>
      </c>
      <c r="VY17" s="351">
        <f t="shared" si="16"/>
        <v>4</v>
      </c>
      <c r="VZ17" s="12"/>
      <c r="WA17" s="12">
        <f t="shared" si="17"/>
        <v>1</v>
      </c>
      <c r="WB17" s="12">
        <f t="shared" si="18"/>
        <v>0</v>
      </c>
      <c r="WC17" s="12">
        <f t="shared" si="19"/>
        <v>0</v>
      </c>
      <c r="WD17" s="12">
        <f t="shared" si="20"/>
        <v>0</v>
      </c>
      <c r="WE17" s="12">
        <f t="shared" si="21"/>
        <v>1</v>
      </c>
      <c r="WF17" s="12">
        <f t="shared" si="9"/>
        <v>0</v>
      </c>
      <c r="WG17" s="12">
        <f t="shared" si="10"/>
        <v>1</v>
      </c>
      <c r="WH17" s="12">
        <f t="shared" si="11"/>
        <v>0</v>
      </c>
      <c r="WI17" s="31">
        <f t="shared" si="12"/>
        <v>3</v>
      </c>
      <c r="WJ17" s="2"/>
      <c r="WK17" s="444" t="str">
        <f t="shared" si="13"/>
        <v>NC-MR-ESS-BBN-BRN-NPH-E</v>
      </c>
      <c r="WL17" s="444"/>
      <c r="WM17" s="444"/>
      <c r="WN17" s="12"/>
      <c r="WO17" s="12"/>
    </row>
    <row r="18" spans="1:613" x14ac:dyDescent="0.25">
      <c r="A18" s="2">
        <v>9518</v>
      </c>
      <c r="B18" s="2" t="s">
        <v>2998</v>
      </c>
      <c r="C18" s="2" t="s">
        <v>2652</v>
      </c>
      <c r="D18" s="3">
        <v>45152</v>
      </c>
      <c r="E18" s="2" t="s">
        <v>9</v>
      </c>
      <c r="F18" s="2">
        <v>3</v>
      </c>
      <c r="G18" s="2" t="s">
        <v>9</v>
      </c>
      <c r="H18" s="2">
        <v>3</v>
      </c>
      <c r="I18" s="2" t="s">
        <v>9</v>
      </c>
      <c r="J18" s="2">
        <v>3</v>
      </c>
      <c r="K18" s="2" t="s">
        <v>9</v>
      </c>
      <c r="L18" s="2">
        <v>3</v>
      </c>
      <c r="M18" s="2" t="s">
        <v>10</v>
      </c>
      <c r="N18" s="2">
        <v>0</v>
      </c>
      <c r="O18" s="2" t="s">
        <v>10</v>
      </c>
      <c r="P18" s="2">
        <v>0</v>
      </c>
      <c r="Q18" s="2" t="s">
        <v>11</v>
      </c>
      <c r="R18" s="2">
        <v>0</v>
      </c>
      <c r="S18" s="2" t="s">
        <v>9</v>
      </c>
      <c r="T18" s="2">
        <v>2</v>
      </c>
      <c r="U18" s="2" t="s">
        <v>9</v>
      </c>
      <c r="V18" s="2">
        <v>2</v>
      </c>
      <c r="W18" s="2" t="s">
        <v>9</v>
      </c>
      <c r="X18" s="2">
        <v>2</v>
      </c>
      <c r="Y18" s="2" t="s">
        <v>12</v>
      </c>
      <c r="Z18" s="2" t="s">
        <v>842</v>
      </c>
      <c r="AA18" s="2" t="s">
        <v>1666</v>
      </c>
      <c r="AB18" s="2" t="s">
        <v>2999</v>
      </c>
      <c r="AC18" s="2" t="s">
        <v>15</v>
      </c>
      <c r="AD18" s="2" t="s">
        <v>15</v>
      </c>
      <c r="AE18" s="2" t="s">
        <v>15</v>
      </c>
      <c r="AF18" s="2">
        <v>3</v>
      </c>
      <c r="AG18" s="2" t="s">
        <v>3000</v>
      </c>
      <c r="AH18" s="2" t="s">
        <v>17</v>
      </c>
      <c r="AI18" s="4">
        <v>0.1</v>
      </c>
      <c r="AJ18" s="2" t="s">
        <v>17</v>
      </c>
      <c r="AK18" s="2" t="s">
        <v>9</v>
      </c>
      <c r="AL18" s="2" t="s">
        <v>17</v>
      </c>
      <c r="AM18" s="2" t="s">
        <v>17</v>
      </c>
      <c r="AN18" s="2" t="s">
        <v>17</v>
      </c>
      <c r="AO18" s="2" t="s">
        <v>9</v>
      </c>
      <c r="AP18" s="2" t="s">
        <v>17</v>
      </c>
      <c r="AQ18" s="2" t="s">
        <v>17</v>
      </c>
      <c r="AR18" s="2" t="s">
        <v>17</v>
      </c>
      <c r="AS18" s="2" t="s">
        <v>17</v>
      </c>
      <c r="AT18" s="2">
        <v>0</v>
      </c>
      <c r="AU18" s="5">
        <v>75000</v>
      </c>
      <c r="AV18" s="5">
        <v>610000</v>
      </c>
      <c r="AW18" s="2">
        <v>0</v>
      </c>
      <c r="AX18" s="2">
        <v>5</v>
      </c>
      <c r="AY18" s="2">
        <v>0</v>
      </c>
      <c r="AZ18" s="2">
        <v>18</v>
      </c>
      <c r="BA18" s="2">
        <v>0</v>
      </c>
      <c r="BB18" s="2">
        <v>0</v>
      </c>
      <c r="BC18" s="2">
        <v>1</v>
      </c>
      <c r="BD18" s="2">
        <v>3</v>
      </c>
      <c r="BE18" s="2">
        <v>0</v>
      </c>
      <c r="BF18" s="2">
        <v>1</v>
      </c>
      <c r="BG18" s="2">
        <v>0</v>
      </c>
      <c r="BH18" s="2">
        <v>0</v>
      </c>
      <c r="BI18" s="2">
        <v>13</v>
      </c>
      <c r="BJ18" s="2">
        <v>1</v>
      </c>
      <c r="BK18" s="2">
        <v>0</v>
      </c>
      <c r="BL18" s="2">
        <v>2</v>
      </c>
      <c r="BM18" s="2">
        <v>0</v>
      </c>
      <c r="BN18" s="2">
        <v>10</v>
      </c>
      <c r="BO18" s="2">
        <v>11</v>
      </c>
      <c r="BP18" s="2">
        <v>0</v>
      </c>
      <c r="BQ18" s="2">
        <v>10</v>
      </c>
      <c r="BR18" s="2">
        <v>12.2</v>
      </c>
      <c r="BS18" s="2">
        <v>0</v>
      </c>
      <c r="BT18" s="4">
        <v>0.06</v>
      </c>
      <c r="BU18" s="2" t="s">
        <v>9</v>
      </c>
      <c r="BV18" s="6">
        <v>205159.09</v>
      </c>
      <c r="BW18" s="2" t="s">
        <v>126</v>
      </c>
      <c r="BX18" s="2" t="s">
        <v>17</v>
      </c>
      <c r="BY18" s="2" t="s">
        <v>17</v>
      </c>
      <c r="BZ18" s="2" t="s">
        <v>17</v>
      </c>
      <c r="CA18" s="2" t="s">
        <v>17</v>
      </c>
      <c r="CB18" s="2" t="s">
        <v>17</v>
      </c>
      <c r="CC18" s="2" t="s">
        <v>17</v>
      </c>
      <c r="CD18" s="2" t="s">
        <v>17</v>
      </c>
      <c r="CE18" s="2" t="s">
        <v>3001</v>
      </c>
      <c r="CF18" s="2" t="s">
        <v>17</v>
      </c>
      <c r="CG18" s="2" t="s">
        <v>1322</v>
      </c>
      <c r="CH18" s="2" t="s">
        <v>1323</v>
      </c>
      <c r="CI18" s="2"/>
      <c r="CJ18" s="2" t="s">
        <v>9</v>
      </c>
      <c r="CK18" s="2" t="s">
        <v>1324</v>
      </c>
      <c r="CL18" s="2" t="s">
        <v>1322</v>
      </c>
      <c r="CM18" s="2" t="s">
        <v>1325</v>
      </c>
      <c r="CN18" s="2" t="s">
        <v>1326</v>
      </c>
      <c r="CO18" s="2" t="s">
        <v>24</v>
      </c>
      <c r="CP18" s="2"/>
      <c r="CQ18" s="2">
        <v>80</v>
      </c>
      <c r="CR18" s="2" t="s">
        <v>3002</v>
      </c>
      <c r="CS18" s="2">
        <v>2019</v>
      </c>
      <c r="CT18" s="2" t="s">
        <v>26</v>
      </c>
      <c r="CU18" s="2" t="s">
        <v>27</v>
      </c>
      <c r="CV18" s="2" t="s">
        <v>1327</v>
      </c>
      <c r="CW18" s="2" t="s">
        <v>692</v>
      </c>
      <c r="CX18" s="2" t="s">
        <v>24</v>
      </c>
      <c r="CY18" s="2"/>
      <c r="CZ18" s="2">
        <v>110</v>
      </c>
      <c r="DA18" s="2" t="s">
        <v>3002</v>
      </c>
      <c r="DB18" s="2">
        <v>2021</v>
      </c>
      <c r="DC18" s="2" t="s">
        <v>30</v>
      </c>
      <c r="DD18" s="2" t="s">
        <v>27</v>
      </c>
      <c r="DE18" s="2" t="s">
        <v>1328</v>
      </c>
      <c r="DF18" s="2" t="s">
        <v>389</v>
      </c>
      <c r="DG18" s="2" t="s">
        <v>24</v>
      </c>
      <c r="DH18" s="2"/>
      <c r="DI18" s="2">
        <v>102</v>
      </c>
      <c r="DJ18" s="2" t="s">
        <v>3002</v>
      </c>
      <c r="DK18" s="2">
        <v>2022</v>
      </c>
      <c r="DL18" s="2" t="s">
        <v>30</v>
      </c>
      <c r="DM18" s="2" t="s">
        <v>27</v>
      </c>
      <c r="DN18" s="2" t="s">
        <v>2663</v>
      </c>
      <c r="DO18" s="2" t="s">
        <v>1329</v>
      </c>
      <c r="DP18" s="2" t="s">
        <v>1330</v>
      </c>
      <c r="DQ18" s="2" t="s">
        <v>1331</v>
      </c>
      <c r="DR18" s="2" t="s">
        <v>1332</v>
      </c>
      <c r="DS18" s="2">
        <v>1</v>
      </c>
      <c r="DT18" s="2" t="s">
        <v>1333</v>
      </c>
      <c r="DU18" s="2" t="s">
        <v>1334</v>
      </c>
      <c r="DV18" s="2" t="s">
        <v>39</v>
      </c>
      <c r="DW18" s="2">
        <v>34744</v>
      </c>
      <c r="DX18" s="2" t="s">
        <v>1335</v>
      </c>
      <c r="DY18" s="2">
        <v>2</v>
      </c>
      <c r="DZ18" s="2" t="s">
        <v>1336</v>
      </c>
      <c r="EA18" s="2" t="s">
        <v>1332</v>
      </c>
      <c r="EB18" s="2" t="s">
        <v>1337</v>
      </c>
      <c r="EC18" s="2" t="s">
        <v>1338</v>
      </c>
      <c r="ED18" s="2" t="s">
        <v>44</v>
      </c>
      <c r="EE18" s="2">
        <v>96</v>
      </c>
      <c r="EF18" s="2" t="s">
        <v>3003</v>
      </c>
      <c r="EG18" s="2">
        <v>13</v>
      </c>
      <c r="EH18" s="2" t="s">
        <v>46</v>
      </c>
      <c r="EI18" s="2" t="s">
        <v>47</v>
      </c>
      <c r="EJ18" s="2" t="s">
        <v>1339</v>
      </c>
      <c r="EK18" s="2" t="s">
        <v>1340</v>
      </c>
      <c r="EL18" s="2" t="s">
        <v>44</v>
      </c>
      <c r="EM18" s="2">
        <v>92</v>
      </c>
      <c r="EN18" s="2" t="s">
        <v>3003</v>
      </c>
      <c r="EO18" s="2">
        <v>12</v>
      </c>
      <c r="EP18" s="2" t="s">
        <v>46</v>
      </c>
      <c r="EQ18" s="2" t="s">
        <v>47</v>
      </c>
      <c r="ER18" s="2" t="s">
        <v>1341</v>
      </c>
      <c r="ES18" s="2" t="s">
        <v>256</v>
      </c>
      <c r="ET18" s="2" t="s">
        <v>1342</v>
      </c>
      <c r="EU18" s="2" t="s">
        <v>1322</v>
      </c>
      <c r="EV18" s="2" t="s">
        <v>1343</v>
      </c>
      <c r="EW18" s="2" t="s">
        <v>752</v>
      </c>
      <c r="EX18" s="2" t="s">
        <v>39</v>
      </c>
      <c r="EY18" s="2">
        <v>32789</v>
      </c>
      <c r="EZ18" s="2" t="s">
        <v>1344</v>
      </c>
      <c r="FA18" s="2"/>
      <c r="FB18" s="2" t="s">
        <v>1345</v>
      </c>
      <c r="FC18" s="2" t="s">
        <v>1346</v>
      </c>
      <c r="FD18" s="2"/>
      <c r="FE18" s="2" t="s">
        <v>1347</v>
      </c>
      <c r="FF18" s="2" t="s">
        <v>1323</v>
      </c>
      <c r="FG18" s="2" t="s">
        <v>1343</v>
      </c>
      <c r="FH18" s="2" t="s">
        <v>752</v>
      </c>
      <c r="FI18" s="2" t="s">
        <v>39</v>
      </c>
      <c r="FJ18" s="2">
        <v>32789</v>
      </c>
      <c r="FK18" s="2" t="s">
        <v>1348</v>
      </c>
      <c r="FL18" s="2"/>
      <c r="FM18" s="2" t="s">
        <v>1349</v>
      </c>
      <c r="FN18" s="2" t="s">
        <v>3004</v>
      </c>
      <c r="FO18" s="2" t="s">
        <v>63</v>
      </c>
      <c r="FP18" s="2" t="s">
        <v>64</v>
      </c>
      <c r="FQ18" s="2" t="s">
        <v>9</v>
      </c>
      <c r="FR18" s="2" t="s">
        <v>17</v>
      </c>
      <c r="FS18" s="2" t="s">
        <v>17</v>
      </c>
      <c r="FT18" s="2" t="s">
        <v>9</v>
      </c>
      <c r="FU18" s="2">
        <v>0</v>
      </c>
      <c r="FV18" s="2">
        <v>0</v>
      </c>
      <c r="FW18" s="4">
        <v>0</v>
      </c>
      <c r="FX18" s="4">
        <v>0</v>
      </c>
      <c r="FY18" s="2" t="s">
        <v>65</v>
      </c>
      <c r="FZ18" s="2" t="s">
        <v>66</v>
      </c>
      <c r="GA18" s="2" t="s">
        <v>67</v>
      </c>
      <c r="GB18" s="2"/>
      <c r="GC18" s="2"/>
      <c r="GD18" s="2"/>
      <c r="GE18" s="2" t="s">
        <v>108</v>
      </c>
      <c r="GF18" s="2"/>
      <c r="GG18" s="2"/>
      <c r="GH18" s="2"/>
      <c r="GI18" s="2"/>
      <c r="GJ18" s="2">
        <v>110</v>
      </c>
      <c r="GK18" s="2"/>
      <c r="GL18" s="2"/>
      <c r="GM18" s="2"/>
      <c r="GN18" s="2"/>
      <c r="GO18" s="2"/>
      <c r="GP18" s="2"/>
      <c r="GQ18" s="2">
        <v>110</v>
      </c>
      <c r="GR18" s="2" t="s">
        <v>2826</v>
      </c>
      <c r="GS18" s="2" t="s">
        <v>2686</v>
      </c>
      <c r="GT18" s="2" t="s">
        <v>3005</v>
      </c>
      <c r="GU18" s="2" t="s">
        <v>2838</v>
      </c>
      <c r="GV18" s="2" t="s">
        <v>17</v>
      </c>
      <c r="GW18" s="2">
        <v>28.492556</v>
      </c>
      <c r="GX18" s="2">
        <v>-81.39725</v>
      </c>
      <c r="GY18" s="2"/>
      <c r="GZ18" s="2" t="s">
        <v>17</v>
      </c>
      <c r="HA18" s="2">
        <v>0</v>
      </c>
      <c r="HB18" s="2" t="s">
        <v>17</v>
      </c>
      <c r="HC18" s="2" t="s">
        <v>17</v>
      </c>
      <c r="HD18" s="2">
        <v>0</v>
      </c>
      <c r="HE18" s="2">
        <v>28.495332999999999</v>
      </c>
      <c r="HF18" s="2">
        <v>-81.396693999999997</v>
      </c>
      <c r="HG18" s="2">
        <v>0.19</v>
      </c>
      <c r="HH18" s="2">
        <v>6</v>
      </c>
      <c r="HI18" s="2">
        <v>28.493777999999999</v>
      </c>
      <c r="HJ18" s="2">
        <v>-81.396666999999994</v>
      </c>
      <c r="HK18" s="2">
        <v>0.09</v>
      </c>
      <c r="HL18" s="2">
        <v>28.493917</v>
      </c>
      <c r="HM18" s="2">
        <v>-81.396944000000005</v>
      </c>
      <c r="HN18" s="2">
        <v>0.1</v>
      </c>
      <c r="HO18" s="2"/>
      <c r="HP18" s="2"/>
      <c r="HQ18" s="2"/>
      <c r="HR18" s="2"/>
      <c r="HS18" s="2"/>
      <c r="HT18" s="2"/>
      <c r="HU18" s="2"/>
      <c r="HV18" s="2"/>
      <c r="HW18" s="2" t="s">
        <v>73</v>
      </c>
      <c r="HX18" s="2" t="s">
        <v>3006</v>
      </c>
      <c r="HY18" s="2" t="s">
        <v>3007</v>
      </c>
      <c r="HZ18" s="2">
        <v>0.37</v>
      </c>
      <c r="IA18" s="2">
        <v>3.5</v>
      </c>
      <c r="IB18" s="2"/>
      <c r="IC18" s="2"/>
      <c r="ID18" s="2"/>
      <c r="IE18" s="2"/>
      <c r="IF18" s="2" t="s">
        <v>1118</v>
      </c>
      <c r="IG18" s="2" t="s">
        <v>3008</v>
      </c>
      <c r="IH18" s="2">
        <v>0.34</v>
      </c>
      <c r="II18" s="2">
        <v>3.5</v>
      </c>
      <c r="IJ18" s="2" t="s">
        <v>3009</v>
      </c>
      <c r="IK18" s="2" t="s">
        <v>3010</v>
      </c>
      <c r="IL18" s="2">
        <v>1.03</v>
      </c>
      <c r="IM18" s="2">
        <v>2.5</v>
      </c>
      <c r="IN18" s="2" t="s">
        <v>17</v>
      </c>
      <c r="IO18" s="2"/>
      <c r="IP18" s="2" t="s">
        <v>79</v>
      </c>
      <c r="IQ18" s="2">
        <v>6</v>
      </c>
      <c r="IR18" s="2">
        <v>9.5</v>
      </c>
      <c r="IS18" s="2">
        <v>0</v>
      </c>
      <c r="IT18" s="2">
        <v>15.5</v>
      </c>
      <c r="IU18" s="2" t="s">
        <v>17</v>
      </c>
      <c r="IV18" s="2" t="s">
        <v>17</v>
      </c>
      <c r="IW18" s="2" t="s">
        <v>17</v>
      </c>
      <c r="IX18" s="2" t="s">
        <v>9</v>
      </c>
      <c r="IY18" s="2">
        <v>15.5</v>
      </c>
      <c r="IZ18" s="2">
        <v>110</v>
      </c>
      <c r="JA18" s="2" t="s">
        <v>2693</v>
      </c>
      <c r="JB18" s="2" t="s">
        <v>173</v>
      </c>
      <c r="JC18" s="2"/>
      <c r="JD18" s="7">
        <v>0.1</v>
      </c>
      <c r="JE18" s="7">
        <v>0.9</v>
      </c>
      <c r="JF18" s="7">
        <v>0</v>
      </c>
      <c r="JG18" s="7"/>
      <c r="JH18" s="7"/>
      <c r="JI18" s="2">
        <v>110</v>
      </c>
      <c r="JJ18" s="7">
        <v>1</v>
      </c>
      <c r="JK18" s="2">
        <v>110</v>
      </c>
      <c r="JL18" s="7">
        <v>1</v>
      </c>
      <c r="JM18" s="2"/>
      <c r="JN18" s="2"/>
      <c r="JO18" s="2"/>
      <c r="JP18" s="2"/>
      <c r="JQ18" s="2"/>
      <c r="JR18" s="2">
        <v>0</v>
      </c>
      <c r="JS18" s="2">
        <v>0</v>
      </c>
      <c r="JT18" s="2"/>
      <c r="JU18" s="2"/>
      <c r="JV18" s="2">
        <v>0</v>
      </c>
      <c r="JW18" s="4">
        <v>0</v>
      </c>
      <c r="JX18" s="2">
        <v>0</v>
      </c>
      <c r="JY18" s="4">
        <v>0</v>
      </c>
      <c r="JZ18" s="2">
        <v>0</v>
      </c>
      <c r="KA18" s="2"/>
      <c r="KB18" s="2"/>
      <c r="KC18" s="2"/>
      <c r="KD18" s="2"/>
      <c r="KE18" s="2"/>
      <c r="KF18" s="2"/>
      <c r="KG18" s="2"/>
      <c r="KH18" s="2">
        <v>55</v>
      </c>
      <c r="KI18" s="2"/>
      <c r="KJ18" s="2"/>
      <c r="KK18" s="2">
        <v>55</v>
      </c>
      <c r="KL18" s="2"/>
      <c r="KM18" s="2"/>
      <c r="KN18" s="2"/>
      <c r="KO18" s="2"/>
      <c r="KP18" s="2"/>
      <c r="KQ18" s="2" t="s">
        <v>83</v>
      </c>
      <c r="KR18" s="2"/>
      <c r="KS18" s="2" t="s">
        <v>73</v>
      </c>
      <c r="KT18" s="2">
        <v>1</v>
      </c>
      <c r="KU18" s="2" t="s">
        <v>84</v>
      </c>
      <c r="KV18" s="2" t="s">
        <v>85</v>
      </c>
      <c r="KW18" s="2" t="s">
        <v>86</v>
      </c>
      <c r="KX18" s="2" t="s">
        <v>17</v>
      </c>
      <c r="KY18" s="2" t="s">
        <v>17</v>
      </c>
      <c r="KZ18" s="2" t="s">
        <v>17</v>
      </c>
      <c r="LA18" s="2" t="s">
        <v>17</v>
      </c>
      <c r="LB18" s="2" t="s">
        <v>17</v>
      </c>
      <c r="LC18" s="2" t="s">
        <v>17</v>
      </c>
      <c r="LD18" s="2" t="s">
        <v>17</v>
      </c>
      <c r="LE18" s="2" t="s">
        <v>17</v>
      </c>
      <c r="LF18" s="2" t="s">
        <v>17</v>
      </c>
      <c r="LG18" s="2" t="s">
        <v>17</v>
      </c>
      <c r="LH18" s="2" t="s">
        <v>17</v>
      </c>
      <c r="LI18" s="2" t="s">
        <v>17</v>
      </c>
      <c r="LJ18" s="2" t="s">
        <v>87</v>
      </c>
      <c r="LK18" s="2" t="s">
        <v>17</v>
      </c>
      <c r="LL18" s="2" t="s">
        <v>17</v>
      </c>
      <c r="LM18" s="2">
        <v>0</v>
      </c>
      <c r="LN18" s="2" t="s">
        <v>17</v>
      </c>
      <c r="LO18" s="2" t="s">
        <v>17</v>
      </c>
      <c r="LP18" s="2" t="s">
        <v>17</v>
      </c>
      <c r="LQ18" s="2" t="s">
        <v>17</v>
      </c>
      <c r="LR18" s="2" t="s">
        <v>17</v>
      </c>
      <c r="LS18" s="2" t="s">
        <v>17</v>
      </c>
      <c r="LT18" s="2" t="s">
        <v>17</v>
      </c>
      <c r="LU18" s="2" t="s">
        <v>17</v>
      </c>
      <c r="LV18" s="2" t="s">
        <v>9</v>
      </c>
      <c r="LW18" s="2" t="s">
        <v>9</v>
      </c>
      <c r="LX18" s="2" t="s">
        <v>9</v>
      </c>
      <c r="LY18" s="5">
        <v>6500000</v>
      </c>
      <c r="LZ18" s="5">
        <v>0</v>
      </c>
      <c r="MA18" s="5">
        <v>8400000</v>
      </c>
      <c r="MB18" s="5">
        <v>0</v>
      </c>
      <c r="MC18" s="5">
        <v>0</v>
      </c>
      <c r="MD18" s="5">
        <v>0</v>
      </c>
      <c r="ME18" s="5">
        <v>10000000</v>
      </c>
      <c r="MF18" s="5">
        <v>0</v>
      </c>
      <c r="MG18" s="5">
        <v>0</v>
      </c>
      <c r="MH18" s="5">
        <v>0</v>
      </c>
      <c r="MI18" s="5">
        <v>0</v>
      </c>
      <c r="MJ18" s="5">
        <v>0</v>
      </c>
      <c r="MK18" s="5">
        <v>0</v>
      </c>
      <c r="ML18" s="2">
        <v>0</v>
      </c>
      <c r="MM18" s="5">
        <v>0</v>
      </c>
      <c r="MN18" s="5">
        <v>0</v>
      </c>
      <c r="MO18" s="2">
        <v>0</v>
      </c>
      <c r="MP18" s="2">
        <v>0</v>
      </c>
      <c r="MQ18" s="2">
        <v>0</v>
      </c>
      <c r="MR18" s="5">
        <v>2950000</v>
      </c>
      <c r="MS18" s="5">
        <v>0</v>
      </c>
      <c r="MT18" s="5">
        <v>4600000</v>
      </c>
      <c r="MU18" s="5">
        <v>0</v>
      </c>
      <c r="MV18" s="5">
        <v>0</v>
      </c>
      <c r="MW18" s="5">
        <v>0</v>
      </c>
      <c r="MX18" s="5">
        <v>0</v>
      </c>
      <c r="MY18" s="5">
        <v>2500000</v>
      </c>
      <c r="MZ18" s="5">
        <v>0</v>
      </c>
      <c r="NA18" s="5">
        <v>5000000</v>
      </c>
      <c r="NB18" s="5">
        <v>0</v>
      </c>
      <c r="NC18" s="5">
        <v>0</v>
      </c>
      <c r="ND18" s="5">
        <v>0</v>
      </c>
      <c r="NE18" s="5">
        <v>0</v>
      </c>
      <c r="NF18" s="5">
        <v>0</v>
      </c>
      <c r="NG18" s="5">
        <v>2992500</v>
      </c>
      <c r="NH18" s="5">
        <v>2950000</v>
      </c>
      <c r="NI18" s="5">
        <v>2950000</v>
      </c>
      <c r="NJ18" s="2" t="s">
        <v>9</v>
      </c>
      <c r="NK18" s="2"/>
      <c r="NL18" s="2"/>
      <c r="NM18" s="2" t="s">
        <v>17</v>
      </c>
      <c r="NN18" s="2"/>
      <c r="NO18" s="2" t="s">
        <v>17</v>
      </c>
      <c r="NP18" s="2"/>
      <c r="NQ18" s="2"/>
      <c r="NR18" s="2" t="s">
        <v>17</v>
      </c>
      <c r="NS18" s="2"/>
      <c r="NT18" s="2" t="s">
        <v>9</v>
      </c>
      <c r="NU18" s="2" t="s">
        <v>450</v>
      </c>
      <c r="NV18" s="2">
        <v>169.06</v>
      </c>
      <c r="NW18" s="2" t="s">
        <v>3011</v>
      </c>
      <c r="NX18" s="2" t="s">
        <v>17</v>
      </c>
      <c r="NY18" s="2"/>
      <c r="NZ18" s="2"/>
      <c r="OA18" s="2" t="s">
        <v>118</v>
      </c>
      <c r="OB18" s="2" t="s">
        <v>118</v>
      </c>
      <c r="OC18" s="2" t="s">
        <v>118</v>
      </c>
      <c r="OD18" s="2" t="s">
        <v>17</v>
      </c>
      <c r="OE18" s="2" t="s">
        <v>119</v>
      </c>
      <c r="OF18" s="2" t="s">
        <v>17</v>
      </c>
      <c r="OG18" s="2"/>
      <c r="OH18" s="2" t="s">
        <v>17</v>
      </c>
      <c r="OI18" s="2" t="s">
        <v>17</v>
      </c>
      <c r="OJ18" s="2" t="s">
        <v>85</v>
      </c>
      <c r="OK18" s="6">
        <v>0</v>
      </c>
      <c r="OL18" s="6">
        <v>0</v>
      </c>
      <c r="OM18" s="2" t="s">
        <v>93</v>
      </c>
      <c r="ON18" s="2" t="s">
        <v>93</v>
      </c>
      <c r="OO18" s="6">
        <v>0</v>
      </c>
      <c r="OP18" s="6">
        <v>0</v>
      </c>
      <c r="OQ18" s="4">
        <v>0</v>
      </c>
      <c r="OR18" s="6">
        <v>0</v>
      </c>
      <c r="OS18" s="4">
        <v>0</v>
      </c>
      <c r="OT18" s="2" t="s">
        <v>17</v>
      </c>
      <c r="OU18" s="2" t="s">
        <v>17</v>
      </c>
      <c r="OV18" s="2"/>
      <c r="OW18" s="2"/>
      <c r="OX18" s="5">
        <v>22567500</v>
      </c>
      <c r="OY18" s="6">
        <v>205159.09</v>
      </c>
      <c r="OZ18" s="2"/>
      <c r="PA18" s="2"/>
      <c r="PB18" s="2"/>
      <c r="PC18" s="2"/>
      <c r="PD18" s="8">
        <v>17400000</v>
      </c>
      <c r="PE18" s="2"/>
      <c r="PF18" s="8">
        <v>17400000</v>
      </c>
      <c r="PG18" s="8">
        <v>500000</v>
      </c>
      <c r="PH18" s="2"/>
      <c r="PI18" s="8">
        <v>500000</v>
      </c>
      <c r="PJ18" s="2"/>
      <c r="PK18" s="2"/>
      <c r="PL18" s="2"/>
      <c r="PM18" s="8">
        <v>17900000</v>
      </c>
      <c r="PN18" s="2"/>
      <c r="PO18" s="8">
        <v>17900000</v>
      </c>
      <c r="PP18" s="8">
        <v>2505990</v>
      </c>
      <c r="PQ18" s="2"/>
      <c r="PR18" s="8">
        <v>2505990</v>
      </c>
      <c r="PS18" s="6">
        <v>2506000</v>
      </c>
      <c r="PT18" s="8">
        <v>20405990</v>
      </c>
      <c r="PU18" s="2"/>
      <c r="PV18" s="8">
        <v>20405990</v>
      </c>
      <c r="PW18" s="8">
        <v>1020290</v>
      </c>
      <c r="PX18" s="2"/>
      <c r="PY18" s="8">
        <v>1020290</v>
      </c>
      <c r="PZ18" s="6">
        <v>1020299.5</v>
      </c>
      <c r="QA18" s="8">
        <v>789500</v>
      </c>
      <c r="QB18" s="8">
        <v>35000</v>
      </c>
      <c r="QC18" s="8">
        <v>824500</v>
      </c>
      <c r="QD18" s="8">
        <v>126250</v>
      </c>
      <c r="QE18" s="8">
        <v>50000</v>
      </c>
      <c r="QF18" s="8">
        <v>176250</v>
      </c>
      <c r="QG18" s="8">
        <v>1126000</v>
      </c>
      <c r="QH18" s="2"/>
      <c r="QI18" s="8">
        <v>1126000</v>
      </c>
      <c r="QJ18" s="2"/>
      <c r="QK18" s="8">
        <v>483500</v>
      </c>
      <c r="QL18" s="8">
        <v>483500</v>
      </c>
      <c r="QM18" s="2"/>
      <c r="QN18" s="2"/>
      <c r="QO18" s="2"/>
      <c r="QP18" s="2"/>
      <c r="QQ18" s="2"/>
      <c r="QR18" s="2"/>
      <c r="QS18" s="8">
        <v>2041750</v>
      </c>
      <c r="QT18" s="8">
        <v>568500</v>
      </c>
      <c r="QU18" s="8">
        <v>2610250</v>
      </c>
      <c r="QV18" s="8">
        <v>102078</v>
      </c>
      <c r="QW18" s="8">
        <v>28415</v>
      </c>
      <c r="QX18" s="8">
        <v>130493</v>
      </c>
      <c r="QY18" s="6">
        <v>130512.5</v>
      </c>
      <c r="QZ18" s="8">
        <v>1173041</v>
      </c>
      <c r="RA18" s="8">
        <v>193657</v>
      </c>
      <c r="RB18" s="8">
        <v>1366698</v>
      </c>
      <c r="RC18" s="8">
        <v>44500</v>
      </c>
      <c r="RD18" s="8">
        <v>44500</v>
      </c>
      <c r="RE18" s="2"/>
      <c r="RF18" s="2"/>
      <c r="RG18" s="2"/>
      <c r="RH18" s="8">
        <v>1173041</v>
      </c>
      <c r="RI18" s="8">
        <v>238157</v>
      </c>
      <c r="RJ18" s="8">
        <v>1411198</v>
      </c>
      <c r="RK18" s="2"/>
      <c r="RL18" s="2"/>
      <c r="RM18" s="8">
        <v>24743149</v>
      </c>
      <c r="RN18" s="8">
        <v>835072</v>
      </c>
      <c r="RO18" s="8">
        <v>25578221</v>
      </c>
      <c r="RP18" s="2">
        <v>0</v>
      </c>
      <c r="RQ18" s="6">
        <v>0</v>
      </c>
      <c r="RR18" s="8">
        <v>3958894</v>
      </c>
      <c r="RS18" s="8">
        <v>133601</v>
      </c>
      <c r="RT18" s="8">
        <v>4092495</v>
      </c>
      <c r="RU18" s="6">
        <v>4092515</v>
      </c>
      <c r="RV18" s="6">
        <v>0</v>
      </c>
      <c r="RW18" s="8">
        <v>3958894</v>
      </c>
      <c r="RX18" s="8">
        <v>133601</v>
      </c>
      <c r="RY18" s="8">
        <v>4092495</v>
      </c>
      <c r="RZ18" s="6">
        <v>4092515</v>
      </c>
      <c r="SA18" s="8">
        <v>258920</v>
      </c>
      <c r="SB18" s="8">
        <v>258920</v>
      </c>
      <c r="SC18" s="6">
        <v>385000</v>
      </c>
      <c r="SD18" s="8">
        <v>2100000</v>
      </c>
      <c r="SE18" s="8">
        <v>2100000</v>
      </c>
      <c r="SF18" s="8">
        <v>28702043</v>
      </c>
      <c r="SG18" s="8">
        <v>3327593</v>
      </c>
      <c r="SH18" s="8">
        <v>32029636</v>
      </c>
      <c r="SI18" s="2" t="s">
        <v>229</v>
      </c>
      <c r="SJ18" s="2"/>
      <c r="SK18" s="2"/>
      <c r="SL18" s="2"/>
      <c r="SM18" s="8">
        <v>3700000</v>
      </c>
      <c r="SN18" s="2" t="s">
        <v>95</v>
      </c>
      <c r="SO18" s="2"/>
      <c r="SP18" s="2"/>
      <c r="SQ18" s="2"/>
      <c r="SR18" s="2"/>
      <c r="SS18" s="2" t="s">
        <v>96</v>
      </c>
      <c r="ST18" s="2" t="s">
        <v>96</v>
      </c>
      <c r="SU18" s="2" t="s">
        <v>96</v>
      </c>
      <c r="SV18" s="2" t="s">
        <v>96</v>
      </c>
      <c r="SW18" s="8">
        <v>4097730</v>
      </c>
      <c r="SX18" s="2" t="s">
        <v>1355</v>
      </c>
      <c r="SY18" s="8">
        <v>21380636</v>
      </c>
      <c r="SZ18" s="2" t="s">
        <v>95</v>
      </c>
      <c r="TA18" s="8">
        <v>2851270</v>
      </c>
      <c r="TB18" s="8">
        <v>32029636</v>
      </c>
      <c r="TC18" s="2">
        <v>0</v>
      </c>
      <c r="TD18" s="2" t="s">
        <v>9</v>
      </c>
      <c r="TE18" s="8">
        <v>3700000</v>
      </c>
      <c r="TF18" s="2" t="s">
        <v>95</v>
      </c>
      <c r="TG18" s="2"/>
      <c r="TH18" s="2"/>
      <c r="TI18" s="2"/>
      <c r="TJ18" s="2"/>
      <c r="TK18" s="2" t="s">
        <v>96</v>
      </c>
      <c r="TL18" s="2" t="s">
        <v>96</v>
      </c>
      <c r="TM18" s="2" t="s">
        <v>96</v>
      </c>
      <c r="TN18" s="2" t="s">
        <v>96</v>
      </c>
      <c r="TO18" s="8">
        <v>27137286</v>
      </c>
      <c r="TP18" s="2"/>
      <c r="TQ18" s="2"/>
      <c r="TR18" s="2"/>
      <c r="TS18" s="8">
        <v>1192350</v>
      </c>
      <c r="TT18" s="8">
        <v>32029636</v>
      </c>
      <c r="TU18" s="6">
        <v>3700000</v>
      </c>
      <c r="TV18" s="2">
        <v>0</v>
      </c>
      <c r="TW18" s="2" t="s">
        <v>9</v>
      </c>
      <c r="TX18" s="2">
        <v>110</v>
      </c>
      <c r="TY18" s="5">
        <v>240000</v>
      </c>
      <c r="TZ18" s="6">
        <v>320000</v>
      </c>
      <c r="UA18" s="6">
        <v>320000</v>
      </c>
      <c r="UB18" s="6">
        <v>339200</v>
      </c>
      <c r="UC18" s="6">
        <v>37312000</v>
      </c>
      <c r="UD18" s="6">
        <v>5969920</v>
      </c>
      <c r="UE18" s="2" t="s">
        <v>97</v>
      </c>
      <c r="UF18" s="6">
        <v>5969920</v>
      </c>
      <c r="UG18" s="6">
        <v>43281920</v>
      </c>
      <c r="UH18" s="6">
        <v>29670716</v>
      </c>
      <c r="UI18" s="4">
        <v>0.99990000000000001</v>
      </c>
      <c r="UJ18" s="2" t="s">
        <v>17</v>
      </c>
      <c r="UK18" s="2"/>
      <c r="UL18" s="2"/>
      <c r="UM18" s="6">
        <v>0</v>
      </c>
      <c r="UN18" s="2"/>
      <c r="UO18" s="6">
        <v>0</v>
      </c>
      <c r="UP18" s="2"/>
      <c r="UQ18" s="6">
        <v>0</v>
      </c>
      <c r="UR18" s="6">
        <v>0</v>
      </c>
      <c r="US18" s="6">
        <v>0</v>
      </c>
      <c r="UT18" s="6">
        <v>0</v>
      </c>
      <c r="UU18" s="6">
        <v>0</v>
      </c>
      <c r="UV18" s="2"/>
      <c r="UW18" s="2"/>
      <c r="UX18" s="2" t="s">
        <v>17</v>
      </c>
      <c r="UY18" s="2" t="s">
        <v>17</v>
      </c>
      <c r="UZ18" s="2" t="s">
        <v>17</v>
      </c>
      <c r="VA18" s="2" t="s">
        <v>17</v>
      </c>
      <c r="VB18" s="2"/>
      <c r="VC18" s="2" t="s">
        <v>17</v>
      </c>
      <c r="VD18" s="2" t="s">
        <v>17</v>
      </c>
      <c r="VE18" s="2" t="s">
        <v>17</v>
      </c>
      <c r="VF18" s="2"/>
      <c r="VG18" s="2" t="s">
        <v>3012</v>
      </c>
      <c r="VH18" s="2"/>
      <c r="VI18" s="388" t="s">
        <v>1324</v>
      </c>
      <c r="VJ18" s="2" t="s">
        <v>98</v>
      </c>
      <c r="VK18" s="2" t="s">
        <v>536</v>
      </c>
      <c r="VL18" s="23">
        <f t="shared" si="0"/>
        <v>165</v>
      </c>
      <c r="VM18" s="17">
        <f t="shared" si="1"/>
        <v>1.5</v>
      </c>
      <c r="VN18" s="17" t="str">
        <f t="shared" si="2"/>
        <v>NC-MR-E</v>
      </c>
      <c r="VO18" s="17" t="str">
        <f t="shared" si="14"/>
        <v>NC-MR-E-Non</v>
      </c>
      <c r="VP18" s="12">
        <v>9</v>
      </c>
      <c r="VQ18" s="57">
        <v>1</v>
      </c>
      <c r="VR18" s="14">
        <f t="shared" si="3"/>
        <v>1</v>
      </c>
      <c r="VS18" s="14">
        <f t="shared" si="4"/>
        <v>1</v>
      </c>
      <c r="VT18" s="12">
        <f t="shared" si="5"/>
        <v>0.97</v>
      </c>
      <c r="VU18" s="29">
        <f t="shared" si="6"/>
        <v>25753500</v>
      </c>
      <c r="VV18" s="29">
        <f t="shared" si="7"/>
        <v>234122.72727272726</v>
      </c>
      <c r="VW18" s="12" t="str">
        <f t="shared" si="15"/>
        <v>A</v>
      </c>
      <c r="VX18" s="12" t="str">
        <f t="shared" si="8"/>
        <v>NC-MR-Non</v>
      </c>
      <c r="VY18" s="351">
        <f t="shared" si="16"/>
        <v>3</v>
      </c>
      <c r="VZ18" s="12"/>
      <c r="WA18" s="12">
        <f t="shared" si="17"/>
        <v>1</v>
      </c>
      <c r="WB18" s="12">
        <f t="shared" si="18"/>
        <v>0</v>
      </c>
      <c r="WC18" s="12">
        <f t="shared" si="19"/>
        <v>0</v>
      </c>
      <c r="WD18" s="12">
        <f t="shared" si="20"/>
        <v>0</v>
      </c>
      <c r="WE18" s="12">
        <f t="shared" si="21"/>
        <v>0</v>
      </c>
      <c r="WF18" s="12">
        <f t="shared" si="9"/>
        <v>0</v>
      </c>
      <c r="WG18" s="12">
        <f t="shared" si="10"/>
        <v>1</v>
      </c>
      <c r="WH18" s="12">
        <f t="shared" si="11"/>
        <v>0</v>
      </c>
      <c r="WI18" s="31">
        <f t="shared" si="12"/>
        <v>2</v>
      </c>
      <c r="WJ18" s="2"/>
      <c r="WK18" s="444" t="str">
        <f t="shared" si="13"/>
        <v>NC-MR-Non-BBN-BRN-NPH-E</v>
      </c>
      <c r="WL18" s="444"/>
      <c r="WM18" s="444"/>
      <c r="WN18" s="12"/>
      <c r="WO18" s="12"/>
    </row>
    <row r="19" spans="1:613" x14ac:dyDescent="0.25">
      <c r="A19" s="2">
        <v>9608</v>
      </c>
      <c r="B19" s="2" t="s">
        <v>3013</v>
      </c>
      <c r="C19" s="2" t="s">
        <v>2652</v>
      </c>
      <c r="D19" s="3">
        <v>45152</v>
      </c>
      <c r="E19" s="2" t="s">
        <v>9</v>
      </c>
      <c r="F19" s="2">
        <v>3</v>
      </c>
      <c r="G19" s="2" t="s">
        <v>9</v>
      </c>
      <c r="H19" s="2">
        <v>3</v>
      </c>
      <c r="I19" s="2" t="s">
        <v>9</v>
      </c>
      <c r="J19" s="2">
        <v>2</v>
      </c>
      <c r="K19" s="2" t="s">
        <v>9</v>
      </c>
      <c r="L19" s="2">
        <v>3</v>
      </c>
      <c r="M19" s="2" t="s">
        <v>10</v>
      </c>
      <c r="N19" s="2">
        <v>0</v>
      </c>
      <c r="O19" s="2" t="s">
        <v>10</v>
      </c>
      <c r="P19" s="2">
        <v>0</v>
      </c>
      <c r="Q19" s="2" t="s">
        <v>11</v>
      </c>
      <c r="R19" s="2">
        <v>0</v>
      </c>
      <c r="S19" s="2" t="s">
        <v>9</v>
      </c>
      <c r="T19" s="2">
        <v>2</v>
      </c>
      <c r="U19" s="2" t="s">
        <v>9</v>
      </c>
      <c r="V19" s="2">
        <v>2</v>
      </c>
      <c r="W19" s="2" t="s">
        <v>9</v>
      </c>
      <c r="X19" s="2">
        <v>2</v>
      </c>
      <c r="Y19" s="2" t="s">
        <v>12</v>
      </c>
      <c r="Z19" s="2" t="s">
        <v>1667</v>
      </c>
      <c r="AA19" s="2" t="s">
        <v>604</v>
      </c>
      <c r="AB19" s="2" t="s">
        <v>434</v>
      </c>
      <c r="AC19" s="2" t="s">
        <v>15</v>
      </c>
      <c r="AD19" s="2" t="s">
        <v>15</v>
      </c>
      <c r="AE19" s="2" t="s">
        <v>15</v>
      </c>
      <c r="AF19" s="2">
        <v>3</v>
      </c>
      <c r="AG19" s="2" t="s">
        <v>3014</v>
      </c>
      <c r="AH19" s="2" t="s">
        <v>17</v>
      </c>
      <c r="AI19" s="4">
        <v>0.15278</v>
      </c>
      <c r="AJ19" s="2" t="s">
        <v>17</v>
      </c>
      <c r="AK19" s="2" t="s">
        <v>9</v>
      </c>
      <c r="AL19" s="2" t="s">
        <v>17</v>
      </c>
      <c r="AM19" s="2" t="s">
        <v>17</v>
      </c>
      <c r="AN19" s="2" t="s">
        <v>17</v>
      </c>
      <c r="AO19" s="2" t="s">
        <v>17</v>
      </c>
      <c r="AP19" s="2" t="s">
        <v>17</v>
      </c>
      <c r="AQ19" s="2" t="s">
        <v>17</v>
      </c>
      <c r="AR19" s="2" t="s">
        <v>17</v>
      </c>
      <c r="AS19" s="2" t="s">
        <v>17</v>
      </c>
      <c r="AT19" s="2">
        <v>5</v>
      </c>
      <c r="AU19" s="5">
        <v>75000</v>
      </c>
      <c r="AV19" s="5">
        <v>610000</v>
      </c>
      <c r="AW19" s="2">
        <v>0</v>
      </c>
      <c r="AX19" s="2">
        <v>9</v>
      </c>
      <c r="AY19" s="2">
        <v>0</v>
      </c>
      <c r="AZ19" s="2">
        <v>18</v>
      </c>
      <c r="BA19" s="2">
        <v>0</v>
      </c>
      <c r="BB19" s="2">
        <v>0</v>
      </c>
      <c r="BC19" s="2">
        <v>0</v>
      </c>
      <c r="BD19" s="2">
        <v>3</v>
      </c>
      <c r="BE19" s="2">
        <v>0</v>
      </c>
      <c r="BF19" s="2">
        <v>1</v>
      </c>
      <c r="BG19" s="2">
        <v>0</v>
      </c>
      <c r="BH19" s="2">
        <v>0</v>
      </c>
      <c r="BI19" s="2">
        <v>13</v>
      </c>
      <c r="BJ19" s="2">
        <v>1</v>
      </c>
      <c r="BK19" s="2">
        <v>0</v>
      </c>
      <c r="BL19" s="2">
        <v>3</v>
      </c>
      <c r="BM19" s="2">
        <v>0</v>
      </c>
      <c r="BN19" s="2">
        <v>12</v>
      </c>
      <c r="BO19" s="2">
        <v>11</v>
      </c>
      <c r="BP19" s="2">
        <v>0</v>
      </c>
      <c r="BQ19" s="2">
        <v>10</v>
      </c>
      <c r="BR19" s="2">
        <v>10.01</v>
      </c>
      <c r="BS19" s="2">
        <v>0</v>
      </c>
      <c r="BT19" s="4">
        <v>0.06</v>
      </c>
      <c r="BU19" s="2" t="s">
        <v>9</v>
      </c>
      <c r="BV19" s="6">
        <v>209889.41</v>
      </c>
      <c r="BW19" s="2" t="s">
        <v>18</v>
      </c>
      <c r="BX19" s="2" t="s">
        <v>17</v>
      </c>
      <c r="BY19" s="2" t="s">
        <v>17</v>
      </c>
      <c r="BZ19" s="2" t="s">
        <v>17</v>
      </c>
      <c r="CA19" s="2" t="s">
        <v>17</v>
      </c>
      <c r="CB19" s="2" t="s">
        <v>17</v>
      </c>
      <c r="CC19" s="2" t="s">
        <v>17</v>
      </c>
      <c r="CD19" s="2" t="s">
        <v>17</v>
      </c>
      <c r="CE19" s="2" t="s">
        <v>3015</v>
      </c>
      <c r="CF19" s="2" t="s">
        <v>17</v>
      </c>
      <c r="CG19" s="2" t="s">
        <v>1817</v>
      </c>
      <c r="CH19" s="2" t="s">
        <v>1818</v>
      </c>
      <c r="CI19" s="2" t="s">
        <v>1819</v>
      </c>
      <c r="CJ19" s="2" t="s">
        <v>9</v>
      </c>
      <c r="CK19" s="2" t="s">
        <v>1820</v>
      </c>
      <c r="CL19" s="2" t="s">
        <v>1817</v>
      </c>
      <c r="CM19" s="2" t="s">
        <v>1821</v>
      </c>
      <c r="CN19" s="2" t="s">
        <v>1822</v>
      </c>
      <c r="CO19" s="2" t="s">
        <v>24</v>
      </c>
      <c r="CP19" s="2"/>
      <c r="CQ19" s="2">
        <v>117</v>
      </c>
      <c r="CR19" s="2" t="s">
        <v>1234</v>
      </c>
      <c r="CS19" s="2">
        <v>2019</v>
      </c>
      <c r="CT19" s="2" t="s">
        <v>26</v>
      </c>
      <c r="CU19" s="2" t="s">
        <v>27</v>
      </c>
      <c r="CV19" s="2" t="s">
        <v>2942</v>
      </c>
      <c r="CW19" s="2" t="s">
        <v>2943</v>
      </c>
      <c r="CX19" s="2" t="s">
        <v>800</v>
      </c>
      <c r="CY19" s="2"/>
      <c r="CZ19" s="2">
        <v>92</v>
      </c>
      <c r="DA19" s="2" t="s">
        <v>1234</v>
      </c>
      <c r="DB19" s="2">
        <v>2017</v>
      </c>
      <c r="DC19" s="2" t="s">
        <v>26</v>
      </c>
      <c r="DD19" s="2" t="s">
        <v>27</v>
      </c>
      <c r="DE19" s="2" t="s">
        <v>1825</v>
      </c>
      <c r="DF19" s="2" t="s">
        <v>1824</v>
      </c>
      <c r="DG19" s="2" t="s">
        <v>24</v>
      </c>
      <c r="DH19" s="2"/>
      <c r="DI19" s="2">
        <v>116</v>
      </c>
      <c r="DJ19" s="2" t="s">
        <v>1234</v>
      </c>
      <c r="DK19" s="2">
        <v>2018</v>
      </c>
      <c r="DL19" s="2" t="s">
        <v>30</v>
      </c>
      <c r="DM19" s="2" t="s">
        <v>27</v>
      </c>
      <c r="DN19" s="2" t="s">
        <v>2663</v>
      </c>
      <c r="DO19" s="2" t="s">
        <v>1826</v>
      </c>
      <c r="DP19" s="2"/>
      <c r="DQ19" s="2" t="s">
        <v>1827</v>
      </c>
      <c r="DR19" s="2" t="s">
        <v>1828</v>
      </c>
      <c r="DS19" s="2">
        <v>1</v>
      </c>
      <c r="DT19" s="2" t="s">
        <v>1829</v>
      </c>
      <c r="DU19" s="2" t="s">
        <v>1830</v>
      </c>
      <c r="DV19" s="2" t="s">
        <v>701</v>
      </c>
      <c r="DW19" s="2">
        <v>30005</v>
      </c>
      <c r="DX19" s="2" t="s">
        <v>2944</v>
      </c>
      <c r="DY19" s="2"/>
      <c r="DZ19" s="2" t="s">
        <v>1832</v>
      </c>
      <c r="EA19" s="2" t="s">
        <v>1828</v>
      </c>
      <c r="EB19" s="2" t="s">
        <v>1833</v>
      </c>
      <c r="EC19" s="2" t="s">
        <v>1834</v>
      </c>
      <c r="ED19" s="2" t="s">
        <v>44</v>
      </c>
      <c r="EE19" s="2">
        <v>100</v>
      </c>
      <c r="EF19" s="2" t="s">
        <v>1244</v>
      </c>
      <c r="EG19" s="2">
        <v>8</v>
      </c>
      <c r="EH19" s="2" t="s">
        <v>46</v>
      </c>
      <c r="EI19" s="2" t="s">
        <v>47</v>
      </c>
      <c r="EJ19" s="2" t="s">
        <v>1821</v>
      </c>
      <c r="EK19" s="2" t="s">
        <v>1822</v>
      </c>
      <c r="EL19" s="2" t="s">
        <v>44</v>
      </c>
      <c r="EM19" s="2">
        <v>117</v>
      </c>
      <c r="EN19" s="2" t="s">
        <v>1244</v>
      </c>
      <c r="EO19" s="2">
        <v>4</v>
      </c>
      <c r="EP19" s="2" t="s">
        <v>46</v>
      </c>
      <c r="EQ19" s="2" t="s">
        <v>47</v>
      </c>
      <c r="ER19" s="2" t="s">
        <v>1826</v>
      </c>
      <c r="ES19" s="2"/>
      <c r="ET19" s="2" t="s">
        <v>1827</v>
      </c>
      <c r="EU19" s="2" t="s">
        <v>3015</v>
      </c>
      <c r="EV19" s="2" t="s">
        <v>2945</v>
      </c>
      <c r="EW19" s="2" t="s">
        <v>1830</v>
      </c>
      <c r="EX19" s="2" t="s">
        <v>701</v>
      </c>
      <c r="EY19" s="2">
        <v>30005</v>
      </c>
      <c r="EZ19" s="2" t="s">
        <v>2944</v>
      </c>
      <c r="FA19" s="2"/>
      <c r="FB19" s="2" t="s">
        <v>1832</v>
      </c>
      <c r="FC19" s="2" t="s">
        <v>1836</v>
      </c>
      <c r="FD19" s="2"/>
      <c r="FE19" s="2" t="s">
        <v>1837</v>
      </c>
      <c r="FF19" s="2" t="s">
        <v>3015</v>
      </c>
      <c r="FG19" s="2" t="s">
        <v>1838</v>
      </c>
      <c r="FH19" s="2" t="s">
        <v>1839</v>
      </c>
      <c r="FI19" s="2" t="s">
        <v>39</v>
      </c>
      <c r="FJ19" s="2">
        <v>33411</v>
      </c>
      <c r="FK19" s="2" t="s">
        <v>1840</v>
      </c>
      <c r="FL19" s="2"/>
      <c r="FM19" s="2" t="s">
        <v>1841</v>
      </c>
      <c r="FN19" s="2" t="s">
        <v>3016</v>
      </c>
      <c r="FO19" s="2" t="s">
        <v>63</v>
      </c>
      <c r="FP19" s="2" t="s">
        <v>64</v>
      </c>
      <c r="FQ19" s="2" t="s">
        <v>9</v>
      </c>
      <c r="FR19" s="2" t="s">
        <v>17</v>
      </c>
      <c r="FS19" s="2" t="s">
        <v>17</v>
      </c>
      <c r="FT19" s="2" t="s">
        <v>9</v>
      </c>
      <c r="FU19" s="2">
        <v>0</v>
      </c>
      <c r="FV19" s="2">
        <v>0</v>
      </c>
      <c r="FW19" s="4">
        <v>0</v>
      </c>
      <c r="FX19" s="4">
        <v>0</v>
      </c>
      <c r="FY19" s="2" t="s">
        <v>65</v>
      </c>
      <c r="FZ19" s="2" t="s">
        <v>66</v>
      </c>
      <c r="GA19" s="2" t="s">
        <v>67</v>
      </c>
      <c r="GB19" s="2"/>
      <c r="GC19" s="2"/>
      <c r="GD19" s="2"/>
      <c r="GE19" s="2" t="s">
        <v>2684</v>
      </c>
      <c r="GF19" s="2"/>
      <c r="GG19" s="2"/>
      <c r="GH19" s="2"/>
      <c r="GI19" s="2"/>
      <c r="GJ19" s="2"/>
      <c r="GK19" s="2">
        <v>72</v>
      </c>
      <c r="GL19" s="2"/>
      <c r="GM19" s="2"/>
      <c r="GN19" s="2"/>
      <c r="GO19" s="2"/>
      <c r="GP19" s="2"/>
      <c r="GQ19" s="2">
        <v>72</v>
      </c>
      <c r="GR19" s="2" t="s">
        <v>2802</v>
      </c>
      <c r="GS19" s="2" t="s">
        <v>2686</v>
      </c>
      <c r="GT19" s="2" t="s">
        <v>3017</v>
      </c>
      <c r="GU19" s="2" t="s">
        <v>1144</v>
      </c>
      <c r="GV19" s="2" t="s">
        <v>17</v>
      </c>
      <c r="GW19" s="2">
        <v>27.776831000000001</v>
      </c>
      <c r="GX19" s="2">
        <v>-82.643927000000005</v>
      </c>
      <c r="GY19" s="2"/>
      <c r="GZ19" s="2" t="s">
        <v>17</v>
      </c>
      <c r="HA19" s="2">
        <v>0</v>
      </c>
      <c r="HB19" s="2" t="s">
        <v>17</v>
      </c>
      <c r="HC19" s="2"/>
      <c r="HD19" s="2">
        <v>0</v>
      </c>
      <c r="HE19" s="2">
        <v>27.777619999999999</v>
      </c>
      <c r="HF19" s="2">
        <v>-82.644889000000006</v>
      </c>
      <c r="HG19" s="2">
        <v>0.08</v>
      </c>
      <c r="HH19" s="2">
        <v>6</v>
      </c>
      <c r="HI19" s="2">
        <v>27.777633000000002</v>
      </c>
      <c r="HJ19" s="2">
        <v>-82.643286000000003</v>
      </c>
      <c r="HK19" s="2">
        <v>7.0000000000000007E-2</v>
      </c>
      <c r="HL19" s="2">
        <v>27.778214999999999</v>
      </c>
      <c r="HM19" s="2">
        <v>-82.644741999999994</v>
      </c>
      <c r="HN19" s="2">
        <v>0.11</v>
      </c>
      <c r="HO19" s="2"/>
      <c r="HP19" s="2"/>
      <c r="HQ19" s="2"/>
      <c r="HR19" s="2"/>
      <c r="HS19" s="2"/>
      <c r="HT19" s="2"/>
      <c r="HU19" s="2"/>
      <c r="HV19" s="2"/>
      <c r="HW19" s="2" t="s">
        <v>73</v>
      </c>
      <c r="HX19" s="2" t="s">
        <v>549</v>
      </c>
      <c r="HY19" s="2" t="s">
        <v>3018</v>
      </c>
      <c r="HZ19" s="2">
        <v>0.44</v>
      </c>
      <c r="IA19" s="2">
        <v>3.5</v>
      </c>
      <c r="IB19" s="2" t="s">
        <v>3019</v>
      </c>
      <c r="IC19" s="2" t="s">
        <v>3020</v>
      </c>
      <c r="ID19" s="2">
        <v>0.36</v>
      </c>
      <c r="IE19" s="2">
        <v>3.5</v>
      </c>
      <c r="IF19" s="2" t="s">
        <v>641</v>
      </c>
      <c r="IG19" s="2" t="s">
        <v>3021</v>
      </c>
      <c r="IH19" s="2">
        <v>0.43</v>
      </c>
      <c r="II19" s="2">
        <v>3.5</v>
      </c>
      <c r="IJ19" s="2"/>
      <c r="IK19" s="2"/>
      <c r="IL19" s="2"/>
      <c r="IM19" s="2"/>
      <c r="IN19" s="2" t="s">
        <v>17</v>
      </c>
      <c r="IO19" s="2"/>
      <c r="IP19" s="2" t="s">
        <v>79</v>
      </c>
      <c r="IQ19" s="2">
        <v>6</v>
      </c>
      <c r="IR19" s="2">
        <v>10.5</v>
      </c>
      <c r="IS19" s="2">
        <v>0</v>
      </c>
      <c r="IT19" s="2">
        <v>16.5</v>
      </c>
      <c r="IU19" s="2" t="s">
        <v>17</v>
      </c>
      <c r="IV19" s="2" t="s">
        <v>17</v>
      </c>
      <c r="IW19" s="2" t="s">
        <v>17</v>
      </c>
      <c r="IX19" s="2" t="s">
        <v>9</v>
      </c>
      <c r="IY19" s="2">
        <v>16.5</v>
      </c>
      <c r="IZ19" s="2">
        <v>72</v>
      </c>
      <c r="JA19" s="2" t="s">
        <v>2809</v>
      </c>
      <c r="JB19" s="2" t="s">
        <v>82</v>
      </c>
      <c r="JC19" s="2"/>
      <c r="JD19" s="2"/>
      <c r="JE19" s="2"/>
      <c r="JF19" s="7">
        <v>0</v>
      </c>
      <c r="JG19" s="7"/>
      <c r="JH19" s="7"/>
      <c r="JI19" s="2">
        <v>0</v>
      </c>
      <c r="JJ19" s="7">
        <v>0</v>
      </c>
      <c r="JK19" s="2">
        <v>0</v>
      </c>
      <c r="JL19" s="7">
        <v>0</v>
      </c>
      <c r="JM19" s="2">
        <v>11</v>
      </c>
      <c r="JN19" s="2"/>
      <c r="JO19" s="2">
        <v>46</v>
      </c>
      <c r="JP19" s="2"/>
      <c r="JQ19" s="2">
        <v>15</v>
      </c>
      <c r="JR19" s="2">
        <v>0</v>
      </c>
      <c r="JS19" s="2">
        <v>0</v>
      </c>
      <c r="JT19" s="2"/>
      <c r="JU19" s="2"/>
      <c r="JV19" s="2">
        <v>72</v>
      </c>
      <c r="JW19" s="4">
        <v>1</v>
      </c>
      <c r="JX19" s="2">
        <v>72</v>
      </c>
      <c r="JY19" s="4">
        <v>0.59582999999999997</v>
      </c>
      <c r="JZ19" s="2">
        <v>0</v>
      </c>
      <c r="KA19" s="2"/>
      <c r="KB19" s="2"/>
      <c r="KC19" s="2"/>
      <c r="KD19" s="2"/>
      <c r="KE19" s="2"/>
      <c r="KF19" s="2"/>
      <c r="KG19" s="2"/>
      <c r="KH19" s="2">
        <v>10</v>
      </c>
      <c r="KI19" s="2"/>
      <c r="KJ19" s="2"/>
      <c r="KK19" s="2">
        <v>42</v>
      </c>
      <c r="KL19" s="2">
        <v>20</v>
      </c>
      <c r="KM19" s="2"/>
      <c r="KN19" s="2"/>
      <c r="KO19" s="2"/>
      <c r="KP19" s="2"/>
      <c r="KQ19" s="2" t="s">
        <v>83</v>
      </c>
      <c r="KR19" s="2" t="s">
        <v>73</v>
      </c>
      <c r="KS19" s="2"/>
      <c r="KT19" s="2">
        <v>1</v>
      </c>
      <c r="KU19" s="2" t="s">
        <v>84</v>
      </c>
      <c r="KV19" s="2" t="s">
        <v>85</v>
      </c>
      <c r="KW19" s="2" t="s">
        <v>530</v>
      </c>
      <c r="KX19" s="2" t="s">
        <v>17</v>
      </c>
      <c r="KY19" s="2" t="s">
        <v>17</v>
      </c>
      <c r="KZ19" s="2" t="s">
        <v>17</v>
      </c>
      <c r="LA19" s="2" t="s">
        <v>17</v>
      </c>
      <c r="LB19" s="2" t="s">
        <v>17</v>
      </c>
      <c r="LC19" s="2" t="s">
        <v>17</v>
      </c>
      <c r="LD19" s="2" t="s">
        <v>17</v>
      </c>
      <c r="LE19" s="2" t="s">
        <v>17</v>
      </c>
      <c r="LF19" s="2" t="s">
        <v>17</v>
      </c>
      <c r="LG19" s="2" t="s">
        <v>17</v>
      </c>
      <c r="LH19" s="2" t="s">
        <v>17</v>
      </c>
      <c r="LI19" s="2" t="s">
        <v>17</v>
      </c>
      <c r="LJ19" s="2" t="s">
        <v>87</v>
      </c>
      <c r="LK19" s="2" t="s">
        <v>17</v>
      </c>
      <c r="LL19" s="2" t="s">
        <v>17</v>
      </c>
      <c r="LM19" s="2">
        <v>0</v>
      </c>
      <c r="LN19" s="2" t="s">
        <v>9</v>
      </c>
      <c r="LO19" s="2" t="s">
        <v>9</v>
      </c>
      <c r="LP19" s="2" t="s">
        <v>9</v>
      </c>
      <c r="LQ19" s="2" t="s">
        <v>17</v>
      </c>
      <c r="LR19" s="2" t="s">
        <v>17</v>
      </c>
      <c r="LS19" s="2" t="s">
        <v>17</v>
      </c>
      <c r="LT19" s="2" t="s">
        <v>17</v>
      </c>
      <c r="LU19" s="2" t="s">
        <v>17</v>
      </c>
      <c r="LV19" s="2" t="s">
        <v>17</v>
      </c>
      <c r="LW19" s="2" t="s">
        <v>17</v>
      </c>
      <c r="LX19" s="2" t="s">
        <v>17</v>
      </c>
      <c r="LY19" s="5">
        <v>5760000</v>
      </c>
      <c r="LZ19" s="5">
        <v>0</v>
      </c>
      <c r="MA19" s="5">
        <v>7200000</v>
      </c>
      <c r="MB19" s="5">
        <v>0</v>
      </c>
      <c r="MC19" s="5">
        <v>0</v>
      </c>
      <c r="MD19" s="5">
        <v>0</v>
      </c>
      <c r="ME19" s="5">
        <v>7560000</v>
      </c>
      <c r="MF19" s="5">
        <v>0</v>
      </c>
      <c r="MG19" s="5">
        <v>0</v>
      </c>
      <c r="MH19" s="5">
        <v>0</v>
      </c>
      <c r="MI19" s="5">
        <v>0</v>
      </c>
      <c r="MJ19" s="5">
        <v>0</v>
      </c>
      <c r="MK19" s="5">
        <v>0</v>
      </c>
      <c r="ML19" s="2">
        <v>0</v>
      </c>
      <c r="MM19" s="5">
        <v>0</v>
      </c>
      <c r="MN19" s="5">
        <v>0</v>
      </c>
      <c r="MO19" s="2">
        <v>0</v>
      </c>
      <c r="MP19" s="2">
        <v>0</v>
      </c>
      <c r="MQ19" s="2">
        <v>0</v>
      </c>
      <c r="MR19" s="5">
        <v>2950000</v>
      </c>
      <c r="MS19" s="5">
        <v>0</v>
      </c>
      <c r="MT19" s="5">
        <v>4600000</v>
      </c>
      <c r="MU19" s="5">
        <v>0</v>
      </c>
      <c r="MV19" s="5">
        <v>0</v>
      </c>
      <c r="MW19" s="5">
        <v>0</v>
      </c>
      <c r="MX19" s="5">
        <v>0</v>
      </c>
      <c r="MY19" s="5">
        <v>2500000</v>
      </c>
      <c r="MZ19" s="5">
        <v>0</v>
      </c>
      <c r="NA19" s="5">
        <v>5000000</v>
      </c>
      <c r="NB19" s="5">
        <v>0</v>
      </c>
      <c r="NC19" s="5">
        <v>0</v>
      </c>
      <c r="ND19" s="5">
        <v>0</v>
      </c>
      <c r="NE19" s="5">
        <v>0</v>
      </c>
      <c r="NF19" s="5">
        <v>0</v>
      </c>
      <c r="NG19" s="5">
        <v>2353680</v>
      </c>
      <c r="NH19" s="5">
        <v>2353680</v>
      </c>
      <c r="NI19" s="5">
        <v>2353680</v>
      </c>
      <c r="NJ19" s="2" t="s">
        <v>17</v>
      </c>
      <c r="NK19" s="2"/>
      <c r="NL19" s="2"/>
      <c r="NM19" s="2" t="s">
        <v>17</v>
      </c>
      <c r="NN19" s="2"/>
      <c r="NO19" s="2" t="s">
        <v>17</v>
      </c>
      <c r="NP19" s="2"/>
      <c r="NQ19" s="2"/>
      <c r="NR19" s="2" t="s">
        <v>17</v>
      </c>
      <c r="NS19" s="2"/>
      <c r="NT19" s="2" t="s">
        <v>17</v>
      </c>
      <c r="NU19" s="2"/>
      <c r="NV19" s="2"/>
      <c r="NW19" s="2"/>
      <c r="NX19" s="2" t="s">
        <v>9</v>
      </c>
      <c r="NY19" s="2" t="s">
        <v>762</v>
      </c>
      <c r="NZ19" s="2">
        <v>215.02</v>
      </c>
      <c r="OA19" s="2" t="s">
        <v>2863</v>
      </c>
      <c r="OB19" s="2" t="s">
        <v>2864</v>
      </c>
      <c r="OC19" s="2" t="s">
        <v>2864</v>
      </c>
      <c r="OD19" s="2" t="s">
        <v>17</v>
      </c>
      <c r="OE19" s="2" t="s">
        <v>91</v>
      </c>
      <c r="OF19" s="2" t="s">
        <v>9</v>
      </c>
      <c r="OG19" s="2" t="s">
        <v>92</v>
      </c>
      <c r="OH19" s="2" t="s">
        <v>17</v>
      </c>
      <c r="OI19" s="2" t="s">
        <v>17</v>
      </c>
      <c r="OJ19" s="2" t="s">
        <v>85</v>
      </c>
      <c r="OK19" s="6">
        <v>0</v>
      </c>
      <c r="OL19" s="6">
        <v>0</v>
      </c>
      <c r="OM19" s="2" t="s">
        <v>93</v>
      </c>
      <c r="ON19" s="2" t="s">
        <v>93</v>
      </c>
      <c r="OO19" s="6">
        <v>0</v>
      </c>
      <c r="OP19" s="6">
        <v>0</v>
      </c>
      <c r="OQ19" s="4">
        <v>0</v>
      </c>
      <c r="OR19" s="6">
        <v>0</v>
      </c>
      <c r="OS19" s="4">
        <v>0</v>
      </c>
      <c r="OT19" s="2" t="s">
        <v>17</v>
      </c>
      <c r="OU19" s="2" t="s">
        <v>17</v>
      </c>
      <c r="OV19" s="2"/>
      <c r="OW19" s="2"/>
      <c r="OX19" s="5">
        <v>15112038</v>
      </c>
      <c r="OY19" s="6">
        <v>209889.41</v>
      </c>
      <c r="OZ19" s="2"/>
      <c r="PA19" s="2"/>
      <c r="PB19" s="2"/>
      <c r="PC19" s="2"/>
      <c r="PD19" s="8">
        <v>14400000</v>
      </c>
      <c r="PE19" s="2"/>
      <c r="PF19" s="8">
        <v>14400000</v>
      </c>
      <c r="PG19" s="2"/>
      <c r="PH19" s="2"/>
      <c r="PI19" s="2"/>
      <c r="PJ19" s="2"/>
      <c r="PK19" s="2"/>
      <c r="PL19" s="2"/>
      <c r="PM19" s="8">
        <v>14400000</v>
      </c>
      <c r="PN19" s="2"/>
      <c r="PO19" s="8">
        <v>14400000</v>
      </c>
      <c r="PP19" s="8">
        <v>2016000</v>
      </c>
      <c r="PQ19" s="2"/>
      <c r="PR19" s="8">
        <v>2016000</v>
      </c>
      <c r="PS19" s="6">
        <v>2016000</v>
      </c>
      <c r="PT19" s="8">
        <v>16416000</v>
      </c>
      <c r="PU19" s="2"/>
      <c r="PV19" s="8">
        <v>16416000</v>
      </c>
      <c r="PW19" s="8">
        <v>820800</v>
      </c>
      <c r="PX19" s="2"/>
      <c r="PY19" s="8">
        <v>820800</v>
      </c>
      <c r="PZ19" s="6">
        <v>820800</v>
      </c>
      <c r="QA19" s="8">
        <v>1192400</v>
      </c>
      <c r="QB19" s="8">
        <v>75000</v>
      </c>
      <c r="QC19" s="8">
        <v>1267400</v>
      </c>
      <c r="QD19" s="8">
        <v>250000</v>
      </c>
      <c r="QE19" s="2"/>
      <c r="QF19" s="8">
        <v>250000</v>
      </c>
      <c r="QG19" s="8">
        <v>630320</v>
      </c>
      <c r="QH19" s="8">
        <v>150000</v>
      </c>
      <c r="QI19" s="8">
        <v>780320</v>
      </c>
      <c r="QJ19" s="2"/>
      <c r="QK19" s="8">
        <v>403631</v>
      </c>
      <c r="QL19" s="8">
        <v>403631</v>
      </c>
      <c r="QM19" s="2"/>
      <c r="QN19" s="2"/>
      <c r="QO19" s="2"/>
      <c r="QP19" s="8">
        <v>150000</v>
      </c>
      <c r="QQ19" s="2"/>
      <c r="QR19" s="8">
        <v>150000</v>
      </c>
      <c r="QS19" s="8">
        <v>2222720</v>
      </c>
      <c r="QT19" s="8">
        <v>628631</v>
      </c>
      <c r="QU19" s="8">
        <v>2851351</v>
      </c>
      <c r="QV19" s="8">
        <v>142567</v>
      </c>
      <c r="QW19" s="2"/>
      <c r="QX19" s="8">
        <v>142567</v>
      </c>
      <c r="QY19" s="6">
        <v>142567.54999999999</v>
      </c>
      <c r="QZ19" s="8">
        <v>1171261</v>
      </c>
      <c r="RA19" s="8">
        <v>403157</v>
      </c>
      <c r="RB19" s="8">
        <v>1574418</v>
      </c>
      <c r="RC19" s="8">
        <v>53750</v>
      </c>
      <c r="RD19" s="8">
        <v>53750</v>
      </c>
      <c r="RE19" s="2"/>
      <c r="RF19" s="2"/>
      <c r="RG19" s="2"/>
      <c r="RH19" s="8">
        <v>1171261</v>
      </c>
      <c r="RI19" s="8">
        <v>456907</v>
      </c>
      <c r="RJ19" s="8">
        <v>1628168</v>
      </c>
      <c r="RK19" s="2"/>
      <c r="RL19" s="2"/>
      <c r="RM19" s="8">
        <v>20773348</v>
      </c>
      <c r="RN19" s="8">
        <v>1085538</v>
      </c>
      <c r="RO19" s="8">
        <v>21858886</v>
      </c>
      <c r="RP19" s="2">
        <v>0</v>
      </c>
      <c r="RQ19" s="6">
        <v>0</v>
      </c>
      <c r="RR19" s="8">
        <v>3497421</v>
      </c>
      <c r="RS19" s="2"/>
      <c r="RT19" s="8">
        <v>3497421</v>
      </c>
      <c r="RU19" s="6">
        <v>3497421</v>
      </c>
      <c r="RV19" s="6">
        <v>0</v>
      </c>
      <c r="RW19" s="8">
        <v>3497421</v>
      </c>
      <c r="RX19" s="2"/>
      <c r="RY19" s="8">
        <v>3497421</v>
      </c>
      <c r="RZ19" s="6">
        <v>3497421</v>
      </c>
      <c r="SA19" s="2"/>
      <c r="SB19" s="2"/>
      <c r="SC19" s="6">
        <v>252000</v>
      </c>
      <c r="SD19" s="8">
        <v>3500000</v>
      </c>
      <c r="SE19" s="8">
        <v>3500000</v>
      </c>
      <c r="SF19" s="8">
        <v>24270769</v>
      </c>
      <c r="SG19" s="8">
        <v>4585538</v>
      </c>
      <c r="SH19" s="8">
        <v>28856307</v>
      </c>
      <c r="SI19" s="2"/>
      <c r="SJ19" s="2"/>
      <c r="SK19" s="2" t="s">
        <v>2953</v>
      </c>
      <c r="SL19" s="2"/>
      <c r="SM19" s="8">
        <v>23056133</v>
      </c>
      <c r="SN19" s="2" t="s">
        <v>95</v>
      </c>
      <c r="SO19" s="2"/>
      <c r="SP19" s="2"/>
      <c r="SQ19" s="2"/>
      <c r="SR19" s="2"/>
      <c r="SS19" s="2" t="s">
        <v>96</v>
      </c>
      <c r="ST19" s="2" t="s">
        <v>96</v>
      </c>
      <c r="SU19" s="2" t="s">
        <v>96</v>
      </c>
      <c r="SV19" s="2" t="s">
        <v>96</v>
      </c>
      <c r="SW19" s="8">
        <v>7578092</v>
      </c>
      <c r="SX19" s="2" t="s">
        <v>3022</v>
      </c>
      <c r="SY19" s="8">
        <v>305000</v>
      </c>
      <c r="SZ19" s="2" t="s">
        <v>180</v>
      </c>
      <c r="TA19" s="2">
        <v>0</v>
      </c>
      <c r="TB19" s="8">
        <v>30939225</v>
      </c>
      <c r="TC19" s="8">
        <v>2082918</v>
      </c>
      <c r="TD19" s="2" t="s">
        <v>9</v>
      </c>
      <c r="TE19" s="8">
        <v>5375000</v>
      </c>
      <c r="TF19" s="2" t="s">
        <v>95</v>
      </c>
      <c r="TG19" s="2"/>
      <c r="TH19" s="2"/>
      <c r="TI19" s="2"/>
      <c r="TJ19" s="2"/>
      <c r="TK19" s="2" t="s">
        <v>96</v>
      </c>
      <c r="TL19" s="2" t="s">
        <v>96</v>
      </c>
      <c r="TM19" s="2" t="s">
        <v>96</v>
      </c>
      <c r="TN19" s="2" t="s">
        <v>96</v>
      </c>
      <c r="TO19" s="8">
        <v>21651691</v>
      </c>
      <c r="TP19" s="2" t="s">
        <v>3022</v>
      </c>
      <c r="TQ19" s="8">
        <v>305000</v>
      </c>
      <c r="TR19" s="2" t="s">
        <v>180</v>
      </c>
      <c r="TS19" s="8">
        <v>1524616</v>
      </c>
      <c r="TT19" s="8">
        <v>28856307</v>
      </c>
      <c r="TU19" s="6">
        <v>5680000</v>
      </c>
      <c r="TV19" s="2">
        <v>0</v>
      </c>
      <c r="TW19" s="2" t="s">
        <v>9</v>
      </c>
      <c r="TX19" s="2">
        <v>72</v>
      </c>
      <c r="TY19" s="5">
        <v>290000</v>
      </c>
      <c r="TZ19" s="6">
        <v>386666.67</v>
      </c>
      <c r="UA19" s="6">
        <v>386666.67</v>
      </c>
      <c r="UB19" s="6">
        <v>409866.67</v>
      </c>
      <c r="UC19" s="6">
        <v>29510400</v>
      </c>
      <c r="UD19" s="6">
        <v>4721664</v>
      </c>
      <c r="UE19" s="2" t="s">
        <v>97</v>
      </c>
      <c r="UF19" s="6">
        <v>4721664</v>
      </c>
      <c r="UG19" s="6">
        <v>34232064</v>
      </c>
      <c r="UH19" s="6">
        <v>25356307</v>
      </c>
      <c r="UI19" s="4">
        <v>0.99990000000000001</v>
      </c>
      <c r="UJ19" s="2" t="s">
        <v>9</v>
      </c>
      <c r="UK19" s="6">
        <v>305000</v>
      </c>
      <c r="UL19" s="2"/>
      <c r="UM19" s="6">
        <v>305000</v>
      </c>
      <c r="UN19" s="2"/>
      <c r="UO19" s="6">
        <v>0</v>
      </c>
      <c r="UP19" s="2"/>
      <c r="UQ19" s="6">
        <v>0</v>
      </c>
      <c r="UR19" s="6">
        <v>0</v>
      </c>
      <c r="US19" s="6">
        <v>305000</v>
      </c>
      <c r="UT19" s="6">
        <v>0</v>
      </c>
      <c r="UU19" s="6">
        <v>305000</v>
      </c>
      <c r="UV19" s="2" t="s">
        <v>2867</v>
      </c>
      <c r="UW19" s="2" t="s">
        <v>182</v>
      </c>
      <c r="UX19" s="2" t="s">
        <v>17</v>
      </c>
      <c r="UY19" s="2" t="s">
        <v>17</v>
      </c>
      <c r="UZ19" s="2" t="s">
        <v>17</v>
      </c>
      <c r="VA19" s="2" t="s">
        <v>17</v>
      </c>
      <c r="VB19" s="2" t="s">
        <v>2740</v>
      </c>
      <c r="VC19" s="2" t="s">
        <v>17</v>
      </c>
      <c r="VD19" s="2" t="s">
        <v>17</v>
      </c>
      <c r="VE19" s="2" t="s">
        <v>17</v>
      </c>
      <c r="VF19" s="2"/>
      <c r="VG19" s="2" t="s">
        <v>3023</v>
      </c>
      <c r="VH19" s="2" t="s">
        <v>3024</v>
      </c>
      <c r="VI19" s="388" t="s">
        <v>1820</v>
      </c>
      <c r="VJ19" s="2" t="s">
        <v>98</v>
      </c>
      <c r="VK19" s="2" t="s">
        <v>1851</v>
      </c>
      <c r="VL19" s="23">
        <f t="shared" si="0"/>
        <v>154</v>
      </c>
      <c r="VM19" s="17">
        <f t="shared" si="1"/>
        <v>2.1388888888888888</v>
      </c>
      <c r="VN19" s="17" t="str">
        <f t="shared" si="2"/>
        <v>NC-HR-F</v>
      </c>
      <c r="VO19" s="17" t="str">
        <f t="shared" si="14"/>
        <v>NC-HR-F-ESS</v>
      </c>
      <c r="VP19" s="12">
        <v>9</v>
      </c>
      <c r="VQ19" s="57">
        <v>1</v>
      </c>
      <c r="VR19" s="14">
        <f t="shared" si="3"/>
        <v>1</v>
      </c>
      <c r="VS19" s="14">
        <f t="shared" si="4"/>
        <v>1</v>
      </c>
      <c r="VT19" s="12">
        <f t="shared" si="5"/>
        <v>0.88349999999999995</v>
      </c>
      <c r="VU19" s="29">
        <f t="shared" si="6"/>
        <v>18715286.52</v>
      </c>
      <c r="VV19" s="29">
        <f t="shared" si="7"/>
        <v>259934.535</v>
      </c>
      <c r="VW19" s="12" t="str">
        <f t="shared" si="15"/>
        <v>A</v>
      </c>
      <c r="VX19" s="12" t="str">
        <f t="shared" si="8"/>
        <v>NC-HR-ESS</v>
      </c>
      <c r="VY19" s="351">
        <f t="shared" si="16"/>
        <v>4</v>
      </c>
      <c r="VZ19" s="12"/>
      <c r="WA19" s="12">
        <f t="shared" si="17"/>
        <v>0</v>
      </c>
      <c r="WB19" s="12">
        <f t="shared" si="18"/>
        <v>0</v>
      </c>
      <c r="WC19" s="12">
        <f t="shared" si="19"/>
        <v>0</v>
      </c>
      <c r="WD19" s="12">
        <f t="shared" si="20"/>
        <v>0</v>
      </c>
      <c r="WE19" s="12">
        <f t="shared" si="21"/>
        <v>1</v>
      </c>
      <c r="WF19" s="12">
        <f t="shared" si="9"/>
        <v>0</v>
      </c>
      <c r="WG19" s="12">
        <f t="shared" si="10"/>
        <v>0</v>
      </c>
      <c r="WH19" s="12">
        <f t="shared" si="11"/>
        <v>1</v>
      </c>
      <c r="WI19" s="31">
        <f t="shared" si="12"/>
        <v>2</v>
      </c>
      <c r="WJ19" s="2"/>
      <c r="WK19" s="444" t="str">
        <f t="shared" si="13"/>
        <v>NC-HR-ESS-BBN-BRN-NPH-F</v>
      </c>
      <c r="WL19" s="444"/>
      <c r="WM19" s="444"/>
      <c r="WN19" s="12"/>
      <c r="WO19" s="12"/>
    </row>
    <row r="20" spans="1:613" x14ac:dyDescent="0.25">
      <c r="A20" s="2">
        <v>9606</v>
      </c>
      <c r="B20" s="2" t="s">
        <v>3025</v>
      </c>
      <c r="C20" s="2" t="s">
        <v>2652</v>
      </c>
      <c r="D20" s="3">
        <v>45152</v>
      </c>
      <c r="E20" s="2" t="s">
        <v>9</v>
      </c>
      <c r="F20" s="2">
        <v>3</v>
      </c>
      <c r="G20" s="2" t="s">
        <v>9</v>
      </c>
      <c r="H20" s="2">
        <v>3</v>
      </c>
      <c r="I20" s="2" t="s">
        <v>9</v>
      </c>
      <c r="J20" s="2">
        <v>1</v>
      </c>
      <c r="K20" s="2" t="s">
        <v>9</v>
      </c>
      <c r="L20" s="2">
        <v>3</v>
      </c>
      <c r="M20" s="2" t="s">
        <v>10</v>
      </c>
      <c r="N20" s="2">
        <v>0</v>
      </c>
      <c r="O20" s="2" t="s">
        <v>10</v>
      </c>
      <c r="P20" s="2">
        <v>0</v>
      </c>
      <c r="Q20" s="2" t="s">
        <v>11</v>
      </c>
      <c r="R20" s="2">
        <v>0</v>
      </c>
      <c r="S20" s="2" t="s">
        <v>9</v>
      </c>
      <c r="T20" s="2">
        <v>2</v>
      </c>
      <c r="U20" s="2" t="s">
        <v>9</v>
      </c>
      <c r="V20" s="2">
        <v>2</v>
      </c>
      <c r="W20" s="2" t="s">
        <v>9</v>
      </c>
      <c r="X20" s="2">
        <v>2</v>
      </c>
      <c r="Y20" s="2" t="s">
        <v>12</v>
      </c>
      <c r="Z20" s="2" t="s">
        <v>785</v>
      </c>
      <c r="AA20" s="2" t="s">
        <v>944</v>
      </c>
      <c r="AB20" s="2" t="s">
        <v>15</v>
      </c>
      <c r="AC20" s="2" t="s">
        <v>15</v>
      </c>
      <c r="AD20" s="2" t="s">
        <v>15</v>
      </c>
      <c r="AE20" s="2" t="s">
        <v>15</v>
      </c>
      <c r="AF20" s="2">
        <v>2</v>
      </c>
      <c r="AG20" s="2" t="s">
        <v>3026</v>
      </c>
      <c r="AH20" s="2" t="s">
        <v>17</v>
      </c>
      <c r="AI20" s="4">
        <v>0.16</v>
      </c>
      <c r="AJ20" s="2" t="s">
        <v>17</v>
      </c>
      <c r="AK20" s="2" t="s">
        <v>9</v>
      </c>
      <c r="AL20" s="2" t="s">
        <v>17</v>
      </c>
      <c r="AM20" s="2" t="s">
        <v>9</v>
      </c>
      <c r="AN20" s="2" t="s">
        <v>17</v>
      </c>
      <c r="AO20" s="2" t="s">
        <v>17</v>
      </c>
      <c r="AP20" s="2" t="s">
        <v>17</v>
      </c>
      <c r="AQ20" s="2" t="s">
        <v>17</v>
      </c>
      <c r="AR20" s="2" t="s">
        <v>17</v>
      </c>
      <c r="AS20" s="2" t="s">
        <v>17</v>
      </c>
      <c r="AT20" s="2">
        <v>5</v>
      </c>
      <c r="AU20" s="5">
        <v>75000</v>
      </c>
      <c r="AV20" s="5">
        <v>610000</v>
      </c>
      <c r="AW20" s="2">
        <v>0</v>
      </c>
      <c r="AX20" s="2">
        <v>11</v>
      </c>
      <c r="AY20" s="2">
        <v>0</v>
      </c>
      <c r="AZ20" s="2">
        <v>18</v>
      </c>
      <c r="BA20" s="2">
        <v>0</v>
      </c>
      <c r="BB20" s="2">
        <v>0</v>
      </c>
      <c r="BC20" s="2">
        <v>0</v>
      </c>
      <c r="BD20" s="2">
        <v>4</v>
      </c>
      <c r="BE20" s="2">
        <v>0</v>
      </c>
      <c r="BF20" s="2">
        <v>1</v>
      </c>
      <c r="BG20" s="2">
        <v>0</v>
      </c>
      <c r="BH20" s="2">
        <v>0</v>
      </c>
      <c r="BI20" s="2">
        <v>13</v>
      </c>
      <c r="BJ20" s="2">
        <v>1</v>
      </c>
      <c r="BK20" s="2">
        <v>0</v>
      </c>
      <c r="BL20" s="2">
        <v>2</v>
      </c>
      <c r="BM20" s="2">
        <v>1</v>
      </c>
      <c r="BN20" s="2">
        <v>13</v>
      </c>
      <c r="BO20" s="2">
        <v>11</v>
      </c>
      <c r="BP20" s="2">
        <v>0</v>
      </c>
      <c r="BQ20" s="2">
        <v>10</v>
      </c>
      <c r="BR20" s="2">
        <v>10.220000000000001</v>
      </c>
      <c r="BS20" s="2">
        <v>0</v>
      </c>
      <c r="BT20" s="4">
        <v>0.06</v>
      </c>
      <c r="BU20" s="2" t="s">
        <v>9</v>
      </c>
      <c r="BV20" s="6">
        <v>212976</v>
      </c>
      <c r="BW20" s="2" t="s">
        <v>126</v>
      </c>
      <c r="BX20" s="2" t="s">
        <v>17</v>
      </c>
      <c r="BY20" s="2" t="s">
        <v>17</v>
      </c>
      <c r="BZ20" s="2" t="s">
        <v>17</v>
      </c>
      <c r="CA20" s="2" t="s">
        <v>17</v>
      </c>
      <c r="CB20" s="2" t="s">
        <v>17</v>
      </c>
      <c r="CC20" s="2" t="s">
        <v>17</v>
      </c>
      <c r="CD20" s="2" t="s">
        <v>17</v>
      </c>
      <c r="CE20" s="2" t="s">
        <v>3027</v>
      </c>
      <c r="CF20" s="2" t="s">
        <v>9</v>
      </c>
      <c r="CG20" s="2" t="s">
        <v>3028</v>
      </c>
      <c r="CH20" s="2"/>
      <c r="CI20" s="2"/>
      <c r="CJ20" s="2" t="s">
        <v>9</v>
      </c>
      <c r="CK20" s="2" t="s">
        <v>1523</v>
      </c>
      <c r="CL20" s="2" t="s">
        <v>3028</v>
      </c>
      <c r="CM20" s="2" t="s">
        <v>1276</v>
      </c>
      <c r="CN20" s="2" t="s">
        <v>1277</v>
      </c>
      <c r="CO20" s="2" t="s">
        <v>24</v>
      </c>
      <c r="CP20" s="2"/>
      <c r="CQ20" s="2">
        <v>144</v>
      </c>
      <c r="CR20" s="2" t="s">
        <v>3029</v>
      </c>
      <c r="CS20" s="2">
        <v>2020</v>
      </c>
      <c r="CT20" s="2" t="s">
        <v>26</v>
      </c>
      <c r="CU20" s="2" t="s">
        <v>27</v>
      </c>
      <c r="CV20" s="2" t="s">
        <v>1278</v>
      </c>
      <c r="CW20" s="2" t="s">
        <v>1279</v>
      </c>
      <c r="CX20" s="2" t="s">
        <v>853</v>
      </c>
      <c r="CY20" s="2"/>
      <c r="CZ20" s="2">
        <v>404</v>
      </c>
      <c r="DA20" s="2" t="s">
        <v>3029</v>
      </c>
      <c r="DB20" s="2">
        <v>2018</v>
      </c>
      <c r="DC20" s="2" t="s">
        <v>26</v>
      </c>
      <c r="DD20" s="2" t="s">
        <v>27</v>
      </c>
      <c r="DE20" s="2" t="s">
        <v>1280</v>
      </c>
      <c r="DF20" s="2" t="s">
        <v>1281</v>
      </c>
      <c r="DG20" s="2" t="s">
        <v>853</v>
      </c>
      <c r="DH20" s="2"/>
      <c r="DI20" s="2">
        <v>228</v>
      </c>
      <c r="DJ20" s="2" t="s">
        <v>3029</v>
      </c>
      <c r="DK20" s="2">
        <v>2020</v>
      </c>
      <c r="DL20" s="2" t="s">
        <v>26</v>
      </c>
      <c r="DM20" s="2" t="s">
        <v>27</v>
      </c>
      <c r="DN20" s="2" t="s">
        <v>2663</v>
      </c>
      <c r="DO20" s="2" t="s">
        <v>1282</v>
      </c>
      <c r="DP20" s="2"/>
      <c r="DQ20" s="2" t="s">
        <v>1283</v>
      </c>
      <c r="DR20" s="2" t="s">
        <v>1284</v>
      </c>
      <c r="DS20" s="2">
        <v>1</v>
      </c>
      <c r="DT20" s="2" t="s">
        <v>1285</v>
      </c>
      <c r="DU20" s="2" t="s">
        <v>1286</v>
      </c>
      <c r="DV20" s="2" t="s">
        <v>39</v>
      </c>
      <c r="DW20" s="2">
        <v>33511</v>
      </c>
      <c r="DX20" s="2" t="s">
        <v>2900</v>
      </c>
      <c r="DY20" s="2"/>
      <c r="DZ20" s="2" t="s">
        <v>2901</v>
      </c>
      <c r="EA20" s="2" t="s">
        <v>1284</v>
      </c>
      <c r="EB20" s="2" t="s">
        <v>1289</v>
      </c>
      <c r="EC20" s="2" t="s">
        <v>1290</v>
      </c>
      <c r="ED20" s="2" t="s">
        <v>44</v>
      </c>
      <c r="EE20" s="2">
        <v>176</v>
      </c>
      <c r="EF20" s="2" t="s">
        <v>3030</v>
      </c>
      <c r="EG20" s="2">
        <v>5</v>
      </c>
      <c r="EH20" s="2" t="s">
        <v>46</v>
      </c>
      <c r="EI20" s="2" t="s">
        <v>47</v>
      </c>
      <c r="EJ20" s="2" t="s">
        <v>1291</v>
      </c>
      <c r="EK20" s="2" t="s">
        <v>1292</v>
      </c>
      <c r="EL20" s="2" t="s">
        <v>44</v>
      </c>
      <c r="EM20" s="2">
        <v>150</v>
      </c>
      <c r="EN20" s="2" t="s">
        <v>3030</v>
      </c>
      <c r="EO20" s="2">
        <v>12</v>
      </c>
      <c r="EP20" s="2" t="s">
        <v>46</v>
      </c>
      <c r="EQ20" s="2" t="s">
        <v>47</v>
      </c>
      <c r="ER20" s="2" t="s">
        <v>1293</v>
      </c>
      <c r="ES20" s="2"/>
      <c r="ET20" s="2" t="s">
        <v>1294</v>
      </c>
      <c r="EU20" s="2" t="s">
        <v>3031</v>
      </c>
      <c r="EV20" s="2" t="s">
        <v>1296</v>
      </c>
      <c r="EW20" s="2" t="s">
        <v>1297</v>
      </c>
      <c r="EX20" s="2" t="s">
        <v>39</v>
      </c>
      <c r="EY20" s="2">
        <v>33444</v>
      </c>
      <c r="EZ20" s="2" t="s">
        <v>3032</v>
      </c>
      <c r="FA20" s="2"/>
      <c r="FB20" s="2" t="s">
        <v>1299</v>
      </c>
      <c r="FC20" s="2" t="s">
        <v>3033</v>
      </c>
      <c r="FD20" s="2"/>
      <c r="FE20" s="2" t="s">
        <v>1107</v>
      </c>
      <c r="FF20" s="2" t="s">
        <v>1301</v>
      </c>
      <c r="FG20" s="2" t="s">
        <v>1296</v>
      </c>
      <c r="FH20" s="2" t="s">
        <v>1297</v>
      </c>
      <c r="FI20" s="2" t="s">
        <v>39</v>
      </c>
      <c r="FJ20" s="2">
        <v>33444</v>
      </c>
      <c r="FK20" s="2" t="s">
        <v>1303</v>
      </c>
      <c r="FL20" s="2"/>
      <c r="FM20" s="2" t="s">
        <v>1304</v>
      </c>
      <c r="FN20" s="2" t="s">
        <v>3034</v>
      </c>
      <c r="FO20" s="2" t="s">
        <v>63</v>
      </c>
      <c r="FP20" s="2" t="s">
        <v>64</v>
      </c>
      <c r="FQ20" s="2" t="s">
        <v>9</v>
      </c>
      <c r="FR20" s="2" t="s">
        <v>17</v>
      </c>
      <c r="FS20" s="2" t="s">
        <v>17</v>
      </c>
      <c r="FT20" s="2" t="s">
        <v>9</v>
      </c>
      <c r="FU20" s="2">
        <v>0</v>
      </c>
      <c r="FV20" s="2">
        <v>0</v>
      </c>
      <c r="FW20" s="4">
        <v>0</v>
      </c>
      <c r="FX20" s="4">
        <v>0</v>
      </c>
      <c r="FY20" s="2" t="s">
        <v>65</v>
      </c>
      <c r="FZ20" s="2" t="s">
        <v>66</v>
      </c>
      <c r="GA20" s="2" t="s">
        <v>67</v>
      </c>
      <c r="GB20" s="2"/>
      <c r="GC20" s="2"/>
      <c r="GD20" s="2"/>
      <c r="GE20" s="2" t="s">
        <v>108</v>
      </c>
      <c r="GF20" s="2"/>
      <c r="GG20" s="2"/>
      <c r="GH20" s="2"/>
      <c r="GI20" s="2">
        <v>75</v>
      </c>
      <c r="GJ20" s="2"/>
      <c r="GK20" s="2"/>
      <c r="GL20" s="2"/>
      <c r="GM20" s="2"/>
      <c r="GN20" s="2"/>
      <c r="GO20" s="2"/>
      <c r="GP20" s="2"/>
      <c r="GQ20" s="2">
        <v>75</v>
      </c>
      <c r="GR20" s="2" t="s">
        <v>2960</v>
      </c>
      <c r="GS20" s="2" t="s">
        <v>2686</v>
      </c>
      <c r="GT20" s="2" t="s">
        <v>3035</v>
      </c>
      <c r="GU20" s="2" t="s">
        <v>3036</v>
      </c>
      <c r="GV20" s="2" t="s">
        <v>17</v>
      </c>
      <c r="GW20" s="2">
        <v>27.895613999999998</v>
      </c>
      <c r="GX20" s="2">
        <v>-82.336522000000002</v>
      </c>
      <c r="GY20" s="2"/>
      <c r="GZ20" s="2" t="s">
        <v>17</v>
      </c>
      <c r="HA20" s="2">
        <v>0</v>
      </c>
      <c r="HB20" s="2" t="s">
        <v>17</v>
      </c>
      <c r="HC20" s="2" t="s">
        <v>17</v>
      </c>
      <c r="HD20" s="2">
        <v>0</v>
      </c>
      <c r="HE20" s="2">
        <v>27.893636399999998</v>
      </c>
      <c r="HF20" s="2">
        <v>-82.335967999999994</v>
      </c>
      <c r="HG20" s="2">
        <v>0.14000000000000001</v>
      </c>
      <c r="HH20" s="2">
        <v>4</v>
      </c>
      <c r="HI20" s="2">
        <v>27.893817899999998</v>
      </c>
      <c r="HJ20" s="2">
        <v>-82.333197100000007</v>
      </c>
      <c r="HK20" s="2">
        <v>0.24</v>
      </c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 t="s">
        <v>73</v>
      </c>
      <c r="HX20" s="2" t="s">
        <v>3037</v>
      </c>
      <c r="HY20" s="2" t="s">
        <v>3038</v>
      </c>
      <c r="HZ20" s="2">
        <v>0.17</v>
      </c>
      <c r="IA20" s="2">
        <v>4</v>
      </c>
      <c r="IB20" s="2" t="s">
        <v>3039</v>
      </c>
      <c r="IC20" s="2" t="s">
        <v>3040</v>
      </c>
      <c r="ID20" s="2">
        <v>0.27</v>
      </c>
      <c r="IE20" s="2">
        <v>4</v>
      </c>
      <c r="IF20" s="2" t="s">
        <v>641</v>
      </c>
      <c r="IG20" s="2" t="s">
        <v>3041</v>
      </c>
      <c r="IH20" s="2">
        <v>0.19</v>
      </c>
      <c r="II20" s="2">
        <v>4</v>
      </c>
      <c r="IJ20" s="2"/>
      <c r="IK20" s="2"/>
      <c r="IL20" s="2"/>
      <c r="IM20" s="2"/>
      <c r="IN20" s="2" t="s">
        <v>17</v>
      </c>
      <c r="IO20" s="2"/>
      <c r="IP20" s="2" t="s">
        <v>79</v>
      </c>
      <c r="IQ20" s="2">
        <v>4</v>
      </c>
      <c r="IR20" s="2">
        <v>12</v>
      </c>
      <c r="IS20" s="2">
        <v>0</v>
      </c>
      <c r="IT20" s="2">
        <v>16</v>
      </c>
      <c r="IU20" s="2" t="s">
        <v>17</v>
      </c>
      <c r="IV20" s="2" t="s">
        <v>17</v>
      </c>
      <c r="IW20" s="2" t="s">
        <v>17</v>
      </c>
      <c r="IX20" s="2" t="s">
        <v>9</v>
      </c>
      <c r="IY20" s="2">
        <v>16</v>
      </c>
      <c r="IZ20" s="2">
        <v>75</v>
      </c>
      <c r="JA20" s="2" t="s">
        <v>2693</v>
      </c>
      <c r="JB20" s="2" t="s">
        <v>82</v>
      </c>
      <c r="JC20" s="2"/>
      <c r="JD20" s="2"/>
      <c r="JE20" s="2"/>
      <c r="JF20" s="7">
        <v>0</v>
      </c>
      <c r="JG20" s="7"/>
      <c r="JH20" s="7"/>
      <c r="JI20" s="2">
        <v>0</v>
      </c>
      <c r="JJ20" s="7">
        <v>0</v>
      </c>
      <c r="JK20" s="2">
        <v>0</v>
      </c>
      <c r="JL20" s="7">
        <v>0</v>
      </c>
      <c r="JM20" s="2">
        <v>12</v>
      </c>
      <c r="JN20" s="2">
        <v>3</v>
      </c>
      <c r="JO20" s="2">
        <v>34</v>
      </c>
      <c r="JP20" s="2">
        <v>26</v>
      </c>
      <c r="JQ20" s="2"/>
      <c r="JR20" s="2">
        <v>0</v>
      </c>
      <c r="JS20" s="2">
        <v>0</v>
      </c>
      <c r="JT20" s="2"/>
      <c r="JU20" s="2"/>
      <c r="JV20" s="2">
        <v>75</v>
      </c>
      <c r="JW20" s="4">
        <v>1</v>
      </c>
      <c r="JX20" s="2">
        <v>75</v>
      </c>
      <c r="JY20" s="4">
        <v>0.58267000000000002</v>
      </c>
      <c r="JZ20" s="2">
        <v>0</v>
      </c>
      <c r="KA20" s="2"/>
      <c r="KB20" s="2"/>
      <c r="KC20" s="2"/>
      <c r="KD20" s="2"/>
      <c r="KE20" s="2"/>
      <c r="KF20" s="2"/>
      <c r="KG20" s="2"/>
      <c r="KH20" s="2">
        <v>75</v>
      </c>
      <c r="KI20" s="2"/>
      <c r="KJ20" s="2"/>
      <c r="KK20" s="2"/>
      <c r="KL20" s="2"/>
      <c r="KM20" s="2"/>
      <c r="KN20" s="2"/>
      <c r="KO20" s="2"/>
      <c r="KP20" s="2"/>
      <c r="KQ20" s="2" t="s">
        <v>83</v>
      </c>
      <c r="KR20" s="2"/>
      <c r="KS20" s="2" t="s">
        <v>73</v>
      </c>
      <c r="KT20" s="2">
        <v>1</v>
      </c>
      <c r="KU20" s="2" t="s">
        <v>84</v>
      </c>
      <c r="KV20" s="2" t="s">
        <v>85</v>
      </c>
      <c r="KW20" s="2" t="s">
        <v>86</v>
      </c>
      <c r="KX20" s="2" t="s">
        <v>17</v>
      </c>
      <c r="KY20" s="2" t="s">
        <v>17</v>
      </c>
      <c r="KZ20" s="2" t="s">
        <v>17</v>
      </c>
      <c r="LA20" s="2" t="s">
        <v>17</v>
      </c>
      <c r="LB20" s="2" t="s">
        <v>17</v>
      </c>
      <c r="LC20" s="2" t="s">
        <v>17</v>
      </c>
      <c r="LD20" s="2" t="s">
        <v>17</v>
      </c>
      <c r="LE20" s="2" t="s">
        <v>17</v>
      </c>
      <c r="LF20" s="2" t="s">
        <v>17</v>
      </c>
      <c r="LG20" s="2" t="s">
        <v>17</v>
      </c>
      <c r="LH20" s="2" t="s">
        <v>17</v>
      </c>
      <c r="LI20" s="2" t="s">
        <v>17</v>
      </c>
      <c r="LJ20" s="2" t="s">
        <v>87</v>
      </c>
      <c r="LK20" s="2" t="s">
        <v>17</v>
      </c>
      <c r="LL20" s="2" t="s">
        <v>17</v>
      </c>
      <c r="LM20" s="2">
        <v>0</v>
      </c>
      <c r="LN20" s="2" t="s">
        <v>17</v>
      </c>
      <c r="LO20" s="2" t="s">
        <v>17</v>
      </c>
      <c r="LP20" s="2" t="s">
        <v>17</v>
      </c>
      <c r="LQ20" s="2" t="s">
        <v>17</v>
      </c>
      <c r="LR20" s="2" t="s">
        <v>17</v>
      </c>
      <c r="LS20" s="2" t="s">
        <v>17</v>
      </c>
      <c r="LT20" s="2" t="s">
        <v>9</v>
      </c>
      <c r="LU20" s="2" t="s">
        <v>9</v>
      </c>
      <c r="LV20" s="2" t="s">
        <v>17</v>
      </c>
      <c r="LW20" s="2" t="s">
        <v>9</v>
      </c>
      <c r="LX20" s="2" t="s">
        <v>17</v>
      </c>
      <c r="LY20" s="5">
        <v>6000000</v>
      </c>
      <c r="LZ20" s="5">
        <v>0</v>
      </c>
      <c r="MA20" s="5">
        <v>7500000</v>
      </c>
      <c r="MB20" s="5">
        <v>0</v>
      </c>
      <c r="MC20" s="5">
        <v>0</v>
      </c>
      <c r="MD20" s="5">
        <v>0</v>
      </c>
      <c r="ME20" s="5">
        <v>7875000</v>
      </c>
      <c r="MF20" s="5">
        <v>0</v>
      </c>
      <c r="MG20" s="5">
        <v>0</v>
      </c>
      <c r="MH20" s="5">
        <v>0</v>
      </c>
      <c r="MI20" s="5">
        <v>0</v>
      </c>
      <c r="MJ20" s="5">
        <v>0</v>
      </c>
      <c r="MK20" s="5">
        <v>0</v>
      </c>
      <c r="ML20" s="2">
        <v>0</v>
      </c>
      <c r="MM20" s="5">
        <v>0</v>
      </c>
      <c r="MN20" s="5">
        <v>0</v>
      </c>
      <c r="MO20" s="2">
        <v>0</v>
      </c>
      <c r="MP20" s="2">
        <v>0</v>
      </c>
      <c r="MQ20" s="2">
        <v>0</v>
      </c>
      <c r="MR20" s="5">
        <v>2950000</v>
      </c>
      <c r="MS20" s="5">
        <v>0</v>
      </c>
      <c r="MT20" s="5">
        <v>4600000</v>
      </c>
      <c r="MU20" s="5">
        <v>0</v>
      </c>
      <c r="MV20" s="5">
        <v>0</v>
      </c>
      <c r="MW20" s="5">
        <v>0</v>
      </c>
      <c r="MX20" s="5">
        <v>0</v>
      </c>
      <c r="MY20" s="5">
        <v>2500000</v>
      </c>
      <c r="MZ20" s="5">
        <v>0</v>
      </c>
      <c r="NA20" s="5">
        <v>5000000</v>
      </c>
      <c r="NB20" s="5">
        <v>0</v>
      </c>
      <c r="NC20" s="5">
        <v>0</v>
      </c>
      <c r="ND20" s="5">
        <v>0</v>
      </c>
      <c r="NE20" s="5">
        <v>0</v>
      </c>
      <c r="NF20" s="5">
        <v>0</v>
      </c>
      <c r="NG20" s="5">
        <v>2992500</v>
      </c>
      <c r="NH20" s="5">
        <v>2400000</v>
      </c>
      <c r="NI20" s="5">
        <v>2400000</v>
      </c>
      <c r="NJ20" s="2" t="s">
        <v>17</v>
      </c>
      <c r="NK20" s="2"/>
      <c r="NL20" s="2"/>
      <c r="NM20" s="2" t="s">
        <v>17</v>
      </c>
      <c r="NN20" s="2"/>
      <c r="NO20" s="2" t="s">
        <v>9</v>
      </c>
      <c r="NP20" s="2">
        <v>33578</v>
      </c>
      <c r="NQ20" s="2" t="s">
        <v>3042</v>
      </c>
      <c r="NR20" s="2" t="s">
        <v>17</v>
      </c>
      <c r="NS20" s="2"/>
      <c r="NT20" s="2" t="s">
        <v>17</v>
      </c>
      <c r="NU20" s="2"/>
      <c r="NV20" s="2"/>
      <c r="NW20" s="2"/>
      <c r="NX20" s="2"/>
      <c r="NY20" s="2"/>
      <c r="NZ20" s="2"/>
      <c r="OA20" s="2" t="s">
        <v>118</v>
      </c>
      <c r="OB20" s="2" t="s">
        <v>118</v>
      </c>
      <c r="OC20" s="2" t="s">
        <v>118</v>
      </c>
      <c r="OD20" s="2" t="s">
        <v>17</v>
      </c>
      <c r="OE20" s="2" t="s">
        <v>119</v>
      </c>
      <c r="OF20" s="2" t="s">
        <v>17</v>
      </c>
      <c r="OG20" s="2"/>
      <c r="OH20" s="2" t="s">
        <v>17</v>
      </c>
      <c r="OI20" s="2" t="s">
        <v>17</v>
      </c>
      <c r="OJ20" s="2" t="s">
        <v>85</v>
      </c>
      <c r="OK20" s="6">
        <v>0</v>
      </c>
      <c r="OL20" s="6">
        <v>0</v>
      </c>
      <c r="OM20" s="2" t="s">
        <v>93</v>
      </c>
      <c r="ON20" s="2" t="s">
        <v>93</v>
      </c>
      <c r="OO20" s="6">
        <v>0</v>
      </c>
      <c r="OP20" s="6">
        <v>0</v>
      </c>
      <c r="OQ20" s="4">
        <v>0</v>
      </c>
      <c r="OR20" s="6">
        <v>0</v>
      </c>
      <c r="OS20" s="4">
        <v>0</v>
      </c>
      <c r="OT20" s="2" t="s">
        <v>17</v>
      </c>
      <c r="OU20" s="2" t="s">
        <v>17</v>
      </c>
      <c r="OV20" s="2"/>
      <c r="OW20" s="2"/>
      <c r="OX20" s="5">
        <v>15973200</v>
      </c>
      <c r="OY20" s="6">
        <v>212976</v>
      </c>
      <c r="OZ20" s="2"/>
      <c r="PA20" s="2"/>
      <c r="PB20" s="2"/>
      <c r="PC20" s="2"/>
      <c r="PD20" s="8">
        <v>14078948</v>
      </c>
      <c r="PE20" s="2"/>
      <c r="PF20" s="8">
        <v>14078948</v>
      </c>
      <c r="PG20" s="2"/>
      <c r="PH20" s="2"/>
      <c r="PI20" s="2"/>
      <c r="PJ20" s="2"/>
      <c r="PK20" s="2"/>
      <c r="PL20" s="2"/>
      <c r="PM20" s="8">
        <v>14078948</v>
      </c>
      <c r="PN20" s="2"/>
      <c r="PO20" s="8">
        <v>14078948</v>
      </c>
      <c r="PP20" s="8">
        <v>1971052</v>
      </c>
      <c r="PQ20" s="2"/>
      <c r="PR20" s="8">
        <v>1971052</v>
      </c>
      <c r="PS20" s="6">
        <v>1971052</v>
      </c>
      <c r="PT20" s="8">
        <v>16050000</v>
      </c>
      <c r="PU20" s="2"/>
      <c r="PV20" s="8">
        <v>16050000</v>
      </c>
      <c r="PW20" s="8">
        <v>802500</v>
      </c>
      <c r="PX20" s="2"/>
      <c r="PY20" s="8">
        <v>802500</v>
      </c>
      <c r="PZ20" s="6">
        <v>802500</v>
      </c>
      <c r="QA20" s="8">
        <v>1210500</v>
      </c>
      <c r="QB20" s="8">
        <v>92982</v>
      </c>
      <c r="QC20" s="8">
        <v>1303482</v>
      </c>
      <c r="QD20" s="8">
        <v>375625</v>
      </c>
      <c r="QE20" s="8">
        <v>150000</v>
      </c>
      <c r="QF20" s="8">
        <v>525625</v>
      </c>
      <c r="QG20" s="8">
        <v>637149</v>
      </c>
      <c r="QH20" s="2"/>
      <c r="QI20" s="8">
        <v>637149</v>
      </c>
      <c r="QJ20" s="2"/>
      <c r="QK20" s="8">
        <v>371543</v>
      </c>
      <c r="QL20" s="8">
        <v>371543</v>
      </c>
      <c r="QM20" s="2"/>
      <c r="QN20" s="2"/>
      <c r="QO20" s="2"/>
      <c r="QP20" s="8">
        <v>257500</v>
      </c>
      <c r="QQ20" s="2"/>
      <c r="QR20" s="8">
        <v>257500</v>
      </c>
      <c r="QS20" s="8">
        <v>2480774</v>
      </c>
      <c r="QT20" s="8">
        <v>614525</v>
      </c>
      <c r="QU20" s="8">
        <v>3095299</v>
      </c>
      <c r="QV20" s="8">
        <v>121663</v>
      </c>
      <c r="QW20" s="2"/>
      <c r="QX20" s="8">
        <v>121663</v>
      </c>
      <c r="QY20" s="6">
        <v>154764.95000000001</v>
      </c>
      <c r="QZ20" s="8">
        <v>1062257</v>
      </c>
      <c r="RA20" s="8">
        <v>288842</v>
      </c>
      <c r="RB20" s="8">
        <v>1351099</v>
      </c>
      <c r="RC20" s="8">
        <v>224650</v>
      </c>
      <c r="RD20" s="8">
        <v>224650</v>
      </c>
      <c r="RE20" s="2"/>
      <c r="RF20" s="2"/>
      <c r="RG20" s="2"/>
      <c r="RH20" s="8">
        <v>1062257</v>
      </c>
      <c r="RI20" s="8">
        <v>513492</v>
      </c>
      <c r="RJ20" s="8">
        <v>1575749</v>
      </c>
      <c r="RK20" s="2"/>
      <c r="RL20" s="2"/>
      <c r="RM20" s="8">
        <v>20517194</v>
      </c>
      <c r="RN20" s="8">
        <v>1128017</v>
      </c>
      <c r="RO20" s="8">
        <v>21645211</v>
      </c>
      <c r="RP20" s="2">
        <v>0</v>
      </c>
      <c r="RQ20" s="6">
        <v>0</v>
      </c>
      <c r="RR20" s="8">
        <v>3463233</v>
      </c>
      <c r="RS20" s="2"/>
      <c r="RT20" s="8">
        <v>3463233</v>
      </c>
      <c r="RU20" s="6">
        <v>3463233</v>
      </c>
      <c r="RV20" s="6">
        <v>0</v>
      </c>
      <c r="RW20" s="8">
        <v>3463233</v>
      </c>
      <c r="RX20" s="2"/>
      <c r="RY20" s="8">
        <v>3463233</v>
      </c>
      <c r="RZ20" s="6">
        <v>3463233</v>
      </c>
      <c r="SA20" s="8">
        <v>161252</v>
      </c>
      <c r="SB20" s="8">
        <v>161252</v>
      </c>
      <c r="SC20" s="6">
        <v>262500</v>
      </c>
      <c r="SD20" s="8">
        <v>1575000</v>
      </c>
      <c r="SE20" s="8">
        <v>1575000</v>
      </c>
      <c r="SF20" s="8">
        <v>23980427</v>
      </c>
      <c r="SG20" s="8">
        <v>2864269</v>
      </c>
      <c r="SH20" s="8">
        <v>26844696</v>
      </c>
      <c r="SI20" s="2"/>
      <c r="SJ20" s="2"/>
      <c r="SK20" s="2" t="s">
        <v>3043</v>
      </c>
      <c r="SL20" s="2"/>
      <c r="SM20" s="8">
        <v>20000000</v>
      </c>
      <c r="SN20" s="2" t="s">
        <v>95</v>
      </c>
      <c r="SO20" s="8">
        <v>104000</v>
      </c>
      <c r="SP20" s="2" t="s">
        <v>180</v>
      </c>
      <c r="SQ20" s="8">
        <v>725000</v>
      </c>
      <c r="SR20" s="2" t="s">
        <v>1316</v>
      </c>
      <c r="SS20" s="2" t="s">
        <v>96</v>
      </c>
      <c r="ST20" s="2" t="s">
        <v>96</v>
      </c>
      <c r="SU20" s="2" t="s">
        <v>96</v>
      </c>
      <c r="SV20" s="2" t="s">
        <v>96</v>
      </c>
      <c r="SW20" s="8">
        <v>4559544</v>
      </c>
      <c r="SX20" s="2"/>
      <c r="SY20" s="2"/>
      <c r="SZ20" s="2"/>
      <c r="TA20" s="8">
        <v>1456152</v>
      </c>
      <c r="TB20" s="8">
        <v>26844696</v>
      </c>
      <c r="TC20" s="2">
        <v>0</v>
      </c>
      <c r="TD20" s="2" t="s">
        <v>9</v>
      </c>
      <c r="TE20" s="8">
        <v>2500000</v>
      </c>
      <c r="TF20" s="2" t="s">
        <v>95</v>
      </c>
      <c r="TG20" s="8">
        <v>104000</v>
      </c>
      <c r="TH20" s="2" t="s">
        <v>180</v>
      </c>
      <c r="TI20" s="8">
        <v>725000</v>
      </c>
      <c r="TJ20" s="2" t="s">
        <v>1316</v>
      </c>
      <c r="TK20" s="2" t="s">
        <v>96</v>
      </c>
      <c r="TL20" s="2" t="s">
        <v>96</v>
      </c>
      <c r="TM20" s="2" t="s">
        <v>96</v>
      </c>
      <c r="TN20" s="2" t="s">
        <v>96</v>
      </c>
      <c r="TO20" s="8">
        <v>22797720</v>
      </c>
      <c r="TP20" s="2"/>
      <c r="TQ20" s="2"/>
      <c r="TR20" s="2"/>
      <c r="TS20" s="8">
        <v>717976</v>
      </c>
      <c r="TT20" s="8">
        <v>26844696</v>
      </c>
      <c r="TU20" s="6">
        <v>3329000</v>
      </c>
      <c r="TV20" s="2">
        <v>0</v>
      </c>
      <c r="TW20" s="2" t="s">
        <v>9</v>
      </c>
      <c r="TX20" s="2">
        <v>75</v>
      </c>
      <c r="TY20" s="5">
        <v>270000</v>
      </c>
      <c r="TZ20" s="6">
        <v>360000</v>
      </c>
      <c r="UA20" s="6">
        <v>360000</v>
      </c>
      <c r="UB20" s="6">
        <v>381600</v>
      </c>
      <c r="UC20" s="6">
        <v>28620000</v>
      </c>
      <c r="UD20" s="6">
        <v>4579200</v>
      </c>
      <c r="UE20" s="2" t="s">
        <v>97</v>
      </c>
      <c r="UF20" s="6">
        <v>4579200</v>
      </c>
      <c r="UG20" s="6">
        <v>33199200</v>
      </c>
      <c r="UH20" s="6">
        <v>25108444</v>
      </c>
      <c r="UI20" s="4">
        <v>0.99990000000000001</v>
      </c>
      <c r="UJ20" s="2" t="s">
        <v>9</v>
      </c>
      <c r="UK20" s="6">
        <v>104000</v>
      </c>
      <c r="UL20" s="6">
        <v>28111</v>
      </c>
      <c r="UM20" s="6">
        <v>75889</v>
      </c>
      <c r="UN20" s="2"/>
      <c r="UO20" s="6">
        <v>0</v>
      </c>
      <c r="UP20" s="2"/>
      <c r="UQ20" s="6">
        <v>0</v>
      </c>
      <c r="UR20" s="6">
        <v>0</v>
      </c>
      <c r="US20" s="6">
        <v>104000</v>
      </c>
      <c r="UT20" s="6">
        <v>28111</v>
      </c>
      <c r="UU20" s="6">
        <v>75889</v>
      </c>
      <c r="UV20" s="2" t="s">
        <v>3044</v>
      </c>
      <c r="UW20" s="2" t="s">
        <v>182</v>
      </c>
      <c r="UX20" s="2" t="s">
        <v>17</v>
      </c>
      <c r="UY20" s="2" t="s">
        <v>17</v>
      </c>
      <c r="UZ20" s="2" t="s">
        <v>17</v>
      </c>
      <c r="VA20" s="2" t="s">
        <v>17</v>
      </c>
      <c r="VB20" s="2"/>
      <c r="VC20" s="2" t="s">
        <v>17</v>
      </c>
      <c r="VD20" s="2" t="s">
        <v>17</v>
      </c>
      <c r="VE20" s="2" t="s">
        <v>17</v>
      </c>
      <c r="VF20" s="2"/>
      <c r="VG20" s="2" t="s">
        <v>3045</v>
      </c>
      <c r="VH20" s="2"/>
      <c r="VI20" s="387" t="s">
        <v>1275</v>
      </c>
      <c r="VJ20" s="2" t="s">
        <v>98</v>
      </c>
      <c r="VK20" s="2" t="s">
        <v>1319</v>
      </c>
      <c r="VL20" s="23">
        <f t="shared" si="0"/>
        <v>75</v>
      </c>
      <c r="VM20" s="17">
        <f t="shared" si="1"/>
        <v>1</v>
      </c>
      <c r="VN20" s="17" t="str">
        <f t="shared" si="2"/>
        <v>NC-MR-E</v>
      </c>
      <c r="VO20" s="17" t="str">
        <f t="shared" si="14"/>
        <v>NC-MR-E-ESS</v>
      </c>
      <c r="VP20" s="12">
        <v>9</v>
      </c>
      <c r="VQ20" s="57">
        <v>1</v>
      </c>
      <c r="VR20" s="14">
        <f t="shared" si="3"/>
        <v>1</v>
      </c>
      <c r="VS20" s="14">
        <f t="shared" si="4"/>
        <v>1</v>
      </c>
      <c r="VT20" s="12">
        <f t="shared" si="5"/>
        <v>0.90210000000000001</v>
      </c>
      <c r="VU20" s="29">
        <f t="shared" si="6"/>
        <v>19485360</v>
      </c>
      <c r="VV20" s="29">
        <f t="shared" si="7"/>
        <v>259804.79999999999</v>
      </c>
      <c r="VW20" s="12" t="str">
        <f t="shared" si="15"/>
        <v>A</v>
      </c>
      <c r="VX20" s="12" t="str">
        <f t="shared" si="8"/>
        <v>NC-MR-ESS</v>
      </c>
      <c r="VY20" s="351">
        <f t="shared" si="16"/>
        <v>4</v>
      </c>
      <c r="VZ20" s="12"/>
      <c r="WA20" s="12">
        <f t="shared" si="17"/>
        <v>1</v>
      </c>
      <c r="WB20" s="12">
        <f t="shared" si="18"/>
        <v>0</v>
      </c>
      <c r="WC20" s="12">
        <f t="shared" si="19"/>
        <v>0</v>
      </c>
      <c r="WD20" s="12">
        <f t="shared" si="20"/>
        <v>0</v>
      </c>
      <c r="WE20" s="12">
        <f t="shared" si="21"/>
        <v>1</v>
      </c>
      <c r="WF20" s="12">
        <f t="shared" si="9"/>
        <v>0</v>
      </c>
      <c r="WG20" s="12">
        <f t="shared" si="10"/>
        <v>1</v>
      </c>
      <c r="WH20" s="12">
        <f t="shared" si="11"/>
        <v>0</v>
      </c>
      <c r="WI20" s="31">
        <f t="shared" si="12"/>
        <v>3</v>
      </c>
      <c r="WJ20" s="2"/>
      <c r="WK20" s="444" t="str">
        <f t="shared" si="13"/>
        <v>NC-MR-ESS-BBN-BRN-NPH-E</v>
      </c>
      <c r="WL20" s="444"/>
      <c r="WM20" s="444"/>
      <c r="WN20" s="12"/>
      <c r="WO20" s="12"/>
    </row>
    <row r="21" spans="1:613" x14ac:dyDescent="0.25">
      <c r="A21" s="2">
        <v>9622</v>
      </c>
      <c r="B21" s="2" t="s">
        <v>3046</v>
      </c>
      <c r="C21" s="2" t="s">
        <v>2652</v>
      </c>
      <c r="D21" s="3">
        <v>45152</v>
      </c>
      <c r="E21" s="2" t="s">
        <v>9</v>
      </c>
      <c r="F21" s="2">
        <v>3</v>
      </c>
      <c r="G21" s="2" t="s">
        <v>9</v>
      </c>
      <c r="H21" s="2">
        <v>3</v>
      </c>
      <c r="I21" s="2" t="s">
        <v>9</v>
      </c>
      <c r="J21" s="2">
        <v>1</v>
      </c>
      <c r="K21" s="2" t="s">
        <v>9</v>
      </c>
      <c r="L21" s="2">
        <v>3</v>
      </c>
      <c r="M21" s="2" t="s">
        <v>10</v>
      </c>
      <c r="N21" s="2">
        <v>0</v>
      </c>
      <c r="O21" s="2" t="s">
        <v>10</v>
      </c>
      <c r="P21" s="2">
        <v>0</v>
      </c>
      <c r="Q21" s="2" t="s">
        <v>11</v>
      </c>
      <c r="R21" s="2">
        <v>0</v>
      </c>
      <c r="S21" s="2" t="s">
        <v>9</v>
      </c>
      <c r="T21" s="2">
        <v>2</v>
      </c>
      <c r="U21" s="2" t="s">
        <v>9</v>
      </c>
      <c r="V21" s="2">
        <v>2</v>
      </c>
      <c r="W21" s="2" t="s">
        <v>9</v>
      </c>
      <c r="X21" s="2">
        <v>2</v>
      </c>
      <c r="Y21" s="2" t="s">
        <v>12</v>
      </c>
      <c r="Z21" s="2" t="s">
        <v>538</v>
      </c>
      <c r="AA21" s="2" t="s">
        <v>538</v>
      </c>
      <c r="AB21" s="2" t="s">
        <v>15</v>
      </c>
      <c r="AC21" s="2" t="s">
        <v>15</v>
      </c>
      <c r="AD21" s="2" t="s">
        <v>15</v>
      </c>
      <c r="AE21" s="2" t="s">
        <v>15</v>
      </c>
      <c r="AF21" s="2">
        <v>2</v>
      </c>
      <c r="AG21" s="2" t="s">
        <v>3047</v>
      </c>
      <c r="AH21" s="2" t="s">
        <v>9</v>
      </c>
      <c r="AI21" s="4">
        <v>0.39534999999999998</v>
      </c>
      <c r="AJ21" s="2" t="s">
        <v>9</v>
      </c>
      <c r="AK21" s="2" t="s">
        <v>9</v>
      </c>
      <c r="AL21" s="2" t="s">
        <v>17</v>
      </c>
      <c r="AM21" s="2" t="s">
        <v>17</v>
      </c>
      <c r="AN21" s="2" t="s">
        <v>17</v>
      </c>
      <c r="AO21" s="2" t="s">
        <v>17</v>
      </c>
      <c r="AP21" s="2" t="s">
        <v>17</v>
      </c>
      <c r="AQ21" s="2" t="s">
        <v>17</v>
      </c>
      <c r="AR21" s="2" t="s">
        <v>17</v>
      </c>
      <c r="AS21" s="2" t="s">
        <v>9</v>
      </c>
      <c r="AT21" s="2">
        <v>0</v>
      </c>
      <c r="AU21" s="5">
        <v>75000</v>
      </c>
      <c r="AV21" s="5">
        <v>610000</v>
      </c>
      <c r="AW21" s="2">
        <v>0</v>
      </c>
      <c r="AX21" s="2">
        <v>17</v>
      </c>
      <c r="AY21" s="2">
        <v>0</v>
      </c>
      <c r="AZ21" s="2">
        <v>18</v>
      </c>
      <c r="BA21" s="2">
        <v>0</v>
      </c>
      <c r="BB21" s="2">
        <v>0</v>
      </c>
      <c r="BC21" s="2">
        <v>1</v>
      </c>
      <c r="BD21" s="2">
        <v>4</v>
      </c>
      <c r="BE21" s="2">
        <v>0</v>
      </c>
      <c r="BF21" s="2">
        <v>1</v>
      </c>
      <c r="BG21" s="2">
        <v>0</v>
      </c>
      <c r="BH21" s="2">
        <v>0</v>
      </c>
      <c r="BI21" s="2">
        <v>13</v>
      </c>
      <c r="BJ21" s="2">
        <v>1</v>
      </c>
      <c r="BK21" s="2">
        <v>0</v>
      </c>
      <c r="BL21" s="2">
        <v>3</v>
      </c>
      <c r="BM21" s="2">
        <v>0</v>
      </c>
      <c r="BN21" s="2">
        <v>9</v>
      </c>
      <c r="BO21" s="2">
        <v>11</v>
      </c>
      <c r="BP21" s="2">
        <v>0</v>
      </c>
      <c r="BQ21" s="2">
        <v>10</v>
      </c>
      <c r="BR21" s="2">
        <v>9.4</v>
      </c>
      <c r="BS21" s="2">
        <v>0</v>
      </c>
      <c r="BT21" s="4">
        <v>0.06</v>
      </c>
      <c r="BU21" s="2" t="s">
        <v>9</v>
      </c>
      <c r="BV21" s="6">
        <v>215377.01</v>
      </c>
      <c r="BW21" s="2" t="s">
        <v>18</v>
      </c>
      <c r="BX21" s="2" t="s">
        <v>17</v>
      </c>
      <c r="BY21" s="2" t="s">
        <v>17</v>
      </c>
      <c r="BZ21" s="2" t="s">
        <v>17</v>
      </c>
      <c r="CA21" s="2" t="s">
        <v>17</v>
      </c>
      <c r="CB21" s="2" t="s">
        <v>17</v>
      </c>
      <c r="CC21" s="2" t="s">
        <v>17</v>
      </c>
      <c r="CD21" s="2" t="s">
        <v>17</v>
      </c>
      <c r="CE21" s="2" t="s">
        <v>3048</v>
      </c>
      <c r="CF21" s="2" t="s">
        <v>17</v>
      </c>
      <c r="CG21" s="2" t="s">
        <v>3049</v>
      </c>
      <c r="CH21" s="2" t="s">
        <v>3050</v>
      </c>
      <c r="CI21" s="2" t="s">
        <v>3051</v>
      </c>
      <c r="CJ21" s="2" t="s">
        <v>9</v>
      </c>
      <c r="CK21" s="2" t="s">
        <v>1231</v>
      </c>
      <c r="CL21" s="2" t="s">
        <v>3049</v>
      </c>
      <c r="CM21" s="2" t="s">
        <v>3052</v>
      </c>
      <c r="CN21" s="2" t="s">
        <v>3053</v>
      </c>
      <c r="CO21" s="2" t="s">
        <v>24</v>
      </c>
      <c r="CP21" s="2"/>
      <c r="CQ21" s="2">
        <v>70</v>
      </c>
      <c r="CR21" s="2" t="s">
        <v>1058</v>
      </c>
      <c r="CS21" s="2">
        <v>2022</v>
      </c>
      <c r="CT21" s="2" t="s">
        <v>26</v>
      </c>
      <c r="CU21" s="2" t="s">
        <v>27</v>
      </c>
      <c r="CV21" s="2" t="s">
        <v>3054</v>
      </c>
      <c r="CW21" s="2" t="s">
        <v>3055</v>
      </c>
      <c r="CX21" s="2" t="s">
        <v>1236</v>
      </c>
      <c r="CY21" s="2"/>
      <c r="CZ21" s="2">
        <v>50</v>
      </c>
      <c r="DA21" s="2" t="s">
        <v>1058</v>
      </c>
      <c r="DB21" s="2">
        <v>2022</v>
      </c>
      <c r="DC21" s="2" t="s">
        <v>26</v>
      </c>
      <c r="DD21" s="2" t="s">
        <v>27</v>
      </c>
      <c r="DE21" s="2" t="s">
        <v>1237</v>
      </c>
      <c r="DF21" s="2" t="s">
        <v>3056</v>
      </c>
      <c r="DG21" s="2" t="s">
        <v>413</v>
      </c>
      <c r="DH21" s="2" t="s">
        <v>3057</v>
      </c>
      <c r="DI21" s="2">
        <v>60</v>
      </c>
      <c r="DJ21" s="2" t="s">
        <v>1058</v>
      </c>
      <c r="DK21" s="2">
        <v>2021</v>
      </c>
      <c r="DL21" s="2" t="s">
        <v>26</v>
      </c>
      <c r="DM21" s="2" t="s">
        <v>27</v>
      </c>
      <c r="DN21" s="2" t="s">
        <v>2663</v>
      </c>
      <c r="DO21" s="2" t="s">
        <v>812</v>
      </c>
      <c r="DP21" s="2"/>
      <c r="DQ21" s="2" t="s">
        <v>948</v>
      </c>
      <c r="DR21" s="2" t="s">
        <v>1239</v>
      </c>
      <c r="DS21" s="2">
        <v>1</v>
      </c>
      <c r="DT21" s="2" t="s">
        <v>1240</v>
      </c>
      <c r="DU21" s="2" t="s">
        <v>479</v>
      </c>
      <c r="DV21" s="2" t="s">
        <v>39</v>
      </c>
      <c r="DW21" s="2">
        <v>32257</v>
      </c>
      <c r="DX21" s="2" t="s">
        <v>3058</v>
      </c>
      <c r="DY21" s="2"/>
      <c r="DZ21" s="2" t="s">
        <v>471</v>
      </c>
      <c r="EA21" s="2" t="s">
        <v>1239</v>
      </c>
      <c r="EB21" s="2" t="s">
        <v>1242</v>
      </c>
      <c r="EC21" s="2" t="s">
        <v>1243</v>
      </c>
      <c r="ED21" s="2" t="s">
        <v>44</v>
      </c>
      <c r="EE21" s="2">
        <v>130</v>
      </c>
      <c r="EF21" s="2" t="s">
        <v>1062</v>
      </c>
      <c r="EG21" s="2">
        <v>5</v>
      </c>
      <c r="EH21" s="2" t="s">
        <v>46</v>
      </c>
      <c r="EI21" s="2" t="s">
        <v>47</v>
      </c>
      <c r="EJ21" s="2" t="s">
        <v>1245</v>
      </c>
      <c r="EK21" s="2" t="s">
        <v>479</v>
      </c>
      <c r="EL21" s="2" t="s">
        <v>44</v>
      </c>
      <c r="EM21" s="2">
        <v>123</v>
      </c>
      <c r="EN21" s="2" t="s">
        <v>1062</v>
      </c>
      <c r="EO21" s="2">
        <v>6</v>
      </c>
      <c r="EP21" s="2" t="s">
        <v>46</v>
      </c>
      <c r="EQ21" s="2" t="s">
        <v>47</v>
      </c>
      <c r="ER21" s="2" t="s">
        <v>1246</v>
      </c>
      <c r="ES21" s="2"/>
      <c r="ET21" s="2" t="s">
        <v>571</v>
      </c>
      <c r="EU21" s="2" t="s">
        <v>1247</v>
      </c>
      <c r="EV21" s="2" t="s">
        <v>3059</v>
      </c>
      <c r="EW21" s="2" t="s">
        <v>510</v>
      </c>
      <c r="EX21" s="2" t="s">
        <v>39</v>
      </c>
      <c r="EY21" s="2">
        <v>32819</v>
      </c>
      <c r="EZ21" s="2" t="s">
        <v>1249</v>
      </c>
      <c r="FA21" s="2"/>
      <c r="FB21" s="2" t="s">
        <v>1250</v>
      </c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 t="s">
        <v>3060</v>
      </c>
      <c r="FO21" s="2" t="s">
        <v>63</v>
      </c>
      <c r="FP21" s="2" t="s">
        <v>64</v>
      </c>
      <c r="FQ21" s="2" t="s">
        <v>9</v>
      </c>
      <c r="FR21" s="2" t="s">
        <v>17</v>
      </c>
      <c r="FS21" s="2" t="s">
        <v>17</v>
      </c>
      <c r="FT21" s="2" t="s">
        <v>9</v>
      </c>
      <c r="FU21" s="2">
        <v>0</v>
      </c>
      <c r="FV21" s="2">
        <v>0</v>
      </c>
      <c r="FW21" s="4">
        <v>0</v>
      </c>
      <c r="FX21" s="4">
        <v>0</v>
      </c>
      <c r="FY21" s="2" t="s">
        <v>65</v>
      </c>
      <c r="FZ21" s="2" t="s">
        <v>66</v>
      </c>
      <c r="GA21" s="2" t="s">
        <v>67</v>
      </c>
      <c r="GB21" s="2"/>
      <c r="GC21" s="2"/>
      <c r="GD21" s="2"/>
      <c r="GE21" s="2" t="s">
        <v>108</v>
      </c>
      <c r="GF21" s="2"/>
      <c r="GG21" s="2"/>
      <c r="GH21" s="2"/>
      <c r="GI21" s="2">
        <v>86</v>
      </c>
      <c r="GJ21" s="2"/>
      <c r="GK21" s="2"/>
      <c r="GL21" s="2"/>
      <c r="GM21" s="2"/>
      <c r="GN21" s="2"/>
      <c r="GO21" s="2"/>
      <c r="GP21" s="2"/>
      <c r="GQ21" s="2">
        <v>86</v>
      </c>
      <c r="GR21" s="2" t="s">
        <v>2960</v>
      </c>
      <c r="GS21" s="2" t="s">
        <v>2686</v>
      </c>
      <c r="GT21" s="2" t="s">
        <v>3061</v>
      </c>
      <c r="GU21" s="2" t="s">
        <v>3062</v>
      </c>
      <c r="GV21" s="2" t="s">
        <v>17</v>
      </c>
      <c r="GW21" s="2">
        <v>27.961303000000001</v>
      </c>
      <c r="GX21" s="2">
        <v>-82.403130000000004</v>
      </c>
      <c r="GY21" s="2"/>
      <c r="GZ21" s="2" t="s">
        <v>17</v>
      </c>
      <c r="HA21" s="2">
        <v>0</v>
      </c>
      <c r="HB21" s="2" t="s">
        <v>17</v>
      </c>
      <c r="HC21" s="2" t="s">
        <v>17</v>
      </c>
      <c r="HD21" s="2">
        <v>0</v>
      </c>
      <c r="HE21" s="2">
        <v>27.961721000000001</v>
      </c>
      <c r="HF21" s="2">
        <v>-82.402859000000007</v>
      </c>
      <c r="HG21" s="2">
        <v>0.03</v>
      </c>
      <c r="HH21" s="2">
        <v>4</v>
      </c>
      <c r="HI21" s="2">
        <v>27.961521000000001</v>
      </c>
      <c r="HJ21" s="2">
        <v>-82.402803000000006</v>
      </c>
      <c r="HK21" s="2">
        <v>0.03</v>
      </c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 t="s">
        <v>73</v>
      </c>
      <c r="HX21" s="2" t="s">
        <v>316</v>
      </c>
      <c r="HY21" s="2" t="s">
        <v>3063</v>
      </c>
      <c r="HZ21" s="2">
        <v>0.13</v>
      </c>
      <c r="IA21" s="2">
        <v>4</v>
      </c>
      <c r="IB21" s="2"/>
      <c r="IC21" s="2"/>
      <c r="ID21" s="2"/>
      <c r="IE21" s="2"/>
      <c r="IF21" s="2" t="s">
        <v>3064</v>
      </c>
      <c r="IG21" s="2" t="s">
        <v>3065</v>
      </c>
      <c r="IH21" s="2">
        <v>0.1</v>
      </c>
      <c r="II21" s="2">
        <v>4</v>
      </c>
      <c r="IJ21" s="2" t="s">
        <v>3066</v>
      </c>
      <c r="IK21" s="2" t="s">
        <v>3067</v>
      </c>
      <c r="IL21" s="2">
        <v>0.49</v>
      </c>
      <c r="IM21" s="2">
        <v>4</v>
      </c>
      <c r="IN21" s="2" t="s">
        <v>17</v>
      </c>
      <c r="IO21" s="2"/>
      <c r="IP21" s="2" t="s">
        <v>79</v>
      </c>
      <c r="IQ21" s="2">
        <v>4</v>
      </c>
      <c r="IR21" s="2">
        <v>12</v>
      </c>
      <c r="IS21" s="2">
        <v>0</v>
      </c>
      <c r="IT21" s="2">
        <v>16</v>
      </c>
      <c r="IU21" s="2" t="s">
        <v>17</v>
      </c>
      <c r="IV21" s="2" t="s">
        <v>17</v>
      </c>
      <c r="IW21" s="2" t="s">
        <v>17</v>
      </c>
      <c r="IX21" s="2" t="s">
        <v>9</v>
      </c>
      <c r="IY21" s="2">
        <v>16</v>
      </c>
      <c r="IZ21" s="2">
        <v>86</v>
      </c>
      <c r="JA21" s="2" t="s">
        <v>2731</v>
      </c>
      <c r="JB21" s="2" t="s">
        <v>82</v>
      </c>
      <c r="JC21" s="2"/>
      <c r="JD21" s="2"/>
      <c r="JE21" s="2"/>
      <c r="JF21" s="7">
        <v>0</v>
      </c>
      <c r="JG21" s="7"/>
      <c r="JH21" s="7"/>
      <c r="JI21" s="2">
        <v>0</v>
      </c>
      <c r="JJ21" s="7">
        <v>0</v>
      </c>
      <c r="JK21" s="2">
        <v>0</v>
      </c>
      <c r="JL21" s="7">
        <v>0</v>
      </c>
      <c r="JM21" s="2">
        <v>34</v>
      </c>
      <c r="JN21" s="2"/>
      <c r="JO21" s="2">
        <v>1</v>
      </c>
      <c r="JP21" s="2"/>
      <c r="JQ21" s="2">
        <v>51</v>
      </c>
      <c r="JR21" s="2">
        <v>0</v>
      </c>
      <c r="JS21" s="2">
        <v>0</v>
      </c>
      <c r="JT21" s="2"/>
      <c r="JU21" s="2"/>
      <c r="JV21" s="2">
        <v>86</v>
      </c>
      <c r="JW21" s="4">
        <v>1</v>
      </c>
      <c r="JX21" s="2">
        <v>86</v>
      </c>
      <c r="JY21" s="4">
        <v>0.6</v>
      </c>
      <c r="JZ21" s="2">
        <v>0</v>
      </c>
      <c r="KA21" s="2"/>
      <c r="KB21" s="2"/>
      <c r="KC21" s="2"/>
      <c r="KD21" s="2"/>
      <c r="KE21" s="2"/>
      <c r="KF21" s="2"/>
      <c r="KG21" s="2"/>
      <c r="KH21" s="2">
        <v>64</v>
      </c>
      <c r="KI21" s="2"/>
      <c r="KJ21" s="2"/>
      <c r="KK21" s="2">
        <v>22</v>
      </c>
      <c r="KL21" s="2"/>
      <c r="KM21" s="2"/>
      <c r="KN21" s="2"/>
      <c r="KO21" s="2"/>
      <c r="KP21" s="2"/>
      <c r="KQ21" s="2" t="s">
        <v>83</v>
      </c>
      <c r="KR21" s="2" t="s">
        <v>73</v>
      </c>
      <c r="KS21" s="2"/>
      <c r="KT21" s="2">
        <v>1</v>
      </c>
      <c r="KU21" s="2" t="s">
        <v>84</v>
      </c>
      <c r="KV21" s="2" t="s">
        <v>85</v>
      </c>
      <c r="KW21" s="2" t="s">
        <v>86</v>
      </c>
      <c r="KX21" s="2" t="s">
        <v>17</v>
      </c>
      <c r="KY21" s="2" t="s">
        <v>17</v>
      </c>
      <c r="KZ21" s="2" t="s">
        <v>17</v>
      </c>
      <c r="LA21" s="2" t="s">
        <v>17</v>
      </c>
      <c r="LB21" s="2" t="s">
        <v>17</v>
      </c>
      <c r="LC21" s="2" t="s">
        <v>17</v>
      </c>
      <c r="LD21" s="2" t="s">
        <v>17</v>
      </c>
      <c r="LE21" s="2" t="s">
        <v>17</v>
      </c>
      <c r="LF21" s="2" t="s">
        <v>17</v>
      </c>
      <c r="LG21" s="2" t="s">
        <v>17</v>
      </c>
      <c r="LH21" s="2" t="s">
        <v>17</v>
      </c>
      <c r="LI21" s="2" t="s">
        <v>17</v>
      </c>
      <c r="LJ21" s="2" t="s">
        <v>87</v>
      </c>
      <c r="LK21" s="2" t="s">
        <v>17</v>
      </c>
      <c r="LL21" s="2" t="s">
        <v>17</v>
      </c>
      <c r="LM21" s="2">
        <v>0</v>
      </c>
      <c r="LN21" s="2" t="s">
        <v>17</v>
      </c>
      <c r="LO21" s="2" t="s">
        <v>9</v>
      </c>
      <c r="LP21" s="2" t="s">
        <v>9</v>
      </c>
      <c r="LQ21" s="2" t="s">
        <v>17</v>
      </c>
      <c r="LR21" s="2" t="s">
        <v>9</v>
      </c>
      <c r="LS21" s="2" t="s">
        <v>17</v>
      </c>
      <c r="LT21" s="2" t="s">
        <v>17</v>
      </c>
      <c r="LU21" s="2" t="s">
        <v>17</v>
      </c>
      <c r="LV21" s="2" t="s">
        <v>17</v>
      </c>
      <c r="LW21" s="2" t="s">
        <v>17</v>
      </c>
      <c r="LX21" s="2" t="s">
        <v>17</v>
      </c>
      <c r="LY21" s="5">
        <v>6500000</v>
      </c>
      <c r="LZ21" s="5">
        <v>0</v>
      </c>
      <c r="MA21" s="5">
        <v>8400000</v>
      </c>
      <c r="MB21" s="5">
        <v>0</v>
      </c>
      <c r="MC21" s="5">
        <v>0</v>
      </c>
      <c r="MD21" s="5">
        <v>0</v>
      </c>
      <c r="ME21" s="5">
        <v>9030000</v>
      </c>
      <c r="MF21" s="5">
        <v>0</v>
      </c>
      <c r="MG21" s="5">
        <v>0</v>
      </c>
      <c r="MH21" s="5">
        <v>0</v>
      </c>
      <c r="MI21" s="5">
        <v>0</v>
      </c>
      <c r="MJ21" s="5">
        <v>0</v>
      </c>
      <c r="MK21" s="5">
        <v>0</v>
      </c>
      <c r="ML21" s="2">
        <v>0</v>
      </c>
      <c r="MM21" s="5">
        <v>0</v>
      </c>
      <c r="MN21" s="5">
        <v>0</v>
      </c>
      <c r="MO21" s="2">
        <v>0</v>
      </c>
      <c r="MP21" s="2">
        <v>0</v>
      </c>
      <c r="MQ21" s="2">
        <v>0</v>
      </c>
      <c r="MR21" s="5">
        <v>2950000</v>
      </c>
      <c r="MS21" s="5">
        <v>0</v>
      </c>
      <c r="MT21" s="5">
        <v>4600000</v>
      </c>
      <c r="MU21" s="5">
        <v>0</v>
      </c>
      <c r="MV21" s="5">
        <v>0</v>
      </c>
      <c r="MW21" s="5">
        <v>0</v>
      </c>
      <c r="MX21" s="5">
        <v>0</v>
      </c>
      <c r="MY21" s="5">
        <v>2500000</v>
      </c>
      <c r="MZ21" s="5">
        <v>0</v>
      </c>
      <c r="NA21" s="5">
        <v>5000000</v>
      </c>
      <c r="NB21" s="5">
        <v>0</v>
      </c>
      <c r="NC21" s="5">
        <v>0</v>
      </c>
      <c r="ND21" s="5">
        <v>0</v>
      </c>
      <c r="NE21" s="5">
        <v>0</v>
      </c>
      <c r="NF21" s="5">
        <v>0</v>
      </c>
      <c r="NG21" s="5">
        <v>2992500</v>
      </c>
      <c r="NH21" s="5">
        <v>2992500</v>
      </c>
      <c r="NI21" s="5">
        <v>2992500</v>
      </c>
      <c r="NJ21" s="2" t="s">
        <v>17</v>
      </c>
      <c r="NK21" s="2"/>
      <c r="NL21" s="2"/>
      <c r="NM21" s="2" t="s">
        <v>17</v>
      </c>
      <c r="NN21" s="2"/>
      <c r="NO21" s="2" t="s">
        <v>17</v>
      </c>
      <c r="NP21" s="2"/>
      <c r="NQ21" s="2"/>
      <c r="NR21" s="2" t="s">
        <v>17</v>
      </c>
      <c r="NS21" s="2"/>
      <c r="NT21" s="2" t="s">
        <v>9</v>
      </c>
      <c r="NU21" s="2" t="s">
        <v>450</v>
      </c>
      <c r="NV21" s="2">
        <v>37</v>
      </c>
      <c r="NW21" s="2" t="s">
        <v>3068</v>
      </c>
      <c r="NX21" s="2" t="s">
        <v>17</v>
      </c>
      <c r="NY21" s="2"/>
      <c r="NZ21" s="2"/>
      <c r="OA21" s="2" t="s">
        <v>118</v>
      </c>
      <c r="OB21" s="2" t="s">
        <v>118</v>
      </c>
      <c r="OC21" s="2" t="s">
        <v>118</v>
      </c>
      <c r="OD21" s="2" t="s">
        <v>17</v>
      </c>
      <c r="OE21" s="2" t="s">
        <v>91</v>
      </c>
      <c r="OF21" s="2" t="s">
        <v>17</v>
      </c>
      <c r="OG21" s="2"/>
      <c r="OH21" s="2" t="s">
        <v>17</v>
      </c>
      <c r="OI21" s="2" t="s">
        <v>17</v>
      </c>
      <c r="OJ21" s="2" t="s">
        <v>85</v>
      </c>
      <c r="OK21" s="6">
        <v>0</v>
      </c>
      <c r="OL21" s="6">
        <v>0</v>
      </c>
      <c r="OM21" s="2" t="s">
        <v>93</v>
      </c>
      <c r="ON21" s="2" t="s">
        <v>93</v>
      </c>
      <c r="OO21" s="6">
        <v>0</v>
      </c>
      <c r="OP21" s="6">
        <v>0</v>
      </c>
      <c r="OQ21" s="4">
        <v>0</v>
      </c>
      <c r="OR21" s="6">
        <v>0</v>
      </c>
      <c r="OS21" s="4">
        <v>0</v>
      </c>
      <c r="OT21" s="2" t="s">
        <v>17</v>
      </c>
      <c r="OU21" s="2" t="s">
        <v>9</v>
      </c>
      <c r="OV21" s="2" t="s">
        <v>3069</v>
      </c>
      <c r="OW21" s="2"/>
      <c r="OX21" s="5">
        <v>18522423</v>
      </c>
      <c r="OY21" s="6">
        <v>215377.01</v>
      </c>
      <c r="OZ21" s="8">
        <v>115000</v>
      </c>
      <c r="PA21" s="8">
        <v>115000</v>
      </c>
      <c r="PB21" s="2"/>
      <c r="PC21" s="2"/>
      <c r="PD21" s="8">
        <v>15721399</v>
      </c>
      <c r="PE21" s="2"/>
      <c r="PF21" s="8">
        <v>15721399</v>
      </c>
      <c r="PG21" s="8">
        <v>1500000</v>
      </c>
      <c r="PH21" s="8">
        <v>500000</v>
      </c>
      <c r="PI21" s="8">
        <v>2000000</v>
      </c>
      <c r="PJ21" s="2"/>
      <c r="PK21" s="2"/>
      <c r="PL21" s="2"/>
      <c r="PM21" s="8">
        <v>17221399</v>
      </c>
      <c r="PN21" s="8">
        <v>615000</v>
      </c>
      <c r="PO21" s="8">
        <v>17836399</v>
      </c>
      <c r="PP21" s="8">
        <v>2420921</v>
      </c>
      <c r="PQ21" s="2"/>
      <c r="PR21" s="8">
        <v>2420921</v>
      </c>
      <c r="PS21" s="6">
        <v>2497095</v>
      </c>
      <c r="PT21" s="8">
        <v>19642320</v>
      </c>
      <c r="PU21" s="8">
        <v>615000</v>
      </c>
      <c r="PV21" s="8">
        <v>20257320</v>
      </c>
      <c r="PW21" s="8">
        <v>985660</v>
      </c>
      <c r="PX21" s="2"/>
      <c r="PY21" s="8">
        <v>985660</v>
      </c>
      <c r="PZ21" s="6">
        <v>1012866</v>
      </c>
      <c r="QA21" s="8">
        <v>1289790</v>
      </c>
      <c r="QB21" s="8">
        <v>112696</v>
      </c>
      <c r="QC21" s="8">
        <v>1402486</v>
      </c>
      <c r="QD21" s="8">
        <v>156517</v>
      </c>
      <c r="QE21" s="8">
        <v>235000</v>
      </c>
      <c r="QF21" s="8">
        <v>391517</v>
      </c>
      <c r="QG21" s="8">
        <v>546697</v>
      </c>
      <c r="QH21" s="2"/>
      <c r="QI21" s="8">
        <v>546697</v>
      </c>
      <c r="QJ21" s="2"/>
      <c r="QK21" s="8">
        <v>537325</v>
      </c>
      <c r="QL21" s="8">
        <v>537325</v>
      </c>
      <c r="QM21" s="2"/>
      <c r="QN21" s="2"/>
      <c r="QO21" s="2"/>
      <c r="QP21" s="8">
        <v>315000</v>
      </c>
      <c r="QQ21" s="2"/>
      <c r="QR21" s="8">
        <v>315000</v>
      </c>
      <c r="QS21" s="8">
        <v>2308004</v>
      </c>
      <c r="QT21" s="8">
        <v>885021</v>
      </c>
      <c r="QU21" s="8">
        <v>3193025</v>
      </c>
      <c r="QV21" s="8">
        <v>90000</v>
      </c>
      <c r="QW21" s="8">
        <v>17825</v>
      </c>
      <c r="QX21" s="8">
        <v>107825</v>
      </c>
      <c r="QY21" s="6">
        <v>159651.25</v>
      </c>
      <c r="QZ21" s="8">
        <v>2881575</v>
      </c>
      <c r="RA21" s="8">
        <v>256750</v>
      </c>
      <c r="RB21" s="8">
        <v>3138325</v>
      </c>
      <c r="RC21" s="8">
        <v>23750</v>
      </c>
      <c r="RD21" s="8">
        <v>23750</v>
      </c>
      <c r="RE21" s="2"/>
      <c r="RF21" s="2"/>
      <c r="RG21" s="2"/>
      <c r="RH21" s="8">
        <v>2881575</v>
      </c>
      <c r="RI21" s="8">
        <v>280500</v>
      </c>
      <c r="RJ21" s="8">
        <v>3162075</v>
      </c>
      <c r="RK21" s="2"/>
      <c r="RL21" s="2"/>
      <c r="RM21" s="8">
        <v>25907559</v>
      </c>
      <c r="RN21" s="8">
        <v>1798346</v>
      </c>
      <c r="RO21" s="8">
        <v>27705905</v>
      </c>
      <c r="RP21" s="2">
        <v>0</v>
      </c>
      <c r="RQ21" s="6">
        <v>0</v>
      </c>
      <c r="RR21" s="8">
        <v>4392305</v>
      </c>
      <c r="RS21" s="2"/>
      <c r="RT21" s="8">
        <v>4392305</v>
      </c>
      <c r="RU21" s="6">
        <v>4432944</v>
      </c>
      <c r="RV21" s="6">
        <v>0</v>
      </c>
      <c r="RW21" s="8">
        <v>4392305</v>
      </c>
      <c r="RX21" s="2"/>
      <c r="RY21" s="8">
        <v>4392305</v>
      </c>
      <c r="RZ21" s="6">
        <v>4432944</v>
      </c>
      <c r="SA21" s="8">
        <v>290105</v>
      </c>
      <c r="SB21" s="8">
        <v>290105</v>
      </c>
      <c r="SC21" s="6">
        <v>301000</v>
      </c>
      <c r="SD21" s="8">
        <v>3000000</v>
      </c>
      <c r="SE21" s="8">
        <v>3000000</v>
      </c>
      <c r="SF21" s="8">
        <v>30299864</v>
      </c>
      <c r="SG21" s="8">
        <v>5088451</v>
      </c>
      <c r="SH21" s="8">
        <v>35388315</v>
      </c>
      <c r="SI21" s="2" t="s">
        <v>3070</v>
      </c>
      <c r="SJ21" s="2"/>
      <c r="SK21" s="2" t="s">
        <v>3071</v>
      </c>
      <c r="SL21" s="2"/>
      <c r="SM21" s="8">
        <v>25000000</v>
      </c>
      <c r="SN21" s="2" t="s">
        <v>95</v>
      </c>
      <c r="SO21" s="2"/>
      <c r="SP21" s="2"/>
      <c r="SQ21" s="2"/>
      <c r="SR21" s="2"/>
      <c r="SS21" s="2" t="s">
        <v>96</v>
      </c>
      <c r="ST21" s="2" t="s">
        <v>96</v>
      </c>
      <c r="SU21" s="2" t="s">
        <v>96</v>
      </c>
      <c r="SV21" s="2" t="s">
        <v>96</v>
      </c>
      <c r="SW21" s="8">
        <v>8348240</v>
      </c>
      <c r="SX21" s="2"/>
      <c r="SY21" s="2">
        <v>0</v>
      </c>
      <c r="SZ21" s="2"/>
      <c r="TA21" s="8">
        <v>2040075</v>
      </c>
      <c r="TB21" s="8">
        <v>35388315</v>
      </c>
      <c r="TC21" s="2">
        <v>0</v>
      </c>
      <c r="TD21" s="2" t="s">
        <v>9</v>
      </c>
      <c r="TE21" s="8">
        <v>6050000</v>
      </c>
      <c r="TF21" s="2" t="s">
        <v>95</v>
      </c>
      <c r="TG21" s="2"/>
      <c r="TH21" s="2"/>
      <c r="TI21" s="2"/>
      <c r="TJ21" s="2"/>
      <c r="TK21" s="2" t="s">
        <v>96</v>
      </c>
      <c r="TL21" s="2" t="s">
        <v>96</v>
      </c>
      <c r="TM21" s="2" t="s">
        <v>96</v>
      </c>
      <c r="TN21" s="2" t="s">
        <v>96</v>
      </c>
      <c r="TO21" s="8">
        <v>27827466</v>
      </c>
      <c r="TP21" s="2"/>
      <c r="TQ21" s="2">
        <v>0</v>
      </c>
      <c r="TR21" s="2"/>
      <c r="TS21" s="8">
        <v>1510849</v>
      </c>
      <c r="TT21" s="8">
        <v>35388315</v>
      </c>
      <c r="TU21" s="6">
        <v>6050000</v>
      </c>
      <c r="TV21" s="2">
        <v>0</v>
      </c>
      <c r="TW21" s="2" t="s">
        <v>9</v>
      </c>
      <c r="TX21" s="2">
        <v>86</v>
      </c>
      <c r="TY21" s="5">
        <v>270000</v>
      </c>
      <c r="TZ21" s="6">
        <v>360000</v>
      </c>
      <c r="UA21" s="6">
        <v>367500</v>
      </c>
      <c r="UB21" s="6">
        <v>389550</v>
      </c>
      <c r="UC21" s="6">
        <v>33501300</v>
      </c>
      <c r="UD21" s="6">
        <v>5360208</v>
      </c>
      <c r="UE21" s="2" t="s">
        <v>97</v>
      </c>
      <c r="UF21" s="6">
        <v>5360208</v>
      </c>
      <c r="UG21" s="6">
        <v>38861508</v>
      </c>
      <c r="UH21" s="6">
        <v>31983210</v>
      </c>
      <c r="UI21" s="4">
        <v>0.99990000000000001</v>
      </c>
      <c r="UJ21" s="2" t="s">
        <v>17</v>
      </c>
      <c r="UK21" s="6">
        <v>0</v>
      </c>
      <c r="UL21" s="2"/>
      <c r="UM21" s="6">
        <v>0</v>
      </c>
      <c r="UN21" s="2"/>
      <c r="UO21" s="6">
        <v>0</v>
      </c>
      <c r="UP21" s="2"/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2"/>
      <c r="UW21" s="2" t="s">
        <v>182</v>
      </c>
      <c r="UX21" s="2" t="s">
        <v>17</v>
      </c>
      <c r="UY21" s="2" t="s">
        <v>17</v>
      </c>
      <c r="UZ21" s="2" t="s">
        <v>17</v>
      </c>
      <c r="VA21" s="2" t="s">
        <v>17</v>
      </c>
      <c r="VB21" s="2" t="s">
        <v>2697</v>
      </c>
      <c r="VC21" s="2" t="s">
        <v>17</v>
      </c>
      <c r="VD21" s="2" t="s">
        <v>17</v>
      </c>
      <c r="VE21" s="2" t="s">
        <v>17</v>
      </c>
      <c r="VF21" s="2"/>
      <c r="VG21" s="2" t="s">
        <v>3072</v>
      </c>
      <c r="VH21" s="2"/>
      <c r="VI21" s="388" t="s">
        <v>1231</v>
      </c>
      <c r="VJ21" s="2" t="s">
        <v>98</v>
      </c>
      <c r="VK21" s="2" t="s">
        <v>1247</v>
      </c>
      <c r="VL21" s="23">
        <f t="shared" si="0"/>
        <v>108</v>
      </c>
      <c r="VM21" s="17">
        <f t="shared" si="1"/>
        <v>1.2558139534883721</v>
      </c>
      <c r="VN21" s="17" t="str">
        <f t="shared" si="2"/>
        <v>NC-MR-F</v>
      </c>
      <c r="VO21" s="17" t="str">
        <f t="shared" si="14"/>
        <v>NC-MR-F-ESS</v>
      </c>
      <c r="VP21" s="12">
        <v>9</v>
      </c>
      <c r="VQ21" s="57">
        <v>1</v>
      </c>
      <c r="VR21" s="14">
        <f t="shared" si="3"/>
        <v>1</v>
      </c>
      <c r="VS21" s="14">
        <f t="shared" si="4"/>
        <v>0.97</v>
      </c>
      <c r="VT21" s="12">
        <f t="shared" si="5"/>
        <v>0.90210000000000001</v>
      </c>
      <c r="VU21" s="29">
        <f t="shared" si="6"/>
        <v>23566934.002500001</v>
      </c>
      <c r="VV21" s="29">
        <f t="shared" si="7"/>
        <v>274034.11630813958</v>
      </c>
      <c r="VW21" s="12" t="str">
        <f t="shared" si="15"/>
        <v>B</v>
      </c>
      <c r="VX21" s="12" t="str">
        <f t="shared" ref="VX21:VX30" si="22">IF(GG21=MAX(GG21:GO21),"NC-GA-ESS",IF(GH21=MAX(GG21:GO21),"NC-GA-Non",IF(GI21=MAX(GG21:GO21),"NC-MR-ESS",IF(GJ21=MAX(GG21:GO21),"NC-MR-Non",IF(GK21=MAX(GG21:GO21),"NC-HR-ESS",IF(GL21=MAX(GG21:GO21),"NC-OT-ESS",IF(GM21=MAX(GG21:GO21),"NC-OT-Non",IF(GN21=MAX(GG21:GO21),"AR-GA-ESS",IF(GO21=MAX(GG21:GO21),"AR-GA-Non","Nothing")))))))))</f>
        <v>NC-MR-ESS</v>
      </c>
      <c r="VY21" s="351">
        <f t="shared" si="16"/>
        <v>5</v>
      </c>
      <c r="VZ21" s="12"/>
      <c r="WA21" s="12">
        <f t="shared" si="17"/>
        <v>0</v>
      </c>
      <c r="WB21" s="12">
        <f t="shared" si="18"/>
        <v>0</v>
      </c>
      <c r="WC21" s="12">
        <f t="shared" si="19"/>
        <v>0</v>
      </c>
      <c r="WD21" s="12">
        <f t="shared" si="20"/>
        <v>1</v>
      </c>
      <c r="WE21" s="12">
        <f t="shared" si="21"/>
        <v>1</v>
      </c>
      <c r="WF21" s="12">
        <f t="shared" si="9"/>
        <v>0</v>
      </c>
      <c r="WG21" s="12">
        <f t="shared" si="10"/>
        <v>1</v>
      </c>
      <c r="WH21" s="12">
        <f t="shared" si="11"/>
        <v>0</v>
      </c>
      <c r="WI21" s="31">
        <f t="shared" si="12"/>
        <v>3</v>
      </c>
      <c r="WJ21" s="2"/>
      <c r="WK21" s="444" t="str">
        <f t="shared" si="13"/>
        <v>NC-MR-ESS-BBN-BRN-PHA-F</v>
      </c>
      <c r="WL21" s="444"/>
      <c r="WM21" s="444"/>
      <c r="WN21" s="12"/>
      <c r="WO21" s="12"/>
    </row>
    <row r="22" spans="1:613" x14ac:dyDescent="0.25">
      <c r="A22" s="2">
        <v>9388</v>
      </c>
      <c r="B22" s="2" t="s">
        <v>3073</v>
      </c>
      <c r="C22" s="2" t="s">
        <v>2652</v>
      </c>
      <c r="D22" s="3">
        <v>45100</v>
      </c>
      <c r="E22" s="2" t="s">
        <v>9</v>
      </c>
      <c r="F22" s="2">
        <v>3</v>
      </c>
      <c r="G22" s="2" t="s">
        <v>9</v>
      </c>
      <c r="H22" s="2">
        <v>3</v>
      </c>
      <c r="I22" s="2" t="s">
        <v>9</v>
      </c>
      <c r="J22" s="2">
        <v>3</v>
      </c>
      <c r="K22" s="2" t="s">
        <v>9</v>
      </c>
      <c r="L22" s="2">
        <v>3</v>
      </c>
      <c r="M22" s="2" t="s">
        <v>10</v>
      </c>
      <c r="N22" s="2">
        <v>0</v>
      </c>
      <c r="O22" s="2" t="s">
        <v>10</v>
      </c>
      <c r="P22" s="2">
        <v>0</v>
      </c>
      <c r="Q22" s="2" t="s">
        <v>11</v>
      </c>
      <c r="R22" s="2">
        <v>0</v>
      </c>
      <c r="S22" s="2" t="s">
        <v>9</v>
      </c>
      <c r="T22" s="2">
        <v>2</v>
      </c>
      <c r="U22" s="2" t="s">
        <v>9</v>
      </c>
      <c r="V22" s="2">
        <v>2</v>
      </c>
      <c r="W22" s="2" t="s">
        <v>9</v>
      </c>
      <c r="X22" s="2">
        <v>2</v>
      </c>
      <c r="Y22" s="2" t="s">
        <v>12</v>
      </c>
      <c r="Z22" s="2" t="s">
        <v>2008</v>
      </c>
      <c r="AA22" s="2" t="s">
        <v>604</v>
      </c>
      <c r="AB22" s="2" t="s">
        <v>604</v>
      </c>
      <c r="AC22" s="2" t="s">
        <v>15</v>
      </c>
      <c r="AD22" s="2" t="s">
        <v>15</v>
      </c>
      <c r="AE22" s="2" t="s">
        <v>15</v>
      </c>
      <c r="AF22" s="2">
        <v>3</v>
      </c>
      <c r="AG22" s="2" t="s">
        <v>2009</v>
      </c>
      <c r="AH22" s="2" t="s">
        <v>17</v>
      </c>
      <c r="AI22" s="4">
        <v>0.1</v>
      </c>
      <c r="AJ22" s="2" t="s">
        <v>17</v>
      </c>
      <c r="AK22" s="2" t="s">
        <v>9</v>
      </c>
      <c r="AL22" s="2" t="s">
        <v>17</v>
      </c>
      <c r="AM22" s="2" t="s">
        <v>17</v>
      </c>
      <c r="AN22" s="2" t="s">
        <v>17</v>
      </c>
      <c r="AO22" s="2" t="s">
        <v>9</v>
      </c>
      <c r="AP22" s="2" t="s">
        <v>17</v>
      </c>
      <c r="AQ22" s="2" t="s">
        <v>17</v>
      </c>
      <c r="AR22" s="2" t="s">
        <v>17</v>
      </c>
      <c r="AS22" s="2" t="s">
        <v>17</v>
      </c>
      <c r="AT22" s="2">
        <v>5</v>
      </c>
      <c r="AU22" s="5">
        <v>100000</v>
      </c>
      <c r="AV22" s="5">
        <v>640000</v>
      </c>
      <c r="AW22" s="2">
        <v>0</v>
      </c>
      <c r="AX22" s="2">
        <v>8</v>
      </c>
      <c r="AY22" s="2">
        <v>0</v>
      </c>
      <c r="AZ22" s="2">
        <v>18</v>
      </c>
      <c r="BA22" s="2">
        <v>0</v>
      </c>
      <c r="BB22" s="2">
        <v>0</v>
      </c>
      <c r="BC22" s="2">
        <v>1</v>
      </c>
      <c r="BD22" s="2">
        <v>3</v>
      </c>
      <c r="BE22" s="2">
        <v>0</v>
      </c>
      <c r="BF22" s="2">
        <v>1</v>
      </c>
      <c r="BG22" s="2">
        <v>0</v>
      </c>
      <c r="BH22" s="2">
        <v>0</v>
      </c>
      <c r="BI22" s="2">
        <v>13</v>
      </c>
      <c r="BJ22" s="2">
        <v>1</v>
      </c>
      <c r="BK22" s="2">
        <v>0</v>
      </c>
      <c r="BL22" s="2">
        <v>2</v>
      </c>
      <c r="BM22" s="2">
        <v>0</v>
      </c>
      <c r="BN22" s="2">
        <v>9</v>
      </c>
      <c r="BO22" s="2">
        <v>11</v>
      </c>
      <c r="BP22" s="2">
        <v>0</v>
      </c>
      <c r="BQ22" s="2">
        <v>10</v>
      </c>
      <c r="BR22" s="2">
        <v>7.95</v>
      </c>
      <c r="BS22" s="2">
        <v>0</v>
      </c>
      <c r="BT22" s="4">
        <v>0.06</v>
      </c>
      <c r="BU22" s="2" t="s">
        <v>9</v>
      </c>
      <c r="BV22" s="6">
        <v>216127.49</v>
      </c>
      <c r="BW22" s="2" t="s">
        <v>126</v>
      </c>
      <c r="BX22" s="2" t="s">
        <v>17</v>
      </c>
      <c r="BY22" s="2" t="s">
        <v>17</v>
      </c>
      <c r="BZ22" s="2" t="s">
        <v>17</v>
      </c>
      <c r="CA22" s="2" t="s">
        <v>17</v>
      </c>
      <c r="CB22" s="2" t="s">
        <v>17</v>
      </c>
      <c r="CC22" s="2" t="s">
        <v>17</v>
      </c>
      <c r="CD22" s="2" t="s">
        <v>17</v>
      </c>
      <c r="CE22" s="2" t="s">
        <v>3074</v>
      </c>
      <c r="CF22" s="2" t="s">
        <v>17</v>
      </c>
      <c r="CG22" s="2" t="s">
        <v>3075</v>
      </c>
      <c r="CH22" s="2"/>
      <c r="CI22" s="2"/>
      <c r="CJ22" s="2" t="s">
        <v>9</v>
      </c>
      <c r="CK22" s="2" t="s">
        <v>286</v>
      </c>
      <c r="CL22" s="2" t="s">
        <v>3075</v>
      </c>
      <c r="CM22" s="2" t="s">
        <v>287</v>
      </c>
      <c r="CN22" s="2" t="s">
        <v>147</v>
      </c>
      <c r="CO22" s="2" t="s">
        <v>24</v>
      </c>
      <c r="CP22" s="2"/>
      <c r="CQ22" s="2">
        <v>100</v>
      </c>
      <c r="CR22" s="2" t="s">
        <v>461</v>
      </c>
      <c r="CS22" s="2">
        <v>2021</v>
      </c>
      <c r="CT22" s="2" t="s">
        <v>26</v>
      </c>
      <c r="CU22" s="2" t="s">
        <v>27</v>
      </c>
      <c r="CV22" s="2" t="s">
        <v>290</v>
      </c>
      <c r="CW22" s="2" t="s">
        <v>3076</v>
      </c>
      <c r="CX22" s="2" t="s">
        <v>24</v>
      </c>
      <c r="CY22" s="2"/>
      <c r="CZ22" s="2">
        <v>110</v>
      </c>
      <c r="DA22" s="2" t="s">
        <v>461</v>
      </c>
      <c r="DB22" s="2">
        <v>2021</v>
      </c>
      <c r="DC22" s="2" t="s">
        <v>30</v>
      </c>
      <c r="DD22" s="2" t="s">
        <v>27</v>
      </c>
      <c r="DE22" s="2" t="s">
        <v>292</v>
      </c>
      <c r="DF22" s="2" t="s">
        <v>335</v>
      </c>
      <c r="DG22" s="2" t="s">
        <v>24</v>
      </c>
      <c r="DH22" s="2"/>
      <c r="DI22" s="2">
        <v>132</v>
      </c>
      <c r="DJ22" s="2" t="s">
        <v>461</v>
      </c>
      <c r="DK22" s="2">
        <v>2020</v>
      </c>
      <c r="DL22" s="2" t="s">
        <v>30</v>
      </c>
      <c r="DM22" s="2" t="s">
        <v>27</v>
      </c>
      <c r="DN22" s="2" t="s">
        <v>2663</v>
      </c>
      <c r="DO22" s="2" t="s">
        <v>294</v>
      </c>
      <c r="DP22" s="2" t="s">
        <v>295</v>
      </c>
      <c r="DQ22" s="2" t="s">
        <v>296</v>
      </c>
      <c r="DR22" s="2" t="s">
        <v>297</v>
      </c>
      <c r="DS22" s="2">
        <v>1</v>
      </c>
      <c r="DT22" s="2" t="s">
        <v>1060</v>
      </c>
      <c r="DU22" s="2" t="s">
        <v>299</v>
      </c>
      <c r="DV22" s="2" t="s">
        <v>39</v>
      </c>
      <c r="DW22" s="2">
        <v>33133</v>
      </c>
      <c r="DX22" s="2" t="s">
        <v>1061</v>
      </c>
      <c r="DY22" s="2">
        <v>125</v>
      </c>
      <c r="DZ22" s="2" t="s">
        <v>301</v>
      </c>
      <c r="EA22" s="2" t="s">
        <v>297</v>
      </c>
      <c r="EB22" s="2" t="s">
        <v>302</v>
      </c>
      <c r="EC22" s="2" t="s">
        <v>3076</v>
      </c>
      <c r="ED22" s="2" t="s">
        <v>44</v>
      </c>
      <c r="EE22" s="2">
        <v>144</v>
      </c>
      <c r="EF22" s="2" t="s">
        <v>473</v>
      </c>
      <c r="EG22" s="2">
        <v>7</v>
      </c>
      <c r="EH22" s="2" t="s">
        <v>46</v>
      </c>
      <c r="EI22" s="2" t="s">
        <v>47</v>
      </c>
      <c r="EJ22" s="2" t="s">
        <v>304</v>
      </c>
      <c r="EK22" s="2" t="s">
        <v>2720</v>
      </c>
      <c r="EL22" s="2" t="s">
        <v>44</v>
      </c>
      <c r="EM22" s="2">
        <v>150</v>
      </c>
      <c r="EN22" s="2" t="s">
        <v>473</v>
      </c>
      <c r="EO22" s="2">
        <v>5</v>
      </c>
      <c r="EP22" s="2" t="s">
        <v>46</v>
      </c>
      <c r="EQ22" s="2" t="s">
        <v>47</v>
      </c>
      <c r="ER22" s="2" t="s">
        <v>294</v>
      </c>
      <c r="ES22" s="2" t="s">
        <v>295</v>
      </c>
      <c r="ET22" s="2" t="s">
        <v>296</v>
      </c>
      <c r="EU22" s="2" t="s">
        <v>3074</v>
      </c>
      <c r="EV22" s="2" t="s">
        <v>1060</v>
      </c>
      <c r="EW22" s="2" t="s">
        <v>299</v>
      </c>
      <c r="EX22" s="2" t="s">
        <v>39</v>
      </c>
      <c r="EY22" s="2">
        <v>33133</v>
      </c>
      <c r="EZ22" s="2" t="s">
        <v>1061</v>
      </c>
      <c r="FA22" s="2">
        <v>125</v>
      </c>
      <c r="FB22" s="2" t="s">
        <v>301</v>
      </c>
      <c r="FC22" s="2" t="s">
        <v>307</v>
      </c>
      <c r="FD22" s="2"/>
      <c r="FE22" s="2" t="s">
        <v>308</v>
      </c>
      <c r="FF22" s="2" t="s">
        <v>309</v>
      </c>
      <c r="FG22" s="2" t="s">
        <v>1060</v>
      </c>
      <c r="FH22" s="2" t="s">
        <v>299</v>
      </c>
      <c r="FI22" s="2" t="s">
        <v>39</v>
      </c>
      <c r="FJ22" s="2">
        <v>33133</v>
      </c>
      <c r="FK22" s="2" t="s">
        <v>1063</v>
      </c>
      <c r="FL22" s="2"/>
      <c r="FM22" s="2" t="s">
        <v>311</v>
      </c>
      <c r="FN22" s="2" t="s">
        <v>3077</v>
      </c>
      <c r="FO22" s="2" t="s">
        <v>63</v>
      </c>
      <c r="FP22" s="2" t="s">
        <v>64</v>
      </c>
      <c r="FQ22" s="2" t="s">
        <v>9</v>
      </c>
      <c r="FR22" s="2" t="s">
        <v>17</v>
      </c>
      <c r="FS22" s="2" t="s">
        <v>17</v>
      </c>
      <c r="FT22" s="2" t="s">
        <v>9</v>
      </c>
      <c r="FU22" s="2">
        <v>0</v>
      </c>
      <c r="FV22" s="2">
        <v>0</v>
      </c>
      <c r="FW22" s="4">
        <v>0</v>
      </c>
      <c r="FX22" s="4">
        <v>0</v>
      </c>
      <c r="FY22" s="2" t="s">
        <v>65</v>
      </c>
      <c r="FZ22" s="2" t="s">
        <v>66</v>
      </c>
      <c r="GA22" s="2" t="s">
        <v>67</v>
      </c>
      <c r="GB22" s="2"/>
      <c r="GC22" s="2"/>
      <c r="GD22" s="2"/>
      <c r="GE22" s="2" t="s">
        <v>2684</v>
      </c>
      <c r="GF22" s="2"/>
      <c r="GG22" s="2"/>
      <c r="GH22" s="2"/>
      <c r="GI22" s="2"/>
      <c r="GJ22" s="2"/>
      <c r="GK22" s="2">
        <v>84</v>
      </c>
      <c r="GL22" s="2"/>
      <c r="GM22" s="2"/>
      <c r="GN22" s="2"/>
      <c r="GO22" s="2"/>
      <c r="GP22" s="2"/>
      <c r="GQ22" s="2">
        <v>84</v>
      </c>
      <c r="GR22" s="2" t="s">
        <v>2617</v>
      </c>
      <c r="GS22" s="2" t="s">
        <v>2686</v>
      </c>
      <c r="GT22" s="2" t="s">
        <v>3078</v>
      </c>
      <c r="GU22" s="2" t="s">
        <v>3079</v>
      </c>
      <c r="GV22" s="2" t="s">
        <v>17</v>
      </c>
      <c r="GW22" s="2">
        <v>26.018286</v>
      </c>
      <c r="GX22" s="2">
        <v>-80.142977999999999</v>
      </c>
      <c r="GY22" s="2"/>
      <c r="GZ22" s="2" t="s">
        <v>17</v>
      </c>
      <c r="HA22" s="2">
        <v>0</v>
      </c>
      <c r="HB22" s="2" t="s">
        <v>17</v>
      </c>
      <c r="HC22" s="2" t="s">
        <v>17</v>
      </c>
      <c r="HD22" s="2">
        <v>0</v>
      </c>
      <c r="HE22" s="2">
        <v>26.018742</v>
      </c>
      <c r="HF22" s="2">
        <v>-80.143371999999999</v>
      </c>
      <c r="HG22" s="2">
        <v>0.04</v>
      </c>
      <c r="HH22" s="2">
        <v>6</v>
      </c>
      <c r="HI22" s="2">
        <v>26.019238999999999</v>
      </c>
      <c r="HJ22" s="2">
        <v>-80.143111000000005</v>
      </c>
      <c r="HK22" s="2">
        <v>7.0000000000000007E-2</v>
      </c>
      <c r="HL22" s="2">
        <v>26.019238999999999</v>
      </c>
      <c r="HM22" s="2">
        <v>-80.143111000000005</v>
      </c>
      <c r="HN22" s="2">
        <v>7.0000000000000007E-2</v>
      </c>
      <c r="HO22" s="2"/>
      <c r="HP22" s="2"/>
      <c r="HQ22" s="2"/>
      <c r="HR22" s="2"/>
      <c r="HS22" s="2"/>
      <c r="HT22" s="2"/>
      <c r="HU22" s="2"/>
      <c r="HV22" s="2"/>
      <c r="HW22" s="2" t="s">
        <v>73</v>
      </c>
      <c r="HX22" s="2" t="s">
        <v>3080</v>
      </c>
      <c r="HY22" s="2" t="s">
        <v>3081</v>
      </c>
      <c r="HZ22" s="2">
        <v>0.41</v>
      </c>
      <c r="IA22" s="2">
        <v>3.5</v>
      </c>
      <c r="IB22" s="2"/>
      <c r="IC22" s="2"/>
      <c r="ID22" s="2"/>
      <c r="IE22" s="2"/>
      <c r="IF22" s="2" t="s">
        <v>641</v>
      </c>
      <c r="IG22" s="2" t="s">
        <v>3082</v>
      </c>
      <c r="IH22" s="2">
        <v>0.08</v>
      </c>
      <c r="II22" s="2">
        <v>4</v>
      </c>
      <c r="IJ22" s="2" t="s">
        <v>3083</v>
      </c>
      <c r="IK22" s="2" t="s">
        <v>3084</v>
      </c>
      <c r="IL22" s="2">
        <v>0.71</v>
      </c>
      <c r="IM22" s="2">
        <v>3.5</v>
      </c>
      <c r="IN22" s="2" t="s">
        <v>17</v>
      </c>
      <c r="IO22" s="2" t="s">
        <v>9</v>
      </c>
      <c r="IP22" s="2" t="s">
        <v>79</v>
      </c>
      <c r="IQ22" s="2">
        <v>6</v>
      </c>
      <c r="IR22" s="2">
        <v>11</v>
      </c>
      <c r="IS22" s="2">
        <v>0</v>
      </c>
      <c r="IT22" s="2">
        <v>17</v>
      </c>
      <c r="IU22" s="2" t="s">
        <v>17</v>
      </c>
      <c r="IV22" s="2" t="s">
        <v>17</v>
      </c>
      <c r="IW22" s="2" t="s">
        <v>17</v>
      </c>
      <c r="IX22" s="2" t="s">
        <v>9</v>
      </c>
      <c r="IY22" s="2">
        <v>17</v>
      </c>
      <c r="IZ22" s="2">
        <v>84</v>
      </c>
      <c r="JA22" s="2" t="s">
        <v>3085</v>
      </c>
      <c r="JB22" s="2" t="s">
        <v>173</v>
      </c>
      <c r="JC22" s="7">
        <v>0.1</v>
      </c>
      <c r="JD22" s="2"/>
      <c r="JE22" s="7">
        <v>0.9</v>
      </c>
      <c r="JF22" s="7">
        <v>0</v>
      </c>
      <c r="JG22" s="7"/>
      <c r="JH22" s="7"/>
      <c r="JI22" s="2">
        <v>84</v>
      </c>
      <c r="JJ22" s="7">
        <v>1</v>
      </c>
      <c r="JK22" s="2">
        <v>84</v>
      </c>
      <c r="JL22" s="7">
        <v>1</v>
      </c>
      <c r="JM22" s="2"/>
      <c r="JN22" s="2"/>
      <c r="JO22" s="2"/>
      <c r="JP22" s="2"/>
      <c r="JQ22" s="2"/>
      <c r="JR22" s="2">
        <v>0</v>
      </c>
      <c r="JS22" s="2">
        <v>0</v>
      </c>
      <c r="JT22" s="2"/>
      <c r="JU22" s="2"/>
      <c r="JV22" s="2">
        <v>0</v>
      </c>
      <c r="JW22" s="4">
        <v>0</v>
      </c>
      <c r="JX22" s="2">
        <v>0</v>
      </c>
      <c r="JY22" s="4">
        <v>0</v>
      </c>
      <c r="JZ22" s="2">
        <v>0</v>
      </c>
      <c r="KA22" s="2"/>
      <c r="KB22" s="2"/>
      <c r="KC22" s="2"/>
      <c r="KD22" s="2"/>
      <c r="KE22" s="2"/>
      <c r="KF22" s="2"/>
      <c r="KG22" s="2"/>
      <c r="KH22" s="2">
        <v>84</v>
      </c>
      <c r="KI22" s="2"/>
      <c r="KJ22" s="2"/>
      <c r="KK22" s="2"/>
      <c r="KL22" s="2"/>
      <c r="KM22" s="2"/>
      <c r="KN22" s="2"/>
      <c r="KO22" s="2"/>
      <c r="KP22" s="2"/>
      <c r="KQ22" s="2" t="s">
        <v>83</v>
      </c>
      <c r="KR22" s="2"/>
      <c r="KS22" s="2" t="s">
        <v>73</v>
      </c>
      <c r="KT22" s="2">
        <v>1</v>
      </c>
      <c r="KU22" s="2" t="s">
        <v>84</v>
      </c>
      <c r="KV22" s="2" t="s">
        <v>85</v>
      </c>
      <c r="KW22" s="2" t="s">
        <v>86</v>
      </c>
      <c r="KX22" s="2" t="s">
        <v>17</v>
      </c>
      <c r="KY22" s="2" t="s">
        <v>17</v>
      </c>
      <c r="KZ22" s="2" t="s">
        <v>17</v>
      </c>
      <c r="LA22" s="2" t="s">
        <v>17</v>
      </c>
      <c r="LB22" s="2" t="s">
        <v>17</v>
      </c>
      <c r="LC22" s="2" t="s">
        <v>17</v>
      </c>
      <c r="LD22" s="2" t="s">
        <v>17</v>
      </c>
      <c r="LE22" s="2" t="s">
        <v>17</v>
      </c>
      <c r="LF22" s="2" t="s">
        <v>17</v>
      </c>
      <c r="LG22" s="2" t="s">
        <v>17</v>
      </c>
      <c r="LH22" s="2" t="s">
        <v>17</v>
      </c>
      <c r="LI22" s="2" t="s">
        <v>17</v>
      </c>
      <c r="LJ22" s="2" t="s">
        <v>87</v>
      </c>
      <c r="LK22" s="2" t="s">
        <v>17</v>
      </c>
      <c r="LL22" s="2" t="s">
        <v>17</v>
      </c>
      <c r="LM22" s="2">
        <v>0</v>
      </c>
      <c r="LN22" s="2" t="s">
        <v>17</v>
      </c>
      <c r="LO22" s="2" t="s">
        <v>17</v>
      </c>
      <c r="LP22" s="2" t="s">
        <v>17</v>
      </c>
      <c r="LQ22" s="2" t="s">
        <v>17</v>
      </c>
      <c r="LR22" s="2" t="s">
        <v>17</v>
      </c>
      <c r="LS22" s="2" t="s">
        <v>17</v>
      </c>
      <c r="LT22" s="2" t="s">
        <v>17</v>
      </c>
      <c r="LU22" s="2" t="s">
        <v>17</v>
      </c>
      <c r="LV22" s="2" t="s">
        <v>9</v>
      </c>
      <c r="LW22" s="2" t="s">
        <v>9</v>
      </c>
      <c r="LX22" s="2" t="s">
        <v>9</v>
      </c>
      <c r="LY22" s="5">
        <v>6500000</v>
      </c>
      <c r="LZ22" s="5">
        <v>0</v>
      </c>
      <c r="MA22" s="5">
        <v>8400000</v>
      </c>
      <c r="MB22" s="5">
        <v>0</v>
      </c>
      <c r="MC22" s="5">
        <v>0</v>
      </c>
      <c r="MD22" s="5">
        <v>0</v>
      </c>
      <c r="ME22" s="5">
        <v>8820000</v>
      </c>
      <c r="MF22" s="5">
        <v>0</v>
      </c>
      <c r="MG22" s="5">
        <v>0</v>
      </c>
      <c r="MH22" s="5">
        <v>0</v>
      </c>
      <c r="MI22" s="5">
        <v>0</v>
      </c>
      <c r="MJ22" s="5">
        <v>0</v>
      </c>
      <c r="MK22" s="5">
        <v>0</v>
      </c>
      <c r="ML22" s="2">
        <v>0</v>
      </c>
      <c r="MM22" s="5">
        <v>0</v>
      </c>
      <c r="MN22" s="5">
        <v>0</v>
      </c>
      <c r="MO22" s="2">
        <v>0</v>
      </c>
      <c r="MP22" s="2">
        <v>0</v>
      </c>
      <c r="MQ22" s="2">
        <v>0</v>
      </c>
      <c r="MR22" s="5">
        <v>2950000</v>
      </c>
      <c r="MS22" s="5">
        <v>0</v>
      </c>
      <c r="MT22" s="5">
        <v>4600000</v>
      </c>
      <c r="MU22" s="5">
        <v>0</v>
      </c>
      <c r="MV22" s="5">
        <v>0</v>
      </c>
      <c r="MW22" s="5">
        <v>0</v>
      </c>
      <c r="MX22" s="5">
        <v>0</v>
      </c>
      <c r="MY22" s="5">
        <v>2500000</v>
      </c>
      <c r="MZ22" s="5">
        <v>0</v>
      </c>
      <c r="NA22" s="5">
        <v>5000000</v>
      </c>
      <c r="NB22" s="5">
        <v>0</v>
      </c>
      <c r="NC22" s="5">
        <v>0</v>
      </c>
      <c r="ND22" s="5">
        <v>0</v>
      </c>
      <c r="NE22" s="5">
        <v>0</v>
      </c>
      <c r="NF22" s="5">
        <v>0</v>
      </c>
      <c r="NG22" s="5">
        <v>3458400</v>
      </c>
      <c r="NH22" s="5">
        <v>3455000</v>
      </c>
      <c r="NI22" s="5">
        <v>3455000</v>
      </c>
      <c r="NJ22" s="2" t="s">
        <v>9</v>
      </c>
      <c r="NK22" s="2"/>
      <c r="NL22" s="2"/>
      <c r="NM22" s="2" t="s">
        <v>17</v>
      </c>
      <c r="NN22" s="2"/>
      <c r="NO22" s="2" t="s">
        <v>17</v>
      </c>
      <c r="NP22" s="2"/>
      <c r="NQ22" s="2"/>
      <c r="NR22" s="2" t="s">
        <v>17</v>
      </c>
      <c r="NS22" s="2"/>
      <c r="NT22" s="2" t="s">
        <v>9</v>
      </c>
      <c r="NU22" s="2" t="s">
        <v>450</v>
      </c>
      <c r="NV22" s="2">
        <v>903.01</v>
      </c>
      <c r="NW22" s="2" t="s">
        <v>3086</v>
      </c>
      <c r="NX22" s="2" t="s">
        <v>17</v>
      </c>
      <c r="NY22" s="2"/>
      <c r="NZ22" s="2"/>
      <c r="OA22" s="2" t="s">
        <v>118</v>
      </c>
      <c r="OB22" s="2" t="s">
        <v>118</v>
      </c>
      <c r="OC22" s="2" t="s">
        <v>118</v>
      </c>
      <c r="OD22" s="2" t="s">
        <v>17</v>
      </c>
      <c r="OE22" s="2" t="s">
        <v>119</v>
      </c>
      <c r="OF22" s="2" t="s">
        <v>17</v>
      </c>
      <c r="OG22" s="2"/>
      <c r="OH22" s="2" t="s">
        <v>17</v>
      </c>
      <c r="OI22" s="2" t="s">
        <v>17</v>
      </c>
      <c r="OJ22" s="2" t="s">
        <v>85</v>
      </c>
      <c r="OK22" s="6">
        <v>0</v>
      </c>
      <c r="OL22" s="6">
        <v>0</v>
      </c>
      <c r="OM22" s="2" t="s">
        <v>93</v>
      </c>
      <c r="ON22" s="2" t="s">
        <v>93</v>
      </c>
      <c r="OO22" s="6">
        <v>0</v>
      </c>
      <c r="OP22" s="6">
        <v>0</v>
      </c>
      <c r="OQ22" s="4">
        <v>0</v>
      </c>
      <c r="OR22" s="6">
        <v>0</v>
      </c>
      <c r="OS22" s="4">
        <v>0</v>
      </c>
      <c r="OT22" s="2" t="s">
        <v>17</v>
      </c>
      <c r="OU22" s="2" t="s">
        <v>9</v>
      </c>
      <c r="OV22" s="2" t="s">
        <v>3087</v>
      </c>
      <c r="OW22" s="2"/>
      <c r="OX22" s="5">
        <v>18154709</v>
      </c>
      <c r="OY22" s="6">
        <v>216127.49</v>
      </c>
      <c r="OZ22" s="8">
        <v>100000</v>
      </c>
      <c r="PA22" s="8">
        <v>100000</v>
      </c>
      <c r="PB22" s="2"/>
      <c r="PC22" s="2"/>
      <c r="PD22" s="8">
        <v>19673289</v>
      </c>
      <c r="PE22" s="8">
        <v>192332</v>
      </c>
      <c r="PF22" s="8">
        <v>19865621</v>
      </c>
      <c r="PG22" s="2"/>
      <c r="PH22" s="2"/>
      <c r="PI22" s="2"/>
      <c r="PJ22" s="2"/>
      <c r="PK22" s="2"/>
      <c r="PL22" s="2"/>
      <c r="PM22" s="8">
        <v>19673289</v>
      </c>
      <c r="PN22" s="8">
        <v>292332</v>
      </c>
      <c r="PO22" s="8">
        <v>19965621</v>
      </c>
      <c r="PP22" s="8">
        <v>2692641</v>
      </c>
      <c r="PQ22" s="2"/>
      <c r="PR22" s="8">
        <v>2692641</v>
      </c>
      <c r="PS22" s="6">
        <v>2795186</v>
      </c>
      <c r="PT22" s="8">
        <v>22365930</v>
      </c>
      <c r="PU22" s="8">
        <v>292332</v>
      </c>
      <c r="PV22" s="8">
        <v>22658262</v>
      </c>
      <c r="PW22" s="8">
        <v>1107913</v>
      </c>
      <c r="PX22" s="2"/>
      <c r="PY22" s="8">
        <v>1107913</v>
      </c>
      <c r="PZ22" s="6">
        <v>1132913.1000000001</v>
      </c>
      <c r="QA22" s="8">
        <v>1587661</v>
      </c>
      <c r="QB22" s="8">
        <v>197021</v>
      </c>
      <c r="QC22" s="8">
        <v>1784682</v>
      </c>
      <c r="QD22" s="8">
        <v>530981</v>
      </c>
      <c r="QE22" s="2"/>
      <c r="QF22" s="8">
        <v>530981</v>
      </c>
      <c r="QG22" s="8">
        <v>797000</v>
      </c>
      <c r="QH22" s="2"/>
      <c r="QI22" s="8">
        <v>797000</v>
      </c>
      <c r="QJ22" s="2"/>
      <c r="QK22" s="8">
        <v>530301</v>
      </c>
      <c r="QL22" s="8">
        <v>530301</v>
      </c>
      <c r="QM22" s="2"/>
      <c r="QN22" s="2"/>
      <c r="QO22" s="2"/>
      <c r="QP22" s="2"/>
      <c r="QQ22" s="2"/>
      <c r="QR22" s="2"/>
      <c r="QS22" s="8">
        <v>2915642</v>
      </c>
      <c r="QT22" s="8">
        <v>727322</v>
      </c>
      <c r="QU22" s="8">
        <v>3642964</v>
      </c>
      <c r="QV22" s="8">
        <v>140639</v>
      </c>
      <c r="QW22" s="8">
        <v>35160</v>
      </c>
      <c r="QX22" s="8">
        <v>175799</v>
      </c>
      <c r="QY22" s="6">
        <v>182148.2</v>
      </c>
      <c r="QZ22" s="8">
        <v>1596112</v>
      </c>
      <c r="RA22" s="8">
        <v>851216</v>
      </c>
      <c r="RB22" s="8">
        <v>2447328</v>
      </c>
      <c r="RC22" s="8">
        <v>87510</v>
      </c>
      <c r="RD22" s="8">
        <v>87510</v>
      </c>
      <c r="RE22" s="2"/>
      <c r="RF22" s="2"/>
      <c r="RG22" s="2"/>
      <c r="RH22" s="8">
        <v>1596112</v>
      </c>
      <c r="RI22" s="8">
        <v>938726</v>
      </c>
      <c r="RJ22" s="8">
        <v>2534838</v>
      </c>
      <c r="RK22" s="2"/>
      <c r="RL22" s="2"/>
      <c r="RM22" s="8">
        <v>28126236</v>
      </c>
      <c r="RN22" s="8">
        <v>1993540</v>
      </c>
      <c r="RO22" s="8">
        <v>30119776</v>
      </c>
      <c r="RP22" s="2">
        <v>0</v>
      </c>
      <c r="RQ22" s="6">
        <v>0</v>
      </c>
      <c r="RR22" s="8">
        <v>4819164</v>
      </c>
      <c r="RS22" s="2"/>
      <c r="RT22" s="8">
        <v>4819164</v>
      </c>
      <c r="RU22" s="6">
        <v>4819164</v>
      </c>
      <c r="RV22" s="6">
        <v>0</v>
      </c>
      <c r="RW22" s="8">
        <v>4819164</v>
      </c>
      <c r="RX22" s="2"/>
      <c r="RY22" s="8">
        <v>4819164</v>
      </c>
      <c r="RZ22" s="6">
        <v>4819164</v>
      </c>
      <c r="SA22" s="8">
        <v>254221</v>
      </c>
      <c r="SB22" s="8">
        <v>254221</v>
      </c>
      <c r="SC22" s="6">
        <v>294000</v>
      </c>
      <c r="SD22" s="8">
        <v>5690004</v>
      </c>
      <c r="SE22" s="8">
        <v>5690004</v>
      </c>
      <c r="SF22" s="8">
        <v>32945400</v>
      </c>
      <c r="SG22" s="8">
        <v>7937765</v>
      </c>
      <c r="SH22" s="8">
        <v>40883165</v>
      </c>
      <c r="SI22" s="2"/>
      <c r="SJ22" s="2"/>
      <c r="SK22" s="2"/>
      <c r="SL22" s="2"/>
      <c r="SM22" s="8">
        <v>30000000</v>
      </c>
      <c r="SN22" s="2" t="s">
        <v>95</v>
      </c>
      <c r="SO22" s="2"/>
      <c r="SP22" s="2"/>
      <c r="SQ22" s="2"/>
      <c r="SR22" s="2"/>
      <c r="SS22" s="2" t="s">
        <v>96</v>
      </c>
      <c r="ST22" s="2" t="s">
        <v>96</v>
      </c>
      <c r="SU22" s="2" t="s">
        <v>96</v>
      </c>
      <c r="SV22" s="2" t="s">
        <v>96</v>
      </c>
      <c r="SW22" s="8">
        <v>15891400</v>
      </c>
      <c r="SX22" s="2" t="s">
        <v>3088</v>
      </c>
      <c r="SY22" s="8">
        <v>100000</v>
      </c>
      <c r="SZ22" s="2" t="s">
        <v>453</v>
      </c>
      <c r="TA22" s="2">
        <v>0</v>
      </c>
      <c r="TB22" s="8">
        <v>45991400</v>
      </c>
      <c r="TC22" s="8">
        <v>5108235</v>
      </c>
      <c r="TD22" s="2" t="s">
        <v>9</v>
      </c>
      <c r="TE22" s="8">
        <v>8000000</v>
      </c>
      <c r="TF22" s="2" t="s">
        <v>95</v>
      </c>
      <c r="TG22" s="2"/>
      <c r="TH22" s="2"/>
      <c r="TI22" s="2"/>
      <c r="TJ22" s="2"/>
      <c r="TK22" s="2" t="s">
        <v>96</v>
      </c>
      <c r="TL22" s="2" t="s">
        <v>96</v>
      </c>
      <c r="TM22" s="2" t="s">
        <v>96</v>
      </c>
      <c r="TN22" s="2" t="s">
        <v>96</v>
      </c>
      <c r="TO22" s="8">
        <v>31782800</v>
      </c>
      <c r="TP22" s="2" t="s">
        <v>2955</v>
      </c>
      <c r="TQ22" s="8">
        <v>100000</v>
      </c>
      <c r="TR22" s="2" t="s">
        <v>453</v>
      </c>
      <c r="TS22" s="8">
        <v>1000365</v>
      </c>
      <c r="TT22" s="8">
        <v>40883165</v>
      </c>
      <c r="TU22" s="6">
        <v>8100000</v>
      </c>
      <c r="TV22" s="2">
        <v>0</v>
      </c>
      <c r="TW22" s="2" t="s">
        <v>9</v>
      </c>
      <c r="TX22" s="2">
        <v>84</v>
      </c>
      <c r="TY22" s="5">
        <v>310000</v>
      </c>
      <c r="TZ22" s="6">
        <v>413333.33</v>
      </c>
      <c r="UA22" s="6">
        <v>420833.33</v>
      </c>
      <c r="UB22" s="6">
        <v>446083.33</v>
      </c>
      <c r="UC22" s="6">
        <v>37471000</v>
      </c>
      <c r="UD22" s="6">
        <v>5995360</v>
      </c>
      <c r="UE22" s="2" t="s">
        <v>97</v>
      </c>
      <c r="UF22" s="6">
        <v>5995360</v>
      </c>
      <c r="UG22" s="6">
        <v>43466360</v>
      </c>
      <c r="UH22" s="6">
        <v>34838940</v>
      </c>
      <c r="UI22" s="4">
        <v>0.99990000000000001</v>
      </c>
      <c r="UJ22" s="2" t="s">
        <v>9</v>
      </c>
      <c r="UK22" s="2"/>
      <c r="UL22" s="2"/>
      <c r="UM22" s="6">
        <v>0</v>
      </c>
      <c r="UN22" s="6">
        <v>100000</v>
      </c>
      <c r="UO22" s="6">
        <v>100000</v>
      </c>
      <c r="UP22" s="2"/>
      <c r="UQ22" s="6">
        <v>0</v>
      </c>
      <c r="UR22" s="6">
        <v>0</v>
      </c>
      <c r="US22" s="6">
        <v>100000</v>
      </c>
      <c r="UT22" s="6">
        <v>0</v>
      </c>
      <c r="UU22" s="6">
        <v>100000</v>
      </c>
      <c r="UV22" s="2" t="s">
        <v>2739</v>
      </c>
      <c r="UW22" s="2" t="s">
        <v>453</v>
      </c>
      <c r="UX22" s="2" t="s">
        <v>17</v>
      </c>
      <c r="UY22" s="2" t="s">
        <v>17</v>
      </c>
      <c r="UZ22" s="2" t="s">
        <v>17</v>
      </c>
      <c r="VA22" s="2" t="s">
        <v>17</v>
      </c>
      <c r="VB22" s="2" t="s">
        <v>2894</v>
      </c>
      <c r="VC22" s="2" t="s">
        <v>17</v>
      </c>
      <c r="VD22" s="2" t="s">
        <v>17</v>
      </c>
      <c r="VE22" s="2" t="s">
        <v>17</v>
      </c>
      <c r="VF22" s="2"/>
      <c r="VG22" s="2" t="s">
        <v>3089</v>
      </c>
      <c r="VH22" s="2"/>
      <c r="VI22" s="388" t="s">
        <v>286</v>
      </c>
      <c r="VJ22" s="2" t="s">
        <v>98</v>
      </c>
      <c r="VK22" s="2" t="s">
        <v>324</v>
      </c>
      <c r="VL22" s="23">
        <f t="shared" si="0"/>
        <v>84</v>
      </c>
      <c r="VM22" s="17">
        <f t="shared" si="1"/>
        <v>1</v>
      </c>
      <c r="VN22" s="17" t="str">
        <f t="shared" si="2"/>
        <v>NC-HR-E</v>
      </c>
      <c r="VO22" s="17" t="str">
        <f t="shared" si="14"/>
        <v>NC-HR-E-ESS</v>
      </c>
      <c r="VP22" s="12">
        <v>9</v>
      </c>
      <c r="VQ22" s="57">
        <v>1</v>
      </c>
      <c r="VR22" s="14">
        <f t="shared" si="3"/>
        <v>0.88</v>
      </c>
      <c r="VS22" s="14">
        <f t="shared" si="4"/>
        <v>0.97</v>
      </c>
      <c r="VT22" s="12">
        <f t="shared" si="5"/>
        <v>0.88349999999999995</v>
      </c>
      <c r="VU22" s="29">
        <f t="shared" si="6"/>
        <v>23450468.381999999</v>
      </c>
      <c r="VV22" s="29">
        <f t="shared" si="7"/>
        <v>279172.24264285713</v>
      </c>
      <c r="VW22" s="12" t="str">
        <f t="shared" si="15"/>
        <v>B</v>
      </c>
      <c r="VX22" s="12" t="str">
        <f t="shared" si="22"/>
        <v>NC-HR-ESS</v>
      </c>
      <c r="VY22" s="351">
        <f t="shared" si="16"/>
        <v>5</v>
      </c>
      <c r="VZ22" s="12"/>
      <c r="WA22" s="12">
        <f t="shared" si="17"/>
        <v>1</v>
      </c>
      <c r="WB22" s="12">
        <f t="shared" si="18"/>
        <v>0</v>
      </c>
      <c r="WC22" s="12">
        <f t="shared" si="19"/>
        <v>1</v>
      </c>
      <c r="WD22" s="12">
        <f t="shared" si="20"/>
        <v>1</v>
      </c>
      <c r="WE22" s="12">
        <f t="shared" si="21"/>
        <v>1</v>
      </c>
      <c r="WF22" s="12">
        <f t="shared" si="9"/>
        <v>0</v>
      </c>
      <c r="WG22" s="12">
        <f t="shared" si="10"/>
        <v>0</v>
      </c>
      <c r="WH22" s="12">
        <f t="shared" si="11"/>
        <v>1</v>
      </c>
      <c r="WI22" s="31">
        <f t="shared" si="12"/>
        <v>5</v>
      </c>
      <c r="WJ22" s="2"/>
      <c r="WK22" s="444" t="str">
        <f t="shared" si="13"/>
        <v>NC-HR-ESS-BBN-BRY-PHA-E</v>
      </c>
      <c r="WL22" s="444"/>
      <c r="WM22" s="444"/>
      <c r="WN22" s="12"/>
      <c r="WO22" s="12"/>
    </row>
    <row r="23" spans="1:613" x14ac:dyDescent="0.25">
      <c r="A23" s="2">
        <v>9462</v>
      </c>
      <c r="B23" s="2" t="s">
        <v>3090</v>
      </c>
      <c r="C23" s="2" t="s">
        <v>2652</v>
      </c>
      <c r="D23" s="3">
        <v>45152</v>
      </c>
      <c r="E23" s="2" t="s">
        <v>9</v>
      </c>
      <c r="F23" s="2">
        <v>3</v>
      </c>
      <c r="G23" s="2" t="s">
        <v>9</v>
      </c>
      <c r="H23" s="2">
        <v>3</v>
      </c>
      <c r="I23" s="2" t="s">
        <v>9</v>
      </c>
      <c r="J23" s="2">
        <v>2</v>
      </c>
      <c r="K23" s="2" t="s">
        <v>9</v>
      </c>
      <c r="L23" s="2">
        <v>3</v>
      </c>
      <c r="M23" s="2" t="s">
        <v>10</v>
      </c>
      <c r="N23" s="2">
        <v>0</v>
      </c>
      <c r="O23" s="2" t="s">
        <v>10</v>
      </c>
      <c r="P23" s="2">
        <v>0</v>
      </c>
      <c r="Q23" s="2" t="s">
        <v>11</v>
      </c>
      <c r="R23" s="2">
        <v>0</v>
      </c>
      <c r="S23" s="2" t="s">
        <v>9</v>
      </c>
      <c r="T23" s="2">
        <v>2</v>
      </c>
      <c r="U23" s="2" t="s">
        <v>9</v>
      </c>
      <c r="V23" s="2">
        <v>2</v>
      </c>
      <c r="W23" s="2" t="s">
        <v>9</v>
      </c>
      <c r="X23" s="2">
        <v>2</v>
      </c>
      <c r="Y23" s="2" t="s">
        <v>12</v>
      </c>
      <c r="Z23" s="2" t="s">
        <v>786</v>
      </c>
      <c r="AA23" s="2" t="s">
        <v>187</v>
      </c>
      <c r="AB23" s="2" t="s">
        <v>785</v>
      </c>
      <c r="AC23" s="2" t="s">
        <v>15</v>
      </c>
      <c r="AD23" s="2" t="s">
        <v>15</v>
      </c>
      <c r="AE23" s="2" t="s">
        <v>15</v>
      </c>
      <c r="AF23" s="2">
        <v>3</v>
      </c>
      <c r="AG23" s="2" t="s">
        <v>787</v>
      </c>
      <c r="AH23" s="2" t="s">
        <v>17</v>
      </c>
      <c r="AI23" s="4">
        <v>0.15556</v>
      </c>
      <c r="AJ23" s="2" t="s">
        <v>17</v>
      </c>
      <c r="AK23" s="2" t="s">
        <v>9</v>
      </c>
      <c r="AL23" s="2" t="s">
        <v>17</v>
      </c>
      <c r="AM23" s="2" t="s">
        <v>17</v>
      </c>
      <c r="AN23" s="2" t="s">
        <v>17</v>
      </c>
      <c r="AO23" s="2" t="s">
        <v>9</v>
      </c>
      <c r="AP23" s="2" t="s">
        <v>17</v>
      </c>
      <c r="AQ23" s="2" t="s">
        <v>17</v>
      </c>
      <c r="AR23" s="2" t="s">
        <v>17</v>
      </c>
      <c r="AS23" s="2" t="s">
        <v>17</v>
      </c>
      <c r="AT23" s="2">
        <v>5</v>
      </c>
      <c r="AU23" s="5">
        <v>100000</v>
      </c>
      <c r="AV23" s="5">
        <v>640000</v>
      </c>
      <c r="AW23" s="2">
        <v>0</v>
      </c>
      <c r="AX23" s="2">
        <v>6</v>
      </c>
      <c r="AY23" s="2">
        <v>0</v>
      </c>
      <c r="AZ23" s="2">
        <v>18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1</v>
      </c>
      <c r="BG23" s="2">
        <v>0</v>
      </c>
      <c r="BH23" s="2">
        <v>0</v>
      </c>
      <c r="BI23" s="2">
        <v>13</v>
      </c>
      <c r="BJ23" s="2">
        <v>1</v>
      </c>
      <c r="BK23" s="2">
        <v>0</v>
      </c>
      <c r="BL23" s="2">
        <v>2</v>
      </c>
      <c r="BM23" s="2">
        <v>1</v>
      </c>
      <c r="BN23" s="2">
        <v>13</v>
      </c>
      <c r="BO23" s="2">
        <v>11</v>
      </c>
      <c r="BP23" s="2">
        <v>0</v>
      </c>
      <c r="BQ23" s="2">
        <v>10</v>
      </c>
      <c r="BR23" s="2">
        <v>8.51</v>
      </c>
      <c r="BS23" s="2">
        <v>0</v>
      </c>
      <c r="BT23" s="4">
        <v>0.06</v>
      </c>
      <c r="BU23" s="2" t="s">
        <v>9</v>
      </c>
      <c r="BV23" s="6">
        <v>217115.59</v>
      </c>
      <c r="BW23" s="2" t="s">
        <v>126</v>
      </c>
      <c r="BX23" s="2" t="s">
        <v>17</v>
      </c>
      <c r="BY23" s="2" t="s">
        <v>17</v>
      </c>
      <c r="BZ23" s="2" t="s">
        <v>17</v>
      </c>
      <c r="CA23" s="2" t="s">
        <v>17</v>
      </c>
      <c r="CB23" s="2" t="s">
        <v>17</v>
      </c>
      <c r="CC23" s="2" t="s">
        <v>17</v>
      </c>
      <c r="CD23" s="2" t="s">
        <v>17</v>
      </c>
      <c r="CE23" s="2" t="s">
        <v>3091</v>
      </c>
      <c r="CF23" s="2" t="s">
        <v>9</v>
      </c>
      <c r="CG23" s="2" t="s">
        <v>3092</v>
      </c>
      <c r="CH23" s="2" t="s">
        <v>3093</v>
      </c>
      <c r="CI23" s="2"/>
      <c r="CJ23" s="2" t="s">
        <v>9</v>
      </c>
      <c r="CK23" s="2" t="s">
        <v>328</v>
      </c>
      <c r="CL23" s="2" t="s">
        <v>3094</v>
      </c>
      <c r="CM23" s="2" t="s">
        <v>329</v>
      </c>
      <c r="CN23" s="2" t="s">
        <v>330</v>
      </c>
      <c r="CO23" s="2" t="s">
        <v>24</v>
      </c>
      <c r="CP23" s="2" t="s">
        <v>229</v>
      </c>
      <c r="CQ23" s="2">
        <v>90</v>
      </c>
      <c r="CR23" s="2" t="s">
        <v>25</v>
      </c>
      <c r="CS23" s="2">
        <v>2020</v>
      </c>
      <c r="CT23" s="2" t="s">
        <v>26</v>
      </c>
      <c r="CU23" s="2" t="s">
        <v>27</v>
      </c>
      <c r="CV23" s="2" t="s">
        <v>332</v>
      </c>
      <c r="CW23" s="2" t="s">
        <v>333</v>
      </c>
      <c r="CX23" s="2" t="s">
        <v>24</v>
      </c>
      <c r="CY23" s="2" t="s">
        <v>229</v>
      </c>
      <c r="CZ23" s="2">
        <v>86</v>
      </c>
      <c r="DA23" s="2" t="s">
        <v>25</v>
      </c>
      <c r="DB23" s="2">
        <v>2018</v>
      </c>
      <c r="DC23" s="2" t="s">
        <v>30</v>
      </c>
      <c r="DD23" s="2" t="s">
        <v>27</v>
      </c>
      <c r="DE23" s="2" t="s">
        <v>1656</v>
      </c>
      <c r="DF23" s="2" t="s">
        <v>358</v>
      </c>
      <c r="DG23" s="2" t="s">
        <v>24</v>
      </c>
      <c r="DH23" s="2" t="s">
        <v>229</v>
      </c>
      <c r="DI23" s="2">
        <v>106</v>
      </c>
      <c r="DJ23" s="2" t="s">
        <v>25</v>
      </c>
      <c r="DK23" s="2">
        <v>2021</v>
      </c>
      <c r="DL23" s="2" t="s">
        <v>30</v>
      </c>
      <c r="DM23" s="2" t="s">
        <v>27</v>
      </c>
      <c r="DN23" s="2" t="s">
        <v>2663</v>
      </c>
      <c r="DO23" s="2" t="s">
        <v>336</v>
      </c>
      <c r="DP23" s="2" t="s">
        <v>337</v>
      </c>
      <c r="DQ23" s="2" t="s">
        <v>338</v>
      </c>
      <c r="DR23" s="2" t="s">
        <v>508</v>
      </c>
      <c r="DS23" s="2">
        <v>1</v>
      </c>
      <c r="DT23" s="2" t="s">
        <v>1658</v>
      </c>
      <c r="DU23" s="2" t="s">
        <v>38</v>
      </c>
      <c r="DV23" s="2" t="s">
        <v>39</v>
      </c>
      <c r="DW23" s="2">
        <v>32405</v>
      </c>
      <c r="DX23" s="2" t="s">
        <v>340</v>
      </c>
      <c r="DY23" s="2"/>
      <c r="DZ23" s="2" t="s">
        <v>341</v>
      </c>
      <c r="EA23" s="2" t="s">
        <v>36</v>
      </c>
      <c r="EB23" s="2" t="s">
        <v>329</v>
      </c>
      <c r="EC23" s="2" t="s">
        <v>330</v>
      </c>
      <c r="ED23" s="2" t="s">
        <v>44</v>
      </c>
      <c r="EE23" s="2">
        <v>90</v>
      </c>
      <c r="EF23" s="2" t="s">
        <v>45</v>
      </c>
      <c r="EG23" s="2">
        <v>3</v>
      </c>
      <c r="EH23" s="2" t="s">
        <v>46</v>
      </c>
      <c r="EI23" s="2" t="s">
        <v>47</v>
      </c>
      <c r="EJ23" s="2" t="s">
        <v>332</v>
      </c>
      <c r="EK23" s="2" t="s">
        <v>333</v>
      </c>
      <c r="EL23" s="2" t="s">
        <v>44</v>
      </c>
      <c r="EM23" s="2">
        <v>86</v>
      </c>
      <c r="EN23" s="2" t="s">
        <v>45</v>
      </c>
      <c r="EO23" s="2">
        <v>4</v>
      </c>
      <c r="EP23" s="2" t="s">
        <v>46</v>
      </c>
      <c r="EQ23" s="2" t="s">
        <v>47</v>
      </c>
      <c r="ER23" s="2" t="s">
        <v>3095</v>
      </c>
      <c r="ES23" s="2" t="s">
        <v>400</v>
      </c>
      <c r="ET23" s="2" t="s">
        <v>3096</v>
      </c>
      <c r="EU23" s="2" t="s">
        <v>3097</v>
      </c>
      <c r="EV23" s="2" t="s">
        <v>3098</v>
      </c>
      <c r="EW23" s="2" t="s">
        <v>347</v>
      </c>
      <c r="EX23" s="2" t="s">
        <v>39</v>
      </c>
      <c r="EY23" s="2">
        <v>33311</v>
      </c>
      <c r="EZ23" s="2" t="s">
        <v>3099</v>
      </c>
      <c r="FA23" s="2"/>
      <c r="FB23" s="2" t="s">
        <v>3100</v>
      </c>
      <c r="FC23" s="2" t="s">
        <v>343</v>
      </c>
      <c r="FD23" s="2"/>
      <c r="FE23" s="2" t="s">
        <v>344</v>
      </c>
      <c r="FF23" s="2" t="s">
        <v>345</v>
      </c>
      <c r="FG23" s="2" t="s">
        <v>352</v>
      </c>
      <c r="FH23" s="2" t="s">
        <v>347</v>
      </c>
      <c r="FI23" s="2" t="s">
        <v>39</v>
      </c>
      <c r="FJ23" s="2">
        <v>33309</v>
      </c>
      <c r="FK23" s="2" t="s">
        <v>348</v>
      </c>
      <c r="FL23" s="2"/>
      <c r="FM23" s="2" t="s">
        <v>349</v>
      </c>
      <c r="FN23" s="2" t="s">
        <v>3101</v>
      </c>
      <c r="FO23" s="2" t="s">
        <v>63</v>
      </c>
      <c r="FP23" s="2" t="s">
        <v>64</v>
      </c>
      <c r="FQ23" s="2" t="s">
        <v>9</v>
      </c>
      <c r="FR23" s="2" t="s">
        <v>17</v>
      </c>
      <c r="FS23" s="2" t="s">
        <v>17</v>
      </c>
      <c r="FT23" s="2" t="s">
        <v>9</v>
      </c>
      <c r="FU23" s="2">
        <v>0</v>
      </c>
      <c r="FV23" s="2">
        <v>0</v>
      </c>
      <c r="FW23" s="4">
        <v>0</v>
      </c>
      <c r="FX23" s="4">
        <v>0</v>
      </c>
      <c r="FY23" s="2" t="s">
        <v>65</v>
      </c>
      <c r="FZ23" s="2" t="s">
        <v>66</v>
      </c>
      <c r="GA23" s="2" t="s">
        <v>67</v>
      </c>
      <c r="GB23" s="2"/>
      <c r="GC23" s="2"/>
      <c r="GD23" s="2"/>
      <c r="GE23" s="2" t="s">
        <v>2684</v>
      </c>
      <c r="GF23" s="2"/>
      <c r="GG23" s="2"/>
      <c r="GH23" s="2"/>
      <c r="GI23" s="2"/>
      <c r="GJ23" s="2"/>
      <c r="GK23" s="2">
        <v>90</v>
      </c>
      <c r="GL23" s="2"/>
      <c r="GM23" s="2"/>
      <c r="GN23" s="2"/>
      <c r="GO23" s="2"/>
      <c r="GP23" s="2"/>
      <c r="GQ23" s="2">
        <v>90</v>
      </c>
      <c r="GR23" s="2" t="s">
        <v>2617</v>
      </c>
      <c r="GS23" s="2" t="s">
        <v>2686</v>
      </c>
      <c r="GT23" s="2" t="s">
        <v>3102</v>
      </c>
      <c r="GU23" s="2" t="s">
        <v>347</v>
      </c>
      <c r="GV23" s="2" t="s">
        <v>17</v>
      </c>
      <c r="GW23" s="2">
        <v>26.130071099999999</v>
      </c>
      <c r="GX23" s="2">
        <v>-80.146570299999993</v>
      </c>
      <c r="GY23" s="2"/>
      <c r="GZ23" s="2" t="s">
        <v>17</v>
      </c>
      <c r="HA23" s="2">
        <v>0</v>
      </c>
      <c r="HB23" s="2" t="s">
        <v>17</v>
      </c>
      <c r="HC23" s="2" t="s">
        <v>17</v>
      </c>
      <c r="HD23" s="2">
        <v>0</v>
      </c>
      <c r="HE23" s="2">
        <v>26.129491999999999</v>
      </c>
      <c r="HF23" s="2">
        <v>-80.143827999999999</v>
      </c>
      <c r="HG23" s="2">
        <v>0.17</v>
      </c>
      <c r="HH23" s="2">
        <v>6</v>
      </c>
      <c r="HI23" s="2">
        <v>26.129664999999999</v>
      </c>
      <c r="HJ23" s="2">
        <v>-80.144191000000006</v>
      </c>
      <c r="HK23" s="2">
        <v>0.15</v>
      </c>
      <c r="HL23" s="2">
        <v>26.129833000000001</v>
      </c>
      <c r="HM23" s="2">
        <v>-80.144334999999998</v>
      </c>
      <c r="HN23" s="2">
        <v>0.14000000000000001</v>
      </c>
      <c r="HO23" s="2"/>
      <c r="HP23" s="2"/>
      <c r="HQ23" s="2"/>
      <c r="HR23" s="2"/>
      <c r="HS23" s="2"/>
      <c r="HT23" s="2"/>
      <c r="HU23" s="2"/>
      <c r="HV23" s="2"/>
      <c r="HW23" s="2" t="s">
        <v>73</v>
      </c>
      <c r="HX23" s="2" t="s">
        <v>359</v>
      </c>
      <c r="HY23" s="2" t="s">
        <v>3103</v>
      </c>
      <c r="HZ23" s="2">
        <v>0.62</v>
      </c>
      <c r="IA23" s="2">
        <v>3</v>
      </c>
      <c r="IB23" s="2" t="s">
        <v>3104</v>
      </c>
      <c r="IC23" s="2" t="s">
        <v>3105</v>
      </c>
      <c r="ID23" s="2">
        <v>0.43</v>
      </c>
      <c r="IE23" s="2">
        <v>3.5</v>
      </c>
      <c r="IF23" s="2" t="s">
        <v>224</v>
      </c>
      <c r="IG23" s="2" t="s">
        <v>3106</v>
      </c>
      <c r="IH23" s="2">
        <v>0.5</v>
      </c>
      <c r="II23" s="2">
        <v>3.5</v>
      </c>
      <c r="IJ23" s="2"/>
      <c r="IK23" s="2"/>
      <c r="IL23" s="2"/>
      <c r="IM23" s="2"/>
      <c r="IN23" s="2" t="s">
        <v>17</v>
      </c>
      <c r="IO23" s="2"/>
      <c r="IP23" s="2" t="s">
        <v>79</v>
      </c>
      <c r="IQ23" s="2">
        <v>6</v>
      </c>
      <c r="IR23" s="2">
        <v>10</v>
      </c>
      <c r="IS23" s="2">
        <v>0</v>
      </c>
      <c r="IT23" s="2">
        <v>16</v>
      </c>
      <c r="IU23" s="2" t="s">
        <v>9</v>
      </c>
      <c r="IV23" s="2" t="s">
        <v>17</v>
      </c>
      <c r="IW23" s="2" t="s">
        <v>17</v>
      </c>
      <c r="IX23" s="2" t="s">
        <v>9</v>
      </c>
      <c r="IY23" s="2">
        <v>16</v>
      </c>
      <c r="IZ23" s="2">
        <v>90</v>
      </c>
      <c r="JA23" s="2" t="s">
        <v>3085</v>
      </c>
      <c r="JB23" s="2" t="s">
        <v>82</v>
      </c>
      <c r="JC23" s="2"/>
      <c r="JD23" s="2"/>
      <c r="JE23" s="2"/>
      <c r="JF23" s="7">
        <v>0</v>
      </c>
      <c r="JG23" s="7"/>
      <c r="JH23" s="7"/>
      <c r="JI23" s="2">
        <v>0</v>
      </c>
      <c r="JJ23" s="7">
        <v>0</v>
      </c>
      <c r="JK23" s="2">
        <v>0</v>
      </c>
      <c r="JL23" s="7">
        <v>0</v>
      </c>
      <c r="JM23" s="2">
        <v>14</v>
      </c>
      <c r="JN23" s="2"/>
      <c r="JO23" s="2">
        <v>48</v>
      </c>
      <c r="JP23" s="2">
        <v>14</v>
      </c>
      <c r="JQ23" s="2">
        <v>14</v>
      </c>
      <c r="JR23" s="2">
        <v>0</v>
      </c>
      <c r="JS23" s="2">
        <v>0</v>
      </c>
      <c r="JT23" s="2"/>
      <c r="JU23" s="2"/>
      <c r="JV23" s="2">
        <v>90</v>
      </c>
      <c r="JW23" s="4">
        <v>1</v>
      </c>
      <c r="JX23" s="2">
        <v>90</v>
      </c>
      <c r="JY23" s="4">
        <v>0.6</v>
      </c>
      <c r="JZ23" s="2">
        <v>0</v>
      </c>
      <c r="KA23" s="2"/>
      <c r="KB23" s="2"/>
      <c r="KC23" s="2"/>
      <c r="KD23" s="2"/>
      <c r="KE23" s="2"/>
      <c r="KF23" s="2"/>
      <c r="KG23" s="2"/>
      <c r="KH23" s="2">
        <v>90</v>
      </c>
      <c r="KI23" s="2"/>
      <c r="KJ23" s="2"/>
      <c r="KK23" s="2"/>
      <c r="KL23" s="2"/>
      <c r="KM23" s="2"/>
      <c r="KN23" s="2"/>
      <c r="KO23" s="2"/>
      <c r="KP23" s="2"/>
      <c r="KQ23" s="2" t="s">
        <v>83</v>
      </c>
      <c r="KR23" s="2"/>
      <c r="KS23" s="2" t="s">
        <v>73</v>
      </c>
      <c r="KT23" s="2">
        <v>1</v>
      </c>
      <c r="KU23" s="2" t="s">
        <v>84</v>
      </c>
      <c r="KV23" s="2" t="s">
        <v>85</v>
      </c>
      <c r="KW23" s="2" t="s">
        <v>86</v>
      </c>
      <c r="KX23" s="2" t="s">
        <v>17</v>
      </c>
      <c r="KY23" s="2" t="s">
        <v>17</v>
      </c>
      <c r="KZ23" s="2" t="s">
        <v>17</v>
      </c>
      <c r="LA23" s="2" t="s">
        <v>17</v>
      </c>
      <c r="LB23" s="2" t="s">
        <v>17</v>
      </c>
      <c r="LC23" s="2" t="s">
        <v>17</v>
      </c>
      <c r="LD23" s="2" t="s">
        <v>17</v>
      </c>
      <c r="LE23" s="2" t="s">
        <v>17</v>
      </c>
      <c r="LF23" s="2" t="s">
        <v>17</v>
      </c>
      <c r="LG23" s="2" t="s">
        <v>17</v>
      </c>
      <c r="LH23" s="2" t="s">
        <v>17</v>
      </c>
      <c r="LI23" s="2" t="s">
        <v>17</v>
      </c>
      <c r="LJ23" s="2" t="s">
        <v>87</v>
      </c>
      <c r="LK23" s="2" t="s">
        <v>17</v>
      </c>
      <c r="LL23" s="2" t="s">
        <v>17</v>
      </c>
      <c r="LM23" s="2">
        <v>0</v>
      </c>
      <c r="LN23" s="2" t="s">
        <v>17</v>
      </c>
      <c r="LO23" s="2" t="s">
        <v>17</v>
      </c>
      <c r="LP23" s="2" t="s">
        <v>17</v>
      </c>
      <c r="LQ23" s="2" t="s">
        <v>17</v>
      </c>
      <c r="LR23" s="2" t="s">
        <v>17</v>
      </c>
      <c r="LS23" s="2" t="s">
        <v>17</v>
      </c>
      <c r="LT23" s="2" t="s">
        <v>9</v>
      </c>
      <c r="LU23" s="2" t="s">
        <v>9</v>
      </c>
      <c r="LV23" s="2" t="s">
        <v>9</v>
      </c>
      <c r="LW23" s="2" t="s">
        <v>17</v>
      </c>
      <c r="LX23" s="2" t="s">
        <v>17</v>
      </c>
      <c r="LY23" s="5">
        <v>6500000</v>
      </c>
      <c r="LZ23" s="5">
        <v>0</v>
      </c>
      <c r="MA23" s="5">
        <v>8400000</v>
      </c>
      <c r="MB23" s="5">
        <v>0</v>
      </c>
      <c r="MC23" s="5">
        <v>0</v>
      </c>
      <c r="MD23" s="5">
        <v>0</v>
      </c>
      <c r="ME23" s="5">
        <v>9450000</v>
      </c>
      <c r="MF23" s="5">
        <v>0</v>
      </c>
      <c r="MG23" s="5">
        <v>0</v>
      </c>
      <c r="MH23" s="5">
        <v>0</v>
      </c>
      <c r="MI23" s="5">
        <v>0</v>
      </c>
      <c r="MJ23" s="5">
        <v>0</v>
      </c>
      <c r="MK23" s="5">
        <v>0</v>
      </c>
      <c r="ML23" s="2">
        <v>0</v>
      </c>
      <c r="MM23" s="5">
        <v>0</v>
      </c>
      <c r="MN23" s="5">
        <v>0</v>
      </c>
      <c r="MO23" s="2">
        <v>0</v>
      </c>
      <c r="MP23" s="2">
        <v>0</v>
      </c>
      <c r="MQ23" s="2">
        <v>0</v>
      </c>
      <c r="MR23" s="5">
        <v>2950000</v>
      </c>
      <c r="MS23" s="5">
        <v>0</v>
      </c>
      <c r="MT23" s="5">
        <v>4600000</v>
      </c>
      <c r="MU23" s="5">
        <v>0</v>
      </c>
      <c r="MV23" s="5">
        <v>0</v>
      </c>
      <c r="MW23" s="5">
        <v>0</v>
      </c>
      <c r="MX23" s="5">
        <v>0</v>
      </c>
      <c r="MY23" s="5">
        <v>2500000</v>
      </c>
      <c r="MZ23" s="5">
        <v>0</v>
      </c>
      <c r="NA23" s="5">
        <v>5000000</v>
      </c>
      <c r="NB23" s="5">
        <v>0</v>
      </c>
      <c r="NC23" s="5">
        <v>0</v>
      </c>
      <c r="ND23" s="5">
        <v>0</v>
      </c>
      <c r="NE23" s="5">
        <v>0</v>
      </c>
      <c r="NF23" s="5">
        <v>0</v>
      </c>
      <c r="NG23" s="5">
        <v>3458400</v>
      </c>
      <c r="NH23" s="5">
        <v>3458400</v>
      </c>
      <c r="NI23" s="5">
        <v>3458400</v>
      </c>
      <c r="NJ23" s="2" t="s">
        <v>17</v>
      </c>
      <c r="NK23" s="2"/>
      <c r="NL23" s="2"/>
      <c r="NM23" s="2" t="s">
        <v>17</v>
      </c>
      <c r="NN23" s="2"/>
      <c r="NO23" s="2" t="s">
        <v>17</v>
      </c>
      <c r="NP23" s="2"/>
      <c r="NQ23" s="2"/>
      <c r="NR23" s="2" t="s">
        <v>17</v>
      </c>
      <c r="NS23" s="2"/>
      <c r="NT23" s="2" t="s">
        <v>9</v>
      </c>
      <c r="NU23" s="2" t="s">
        <v>450</v>
      </c>
      <c r="NV23" s="2">
        <v>417</v>
      </c>
      <c r="NW23" s="2" t="s">
        <v>3086</v>
      </c>
      <c r="NX23" s="2"/>
      <c r="NY23" s="2"/>
      <c r="NZ23" s="2"/>
      <c r="OA23" s="2" t="s">
        <v>118</v>
      </c>
      <c r="OB23" s="2" t="s">
        <v>118</v>
      </c>
      <c r="OC23" s="2" t="s">
        <v>118</v>
      </c>
      <c r="OD23" s="2" t="s">
        <v>17</v>
      </c>
      <c r="OE23" s="2" t="s">
        <v>119</v>
      </c>
      <c r="OF23" s="2" t="s">
        <v>17</v>
      </c>
      <c r="OG23" s="2"/>
      <c r="OH23" s="2" t="s">
        <v>17</v>
      </c>
      <c r="OI23" s="2" t="s">
        <v>17</v>
      </c>
      <c r="OJ23" s="2" t="s">
        <v>85</v>
      </c>
      <c r="OK23" s="6">
        <v>0</v>
      </c>
      <c r="OL23" s="6">
        <v>0</v>
      </c>
      <c r="OM23" s="2" t="s">
        <v>93</v>
      </c>
      <c r="ON23" s="2" t="s">
        <v>93</v>
      </c>
      <c r="OO23" s="6">
        <v>0</v>
      </c>
      <c r="OP23" s="6">
        <v>0</v>
      </c>
      <c r="OQ23" s="4">
        <v>0</v>
      </c>
      <c r="OR23" s="6">
        <v>0</v>
      </c>
      <c r="OS23" s="4">
        <v>0</v>
      </c>
      <c r="OT23" s="2" t="s">
        <v>17</v>
      </c>
      <c r="OU23" s="2" t="s">
        <v>17</v>
      </c>
      <c r="OV23" s="2"/>
      <c r="OW23" s="2"/>
      <c r="OX23" s="5">
        <v>19540403</v>
      </c>
      <c r="OY23" s="6">
        <v>217115.59</v>
      </c>
      <c r="OZ23" s="8">
        <v>200000</v>
      </c>
      <c r="PA23" s="8">
        <v>200000</v>
      </c>
      <c r="PB23" s="8">
        <v>1000000</v>
      </c>
      <c r="PC23" s="8">
        <v>1000000</v>
      </c>
      <c r="PD23" s="8">
        <v>19148024</v>
      </c>
      <c r="PE23" s="8">
        <v>721227</v>
      </c>
      <c r="PF23" s="8">
        <v>19869251</v>
      </c>
      <c r="PG23" s="2"/>
      <c r="PH23" s="8">
        <v>100000</v>
      </c>
      <c r="PI23" s="8">
        <v>100000</v>
      </c>
      <c r="PJ23" s="8">
        <v>265000</v>
      </c>
      <c r="PK23" s="2"/>
      <c r="PL23" s="8">
        <v>265000</v>
      </c>
      <c r="PM23" s="8">
        <v>19413024</v>
      </c>
      <c r="PN23" s="8">
        <v>2021227</v>
      </c>
      <c r="PO23" s="8">
        <v>21434251</v>
      </c>
      <c r="PP23" s="8">
        <v>2871649</v>
      </c>
      <c r="PQ23" s="2"/>
      <c r="PR23" s="8">
        <v>2871649</v>
      </c>
      <c r="PS23" s="6">
        <v>3000795</v>
      </c>
      <c r="PT23" s="8">
        <v>22284673</v>
      </c>
      <c r="PU23" s="8">
        <v>2021227</v>
      </c>
      <c r="PV23" s="8">
        <v>24305900</v>
      </c>
      <c r="PW23" s="8">
        <v>1081841</v>
      </c>
      <c r="PX23" s="8">
        <v>120205</v>
      </c>
      <c r="PY23" s="8">
        <v>1202046</v>
      </c>
      <c r="PZ23" s="6">
        <v>1215295</v>
      </c>
      <c r="QA23" s="8">
        <v>1191000</v>
      </c>
      <c r="QB23" s="8">
        <v>525875</v>
      </c>
      <c r="QC23" s="8">
        <v>1716875</v>
      </c>
      <c r="QD23" s="8">
        <v>180000</v>
      </c>
      <c r="QE23" s="2"/>
      <c r="QF23" s="8">
        <v>180000</v>
      </c>
      <c r="QG23" s="8">
        <v>963824</v>
      </c>
      <c r="QH23" s="8">
        <v>30000</v>
      </c>
      <c r="QI23" s="8">
        <v>993824</v>
      </c>
      <c r="QJ23" s="2"/>
      <c r="QK23" s="8">
        <v>463600</v>
      </c>
      <c r="QL23" s="8">
        <v>463600</v>
      </c>
      <c r="QM23" s="2"/>
      <c r="QN23" s="2"/>
      <c r="QO23" s="2"/>
      <c r="QP23" s="2"/>
      <c r="QQ23" s="2"/>
      <c r="QR23" s="2"/>
      <c r="QS23" s="8">
        <v>2334824</v>
      </c>
      <c r="QT23" s="8">
        <v>1019475</v>
      </c>
      <c r="QU23" s="8">
        <v>3354299</v>
      </c>
      <c r="QV23" s="8">
        <v>45000</v>
      </c>
      <c r="QW23" s="8">
        <v>45000</v>
      </c>
      <c r="QX23" s="8">
        <v>90000</v>
      </c>
      <c r="QY23" s="6">
        <v>167714.95000000001</v>
      </c>
      <c r="QZ23" s="8">
        <v>1317000</v>
      </c>
      <c r="RA23" s="8">
        <v>760000</v>
      </c>
      <c r="RB23" s="8">
        <v>2077000</v>
      </c>
      <c r="RC23" s="8">
        <v>46000</v>
      </c>
      <c r="RD23" s="8">
        <v>46000</v>
      </c>
      <c r="RE23" s="2"/>
      <c r="RF23" s="2"/>
      <c r="RG23" s="2"/>
      <c r="RH23" s="8">
        <v>1317000</v>
      </c>
      <c r="RI23" s="8">
        <v>806000</v>
      </c>
      <c r="RJ23" s="8">
        <v>2123000</v>
      </c>
      <c r="RK23" s="2"/>
      <c r="RL23" s="2"/>
      <c r="RM23" s="8">
        <v>27063338</v>
      </c>
      <c r="RN23" s="8">
        <v>4011907</v>
      </c>
      <c r="RO23" s="8">
        <v>31075245</v>
      </c>
      <c r="RP23" s="2">
        <v>0</v>
      </c>
      <c r="RQ23" s="6">
        <v>0</v>
      </c>
      <c r="RR23" s="8">
        <v>4968931</v>
      </c>
      <c r="RS23" s="2"/>
      <c r="RT23" s="8">
        <v>4968931</v>
      </c>
      <c r="RU23" s="6">
        <v>4972039</v>
      </c>
      <c r="RV23" s="6">
        <v>0</v>
      </c>
      <c r="RW23" s="8">
        <v>4968931</v>
      </c>
      <c r="RX23" s="2"/>
      <c r="RY23" s="8">
        <v>4968931</v>
      </c>
      <c r="RZ23" s="6">
        <v>4972039</v>
      </c>
      <c r="SA23" s="8">
        <v>301544</v>
      </c>
      <c r="SB23" s="8">
        <v>301544</v>
      </c>
      <c r="SC23" s="6">
        <v>315000</v>
      </c>
      <c r="SD23" s="8">
        <v>2382400</v>
      </c>
      <c r="SE23" s="8">
        <v>2382400</v>
      </c>
      <c r="SF23" s="8">
        <v>32032269</v>
      </c>
      <c r="SG23" s="8">
        <v>6695851</v>
      </c>
      <c r="SH23" s="8">
        <v>38728120</v>
      </c>
      <c r="SI23" s="2" t="s">
        <v>229</v>
      </c>
      <c r="SJ23" s="2" t="s">
        <v>3107</v>
      </c>
      <c r="SK23" s="2"/>
      <c r="SL23" s="2"/>
      <c r="SM23" s="8">
        <v>26000000</v>
      </c>
      <c r="SN23" s="2" t="s">
        <v>95</v>
      </c>
      <c r="SO23" s="8">
        <v>640000</v>
      </c>
      <c r="SP23" s="2" t="s">
        <v>180</v>
      </c>
      <c r="SQ23" s="2"/>
      <c r="SR23" s="2"/>
      <c r="SS23" s="2" t="s">
        <v>96</v>
      </c>
      <c r="ST23" s="2" t="s">
        <v>96</v>
      </c>
      <c r="SU23" s="2" t="s">
        <v>96</v>
      </c>
      <c r="SV23" s="2" t="s">
        <v>96</v>
      </c>
      <c r="SW23" s="8">
        <v>19088458.960000001</v>
      </c>
      <c r="SX23" s="2"/>
      <c r="SY23" s="2"/>
      <c r="SZ23" s="2"/>
      <c r="TA23" s="2">
        <v>0</v>
      </c>
      <c r="TB23" s="8">
        <v>45728458.960000001</v>
      </c>
      <c r="TC23" s="8">
        <v>7000338.96</v>
      </c>
      <c r="TD23" s="2" t="s">
        <v>9</v>
      </c>
      <c r="TE23" s="8">
        <v>2600000</v>
      </c>
      <c r="TF23" s="2" t="s">
        <v>95</v>
      </c>
      <c r="TG23" s="8">
        <v>640000</v>
      </c>
      <c r="TH23" s="2" t="s">
        <v>180</v>
      </c>
      <c r="TI23" s="2"/>
      <c r="TJ23" s="2"/>
      <c r="TK23" s="2" t="s">
        <v>96</v>
      </c>
      <c r="TL23" s="2" t="s">
        <v>96</v>
      </c>
      <c r="TM23" s="2" t="s">
        <v>96</v>
      </c>
      <c r="TN23" s="2" t="s">
        <v>96</v>
      </c>
      <c r="TO23" s="8">
        <v>31814098.27</v>
      </c>
      <c r="TP23" s="2"/>
      <c r="TQ23" s="2"/>
      <c r="TR23" s="2"/>
      <c r="TS23" s="8">
        <v>3674021.73</v>
      </c>
      <c r="TT23" s="8">
        <v>38728120</v>
      </c>
      <c r="TU23" s="6">
        <v>3240000</v>
      </c>
      <c r="TV23" s="2">
        <v>0</v>
      </c>
      <c r="TW23" s="2" t="s">
        <v>9</v>
      </c>
      <c r="TX23" s="2">
        <v>90</v>
      </c>
      <c r="TY23" s="5">
        <v>310000</v>
      </c>
      <c r="TZ23" s="6">
        <v>413333.33</v>
      </c>
      <c r="UA23" s="6">
        <v>413333.33</v>
      </c>
      <c r="UB23" s="6">
        <v>438133.33</v>
      </c>
      <c r="UC23" s="6">
        <v>39432000</v>
      </c>
      <c r="UD23" s="6">
        <v>6309120</v>
      </c>
      <c r="UE23" s="2" t="s">
        <v>97</v>
      </c>
      <c r="UF23" s="6">
        <v>6309120</v>
      </c>
      <c r="UG23" s="6">
        <v>45741120</v>
      </c>
      <c r="UH23" s="6">
        <v>34844176</v>
      </c>
      <c r="UI23" s="4">
        <v>0.99990000000000001</v>
      </c>
      <c r="UJ23" s="2" t="s">
        <v>9</v>
      </c>
      <c r="UK23" s="6">
        <v>640000</v>
      </c>
      <c r="UL23" s="2"/>
      <c r="UM23" s="6">
        <v>640000</v>
      </c>
      <c r="UN23" s="2"/>
      <c r="UO23" s="6">
        <v>0</v>
      </c>
      <c r="UP23" s="2"/>
      <c r="UQ23" s="6">
        <v>0</v>
      </c>
      <c r="UR23" s="6">
        <v>0</v>
      </c>
      <c r="US23" s="6">
        <v>640000</v>
      </c>
      <c r="UT23" s="6">
        <v>0</v>
      </c>
      <c r="UU23" s="6">
        <v>640000</v>
      </c>
      <c r="UV23" s="2" t="s">
        <v>3108</v>
      </c>
      <c r="UW23" s="2" t="s">
        <v>182</v>
      </c>
      <c r="UX23" s="2" t="s">
        <v>9</v>
      </c>
      <c r="UY23" s="2" t="s">
        <v>17</v>
      </c>
      <c r="UZ23" s="2" t="s">
        <v>17</v>
      </c>
      <c r="VA23" s="2" t="s">
        <v>17</v>
      </c>
      <c r="VB23" s="2" t="s">
        <v>2697</v>
      </c>
      <c r="VC23" s="2" t="s">
        <v>17</v>
      </c>
      <c r="VD23" s="2" t="s">
        <v>17</v>
      </c>
      <c r="VE23" s="2" t="s">
        <v>17</v>
      </c>
      <c r="VF23" s="2" t="s">
        <v>3109</v>
      </c>
      <c r="VG23" s="2" t="s">
        <v>3110</v>
      </c>
      <c r="VH23" s="2" t="s">
        <v>3111</v>
      </c>
      <c r="VI23" s="388" t="s">
        <v>3112</v>
      </c>
      <c r="VJ23" s="2" t="s">
        <v>98</v>
      </c>
      <c r="VK23" s="2" t="s">
        <v>1896</v>
      </c>
      <c r="VL23" s="23">
        <f t="shared" si="0"/>
        <v>90</v>
      </c>
      <c r="VM23" s="17">
        <f t="shared" si="1"/>
        <v>1</v>
      </c>
      <c r="VN23" s="17" t="str">
        <f t="shared" si="2"/>
        <v>NC-HR-E</v>
      </c>
      <c r="VO23" s="17" t="str">
        <f t="shared" si="14"/>
        <v>NC-HR-E-ESS</v>
      </c>
      <c r="VP23" s="12">
        <v>9</v>
      </c>
      <c r="VQ23" s="57">
        <v>1</v>
      </c>
      <c r="VR23" s="14">
        <f t="shared" si="3"/>
        <v>0.88</v>
      </c>
      <c r="VS23" s="14">
        <f t="shared" si="4"/>
        <v>1</v>
      </c>
      <c r="VT23" s="12">
        <f t="shared" si="5"/>
        <v>0.88349999999999995</v>
      </c>
      <c r="VU23" s="29">
        <f t="shared" si="6"/>
        <v>24199531.487999998</v>
      </c>
      <c r="VV23" s="29">
        <f t="shared" si="7"/>
        <v>268883.68319999997</v>
      </c>
      <c r="VW23" s="12" t="str">
        <f t="shared" si="15"/>
        <v>A</v>
      </c>
      <c r="VX23" s="12" t="str">
        <f t="shared" si="22"/>
        <v>NC-HR-ESS</v>
      </c>
      <c r="VY23" s="351">
        <f t="shared" si="16"/>
        <v>4</v>
      </c>
      <c r="VZ23" s="12"/>
      <c r="WA23" s="12">
        <f t="shared" si="17"/>
        <v>1</v>
      </c>
      <c r="WB23" s="12">
        <f t="shared" si="18"/>
        <v>0</v>
      </c>
      <c r="WC23" s="12">
        <f t="shared" si="19"/>
        <v>1</v>
      </c>
      <c r="WD23" s="12">
        <f t="shared" si="20"/>
        <v>0</v>
      </c>
      <c r="WE23" s="12">
        <f t="shared" si="21"/>
        <v>1</v>
      </c>
      <c r="WF23" s="12">
        <f t="shared" si="9"/>
        <v>0</v>
      </c>
      <c r="WG23" s="12">
        <f t="shared" si="10"/>
        <v>0</v>
      </c>
      <c r="WH23" s="12">
        <f t="shared" si="11"/>
        <v>1</v>
      </c>
      <c r="WI23" s="31">
        <f t="shared" si="12"/>
        <v>4</v>
      </c>
      <c r="WJ23" s="2"/>
      <c r="WK23" s="444" t="str">
        <f t="shared" si="13"/>
        <v>NC-HR-ESS-BBN-BRY-NPH-E</v>
      </c>
      <c r="WL23" s="444"/>
      <c r="WM23" s="444"/>
      <c r="WN23" s="12"/>
      <c r="WO23" s="12"/>
    </row>
    <row r="24" spans="1:613" x14ac:dyDescent="0.25">
      <c r="A24" s="2">
        <v>9576</v>
      </c>
      <c r="B24" s="2" t="s">
        <v>3113</v>
      </c>
      <c r="C24" s="2" t="s">
        <v>2652</v>
      </c>
      <c r="D24" s="3">
        <v>45152</v>
      </c>
      <c r="E24" s="2" t="s">
        <v>9</v>
      </c>
      <c r="F24" s="2">
        <v>3</v>
      </c>
      <c r="G24" s="2" t="s">
        <v>9</v>
      </c>
      <c r="H24" s="2">
        <v>3</v>
      </c>
      <c r="I24" s="2" t="s">
        <v>9</v>
      </c>
      <c r="J24" s="2">
        <v>3</v>
      </c>
      <c r="K24" s="2" t="s">
        <v>9</v>
      </c>
      <c r="L24" s="2">
        <v>3</v>
      </c>
      <c r="M24" s="2" t="s">
        <v>10</v>
      </c>
      <c r="N24" s="2">
        <v>0</v>
      </c>
      <c r="O24" s="2" t="s">
        <v>10</v>
      </c>
      <c r="P24" s="2">
        <v>0</v>
      </c>
      <c r="Q24" s="2" t="s">
        <v>11</v>
      </c>
      <c r="R24" s="2">
        <v>0</v>
      </c>
      <c r="S24" s="2" t="s">
        <v>9</v>
      </c>
      <c r="T24" s="2">
        <v>2</v>
      </c>
      <c r="U24" s="2" t="s">
        <v>9</v>
      </c>
      <c r="V24" s="2">
        <v>2</v>
      </c>
      <c r="W24" s="2" t="s">
        <v>9</v>
      </c>
      <c r="X24" s="2">
        <v>2</v>
      </c>
      <c r="Y24" s="2" t="s">
        <v>12</v>
      </c>
      <c r="Z24" s="2" t="s">
        <v>2842</v>
      </c>
      <c r="AA24" s="2" t="s">
        <v>2914</v>
      </c>
      <c r="AB24" s="2" t="s">
        <v>2999</v>
      </c>
      <c r="AC24" s="2" t="s">
        <v>15</v>
      </c>
      <c r="AD24" s="2" t="s">
        <v>15</v>
      </c>
      <c r="AE24" s="2" t="s">
        <v>15</v>
      </c>
      <c r="AF24" s="2">
        <v>3</v>
      </c>
      <c r="AG24" s="2" t="s">
        <v>3014</v>
      </c>
      <c r="AH24" s="2" t="s">
        <v>17</v>
      </c>
      <c r="AI24" s="4">
        <v>0.15853999999999999</v>
      </c>
      <c r="AJ24" s="2" t="s">
        <v>17</v>
      </c>
      <c r="AK24" s="2" t="s">
        <v>9</v>
      </c>
      <c r="AL24" s="2" t="s">
        <v>17</v>
      </c>
      <c r="AM24" s="2" t="s">
        <v>17</v>
      </c>
      <c r="AN24" s="2" t="s">
        <v>17</v>
      </c>
      <c r="AO24" s="2" t="s">
        <v>17</v>
      </c>
      <c r="AP24" s="2" t="s">
        <v>9</v>
      </c>
      <c r="AQ24" s="2" t="s">
        <v>17</v>
      </c>
      <c r="AR24" s="2" t="s">
        <v>17</v>
      </c>
      <c r="AS24" s="2" t="s">
        <v>17</v>
      </c>
      <c r="AT24" s="2">
        <v>5</v>
      </c>
      <c r="AU24" s="5">
        <v>100000</v>
      </c>
      <c r="AV24" s="5">
        <v>640000</v>
      </c>
      <c r="AW24" s="2">
        <v>0</v>
      </c>
      <c r="AX24" s="2">
        <v>8</v>
      </c>
      <c r="AY24" s="2">
        <v>0</v>
      </c>
      <c r="AZ24" s="2">
        <v>18</v>
      </c>
      <c r="BA24" s="2">
        <v>0</v>
      </c>
      <c r="BB24" s="2">
        <v>0</v>
      </c>
      <c r="BC24" s="2">
        <v>1</v>
      </c>
      <c r="BD24" s="2">
        <v>3</v>
      </c>
      <c r="BE24" s="2">
        <v>0</v>
      </c>
      <c r="BF24" s="2">
        <v>1</v>
      </c>
      <c r="BG24" s="2">
        <v>0</v>
      </c>
      <c r="BH24" s="2">
        <v>0</v>
      </c>
      <c r="BI24" s="2">
        <v>13</v>
      </c>
      <c r="BJ24" s="2">
        <v>1</v>
      </c>
      <c r="BK24" s="2">
        <v>0</v>
      </c>
      <c r="BL24" s="2">
        <v>3</v>
      </c>
      <c r="BM24" s="2">
        <v>0</v>
      </c>
      <c r="BN24" s="2">
        <v>12</v>
      </c>
      <c r="BO24" s="2">
        <v>11</v>
      </c>
      <c r="BP24" s="2">
        <v>0</v>
      </c>
      <c r="BQ24" s="2">
        <v>10</v>
      </c>
      <c r="BR24" s="2">
        <v>8.4499999999999993</v>
      </c>
      <c r="BS24" s="2">
        <v>0</v>
      </c>
      <c r="BT24" s="4">
        <v>0.06</v>
      </c>
      <c r="BU24" s="2" t="s">
        <v>9</v>
      </c>
      <c r="BV24" s="6">
        <v>218770.2</v>
      </c>
      <c r="BW24" s="2" t="s">
        <v>18</v>
      </c>
      <c r="BX24" s="2" t="s">
        <v>17</v>
      </c>
      <c r="BY24" s="2" t="s">
        <v>17</v>
      </c>
      <c r="BZ24" s="2" t="s">
        <v>17</v>
      </c>
      <c r="CA24" s="2" t="s">
        <v>17</v>
      </c>
      <c r="CB24" s="2" t="s">
        <v>17</v>
      </c>
      <c r="CC24" s="2" t="s">
        <v>17</v>
      </c>
      <c r="CD24" s="2" t="s">
        <v>17</v>
      </c>
      <c r="CE24" s="2" t="s">
        <v>3114</v>
      </c>
      <c r="CF24" s="2" t="s">
        <v>17</v>
      </c>
      <c r="CG24" s="2" t="s">
        <v>3115</v>
      </c>
      <c r="CH24" s="2"/>
      <c r="CI24" s="2"/>
      <c r="CJ24" s="2" t="s">
        <v>9</v>
      </c>
      <c r="CK24" s="2" t="s">
        <v>286</v>
      </c>
      <c r="CL24" s="2" t="s">
        <v>3115</v>
      </c>
      <c r="CM24" s="2" t="s">
        <v>287</v>
      </c>
      <c r="CN24" s="2" t="s">
        <v>288</v>
      </c>
      <c r="CO24" s="2" t="s">
        <v>24</v>
      </c>
      <c r="CP24" s="2"/>
      <c r="CQ24" s="2">
        <v>100</v>
      </c>
      <c r="CR24" s="2" t="s">
        <v>289</v>
      </c>
      <c r="CS24" s="2">
        <v>2021</v>
      </c>
      <c r="CT24" s="2" t="s">
        <v>26</v>
      </c>
      <c r="CU24" s="2" t="s">
        <v>27</v>
      </c>
      <c r="CV24" s="2" t="s">
        <v>290</v>
      </c>
      <c r="CW24" s="2" t="s">
        <v>291</v>
      </c>
      <c r="CX24" s="2" t="s">
        <v>24</v>
      </c>
      <c r="CY24" s="2"/>
      <c r="CZ24" s="2">
        <v>110</v>
      </c>
      <c r="DA24" s="2" t="s">
        <v>289</v>
      </c>
      <c r="DB24" s="2">
        <v>2021</v>
      </c>
      <c r="DC24" s="2" t="s">
        <v>30</v>
      </c>
      <c r="DD24" s="2" t="s">
        <v>27</v>
      </c>
      <c r="DE24" s="2" t="s">
        <v>292</v>
      </c>
      <c r="DF24" s="2" t="s">
        <v>293</v>
      </c>
      <c r="DG24" s="2" t="s">
        <v>24</v>
      </c>
      <c r="DH24" s="2"/>
      <c r="DI24" s="2">
        <v>132</v>
      </c>
      <c r="DJ24" s="2" t="s">
        <v>289</v>
      </c>
      <c r="DK24" s="2">
        <v>2020</v>
      </c>
      <c r="DL24" s="2" t="s">
        <v>30</v>
      </c>
      <c r="DM24" s="2" t="s">
        <v>27</v>
      </c>
      <c r="DN24" s="2" t="s">
        <v>2663</v>
      </c>
      <c r="DO24" s="2" t="s">
        <v>294</v>
      </c>
      <c r="DP24" s="2" t="s">
        <v>295</v>
      </c>
      <c r="DQ24" s="2" t="s">
        <v>296</v>
      </c>
      <c r="DR24" s="2" t="s">
        <v>297</v>
      </c>
      <c r="DS24" s="2">
        <v>1</v>
      </c>
      <c r="DT24" s="2" t="s">
        <v>298</v>
      </c>
      <c r="DU24" s="2" t="s">
        <v>299</v>
      </c>
      <c r="DV24" s="2" t="s">
        <v>39</v>
      </c>
      <c r="DW24" s="2">
        <v>33133</v>
      </c>
      <c r="DX24" s="2" t="s">
        <v>300</v>
      </c>
      <c r="DY24" s="2">
        <v>125</v>
      </c>
      <c r="DZ24" s="2" t="s">
        <v>301</v>
      </c>
      <c r="EA24" s="2" t="s">
        <v>297</v>
      </c>
      <c r="EB24" s="2" t="s">
        <v>302</v>
      </c>
      <c r="EC24" s="2" t="s">
        <v>291</v>
      </c>
      <c r="ED24" s="2" t="s">
        <v>44</v>
      </c>
      <c r="EE24" s="2">
        <v>144</v>
      </c>
      <c r="EF24" s="2" t="s">
        <v>303</v>
      </c>
      <c r="EG24" s="2">
        <v>7</v>
      </c>
      <c r="EH24" s="2" t="s">
        <v>46</v>
      </c>
      <c r="EI24" s="2" t="s">
        <v>47</v>
      </c>
      <c r="EJ24" s="2" t="s">
        <v>304</v>
      </c>
      <c r="EK24" s="2" t="s">
        <v>305</v>
      </c>
      <c r="EL24" s="2" t="s">
        <v>44</v>
      </c>
      <c r="EM24" s="2">
        <v>150</v>
      </c>
      <c r="EN24" s="2" t="s">
        <v>303</v>
      </c>
      <c r="EO24" s="2">
        <v>5</v>
      </c>
      <c r="EP24" s="2" t="s">
        <v>46</v>
      </c>
      <c r="EQ24" s="2" t="s">
        <v>47</v>
      </c>
      <c r="ER24" s="2" t="s">
        <v>294</v>
      </c>
      <c r="ES24" s="2" t="s">
        <v>295</v>
      </c>
      <c r="ET24" s="2" t="s">
        <v>296</v>
      </c>
      <c r="EU24" s="2" t="s">
        <v>3114</v>
      </c>
      <c r="EV24" s="2" t="s">
        <v>298</v>
      </c>
      <c r="EW24" s="2" t="s">
        <v>299</v>
      </c>
      <c r="EX24" s="2" t="s">
        <v>39</v>
      </c>
      <c r="EY24" s="2">
        <v>33133</v>
      </c>
      <c r="EZ24" s="2" t="s">
        <v>300</v>
      </c>
      <c r="FA24" s="2">
        <v>125</v>
      </c>
      <c r="FB24" s="2" t="s">
        <v>301</v>
      </c>
      <c r="FC24" s="2" t="s">
        <v>307</v>
      </c>
      <c r="FD24" s="2"/>
      <c r="FE24" s="2" t="s">
        <v>308</v>
      </c>
      <c r="FF24" s="2" t="s">
        <v>309</v>
      </c>
      <c r="FG24" s="2" t="s">
        <v>298</v>
      </c>
      <c r="FH24" s="2" t="s">
        <v>299</v>
      </c>
      <c r="FI24" s="2" t="s">
        <v>39</v>
      </c>
      <c r="FJ24" s="2">
        <v>33133</v>
      </c>
      <c r="FK24" s="2" t="s">
        <v>310</v>
      </c>
      <c r="FL24" s="2"/>
      <c r="FM24" s="2" t="s">
        <v>311</v>
      </c>
      <c r="FN24" s="2" t="s">
        <v>3116</v>
      </c>
      <c r="FO24" s="2" t="s">
        <v>63</v>
      </c>
      <c r="FP24" s="2" t="s">
        <v>64</v>
      </c>
      <c r="FQ24" s="2" t="s">
        <v>9</v>
      </c>
      <c r="FR24" s="2" t="s">
        <v>17</v>
      </c>
      <c r="FS24" s="2" t="s">
        <v>17</v>
      </c>
      <c r="FT24" s="2" t="s">
        <v>9</v>
      </c>
      <c r="FU24" s="2">
        <v>0</v>
      </c>
      <c r="FV24" s="2">
        <v>0</v>
      </c>
      <c r="FW24" s="4">
        <v>0</v>
      </c>
      <c r="FX24" s="4">
        <v>0</v>
      </c>
      <c r="FY24" s="2" t="s">
        <v>65</v>
      </c>
      <c r="FZ24" s="2" t="s">
        <v>66</v>
      </c>
      <c r="GA24" s="2" t="s">
        <v>67</v>
      </c>
      <c r="GB24" s="2"/>
      <c r="GC24" s="2"/>
      <c r="GD24" s="2"/>
      <c r="GE24" s="2" t="s">
        <v>2684</v>
      </c>
      <c r="GF24" s="2"/>
      <c r="GG24" s="2"/>
      <c r="GH24" s="2"/>
      <c r="GI24" s="2"/>
      <c r="GJ24" s="2"/>
      <c r="GK24" s="2">
        <v>82</v>
      </c>
      <c r="GL24" s="2"/>
      <c r="GM24" s="2"/>
      <c r="GN24" s="2"/>
      <c r="GO24" s="2"/>
      <c r="GP24" s="2"/>
      <c r="GQ24" s="2">
        <v>82</v>
      </c>
      <c r="GR24" s="2" t="s">
        <v>2617</v>
      </c>
      <c r="GS24" s="2" t="s">
        <v>2686</v>
      </c>
      <c r="GT24" s="2" t="s">
        <v>3117</v>
      </c>
      <c r="GU24" s="2" t="s">
        <v>3118</v>
      </c>
      <c r="GV24" s="2" t="s">
        <v>17</v>
      </c>
      <c r="GW24" s="2">
        <v>26.021369</v>
      </c>
      <c r="GX24" s="2">
        <v>-80.142961</v>
      </c>
      <c r="GY24" s="2"/>
      <c r="GZ24" s="2" t="s">
        <v>17</v>
      </c>
      <c r="HA24" s="2">
        <v>0</v>
      </c>
      <c r="HB24" s="2" t="s">
        <v>17</v>
      </c>
      <c r="HC24" s="2"/>
      <c r="HD24" s="2">
        <v>0</v>
      </c>
      <c r="HE24" s="2">
        <v>26.021058</v>
      </c>
      <c r="HF24" s="2">
        <v>-80.143135999999998</v>
      </c>
      <c r="HG24" s="2">
        <v>0.03</v>
      </c>
      <c r="HH24" s="2">
        <v>6</v>
      </c>
      <c r="HI24" s="2">
        <v>26.022161000000001</v>
      </c>
      <c r="HJ24" s="2">
        <v>-80.143364000000005</v>
      </c>
      <c r="HK24" s="2">
        <v>7.0000000000000007E-2</v>
      </c>
      <c r="HL24" s="2">
        <v>26.022822000000001</v>
      </c>
      <c r="HM24" s="2">
        <v>-80.143124999999998</v>
      </c>
      <c r="HN24" s="2">
        <v>0.11</v>
      </c>
      <c r="HO24" s="2"/>
      <c r="HP24" s="2"/>
      <c r="HQ24" s="2"/>
      <c r="HR24" s="2"/>
      <c r="HS24" s="2"/>
      <c r="HT24" s="2"/>
      <c r="HU24" s="2"/>
      <c r="HV24" s="2"/>
      <c r="HW24" s="2" t="s">
        <v>73</v>
      </c>
      <c r="HX24" s="2" t="s">
        <v>3119</v>
      </c>
      <c r="HY24" s="2" t="s">
        <v>3120</v>
      </c>
      <c r="HZ24" s="2">
        <v>0.61</v>
      </c>
      <c r="IA24" s="2">
        <v>3</v>
      </c>
      <c r="IB24" s="2"/>
      <c r="IC24" s="2"/>
      <c r="ID24" s="2"/>
      <c r="IE24" s="2"/>
      <c r="IF24" s="2" t="s">
        <v>3119</v>
      </c>
      <c r="IG24" s="2" t="s">
        <v>3120</v>
      </c>
      <c r="IH24" s="2">
        <v>0.61</v>
      </c>
      <c r="II24" s="2">
        <v>3</v>
      </c>
      <c r="IJ24" s="2" t="s">
        <v>3083</v>
      </c>
      <c r="IK24" s="2" t="s">
        <v>3121</v>
      </c>
      <c r="IL24" s="2">
        <v>0.5</v>
      </c>
      <c r="IM24" s="2">
        <v>4</v>
      </c>
      <c r="IN24" s="2" t="s">
        <v>17</v>
      </c>
      <c r="IO24" s="2"/>
      <c r="IP24" s="2" t="s">
        <v>79</v>
      </c>
      <c r="IQ24" s="2">
        <v>6</v>
      </c>
      <c r="IR24" s="2">
        <v>10</v>
      </c>
      <c r="IS24" s="2">
        <v>0</v>
      </c>
      <c r="IT24" s="2">
        <v>16</v>
      </c>
      <c r="IU24" s="2" t="s">
        <v>17</v>
      </c>
      <c r="IV24" s="2" t="s">
        <v>17</v>
      </c>
      <c r="IW24" s="2" t="s">
        <v>17</v>
      </c>
      <c r="IX24" s="2" t="s">
        <v>9</v>
      </c>
      <c r="IY24" s="2">
        <v>16</v>
      </c>
      <c r="IZ24" s="2">
        <v>82</v>
      </c>
      <c r="JA24" s="2" t="s">
        <v>2731</v>
      </c>
      <c r="JB24" s="2" t="s">
        <v>82</v>
      </c>
      <c r="JC24" s="2"/>
      <c r="JD24" s="2"/>
      <c r="JE24" s="2"/>
      <c r="JF24" s="7">
        <v>0</v>
      </c>
      <c r="JG24" s="7"/>
      <c r="JH24" s="7"/>
      <c r="JI24" s="2">
        <v>0</v>
      </c>
      <c r="JJ24" s="7">
        <v>0</v>
      </c>
      <c r="JK24" s="2">
        <v>0</v>
      </c>
      <c r="JL24" s="7">
        <v>0</v>
      </c>
      <c r="JM24" s="2">
        <v>13</v>
      </c>
      <c r="JN24" s="2"/>
      <c r="JO24" s="2">
        <v>30</v>
      </c>
      <c r="JP24" s="2">
        <v>39</v>
      </c>
      <c r="JQ24" s="2"/>
      <c r="JR24" s="2">
        <v>0</v>
      </c>
      <c r="JS24" s="2">
        <v>0</v>
      </c>
      <c r="JT24" s="2"/>
      <c r="JU24" s="2"/>
      <c r="JV24" s="2">
        <v>82</v>
      </c>
      <c r="JW24" s="4">
        <v>1</v>
      </c>
      <c r="JX24" s="2">
        <v>82</v>
      </c>
      <c r="JY24" s="4">
        <v>0.6</v>
      </c>
      <c r="JZ24" s="2">
        <v>0</v>
      </c>
      <c r="KA24" s="2"/>
      <c r="KB24" s="2"/>
      <c r="KC24" s="2"/>
      <c r="KD24" s="2"/>
      <c r="KE24" s="2"/>
      <c r="KF24" s="2"/>
      <c r="KG24" s="2"/>
      <c r="KH24" s="2">
        <v>82</v>
      </c>
      <c r="KI24" s="2"/>
      <c r="KJ24" s="2"/>
      <c r="KK24" s="2"/>
      <c r="KL24" s="2"/>
      <c r="KM24" s="2"/>
      <c r="KN24" s="2"/>
      <c r="KO24" s="2"/>
      <c r="KP24" s="2"/>
      <c r="KQ24" s="2" t="s">
        <v>83</v>
      </c>
      <c r="KR24" s="2" t="s">
        <v>73</v>
      </c>
      <c r="KS24" s="2"/>
      <c r="KT24" s="2">
        <v>1</v>
      </c>
      <c r="KU24" s="2" t="s">
        <v>84</v>
      </c>
      <c r="KV24" s="2" t="s">
        <v>85</v>
      </c>
      <c r="KW24" s="2" t="s">
        <v>86</v>
      </c>
      <c r="KX24" s="2" t="s">
        <v>17</v>
      </c>
      <c r="KY24" s="2" t="s">
        <v>17</v>
      </c>
      <c r="KZ24" s="2" t="s">
        <v>17</v>
      </c>
      <c r="LA24" s="2" t="s">
        <v>17</v>
      </c>
      <c r="LB24" s="2" t="s">
        <v>17</v>
      </c>
      <c r="LC24" s="2" t="s">
        <v>17</v>
      </c>
      <c r="LD24" s="2" t="s">
        <v>17</v>
      </c>
      <c r="LE24" s="2" t="s">
        <v>17</v>
      </c>
      <c r="LF24" s="2" t="s">
        <v>17</v>
      </c>
      <c r="LG24" s="2" t="s">
        <v>17</v>
      </c>
      <c r="LH24" s="2" t="s">
        <v>17</v>
      </c>
      <c r="LI24" s="2" t="s">
        <v>17</v>
      </c>
      <c r="LJ24" s="2" t="s">
        <v>87</v>
      </c>
      <c r="LK24" s="2" t="s">
        <v>17</v>
      </c>
      <c r="LL24" s="2" t="s">
        <v>17</v>
      </c>
      <c r="LM24" s="2">
        <v>0</v>
      </c>
      <c r="LN24" s="2" t="s">
        <v>17</v>
      </c>
      <c r="LO24" s="2" t="s">
        <v>9</v>
      </c>
      <c r="LP24" s="2" t="s">
        <v>9</v>
      </c>
      <c r="LQ24" s="2" t="s">
        <v>17</v>
      </c>
      <c r="LR24" s="2" t="s">
        <v>9</v>
      </c>
      <c r="LS24" s="2" t="s">
        <v>17</v>
      </c>
      <c r="LT24" s="2" t="s">
        <v>17</v>
      </c>
      <c r="LU24" s="2" t="s">
        <v>17</v>
      </c>
      <c r="LV24" s="2" t="s">
        <v>17</v>
      </c>
      <c r="LW24" s="2" t="s">
        <v>17</v>
      </c>
      <c r="LX24" s="2" t="s">
        <v>17</v>
      </c>
      <c r="LY24" s="5">
        <v>6500000</v>
      </c>
      <c r="LZ24" s="5">
        <v>0</v>
      </c>
      <c r="MA24" s="5">
        <v>8200000</v>
      </c>
      <c r="MB24" s="5">
        <v>0</v>
      </c>
      <c r="MC24" s="5">
        <v>0</v>
      </c>
      <c r="MD24" s="5">
        <v>0</v>
      </c>
      <c r="ME24" s="5">
        <v>8610000</v>
      </c>
      <c r="MF24" s="5">
        <v>0</v>
      </c>
      <c r="MG24" s="5">
        <v>0</v>
      </c>
      <c r="MH24" s="5">
        <v>0</v>
      </c>
      <c r="MI24" s="5">
        <v>0</v>
      </c>
      <c r="MJ24" s="5">
        <v>0</v>
      </c>
      <c r="MK24" s="5">
        <v>0</v>
      </c>
      <c r="ML24" s="2">
        <v>0</v>
      </c>
      <c r="MM24" s="5">
        <v>0</v>
      </c>
      <c r="MN24" s="5">
        <v>0</v>
      </c>
      <c r="MO24" s="2">
        <v>0</v>
      </c>
      <c r="MP24" s="2">
        <v>0</v>
      </c>
      <c r="MQ24" s="2">
        <v>0</v>
      </c>
      <c r="MR24" s="5">
        <v>2950000</v>
      </c>
      <c r="MS24" s="5">
        <v>0</v>
      </c>
      <c r="MT24" s="5">
        <v>4600000</v>
      </c>
      <c r="MU24" s="5">
        <v>0</v>
      </c>
      <c r="MV24" s="5">
        <v>0</v>
      </c>
      <c r="MW24" s="5">
        <v>0</v>
      </c>
      <c r="MX24" s="5">
        <v>0</v>
      </c>
      <c r="MY24" s="5">
        <v>2500000</v>
      </c>
      <c r="MZ24" s="5">
        <v>0</v>
      </c>
      <c r="NA24" s="5">
        <v>5000000</v>
      </c>
      <c r="NB24" s="5">
        <v>0</v>
      </c>
      <c r="NC24" s="5">
        <v>0</v>
      </c>
      <c r="ND24" s="5">
        <v>0</v>
      </c>
      <c r="NE24" s="5">
        <v>0</v>
      </c>
      <c r="NF24" s="5">
        <v>0</v>
      </c>
      <c r="NG24" s="5">
        <v>3458400</v>
      </c>
      <c r="NH24" s="5">
        <v>3175000</v>
      </c>
      <c r="NI24" s="5">
        <v>3175000</v>
      </c>
      <c r="NJ24" s="2" t="s">
        <v>17</v>
      </c>
      <c r="NK24" s="2"/>
      <c r="NL24" s="2"/>
      <c r="NM24" s="2" t="s">
        <v>17</v>
      </c>
      <c r="NN24" s="2"/>
      <c r="NO24" s="2" t="s">
        <v>17</v>
      </c>
      <c r="NP24" s="2"/>
      <c r="NQ24" s="2"/>
      <c r="NR24" s="2" t="s">
        <v>17</v>
      </c>
      <c r="NS24" s="2"/>
      <c r="NT24" s="2" t="s">
        <v>17</v>
      </c>
      <c r="NU24" s="2"/>
      <c r="NV24" s="2"/>
      <c r="NW24" s="2"/>
      <c r="NX24" s="2" t="s">
        <v>9</v>
      </c>
      <c r="NY24" s="2" t="s">
        <v>88</v>
      </c>
      <c r="NZ24" s="2">
        <v>903.04</v>
      </c>
      <c r="OA24" s="2" t="s">
        <v>2733</v>
      </c>
      <c r="OB24" s="2" t="s">
        <v>2734</v>
      </c>
      <c r="OC24" s="2" t="s">
        <v>2734</v>
      </c>
      <c r="OD24" s="2" t="s">
        <v>17</v>
      </c>
      <c r="OE24" s="2" t="s">
        <v>91</v>
      </c>
      <c r="OF24" s="2" t="s">
        <v>9</v>
      </c>
      <c r="OG24" s="2" t="s">
        <v>92</v>
      </c>
      <c r="OH24" s="2" t="s">
        <v>17</v>
      </c>
      <c r="OI24" s="2" t="s">
        <v>17</v>
      </c>
      <c r="OJ24" s="2" t="s">
        <v>85</v>
      </c>
      <c r="OK24" s="6">
        <v>0</v>
      </c>
      <c r="OL24" s="6">
        <v>0</v>
      </c>
      <c r="OM24" s="2" t="s">
        <v>93</v>
      </c>
      <c r="ON24" s="2" t="s">
        <v>93</v>
      </c>
      <c r="OO24" s="6">
        <v>0</v>
      </c>
      <c r="OP24" s="6">
        <v>0</v>
      </c>
      <c r="OQ24" s="4">
        <v>0</v>
      </c>
      <c r="OR24" s="6">
        <v>0</v>
      </c>
      <c r="OS24" s="4">
        <v>0</v>
      </c>
      <c r="OT24" s="2" t="s">
        <v>17</v>
      </c>
      <c r="OU24" s="2" t="s">
        <v>17</v>
      </c>
      <c r="OV24" s="2"/>
      <c r="OW24" s="2"/>
      <c r="OX24" s="5">
        <v>17939156</v>
      </c>
      <c r="OY24" s="6">
        <v>218770.2</v>
      </c>
      <c r="OZ24" s="8">
        <v>25000</v>
      </c>
      <c r="PA24" s="8">
        <v>25000</v>
      </c>
      <c r="PB24" s="2"/>
      <c r="PC24" s="2"/>
      <c r="PD24" s="8">
        <v>18000553</v>
      </c>
      <c r="PE24" s="2"/>
      <c r="PF24" s="8">
        <v>18000553</v>
      </c>
      <c r="PG24" s="2"/>
      <c r="PH24" s="2"/>
      <c r="PI24" s="2"/>
      <c r="PJ24" s="2"/>
      <c r="PK24" s="2"/>
      <c r="PL24" s="2"/>
      <c r="PM24" s="8">
        <v>18000553</v>
      </c>
      <c r="PN24" s="8">
        <v>25000</v>
      </c>
      <c r="PO24" s="8">
        <v>18025553</v>
      </c>
      <c r="PP24" s="8">
        <v>2523577</v>
      </c>
      <c r="PQ24" s="2"/>
      <c r="PR24" s="8">
        <v>2523577</v>
      </c>
      <c r="PS24" s="6">
        <v>2523577</v>
      </c>
      <c r="PT24" s="8">
        <v>20524130</v>
      </c>
      <c r="PU24" s="8">
        <v>25000</v>
      </c>
      <c r="PV24" s="8">
        <v>20549130</v>
      </c>
      <c r="PW24" s="8">
        <v>1027456</v>
      </c>
      <c r="PX24" s="2"/>
      <c r="PY24" s="8">
        <v>1027456</v>
      </c>
      <c r="PZ24" s="6">
        <v>1027456.5</v>
      </c>
      <c r="QA24" s="8">
        <v>839792</v>
      </c>
      <c r="QB24" s="8">
        <v>86940</v>
      </c>
      <c r="QC24" s="8">
        <v>926732</v>
      </c>
      <c r="QD24" s="8">
        <v>406245</v>
      </c>
      <c r="QE24" s="2"/>
      <c r="QF24" s="8">
        <v>406245</v>
      </c>
      <c r="QG24" s="8">
        <v>613511</v>
      </c>
      <c r="QH24" s="2"/>
      <c r="QI24" s="8">
        <v>613511</v>
      </c>
      <c r="QJ24" s="2"/>
      <c r="QK24" s="8">
        <v>499845</v>
      </c>
      <c r="QL24" s="8">
        <v>499845</v>
      </c>
      <c r="QM24" s="2"/>
      <c r="QN24" s="2"/>
      <c r="QO24" s="2"/>
      <c r="QP24" s="2"/>
      <c r="QQ24" s="2"/>
      <c r="QR24" s="2"/>
      <c r="QS24" s="8">
        <v>1859548</v>
      </c>
      <c r="QT24" s="8">
        <v>586785</v>
      </c>
      <c r="QU24" s="8">
        <v>2446333</v>
      </c>
      <c r="QV24" s="8">
        <v>122316</v>
      </c>
      <c r="QW24" s="2"/>
      <c r="QX24" s="8">
        <v>122316</v>
      </c>
      <c r="QY24" s="6">
        <v>122316.65</v>
      </c>
      <c r="QZ24" s="8">
        <v>1094612</v>
      </c>
      <c r="RA24" s="8">
        <v>873371</v>
      </c>
      <c r="RB24" s="8">
        <v>1967983</v>
      </c>
      <c r="RC24" s="8">
        <v>57350</v>
      </c>
      <c r="RD24" s="8">
        <v>57350</v>
      </c>
      <c r="RE24" s="2"/>
      <c r="RF24" s="2"/>
      <c r="RG24" s="2"/>
      <c r="RH24" s="8">
        <v>1094612</v>
      </c>
      <c r="RI24" s="8">
        <v>930721</v>
      </c>
      <c r="RJ24" s="8">
        <v>2025333</v>
      </c>
      <c r="RK24" s="2"/>
      <c r="RL24" s="2"/>
      <c r="RM24" s="8">
        <v>24628062</v>
      </c>
      <c r="RN24" s="8">
        <v>1542506</v>
      </c>
      <c r="RO24" s="8">
        <v>26170568</v>
      </c>
      <c r="RP24" s="2">
        <v>0</v>
      </c>
      <c r="RQ24" s="6">
        <v>0</v>
      </c>
      <c r="RR24" s="8">
        <v>4187290</v>
      </c>
      <c r="RS24" s="2"/>
      <c r="RT24" s="8">
        <v>4187290</v>
      </c>
      <c r="RU24" s="6">
        <v>4187290</v>
      </c>
      <c r="RV24" s="6">
        <v>0</v>
      </c>
      <c r="RW24" s="8">
        <v>4187290</v>
      </c>
      <c r="RX24" s="2"/>
      <c r="RY24" s="8">
        <v>4187290</v>
      </c>
      <c r="RZ24" s="6">
        <v>4187290</v>
      </c>
      <c r="SA24" s="8">
        <v>287000</v>
      </c>
      <c r="SB24" s="8">
        <v>287000</v>
      </c>
      <c r="SC24" s="6">
        <v>287000</v>
      </c>
      <c r="SD24" s="8">
        <v>3750000</v>
      </c>
      <c r="SE24" s="8">
        <v>3750000</v>
      </c>
      <c r="SF24" s="8">
        <v>28815352</v>
      </c>
      <c r="SG24" s="8">
        <v>5579506</v>
      </c>
      <c r="SH24" s="8">
        <v>34394858</v>
      </c>
      <c r="SI24" s="2"/>
      <c r="SJ24" s="2"/>
      <c r="SK24" s="2"/>
      <c r="SL24" s="2"/>
      <c r="SM24" s="8">
        <v>25000000</v>
      </c>
      <c r="SN24" s="2" t="s">
        <v>95</v>
      </c>
      <c r="SO24" s="2"/>
      <c r="SP24" s="2"/>
      <c r="SQ24" s="2"/>
      <c r="SR24" s="2"/>
      <c r="SS24" s="2" t="s">
        <v>96</v>
      </c>
      <c r="ST24" s="2" t="s">
        <v>96</v>
      </c>
      <c r="SU24" s="2" t="s">
        <v>96</v>
      </c>
      <c r="SV24" s="2" t="s">
        <v>96</v>
      </c>
      <c r="SW24" s="8">
        <v>14603550</v>
      </c>
      <c r="SX24" s="2" t="s">
        <v>3122</v>
      </c>
      <c r="SY24" s="8">
        <v>100000</v>
      </c>
      <c r="SZ24" s="2" t="s">
        <v>453</v>
      </c>
      <c r="TA24" s="2">
        <v>0</v>
      </c>
      <c r="TB24" s="8">
        <v>39703550</v>
      </c>
      <c r="TC24" s="8">
        <v>5308692</v>
      </c>
      <c r="TD24" s="2" t="s">
        <v>9</v>
      </c>
      <c r="TE24" s="8">
        <v>5000000</v>
      </c>
      <c r="TF24" s="2" t="s">
        <v>95</v>
      </c>
      <c r="TG24" s="2"/>
      <c r="TH24" s="2"/>
      <c r="TI24" s="2"/>
      <c r="TJ24" s="2"/>
      <c r="TK24" s="2" t="s">
        <v>96</v>
      </c>
      <c r="TL24" s="2" t="s">
        <v>96</v>
      </c>
      <c r="TM24" s="2" t="s">
        <v>96</v>
      </c>
      <c r="TN24" s="2" t="s">
        <v>96</v>
      </c>
      <c r="TO24" s="8">
        <v>29207100</v>
      </c>
      <c r="TP24" s="2" t="s">
        <v>3122</v>
      </c>
      <c r="TQ24" s="8">
        <v>100000</v>
      </c>
      <c r="TR24" s="2" t="s">
        <v>453</v>
      </c>
      <c r="TS24" s="8">
        <v>87758</v>
      </c>
      <c r="TT24" s="8">
        <v>34394858</v>
      </c>
      <c r="TU24" s="6">
        <v>5100000</v>
      </c>
      <c r="TV24" s="2">
        <v>0</v>
      </c>
      <c r="TW24" s="2" t="s">
        <v>9</v>
      </c>
      <c r="TX24" s="2">
        <v>82</v>
      </c>
      <c r="TY24" s="5">
        <v>310000</v>
      </c>
      <c r="TZ24" s="6">
        <v>413333.33</v>
      </c>
      <c r="UA24" s="6">
        <v>413333.33</v>
      </c>
      <c r="UB24" s="6">
        <v>438133.33</v>
      </c>
      <c r="UC24" s="6">
        <v>35926933.329999998</v>
      </c>
      <c r="UD24" s="6">
        <v>5748309</v>
      </c>
      <c r="UE24" s="2" t="s">
        <v>97</v>
      </c>
      <c r="UF24" s="6">
        <v>5748309</v>
      </c>
      <c r="UG24" s="6">
        <v>41675242.329999998</v>
      </c>
      <c r="UH24" s="6">
        <v>30332858</v>
      </c>
      <c r="UI24" s="4">
        <v>0.99990000000000001</v>
      </c>
      <c r="UJ24" s="2" t="s">
        <v>9</v>
      </c>
      <c r="UK24" s="2"/>
      <c r="UL24" s="2"/>
      <c r="UM24" s="6">
        <v>0</v>
      </c>
      <c r="UN24" s="6">
        <v>100000</v>
      </c>
      <c r="UO24" s="6">
        <v>100000</v>
      </c>
      <c r="UP24" s="2"/>
      <c r="UQ24" s="6">
        <v>0</v>
      </c>
      <c r="UR24" s="6">
        <v>0</v>
      </c>
      <c r="US24" s="6">
        <v>100000</v>
      </c>
      <c r="UT24" s="6">
        <v>0</v>
      </c>
      <c r="UU24" s="6">
        <v>100000</v>
      </c>
      <c r="UV24" s="2" t="s">
        <v>2739</v>
      </c>
      <c r="UW24" s="2" t="s">
        <v>453</v>
      </c>
      <c r="UX24" s="2" t="s">
        <v>17</v>
      </c>
      <c r="UY24" s="2" t="s">
        <v>17</v>
      </c>
      <c r="UZ24" s="2" t="s">
        <v>17</v>
      </c>
      <c r="VA24" s="2" t="s">
        <v>17</v>
      </c>
      <c r="VB24" s="2" t="s">
        <v>2740</v>
      </c>
      <c r="VC24" s="2" t="s">
        <v>17</v>
      </c>
      <c r="VD24" s="2" t="s">
        <v>17</v>
      </c>
      <c r="VE24" s="2" t="s">
        <v>17</v>
      </c>
      <c r="VF24" s="2"/>
      <c r="VG24" s="2" t="s">
        <v>3123</v>
      </c>
      <c r="VH24" s="2"/>
      <c r="VI24" s="388" t="s">
        <v>286</v>
      </c>
      <c r="VJ24" s="2" t="s">
        <v>98</v>
      </c>
      <c r="VK24" s="2" t="s">
        <v>1168</v>
      </c>
      <c r="VL24" s="23">
        <f t="shared" si="0"/>
        <v>82</v>
      </c>
      <c r="VM24" s="17">
        <f t="shared" si="1"/>
        <v>1</v>
      </c>
      <c r="VN24" s="17" t="str">
        <f t="shared" si="2"/>
        <v>NC-HR-F</v>
      </c>
      <c r="VO24" s="17" t="str">
        <f t="shared" si="14"/>
        <v>NC-HR-F-ESS</v>
      </c>
      <c r="VP24" s="12">
        <v>9</v>
      </c>
      <c r="VQ24" s="57">
        <v>1</v>
      </c>
      <c r="VR24" s="14">
        <f t="shared" si="3"/>
        <v>0.88</v>
      </c>
      <c r="VS24" s="14">
        <f t="shared" si="4"/>
        <v>1</v>
      </c>
      <c r="VT24" s="12">
        <f t="shared" si="5"/>
        <v>0.88350000000000006</v>
      </c>
      <c r="VU24" s="29">
        <f t="shared" si="6"/>
        <v>22216491</v>
      </c>
      <c r="VV24" s="29">
        <f t="shared" si="7"/>
        <v>270932.81707317074</v>
      </c>
      <c r="VW24" s="12" t="str">
        <f t="shared" si="15"/>
        <v>A</v>
      </c>
      <c r="VX24" s="12" t="str">
        <f t="shared" si="22"/>
        <v>NC-HR-ESS</v>
      </c>
      <c r="VY24" s="351">
        <f t="shared" si="16"/>
        <v>5</v>
      </c>
      <c r="VZ24" s="12"/>
      <c r="WA24" s="12">
        <f t="shared" si="17"/>
        <v>0</v>
      </c>
      <c r="WB24" s="12">
        <f t="shared" si="18"/>
        <v>0</v>
      </c>
      <c r="WC24" s="12">
        <f t="shared" si="19"/>
        <v>1</v>
      </c>
      <c r="WD24" s="12">
        <f t="shared" si="20"/>
        <v>0</v>
      </c>
      <c r="WE24" s="12">
        <f t="shared" si="21"/>
        <v>1</v>
      </c>
      <c r="WF24" s="12">
        <f t="shared" si="9"/>
        <v>0</v>
      </c>
      <c r="WG24" s="12">
        <f t="shared" si="10"/>
        <v>0</v>
      </c>
      <c r="WH24" s="12">
        <f t="shared" si="11"/>
        <v>1</v>
      </c>
      <c r="WI24" s="31">
        <f t="shared" si="12"/>
        <v>3</v>
      </c>
      <c r="WJ24" s="2"/>
      <c r="WK24" s="444" t="str">
        <f t="shared" si="13"/>
        <v>NC-HR-ESS-BBN-BRY-NPH-F</v>
      </c>
      <c r="WL24" s="444"/>
      <c r="WM24" s="444"/>
      <c r="WN24" s="12"/>
      <c r="WO24" s="12"/>
    </row>
    <row r="25" spans="1:613" x14ac:dyDescent="0.25">
      <c r="A25" s="2">
        <v>9582</v>
      </c>
      <c r="B25" s="2" t="s">
        <v>3124</v>
      </c>
      <c r="C25" s="2" t="s">
        <v>2652</v>
      </c>
      <c r="D25" s="3">
        <v>45152</v>
      </c>
      <c r="E25" s="2" t="s">
        <v>9</v>
      </c>
      <c r="F25" s="2">
        <v>3</v>
      </c>
      <c r="G25" s="2" t="s">
        <v>9</v>
      </c>
      <c r="H25" s="2">
        <v>3</v>
      </c>
      <c r="I25" s="2" t="s">
        <v>9</v>
      </c>
      <c r="J25" s="2">
        <v>3</v>
      </c>
      <c r="K25" s="2" t="s">
        <v>9</v>
      </c>
      <c r="L25" s="2">
        <v>3</v>
      </c>
      <c r="M25" s="2" t="s">
        <v>10</v>
      </c>
      <c r="N25" s="2">
        <v>0</v>
      </c>
      <c r="O25" s="2" t="s">
        <v>10</v>
      </c>
      <c r="P25" s="2">
        <v>0</v>
      </c>
      <c r="Q25" s="2" t="s">
        <v>11</v>
      </c>
      <c r="R25" s="2">
        <v>0</v>
      </c>
      <c r="S25" s="2" t="s">
        <v>9</v>
      </c>
      <c r="T25" s="2">
        <v>2</v>
      </c>
      <c r="U25" s="2" t="s">
        <v>9</v>
      </c>
      <c r="V25" s="2">
        <v>2</v>
      </c>
      <c r="W25" s="2" t="s">
        <v>9</v>
      </c>
      <c r="X25" s="2">
        <v>2</v>
      </c>
      <c r="Y25" s="2" t="s">
        <v>12</v>
      </c>
      <c r="Z25" s="2" t="s">
        <v>15</v>
      </c>
      <c r="AA25" s="2" t="s">
        <v>15</v>
      </c>
      <c r="AB25" s="2" t="s">
        <v>15</v>
      </c>
      <c r="AC25" s="2" t="s">
        <v>15</v>
      </c>
      <c r="AD25" s="2" t="s">
        <v>15</v>
      </c>
      <c r="AE25" s="2" t="s">
        <v>3125</v>
      </c>
      <c r="AF25" s="2">
        <v>0</v>
      </c>
      <c r="AG25" s="2" t="s">
        <v>234</v>
      </c>
      <c r="AH25" s="2" t="s">
        <v>17</v>
      </c>
      <c r="AI25" s="4">
        <v>0.15928999999999999</v>
      </c>
      <c r="AJ25" s="2" t="s">
        <v>17</v>
      </c>
      <c r="AK25" s="2" t="s">
        <v>9</v>
      </c>
      <c r="AL25" s="2" t="s">
        <v>17</v>
      </c>
      <c r="AM25" s="2" t="s">
        <v>17</v>
      </c>
      <c r="AN25" s="2" t="s">
        <v>17</v>
      </c>
      <c r="AO25" s="2" t="s">
        <v>9</v>
      </c>
      <c r="AP25" s="2" t="s">
        <v>17</v>
      </c>
      <c r="AQ25" s="2" t="s">
        <v>17</v>
      </c>
      <c r="AR25" s="2" t="s">
        <v>17</v>
      </c>
      <c r="AS25" s="2" t="s">
        <v>17</v>
      </c>
      <c r="AT25" s="2">
        <v>5</v>
      </c>
      <c r="AU25" s="5">
        <v>75000</v>
      </c>
      <c r="AV25" s="5">
        <v>640000</v>
      </c>
      <c r="AW25" s="2">
        <v>0</v>
      </c>
      <c r="AX25" s="2">
        <v>10</v>
      </c>
      <c r="AY25" s="2">
        <v>0</v>
      </c>
      <c r="AZ25" s="2">
        <v>18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1</v>
      </c>
      <c r="BG25" s="2">
        <v>0</v>
      </c>
      <c r="BH25" s="2">
        <v>0</v>
      </c>
      <c r="BI25" s="2">
        <v>13</v>
      </c>
      <c r="BJ25" s="2">
        <v>1</v>
      </c>
      <c r="BK25" s="2">
        <v>0</v>
      </c>
      <c r="BL25" s="2">
        <v>2</v>
      </c>
      <c r="BM25" s="2">
        <v>1</v>
      </c>
      <c r="BN25" s="2">
        <v>13</v>
      </c>
      <c r="BO25" s="2">
        <v>11</v>
      </c>
      <c r="BP25" s="2">
        <v>0</v>
      </c>
      <c r="BQ25" s="2">
        <v>10</v>
      </c>
      <c r="BR25" s="2">
        <v>12.35</v>
      </c>
      <c r="BS25" s="2">
        <v>0</v>
      </c>
      <c r="BT25" s="4">
        <v>0.06</v>
      </c>
      <c r="BU25" s="2" t="s">
        <v>9</v>
      </c>
      <c r="BV25" s="6">
        <v>218863.56</v>
      </c>
      <c r="BW25" s="2" t="s">
        <v>126</v>
      </c>
      <c r="BX25" s="2" t="s">
        <v>17</v>
      </c>
      <c r="BY25" s="2" t="s">
        <v>17</v>
      </c>
      <c r="BZ25" s="2" t="s">
        <v>17</v>
      </c>
      <c r="CA25" s="2" t="s">
        <v>17</v>
      </c>
      <c r="CB25" s="2" t="s">
        <v>17</v>
      </c>
      <c r="CC25" s="2" t="s">
        <v>17</v>
      </c>
      <c r="CD25" s="2" t="s">
        <v>17</v>
      </c>
      <c r="CE25" s="2" t="s">
        <v>3126</v>
      </c>
      <c r="CF25" s="2" t="s">
        <v>9</v>
      </c>
      <c r="CG25" s="2" t="s">
        <v>3127</v>
      </c>
      <c r="CH25" s="2" t="s">
        <v>3128</v>
      </c>
      <c r="CI25" s="2"/>
      <c r="CJ25" s="2" t="s">
        <v>9</v>
      </c>
      <c r="CK25" s="2" t="s">
        <v>3129</v>
      </c>
      <c r="CL25" s="2" t="s">
        <v>3127</v>
      </c>
      <c r="CM25" s="2" t="s">
        <v>3130</v>
      </c>
      <c r="CN25" s="2" t="s">
        <v>3131</v>
      </c>
      <c r="CO25" s="2" t="s">
        <v>24</v>
      </c>
      <c r="CP25" s="2"/>
      <c r="CQ25" s="2">
        <v>80</v>
      </c>
      <c r="CR25" s="2" t="s">
        <v>3132</v>
      </c>
      <c r="CS25" s="2">
        <v>2017</v>
      </c>
      <c r="CT25" s="2" t="s">
        <v>26</v>
      </c>
      <c r="CU25" s="2" t="s">
        <v>27</v>
      </c>
      <c r="CV25" s="2" t="s">
        <v>3133</v>
      </c>
      <c r="CW25" s="2" t="s">
        <v>3134</v>
      </c>
      <c r="CX25" s="2" t="s">
        <v>24</v>
      </c>
      <c r="CY25" s="2"/>
      <c r="CZ25" s="2">
        <v>96</v>
      </c>
      <c r="DA25" s="2" t="s">
        <v>3132</v>
      </c>
      <c r="DB25" s="2">
        <v>2020</v>
      </c>
      <c r="DC25" s="2" t="s">
        <v>30</v>
      </c>
      <c r="DD25" s="2" t="s">
        <v>27</v>
      </c>
      <c r="DE25" s="2" t="s">
        <v>3135</v>
      </c>
      <c r="DF25" s="2" t="s">
        <v>705</v>
      </c>
      <c r="DG25" s="2" t="s">
        <v>24</v>
      </c>
      <c r="DH25" s="2"/>
      <c r="DI25" s="2">
        <v>123</v>
      </c>
      <c r="DJ25" s="2" t="s">
        <v>3132</v>
      </c>
      <c r="DK25" s="2">
        <v>2023</v>
      </c>
      <c r="DL25" s="2" t="s">
        <v>30</v>
      </c>
      <c r="DM25" s="2" t="s">
        <v>27</v>
      </c>
      <c r="DN25" s="2" t="s">
        <v>2663</v>
      </c>
      <c r="DO25" s="2" t="s">
        <v>3136</v>
      </c>
      <c r="DP25" s="2"/>
      <c r="DQ25" s="2" t="s">
        <v>3137</v>
      </c>
      <c r="DR25" s="2" t="s">
        <v>3138</v>
      </c>
      <c r="DS25" s="2">
        <v>1</v>
      </c>
      <c r="DT25" s="2" t="s">
        <v>3139</v>
      </c>
      <c r="DU25" s="2" t="s">
        <v>3140</v>
      </c>
      <c r="DV25" s="2" t="s">
        <v>3141</v>
      </c>
      <c r="DW25" s="2">
        <v>2459</v>
      </c>
      <c r="DX25" s="2" t="s">
        <v>3142</v>
      </c>
      <c r="DY25" s="2"/>
      <c r="DZ25" s="2" t="s">
        <v>3143</v>
      </c>
      <c r="EA25" s="2" t="s">
        <v>3138</v>
      </c>
      <c r="EB25" s="2" t="s">
        <v>3144</v>
      </c>
      <c r="EC25" s="2" t="s">
        <v>3145</v>
      </c>
      <c r="ED25" s="2" t="s">
        <v>44</v>
      </c>
      <c r="EE25" s="2">
        <v>273</v>
      </c>
      <c r="EF25" s="2" t="s">
        <v>3146</v>
      </c>
      <c r="EG25" s="2">
        <v>8</v>
      </c>
      <c r="EH25" s="2" t="s">
        <v>46</v>
      </c>
      <c r="EI25" s="2" t="s">
        <v>47</v>
      </c>
      <c r="EJ25" s="2" t="s">
        <v>3147</v>
      </c>
      <c r="EK25" s="2" t="s">
        <v>3148</v>
      </c>
      <c r="EL25" s="2" t="s">
        <v>44</v>
      </c>
      <c r="EM25" s="2">
        <v>318</v>
      </c>
      <c r="EN25" s="2" t="s">
        <v>3146</v>
      </c>
      <c r="EO25" s="2">
        <v>2</v>
      </c>
      <c r="EP25" s="2" t="s">
        <v>46</v>
      </c>
      <c r="EQ25" s="2" t="s">
        <v>47</v>
      </c>
      <c r="ER25" s="2" t="s">
        <v>587</v>
      </c>
      <c r="ES25" s="2"/>
      <c r="ET25" s="2" t="s">
        <v>3149</v>
      </c>
      <c r="EU25" s="2" t="s">
        <v>3150</v>
      </c>
      <c r="EV25" s="2" t="s">
        <v>3151</v>
      </c>
      <c r="EW25" s="2" t="s">
        <v>3152</v>
      </c>
      <c r="EX25" s="2" t="s">
        <v>39</v>
      </c>
      <c r="EY25" s="2">
        <v>33430</v>
      </c>
      <c r="EZ25" s="2" t="s">
        <v>3153</v>
      </c>
      <c r="FA25" s="2"/>
      <c r="FB25" s="2" t="s">
        <v>3154</v>
      </c>
      <c r="FC25" s="2" t="s">
        <v>3155</v>
      </c>
      <c r="FD25" s="2"/>
      <c r="FE25" s="2" t="s">
        <v>3156</v>
      </c>
      <c r="FF25" s="2" t="s">
        <v>3157</v>
      </c>
      <c r="FG25" s="2" t="s">
        <v>3158</v>
      </c>
      <c r="FH25" s="2" t="s">
        <v>627</v>
      </c>
      <c r="FI25" s="2" t="s">
        <v>39</v>
      </c>
      <c r="FJ25" s="2">
        <v>33407</v>
      </c>
      <c r="FK25" s="2" t="s">
        <v>3159</v>
      </c>
      <c r="FL25" s="2"/>
      <c r="FM25" s="2" t="s">
        <v>3160</v>
      </c>
      <c r="FN25" s="2" t="s">
        <v>3161</v>
      </c>
      <c r="FO25" s="2" t="s">
        <v>63</v>
      </c>
      <c r="FP25" s="2" t="s">
        <v>64</v>
      </c>
      <c r="FQ25" s="2" t="s">
        <v>9</v>
      </c>
      <c r="FR25" s="2" t="s">
        <v>17</v>
      </c>
      <c r="FS25" s="2" t="s">
        <v>17</v>
      </c>
      <c r="FT25" s="2" t="s">
        <v>9</v>
      </c>
      <c r="FU25" s="2">
        <v>0</v>
      </c>
      <c r="FV25" s="2">
        <v>0</v>
      </c>
      <c r="FW25" s="4">
        <v>0</v>
      </c>
      <c r="FX25" s="4">
        <v>0</v>
      </c>
      <c r="FY25" s="2" t="s">
        <v>65</v>
      </c>
      <c r="FZ25" s="2" t="s">
        <v>66</v>
      </c>
      <c r="GA25" s="2" t="s">
        <v>67</v>
      </c>
      <c r="GB25" s="2"/>
      <c r="GC25" s="2"/>
      <c r="GD25" s="2"/>
      <c r="GE25" s="2" t="s">
        <v>1612</v>
      </c>
      <c r="GF25" s="2"/>
      <c r="GG25" s="2"/>
      <c r="GH25" s="2"/>
      <c r="GI25" s="2">
        <v>113</v>
      </c>
      <c r="GJ25" s="2"/>
      <c r="GK25" s="2"/>
      <c r="GL25" s="2"/>
      <c r="GM25" s="2"/>
      <c r="GN25" s="2"/>
      <c r="GO25" s="2"/>
      <c r="GP25" s="2"/>
      <c r="GQ25" s="2">
        <v>113</v>
      </c>
      <c r="GR25" s="2" t="s">
        <v>2685</v>
      </c>
      <c r="GS25" s="2" t="s">
        <v>2686</v>
      </c>
      <c r="GT25" s="2" t="s">
        <v>3162</v>
      </c>
      <c r="GU25" s="2" t="s">
        <v>3163</v>
      </c>
      <c r="GV25" s="2" t="s">
        <v>17</v>
      </c>
      <c r="GW25" s="2">
        <v>26.754508999999999</v>
      </c>
      <c r="GX25" s="2">
        <v>-80.083253999999997</v>
      </c>
      <c r="GY25" s="2"/>
      <c r="GZ25" s="2" t="s">
        <v>17</v>
      </c>
      <c r="HA25" s="2">
        <v>0</v>
      </c>
      <c r="HB25" s="2" t="s">
        <v>17</v>
      </c>
      <c r="HC25" s="2" t="s">
        <v>17</v>
      </c>
      <c r="HD25" s="2">
        <v>0</v>
      </c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>
        <v>26.758289999999999</v>
      </c>
      <c r="HT25" s="2">
        <v>-80.076532999999998</v>
      </c>
      <c r="HU25" s="2">
        <v>0.49</v>
      </c>
      <c r="HV25" s="2">
        <v>5.5</v>
      </c>
      <c r="HW25" s="2" t="s">
        <v>73</v>
      </c>
      <c r="HX25" s="2" t="s">
        <v>3164</v>
      </c>
      <c r="HY25" s="2" t="s">
        <v>3165</v>
      </c>
      <c r="HZ25" s="2">
        <v>0.54</v>
      </c>
      <c r="IA25" s="2">
        <v>3</v>
      </c>
      <c r="IB25" s="2" t="s">
        <v>3166</v>
      </c>
      <c r="IC25" s="2" t="s">
        <v>3167</v>
      </c>
      <c r="ID25" s="2">
        <v>0.28999999999999998</v>
      </c>
      <c r="IE25" s="2">
        <v>4</v>
      </c>
      <c r="IF25" s="2" t="s">
        <v>1118</v>
      </c>
      <c r="IG25" s="2" t="s">
        <v>3168</v>
      </c>
      <c r="IH25" s="2">
        <v>0.32</v>
      </c>
      <c r="II25" s="2">
        <v>3.5</v>
      </c>
      <c r="IJ25" s="2"/>
      <c r="IK25" s="2"/>
      <c r="IL25" s="2"/>
      <c r="IM25" s="2"/>
      <c r="IN25" s="2" t="s">
        <v>17</v>
      </c>
      <c r="IO25" s="2"/>
      <c r="IP25" s="2" t="s">
        <v>79</v>
      </c>
      <c r="IQ25" s="2">
        <v>5.5</v>
      </c>
      <c r="IR25" s="2">
        <v>10.5</v>
      </c>
      <c r="IS25" s="2">
        <v>0</v>
      </c>
      <c r="IT25" s="2">
        <v>16</v>
      </c>
      <c r="IU25" s="2" t="s">
        <v>9</v>
      </c>
      <c r="IV25" s="2" t="s">
        <v>17</v>
      </c>
      <c r="IW25" s="2" t="s">
        <v>17</v>
      </c>
      <c r="IX25" s="2" t="s">
        <v>9</v>
      </c>
      <c r="IY25" s="2">
        <v>16</v>
      </c>
      <c r="IZ25" s="2">
        <v>113</v>
      </c>
      <c r="JA25" s="2" t="s">
        <v>2693</v>
      </c>
      <c r="JB25" s="2" t="s">
        <v>82</v>
      </c>
      <c r="JC25" s="2"/>
      <c r="JD25" s="2"/>
      <c r="JE25" s="2"/>
      <c r="JF25" s="7">
        <v>0</v>
      </c>
      <c r="JG25" s="7"/>
      <c r="JH25" s="7"/>
      <c r="JI25" s="2">
        <v>0</v>
      </c>
      <c r="JJ25" s="7">
        <v>0</v>
      </c>
      <c r="JK25" s="2">
        <v>0</v>
      </c>
      <c r="JL25" s="7">
        <v>0</v>
      </c>
      <c r="JM25" s="2">
        <v>18</v>
      </c>
      <c r="JN25" s="2"/>
      <c r="JO25" s="2">
        <v>46</v>
      </c>
      <c r="JP25" s="2"/>
      <c r="JQ25" s="2">
        <v>27</v>
      </c>
      <c r="JR25" s="2">
        <v>22</v>
      </c>
      <c r="JS25" s="2">
        <v>22</v>
      </c>
      <c r="JT25" s="2"/>
      <c r="JU25" s="2"/>
      <c r="JV25" s="2">
        <v>91</v>
      </c>
      <c r="JW25" s="4">
        <v>0.80530999999999997</v>
      </c>
      <c r="JX25" s="2">
        <v>113</v>
      </c>
      <c r="JY25" s="4">
        <v>0.6</v>
      </c>
      <c r="JZ25" s="2">
        <v>0</v>
      </c>
      <c r="KA25" s="2"/>
      <c r="KB25" s="2"/>
      <c r="KC25" s="2"/>
      <c r="KD25" s="2"/>
      <c r="KE25" s="2"/>
      <c r="KF25" s="2"/>
      <c r="KG25" s="2"/>
      <c r="KH25" s="2">
        <v>113</v>
      </c>
      <c r="KI25" s="2"/>
      <c r="KJ25" s="2"/>
      <c r="KK25" s="2"/>
      <c r="KL25" s="2"/>
      <c r="KM25" s="2"/>
      <c r="KN25" s="2"/>
      <c r="KO25" s="2"/>
      <c r="KP25" s="2"/>
      <c r="KQ25" s="2" t="s">
        <v>83</v>
      </c>
      <c r="KR25" s="2"/>
      <c r="KS25" s="2" t="s">
        <v>73</v>
      </c>
      <c r="KT25" s="2">
        <v>1</v>
      </c>
      <c r="KU25" s="2" t="s">
        <v>84</v>
      </c>
      <c r="KV25" s="2" t="s">
        <v>85</v>
      </c>
      <c r="KW25" s="2" t="s">
        <v>530</v>
      </c>
      <c r="KX25" s="2" t="s">
        <v>17</v>
      </c>
      <c r="KY25" s="2" t="s">
        <v>17</v>
      </c>
      <c r="KZ25" s="2" t="s">
        <v>17</v>
      </c>
      <c r="LA25" s="2" t="s">
        <v>17</v>
      </c>
      <c r="LB25" s="2" t="s">
        <v>17</v>
      </c>
      <c r="LC25" s="2" t="s">
        <v>17</v>
      </c>
      <c r="LD25" s="2" t="s">
        <v>17</v>
      </c>
      <c r="LE25" s="2" t="s">
        <v>17</v>
      </c>
      <c r="LF25" s="2" t="s">
        <v>17</v>
      </c>
      <c r="LG25" s="2" t="s">
        <v>17</v>
      </c>
      <c r="LH25" s="2" t="s">
        <v>17</v>
      </c>
      <c r="LI25" s="2" t="s">
        <v>17</v>
      </c>
      <c r="LJ25" s="2" t="s">
        <v>87</v>
      </c>
      <c r="LK25" s="2" t="s">
        <v>17</v>
      </c>
      <c r="LL25" s="2" t="s">
        <v>17</v>
      </c>
      <c r="LM25" s="2">
        <v>0</v>
      </c>
      <c r="LN25" s="2" t="s">
        <v>17</v>
      </c>
      <c r="LO25" s="2" t="s">
        <v>17</v>
      </c>
      <c r="LP25" s="2" t="s">
        <v>17</v>
      </c>
      <c r="LQ25" s="2" t="s">
        <v>17</v>
      </c>
      <c r="LR25" s="2" t="s">
        <v>17</v>
      </c>
      <c r="LS25" s="2" t="s">
        <v>17</v>
      </c>
      <c r="LT25" s="2" t="s">
        <v>9</v>
      </c>
      <c r="LU25" s="2" t="s">
        <v>17</v>
      </c>
      <c r="LV25" s="2" t="s">
        <v>9</v>
      </c>
      <c r="LW25" s="2" t="s">
        <v>17</v>
      </c>
      <c r="LX25" s="2" t="s">
        <v>9</v>
      </c>
      <c r="LY25" s="5">
        <v>6500000</v>
      </c>
      <c r="LZ25" s="5">
        <v>0</v>
      </c>
      <c r="MA25" s="5">
        <v>8400000</v>
      </c>
      <c r="MB25" s="5">
        <v>0</v>
      </c>
      <c r="MC25" s="5">
        <v>0</v>
      </c>
      <c r="MD25" s="5">
        <v>0</v>
      </c>
      <c r="ME25" s="5">
        <v>10000000</v>
      </c>
      <c r="MF25" s="5">
        <v>0</v>
      </c>
      <c r="MG25" s="5">
        <v>0</v>
      </c>
      <c r="MH25" s="5">
        <v>0</v>
      </c>
      <c r="MI25" s="5">
        <v>0</v>
      </c>
      <c r="MJ25" s="5">
        <v>0</v>
      </c>
      <c r="MK25" s="5">
        <v>0</v>
      </c>
      <c r="ML25" s="2">
        <v>0</v>
      </c>
      <c r="MM25" s="5">
        <v>0</v>
      </c>
      <c r="MN25" s="5">
        <v>0</v>
      </c>
      <c r="MO25" s="2">
        <v>0</v>
      </c>
      <c r="MP25" s="2">
        <v>0</v>
      </c>
      <c r="MQ25" s="2">
        <v>0</v>
      </c>
      <c r="MR25" s="5">
        <v>2950000</v>
      </c>
      <c r="MS25" s="5">
        <v>0</v>
      </c>
      <c r="MT25" s="5">
        <v>4600000</v>
      </c>
      <c r="MU25" s="5">
        <v>0</v>
      </c>
      <c r="MV25" s="5">
        <v>0</v>
      </c>
      <c r="MW25" s="5">
        <v>0</v>
      </c>
      <c r="MX25" s="5">
        <v>0</v>
      </c>
      <c r="MY25" s="5">
        <v>2500000</v>
      </c>
      <c r="MZ25" s="5">
        <v>0</v>
      </c>
      <c r="NA25" s="5">
        <v>5000000</v>
      </c>
      <c r="NB25" s="5">
        <v>0</v>
      </c>
      <c r="NC25" s="5">
        <v>0</v>
      </c>
      <c r="ND25" s="5">
        <v>0</v>
      </c>
      <c r="NE25" s="5">
        <v>0</v>
      </c>
      <c r="NF25" s="5">
        <v>0</v>
      </c>
      <c r="NG25" s="5">
        <v>2992500</v>
      </c>
      <c r="NH25" s="5">
        <v>2992500</v>
      </c>
      <c r="NI25" s="5">
        <v>2992500</v>
      </c>
      <c r="NJ25" s="2" t="s">
        <v>17</v>
      </c>
      <c r="NK25" s="2"/>
      <c r="NL25" s="2"/>
      <c r="NM25" s="2" t="s">
        <v>17</v>
      </c>
      <c r="NN25" s="2"/>
      <c r="NO25" s="2" t="s">
        <v>17</v>
      </c>
      <c r="NP25" s="2"/>
      <c r="NQ25" s="2"/>
      <c r="NR25" s="2" t="s">
        <v>17</v>
      </c>
      <c r="NS25" s="2"/>
      <c r="NT25" s="2" t="s">
        <v>9</v>
      </c>
      <c r="NU25" s="2" t="s">
        <v>450</v>
      </c>
      <c r="NV25" s="2">
        <v>14.03</v>
      </c>
      <c r="NW25" s="2" t="s">
        <v>2995</v>
      </c>
      <c r="NX25" s="2"/>
      <c r="NY25" s="2"/>
      <c r="NZ25" s="2"/>
      <c r="OA25" s="2" t="s">
        <v>118</v>
      </c>
      <c r="OB25" s="2" t="s">
        <v>118</v>
      </c>
      <c r="OC25" s="2" t="s">
        <v>118</v>
      </c>
      <c r="OD25" s="2" t="s">
        <v>17</v>
      </c>
      <c r="OE25" s="2" t="s">
        <v>119</v>
      </c>
      <c r="OF25" s="2" t="s">
        <v>17</v>
      </c>
      <c r="OG25" s="2"/>
      <c r="OH25" s="2" t="s">
        <v>17</v>
      </c>
      <c r="OI25" s="2" t="s">
        <v>17</v>
      </c>
      <c r="OJ25" s="2" t="s">
        <v>85</v>
      </c>
      <c r="OK25" s="6">
        <v>0</v>
      </c>
      <c r="OL25" s="6">
        <v>0</v>
      </c>
      <c r="OM25" s="2" t="s">
        <v>93</v>
      </c>
      <c r="ON25" s="2" t="s">
        <v>93</v>
      </c>
      <c r="OO25" s="6">
        <v>0</v>
      </c>
      <c r="OP25" s="6">
        <v>0</v>
      </c>
      <c r="OQ25" s="4">
        <v>0</v>
      </c>
      <c r="OR25" s="6">
        <v>0</v>
      </c>
      <c r="OS25" s="4">
        <v>0</v>
      </c>
      <c r="OT25" s="2" t="s">
        <v>17</v>
      </c>
      <c r="OU25" s="2" t="s">
        <v>17</v>
      </c>
      <c r="OV25" s="2"/>
      <c r="OW25" s="2"/>
      <c r="OX25" s="5">
        <v>19916584</v>
      </c>
      <c r="OY25" s="6">
        <v>218863.56</v>
      </c>
      <c r="OZ25" s="2">
        <v>0</v>
      </c>
      <c r="PA25" s="2"/>
      <c r="PB25" s="2">
        <v>0</v>
      </c>
      <c r="PC25" s="2"/>
      <c r="PD25" s="8">
        <v>21483000</v>
      </c>
      <c r="PE25" s="2"/>
      <c r="PF25" s="8">
        <v>21483000</v>
      </c>
      <c r="PG25" s="8">
        <v>1618600</v>
      </c>
      <c r="PH25" s="2"/>
      <c r="PI25" s="8">
        <v>1618600</v>
      </c>
      <c r="PJ25" s="8">
        <v>250000</v>
      </c>
      <c r="PK25" s="2"/>
      <c r="PL25" s="8">
        <v>250000</v>
      </c>
      <c r="PM25" s="8">
        <v>23351600</v>
      </c>
      <c r="PN25" s="2"/>
      <c r="PO25" s="8">
        <v>23351600</v>
      </c>
      <c r="PP25" s="8">
        <v>3269224</v>
      </c>
      <c r="PQ25" s="2"/>
      <c r="PR25" s="8">
        <v>3269224</v>
      </c>
      <c r="PS25" s="6">
        <v>3269224</v>
      </c>
      <c r="PT25" s="8">
        <v>26620824</v>
      </c>
      <c r="PU25" s="2"/>
      <c r="PV25" s="8">
        <v>26620824</v>
      </c>
      <c r="PW25" s="8">
        <v>1331041</v>
      </c>
      <c r="PX25" s="2"/>
      <c r="PY25" s="8">
        <v>1331041</v>
      </c>
      <c r="PZ25" s="6">
        <v>1331041.2</v>
      </c>
      <c r="QA25" s="8">
        <v>1704000</v>
      </c>
      <c r="QB25" s="2"/>
      <c r="QC25" s="8">
        <v>1704000</v>
      </c>
      <c r="QD25" s="8">
        <v>90000</v>
      </c>
      <c r="QE25" s="2"/>
      <c r="QF25" s="8">
        <v>90000</v>
      </c>
      <c r="QG25" s="8">
        <v>455137</v>
      </c>
      <c r="QH25" s="2"/>
      <c r="QI25" s="8">
        <v>455137</v>
      </c>
      <c r="QJ25" s="8">
        <v>15000</v>
      </c>
      <c r="QK25" s="8">
        <v>317588</v>
      </c>
      <c r="QL25" s="8">
        <v>332588</v>
      </c>
      <c r="QM25" s="2">
        <v>0</v>
      </c>
      <c r="QN25" s="2"/>
      <c r="QO25" s="2"/>
      <c r="QP25" s="2">
        <v>0</v>
      </c>
      <c r="QQ25" s="8">
        <v>125000</v>
      </c>
      <c r="QR25" s="8">
        <v>125000</v>
      </c>
      <c r="QS25" s="8">
        <v>2264137</v>
      </c>
      <c r="QT25" s="8">
        <v>442588</v>
      </c>
      <c r="QU25" s="8">
        <v>2706725</v>
      </c>
      <c r="QV25" s="8">
        <v>125000</v>
      </c>
      <c r="QW25" s="2"/>
      <c r="QX25" s="8">
        <v>125000</v>
      </c>
      <c r="QY25" s="6">
        <v>135336.25</v>
      </c>
      <c r="QZ25" s="8">
        <v>1432150</v>
      </c>
      <c r="RA25" s="8">
        <v>633650</v>
      </c>
      <c r="RB25" s="8">
        <v>2065800</v>
      </c>
      <c r="RC25" s="2"/>
      <c r="RD25" s="2"/>
      <c r="RE25" s="2">
        <v>0</v>
      </c>
      <c r="RF25" s="8">
        <v>25000</v>
      </c>
      <c r="RG25" s="8">
        <v>25000</v>
      </c>
      <c r="RH25" s="8">
        <v>1432150</v>
      </c>
      <c r="RI25" s="8">
        <v>658650</v>
      </c>
      <c r="RJ25" s="8">
        <v>2090800</v>
      </c>
      <c r="RK25" s="2">
        <v>0</v>
      </c>
      <c r="RL25" s="2">
        <v>0</v>
      </c>
      <c r="RM25" s="8">
        <v>31773152</v>
      </c>
      <c r="RN25" s="8">
        <v>1101238</v>
      </c>
      <c r="RO25" s="8">
        <v>32874390</v>
      </c>
      <c r="RP25" s="2">
        <v>0</v>
      </c>
      <c r="RQ25" s="6">
        <v>0</v>
      </c>
      <c r="RR25" s="8">
        <v>5259902</v>
      </c>
      <c r="RS25" s="2"/>
      <c r="RT25" s="8">
        <v>5259902</v>
      </c>
      <c r="RU25" s="6">
        <v>5259902</v>
      </c>
      <c r="RV25" s="6">
        <v>0</v>
      </c>
      <c r="RW25" s="8">
        <v>5259902</v>
      </c>
      <c r="RX25" s="2"/>
      <c r="RY25" s="8">
        <v>5259902</v>
      </c>
      <c r="RZ25" s="6">
        <v>5259902</v>
      </c>
      <c r="SA25" s="8">
        <v>395500</v>
      </c>
      <c r="SB25" s="8">
        <v>395500</v>
      </c>
      <c r="SC25" s="6">
        <v>395500</v>
      </c>
      <c r="SD25" s="8">
        <v>2500000</v>
      </c>
      <c r="SE25" s="8">
        <v>2500000</v>
      </c>
      <c r="SF25" s="8">
        <v>37033054</v>
      </c>
      <c r="SG25" s="8">
        <v>3996738</v>
      </c>
      <c r="SH25" s="8">
        <v>41029792</v>
      </c>
      <c r="SI25" s="2" t="s">
        <v>3169</v>
      </c>
      <c r="SJ25" s="2" t="s">
        <v>3170</v>
      </c>
      <c r="SK25" s="2" t="s">
        <v>3171</v>
      </c>
      <c r="SL25" s="2" t="s">
        <v>410</v>
      </c>
      <c r="SM25" s="8">
        <v>16000000</v>
      </c>
      <c r="SN25" s="2" t="s">
        <v>95</v>
      </c>
      <c r="SO25" s="8">
        <v>1000000</v>
      </c>
      <c r="SP25" s="2" t="s">
        <v>180</v>
      </c>
      <c r="SQ25" s="2"/>
      <c r="SR25" s="2"/>
      <c r="SS25" s="2" t="s">
        <v>96</v>
      </c>
      <c r="ST25" s="2" t="s">
        <v>96</v>
      </c>
      <c r="SU25" s="2" t="s">
        <v>96</v>
      </c>
      <c r="SV25" s="2" t="s">
        <v>96</v>
      </c>
      <c r="SW25" s="8">
        <v>21304256</v>
      </c>
      <c r="SX25" s="2"/>
      <c r="SY25" s="2"/>
      <c r="SZ25" s="2"/>
      <c r="TA25" s="8">
        <v>2725536</v>
      </c>
      <c r="TB25" s="8">
        <v>41029792</v>
      </c>
      <c r="TC25" s="2">
        <v>0</v>
      </c>
      <c r="TD25" s="2" t="s">
        <v>9</v>
      </c>
      <c r="TE25" s="8">
        <v>12000000</v>
      </c>
      <c r="TF25" s="2" t="s">
        <v>95</v>
      </c>
      <c r="TG25" s="8">
        <v>1000000</v>
      </c>
      <c r="TH25" s="2" t="s">
        <v>180</v>
      </c>
      <c r="TI25" s="2"/>
      <c r="TJ25" s="2"/>
      <c r="TK25" s="2" t="s">
        <v>96</v>
      </c>
      <c r="TL25" s="2" t="s">
        <v>96</v>
      </c>
      <c r="TM25" s="2" t="s">
        <v>96</v>
      </c>
      <c r="TN25" s="2" t="s">
        <v>96</v>
      </c>
      <c r="TO25" s="8">
        <v>26630320</v>
      </c>
      <c r="TP25" s="2"/>
      <c r="TQ25" s="2"/>
      <c r="TR25" s="2"/>
      <c r="TS25" s="8">
        <v>1399472</v>
      </c>
      <c r="TT25" s="8">
        <v>41029792</v>
      </c>
      <c r="TU25" s="6">
        <v>13000000</v>
      </c>
      <c r="TV25" s="2">
        <v>0</v>
      </c>
      <c r="TW25" s="2" t="s">
        <v>9</v>
      </c>
      <c r="TX25" s="2">
        <v>113</v>
      </c>
      <c r="TY25" s="5">
        <v>290000</v>
      </c>
      <c r="TZ25" s="6">
        <v>386666.67</v>
      </c>
      <c r="UA25" s="6">
        <v>386666.67</v>
      </c>
      <c r="UB25" s="6">
        <v>409866.67</v>
      </c>
      <c r="UC25" s="6">
        <v>46314933.329999998</v>
      </c>
      <c r="UD25" s="6">
        <v>7410389</v>
      </c>
      <c r="UE25" s="2" t="s">
        <v>97</v>
      </c>
      <c r="UF25" s="6">
        <v>7410389</v>
      </c>
      <c r="UG25" s="6">
        <v>53725322.329999998</v>
      </c>
      <c r="UH25" s="6">
        <v>38134292</v>
      </c>
      <c r="UI25" s="4">
        <v>0.99990000000000001</v>
      </c>
      <c r="UJ25" s="2" t="s">
        <v>9</v>
      </c>
      <c r="UK25" s="6">
        <v>1000000</v>
      </c>
      <c r="UL25" s="6">
        <v>291805.75</v>
      </c>
      <c r="UM25" s="6">
        <v>708194.25</v>
      </c>
      <c r="UN25" s="2"/>
      <c r="UO25" s="6">
        <v>0</v>
      </c>
      <c r="UP25" s="2"/>
      <c r="UQ25" s="6">
        <v>0</v>
      </c>
      <c r="UR25" s="6">
        <v>0</v>
      </c>
      <c r="US25" s="6">
        <v>1000000</v>
      </c>
      <c r="UT25" s="6">
        <v>291805.75</v>
      </c>
      <c r="UU25" s="6">
        <v>708194.25</v>
      </c>
      <c r="UV25" s="2" t="s">
        <v>3172</v>
      </c>
      <c r="UW25" s="2" t="s">
        <v>182</v>
      </c>
      <c r="UX25" s="2" t="s">
        <v>9</v>
      </c>
      <c r="UY25" s="2" t="s">
        <v>17</v>
      </c>
      <c r="UZ25" s="2" t="s">
        <v>17</v>
      </c>
      <c r="VA25" s="2" t="s">
        <v>17</v>
      </c>
      <c r="VB25" s="2" t="s">
        <v>2697</v>
      </c>
      <c r="VC25" s="2" t="s">
        <v>17</v>
      </c>
      <c r="VD25" s="2" t="s">
        <v>17</v>
      </c>
      <c r="VE25" s="2" t="s">
        <v>17</v>
      </c>
      <c r="VF25" s="2"/>
      <c r="VG25" s="2" t="s">
        <v>3173</v>
      </c>
      <c r="VH25" s="2" t="s">
        <v>3174</v>
      </c>
      <c r="VI25" s="388" t="s">
        <v>3175</v>
      </c>
      <c r="VJ25" s="2" t="s">
        <v>98</v>
      </c>
      <c r="VK25" s="2" t="s">
        <v>3176</v>
      </c>
      <c r="VL25" s="23">
        <f t="shared" si="0"/>
        <v>113</v>
      </c>
      <c r="VM25" s="17">
        <f t="shared" si="1"/>
        <v>1</v>
      </c>
      <c r="VN25" s="17" t="str">
        <f t="shared" si="2"/>
        <v>NC-MR-E</v>
      </c>
      <c r="VO25" s="17" t="str">
        <f t="shared" si="14"/>
        <v>NC-MR-E-ESS</v>
      </c>
      <c r="VP25" s="12">
        <v>9</v>
      </c>
      <c r="VQ25" s="57">
        <v>1</v>
      </c>
      <c r="VR25" s="14">
        <f t="shared" si="3"/>
        <v>1</v>
      </c>
      <c r="VS25" s="14">
        <f t="shared" si="4"/>
        <v>1</v>
      </c>
      <c r="VT25" s="12">
        <f t="shared" si="5"/>
        <v>0.90210000000000001</v>
      </c>
      <c r="VU25" s="29">
        <f t="shared" si="6"/>
        <v>24295808.25</v>
      </c>
      <c r="VV25" s="29">
        <f t="shared" si="7"/>
        <v>266986.90384615387</v>
      </c>
      <c r="VW25" s="12" t="str">
        <f t="shared" si="15"/>
        <v>A</v>
      </c>
      <c r="VX25" s="12" t="str">
        <f t="shared" si="22"/>
        <v>NC-MR-ESS</v>
      </c>
      <c r="VY25" s="351">
        <f t="shared" si="16"/>
        <v>4</v>
      </c>
      <c r="VZ25" s="12"/>
      <c r="WA25" s="12">
        <f t="shared" si="17"/>
        <v>1</v>
      </c>
      <c r="WB25" s="12">
        <f t="shared" si="18"/>
        <v>0</v>
      </c>
      <c r="WC25" s="12">
        <f t="shared" si="19"/>
        <v>0</v>
      </c>
      <c r="WD25" s="12">
        <f t="shared" si="20"/>
        <v>0</v>
      </c>
      <c r="WE25" s="12">
        <f t="shared" si="21"/>
        <v>1</v>
      </c>
      <c r="WF25" s="12">
        <f t="shared" si="9"/>
        <v>0</v>
      </c>
      <c r="WG25" s="12">
        <f t="shared" si="10"/>
        <v>1</v>
      </c>
      <c r="WH25" s="12">
        <f t="shared" si="11"/>
        <v>0</v>
      </c>
      <c r="WI25" s="31">
        <f t="shared" si="12"/>
        <v>3</v>
      </c>
      <c r="WJ25" s="2"/>
      <c r="WK25" s="444" t="str">
        <f t="shared" si="13"/>
        <v>NC-MR-ESS-BBN-BRN-NPH-E</v>
      </c>
      <c r="WL25" s="444"/>
      <c r="WM25" s="444"/>
      <c r="WN25" s="12"/>
      <c r="WO25" s="12"/>
    </row>
    <row r="26" spans="1:613" x14ac:dyDescent="0.25">
      <c r="A26" s="2">
        <v>9616</v>
      </c>
      <c r="B26" s="2" t="s">
        <v>3177</v>
      </c>
      <c r="C26" s="2" t="s">
        <v>2652</v>
      </c>
      <c r="D26" s="3">
        <v>45152</v>
      </c>
      <c r="E26" s="2" t="s">
        <v>9</v>
      </c>
      <c r="F26" s="2">
        <v>3</v>
      </c>
      <c r="G26" s="2" t="s">
        <v>9</v>
      </c>
      <c r="H26" s="2">
        <v>3</v>
      </c>
      <c r="I26" s="2" t="s">
        <v>9</v>
      </c>
      <c r="J26" s="2">
        <v>1</v>
      </c>
      <c r="K26" s="2" t="s">
        <v>9</v>
      </c>
      <c r="L26" s="2">
        <v>3</v>
      </c>
      <c r="M26" s="2" t="s">
        <v>10</v>
      </c>
      <c r="N26" s="2">
        <v>0</v>
      </c>
      <c r="O26" s="2" t="s">
        <v>10</v>
      </c>
      <c r="P26" s="2">
        <v>0</v>
      </c>
      <c r="Q26" s="2" t="s">
        <v>11</v>
      </c>
      <c r="R26" s="2">
        <v>0</v>
      </c>
      <c r="S26" s="2" t="s">
        <v>9</v>
      </c>
      <c r="T26" s="2">
        <v>2</v>
      </c>
      <c r="U26" s="2" t="s">
        <v>9</v>
      </c>
      <c r="V26" s="2">
        <v>2</v>
      </c>
      <c r="W26" s="2" t="s">
        <v>9</v>
      </c>
      <c r="X26" s="2">
        <v>2</v>
      </c>
      <c r="Y26" s="2" t="s">
        <v>12</v>
      </c>
      <c r="Z26" s="2" t="s">
        <v>1518</v>
      </c>
      <c r="AA26" s="2" t="s">
        <v>3178</v>
      </c>
      <c r="AB26" s="2" t="s">
        <v>3178</v>
      </c>
      <c r="AC26" s="2" t="s">
        <v>15</v>
      </c>
      <c r="AD26" s="2" t="s">
        <v>15</v>
      </c>
      <c r="AE26" s="2" t="s">
        <v>15</v>
      </c>
      <c r="AF26" s="2">
        <v>3</v>
      </c>
      <c r="AG26" s="2" t="s">
        <v>3179</v>
      </c>
      <c r="AH26" s="2" t="s">
        <v>17</v>
      </c>
      <c r="AI26" s="4">
        <v>0.15556</v>
      </c>
      <c r="AJ26" s="2" t="s">
        <v>17</v>
      </c>
      <c r="AK26" s="2" t="s">
        <v>9</v>
      </c>
      <c r="AL26" s="2" t="s">
        <v>17</v>
      </c>
      <c r="AM26" s="2" t="s">
        <v>17</v>
      </c>
      <c r="AN26" s="2" t="s">
        <v>17</v>
      </c>
      <c r="AO26" s="2" t="s">
        <v>9</v>
      </c>
      <c r="AP26" s="2" t="s">
        <v>17</v>
      </c>
      <c r="AQ26" s="2" t="s">
        <v>17</v>
      </c>
      <c r="AR26" s="2" t="s">
        <v>17</v>
      </c>
      <c r="AS26" s="2" t="s">
        <v>17</v>
      </c>
      <c r="AT26" s="2">
        <v>5</v>
      </c>
      <c r="AU26" s="5">
        <v>75000</v>
      </c>
      <c r="AV26" s="5">
        <v>610000</v>
      </c>
      <c r="AW26" s="2">
        <v>0</v>
      </c>
      <c r="AX26" s="2">
        <v>4</v>
      </c>
      <c r="AY26" s="2">
        <v>0</v>
      </c>
      <c r="AZ26" s="2">
        <v>18</v>
      </c>
      <c r="BA26" s="2">
        <v>0</v>
      </c>
      <c r="BB26" s="2">
        <v>0</v>
      </c>
      <c r="BC26" s="2">
        <v>1</v>
      </c>
      <c r="BD26" s="2">
        <v>3</v>
      </c>
      <c r="BE26" s="2">
        <v>0</v>
      </c>
      <c r="BF26" s="2">
        <v>1</v>
      </c>
      <c r="BG26" s="2">
        <v>0</v>
      </c>
      <c r="BH26" s="2">
        <v>0</v>
      </c>
      <c r="BI26" s="2">
        <v>13</v>
      </c>
      <c r="BJ26" s="2">
        <v>1</v>
      </c>
      <c r="BK26" s="2">
        <v>0</v>
      </c>
      <c r="BL26" s="2">
        <v>3</v>
      </c>
      <c r="BM26" s="2">
        <v>1</v>
      </c>
      <c r="BN26" s="2">
        <v>13</v>
      </c>
      <c r="BO26" s="2">
        <v>11</v>
      </c>
      <c r="BP26" s="2">
        <v>0</v>
      </c>
      <c r="BQ26" s="2">
        <v>10</v>
      </c>
      <c r="BR26" s="2">
        <v>9.84</v>
      </c>
      <c r="BS26" s="2">
        <v>0</v>
      </c>
      <c r="BT26" s="4">
        <v>0.06</v>
      </c>
      <c r="BU26" s="2" t="s">
        <v>9</v>
      </c>
      <c r="BV26" s="6">
        <v>221294.64</v>
      </c>
      <c r="BW26" s="2" t="s">
        <v>18</v>
      </c>
      <c r="BX26" s="2" t="s">
        <v>17</v>
      </c>
      <c r="BY26" s="2" t="s">
        <v>17</v>
      </c>
      <c r="BZ26" s="2" t="s">
        <v>17</v>
      </c>
      <c r="CA26" s="2" t="s">
        <v>17</v>
      </c>
      <c r="CB26" s="2" t="s">
        <v>17</v>
      </c>
      <c r="CC26" s="2" t="s">
        <v>17</v>
      </c>
      <c r="CD26" s="2" t="s">
        <v>17</v>
      </c>
      <c r="CE26" s="2" t="s">
        <v>3180</v>
      </c>
      <c r="CF26" s="2" t="s">
        <v>17</v>
      </c>
      <c r="CG26" s="2" t="s">
        <v>3181</v>
      </c>
      <c r="CH26" s="2"/>
      <c r="CI26" s="2"/>
      <c r="CJ26" s="2" t="s">
        <v>9</v>
      </c>
      <c r="CK26" s="2" t="s">
        <v>3182</v>
      </c>
      <c r="CL26" s="2" t="s">
        <v>3181</v>
      </c>
      <c r="CM26" s="2" t="s">
        <v>3183</v>
      </c>
      <c r="CN26" s="2" t="s">
        <v>330</v>
      </c>
      <c r="CO26" s="2" t="s">
        <v>24</v>
      </c>
      <c r="CP26" s="2"/>
      <c r="CQ26" s="2">
        <v>108</v>
      </c>
      <c r="CR26" s="2" t="s">
        <v>25</v>
      </c>
      <c r="CS26" s="2">
        <v>2020</v>
      </c>
      <c r="CT26" s="2" t="s">
        <v>26</v>
      </c>
      <c r="CU26" s="2" t="s">
        <v>27</v>
      </c>
      <c r="CV26" s="2" t="s">
        <v>3184</v>
      </c>
      <c r="CW26" s="2" t="s">
        <v>330</v>
      </c>
      <c r="CX26" s="2" t="s">
        <v>413</v>
      </c>
      <c r="CY26" s="2" t="s">
        <v>3185</v>
      </c>
      <c r="CZ26" s="2">
        <v>96</v>
      </c>
      <c r="DA26" s="2" t="s">
        <v>25</v>
      </c>
      <c r="DB26" s="2">
        <v>2016</v>
      </c>
      <c r="DC26" s="2" t="s">
        <v>26</v>
      </c>
      <c r="DD26" s="2" t="s">
        <v>27</v>
      </c>
      <c r="DE26" s="2" t="s">
        <v>3186</v>
      </c>
      <c r="DF26" s="2" t="s">
        <v>3187</v>
      </c>
      <c r="DG26" s="2" t="s">
        <v>413</v>
      </c>
      <c r="DH26" s="2" t="s">
        <v>3188</v>
      </c>
      <c r="DI26" s="2">
        <v>112</v>
      </c>
      <c r="DJ26" s="2" t="s">
        <v>25</v>
      </c>
      <c r="DK26" s="2">
        <v>2016</v>
      </c>
      <c r="DL26" s="2" t="s">
        <v>26</v>
      </c>
      <c r="DM26" s="2" t="s">
        <v>27</v>
      </c>
      <c r="DN26" s="2" t="s">
        <v>2663</v>
      </c>
      <c r="DO26" s="2" t="s">
        <v>3189</v>
      </c>
      <c r="DP26" s="2"/>
      <c r="DQ26" s="2" t="s">
        <v>3190</v>
      </c>
      <c r="DR26" s="2" t="s">
        <v>3191</v>
      </c>
      <c r="DS26" s="2">
        <v>1</v>
      </c>
      <c r="DT26" s="2" t="s">
        <v>3192</v>
      </c>
      <c r="DU26" s="2" t="s">
        <v>3079</v>
      </c>
      <c r="DV26" s="2" t="s">
        <v>39</v>
      </c>
      <c r="DW26" s="2">
        <v>33020</v>
      </c>
      <c r="DX26" s="2" t="s">
        <v>3193</v>
      </c>
      <c r="DY26" s="2">
        <v>2256</v>
      </c>
      <c r="DZ26" s="2" t="s">
        <v>3194</v>
      </c>
      <c r="EA26" s="2" t="s">
        <v>3182</v>
      </c>
      <c r="EB26" s="2" t="s">
        <v>3195</v>
      </c>
      <c r="EC26" s="2" t="s">
        <v>330</v>
      </c>
      <c r="ED26" s="2" t="s">
        <v>811</v>
      </c>
      <c r="EE26" s="2">
        <v>148</v>
      </c>
      <c r="EF26" s="2" t="s">
        <v>45</v>
      </c>
      <c r="EG26" s="2">
        <v>12</v>
      </c>
      <c r="EH26" s="2" t="s">
        <v>46</v>
      </c>
      <c r="EI26" s="2" t="s">
        <v>47</v>
      </c>
      <c r="EJ26" s="2" t="s">
        <v>3196</v>
      </c>
      <c r="EK26" s="2" t="s">
        <v>330</v>
      </c>
      <c r="EL26" s="2" t="s">
        <v>811</v>
      </c>
      <c r="EM26" s="2">
        <v>240</v>
      </c>
      <c r="EN26" s="2" t="s">
        <v>45</v>
      </c>
      <c r="EO26" s="2">
        <v>15</v>
      </c>
      <c r="EP26" s="2" t="s">
        <v>46</v>
      </c>
      <c r="EQ26" s="2" t="s">
        <v>47</v>
      </c>
      <c r="ER26" s="2" t="s">
        <v>3197</v>
      </c>
      <c r="ES26" s="2" t="s">
        <v>1415</v>
      </c>
      <c r="ET26" s="2" t="s">
        <v>3198</v>
      </c>
      <c r="EU26" s="2" t="s">
        <v>3180</v>
      </c>
      <c r="EV26" s="2" t="s">
        <v>3192</v>
      </c>
      <c r="EW26" s="2" t="s">
        <v>3079</v>
      </c>
      <c r="EX26" s="2" t="s">
        <v>39</v>
      </c>
      <c r="EY26" s="2">
        <v>33020</v>
      </c>
      <c r="EZ26" s="2" t="s">
        <v>3199</v>
      </c>
      <c r="FA26" s="2">
        <v>2231</v>
      </c>
      <c r="FB26" s="2" t="s">
        <v>3200</v>
      </c>
      <c r="FC26" s="2" t="s">
        <v>3197</v>
      </c>
      <c r="FD26" s="2" t="s">
        <v>672</v>
      </c>
      <c r="FE26" s="2" t="s">
        <v>3198</v>
      </c>
      <c r="FF26" s="2" t="s">
        <v>3180</v>
      </c>
      <c r="FG26" s="2" t="s">
        <v>3192</v>
      </c>
      <c r="FH26" s="2" t="s">
        <v>3079</v>
      </c>
      <c r="FI26" s="2" t="s">
        <v>39</v>
      </c>
      <c r="FJ26" s="2">
        <v>33020</v>
      </c>
      <c r="FK26" s="2" t="s">
        <v>3199</v>
      </c>
      <c r="FL26" s="2">
        <v>2231</v>
      </c>
      <c r="FM26" s="2" t="s">
        <v>3200</v>
      </c>
      <c r="FN26" s="2" t="s">
        <v>3201</v>
      </c>
      <c r="FO26" s="2" t="s">
        <v>63</v>
      </c>
      <c r="FP26" s="2" t="s">
        <v>64</v>
      </c>
      <c r="FQ26" s="2" t="s">
        <v>9</v>
      </c>
      <c r="FR26" s="2" t="s">
        <v>17</v>
      </c>
      <c r="FS26" s="2" t="s">
        <v>17</v>
      </c>
      <c r="FT26" s="2" t="s">
        <v>9</v>
      </c>
      <c r="FU26" s="2">
        <v>0</v>
      </c>
      <c r="FV26" s="2">
        <v>0</v>
      </c>
      <c r="FW26" s="4">
        <v>0</v>
      </c>
      <c r="FX26" s="4">
        <v>0</v>
      </c>
      <c r="FY26" s="2" t="s">
        <v>65</v>
      </c>
      <c r="FZ26" s="2" t="s">
        <v>66</v>
      </c>
      <c r="GA26" s="2" t="s">
        <v>67</v>
      </c>
      <c r="GB26" s="2"/>
      <c r="GC26" s="2"/>
      <c r="GD26" s="2"/>
      <c r="GE26" s="2" t="s">
        <v>1612</v>
      </c>
      <c r="GF26" s="2"/>
      <c r="GG26" s="2"/>
      <c r="GH26" s="2"/>
      <c r="GI26" s="2">
        <v>90</v>
      </c>
      <c r="GJ26" s="2"/>
      <c r="GK26" s="2"/>
      <c r="GL26" s="2"/>
      <c r="GM26" s="2"/>
      <c r="GN26" s="2"/>
      <c r="GO26" s="2"/>
      <c r="GP26" s="2"/>
      <c r="GQ26" s="2">
        <v>90</v>
      </c>
      <c r="GR26" s="2" t="s">
        <v>2960</v>
      </c>
      <c r="GS26" s="2" t="s">
        <v>2686</v>
      </c>
      <c r="GT26" s="2" t="s">
        <v>3202</v>
      </c>
      <c r="GU26" s="2" t="s">
        <v>396</v>
      </c>
      <c r="GV26" s="2" t="s">
        <v>17</v>
      </c>
      <c r="GW26" s="2">
        <v>27.985295000000001</v>
      </c>
      <c r="GX26" s="2">
        <v>-82.516655999999998</v>
      </c>
      <c r="GY26" s="2"/>
      <c r="GZ26" s="2" t="s">
        <v>17</v>
      </c>
      <c r="HA26" s="2">
        <v>0</v>
      </c>
      <c r="HB26" s="2" t="s">
        <v>17</v>
      </c>
      <c r="HC26" s="2"/>
      <c r="HD26" s="2">
        <v>0</v>
      </c>
      <c r="HE26" s="2">
        <v>27.981307999999999</v>
      </c>
      <c r="HF26" s="2">
        <v>-82.513519000000002</v>
      </c>
      <c r="HG26" s="2">
        <v>0.34</v>
      </c>
      <c r="HH26" s="2">
        <v>4.5</v>
      </c>
      <c r="HI26" s="2">
        <v>27.995933000000001</v>
      </c>
      <c r="HJ26" s="2">
        <v>-82.512908999999993</v>
      </c>
      <c r="HK26" s="2">
        <v>0.77</v>
      </c>
      <c r="HL26" s="2">
        <v>27.996307000000002</v>
      </c>
      <c r="HM26" s="2">
        <v>-82.514883999999995</v>
      </c>
      <c r="HN26" s="2">
        <v>0.77</v>
      </c>
      <c r="HO26" s="2"/>
      <c r="HP26" s="2"/>
      <c r="HQ26" s="2"/>
      <c r="HR26" s="2"/>
      <c r="HS26" s="2"/>
      <c r="HT26" s="2"/>
      <c r="HU26" s="2"/>
      <c r="HV26" s="2"/>
      <c r="HW26" s="2" t="s">
        <v>73</v>
      </c>
      <c r="HX26" s="2" t="s">
        <v>1115</v>
      </c>
      <c r="HY26" s="2" t="s">
        <v>3203</v>
      </c>
      <c r="HZ26" s="2">
        <v>0.65</v>
      </c>
      <c r="IA26" s="2">
        <v>3</v>
      </c>
      <c r="IB26" s="2"/>
      <c r="IC26" s="2"/>
      <c r="ID26" s="2"/>
      <c r="IE26" s="2"/>
      <c r="IF26" s="2" t="s">
        <v>1118</v>
      </c>
      <c r="IG26" s="2" t="s">
        <v>3204</v>
      </c>
      <c r="IH26" s="2">
        <v>0.81</v>
      </c>
      <c r="II26" s="2">
        <v>2.5</v>
      </c>
      <c r="IJ26" s="2" t="s">
        <v>3205</v>
      </c>
      <c r="IK26" s="2" t="s">
        <v>3206</v>
      </c>
      <c r="IL26" s="2">
        <v>0.91</v>
      </c>
      <c r="IM26" s="2">
        <v>3</v>
      </c>
      <c r="IN26" s="2" t="s">
        <v>17</v>
      </c>
      <c r="IO26" s="2" t="s">
        <v>9</v>
      </c>
      <c r="IP26" s="2" t="s">
        <v>79</v>
      </c>
      <c r="IQ26" s="2">
        <v>4.5</v>
      </c>
      <c r="IR26" s="2">
        <v>8.5</v>
      </c>
      <c r="IS26" s="2">
        <v>0</v>
      </c>
      <c r="IT26" s="2">
        <v>13</v>
      </c>
      <c r="IU26" s="2" t="s">
        <v>17</v>
      </c>
      <c r="IV26" s="2" t="s">
        <v>17</v>
      </c>
      <c r="IW26" s="2" t="s">
        <v>17</v>
      </c>
      <c r="IX26" s="2" t="s">
        <v>9</v>
      </c>
      <c r="IY26" s="2">
        <v>13</v>
      </c>
      <c r="IZ26" s="2">
        <v>90</v>
      </c>
      <c r="JA26" s="2" t="s">
        <v>2731</v>
      </c>
      <c r="JB26" s="2" t="s">
        <v>82</v>
      </c>
      <c r="JC26" s="2"/>
      <c r="JD26" s="2"/>
      <c r="JE26" s="2"/>
      <c r="JF26" s="7">
        <v>0</v>
      </c>
      <c r="JG26" s="7"/>
      <c r="JH26" s="7"/>
      <c r="JI26" s="2">
        <v>0</v>
      </c>
      <c r="JJ26" s="7">
        <v>0</v>
      </c>
      <c r="JK26" s="2">
        <v>0</v>
      </c>
      <c r="JL26" s="7">
        <v>0</v>
      </c>
      <c r="JM26" s="2">
        <v>14</v>
      </c>
      <c r="JN26" s="2"/>
      <c r="JO26" s="2">
        <v>36</v>
      </c>
      <c r="JP26" s="2">
        <v>40</v>
      </c>
      <c r="JQ26" s="2"/>
      <c r="JR26" s="2">
        <v>0</v>
      </c>
      <c r="JS26" s="2">
        <v>0</v>
      </c>
      <c r="JT26" s="2"/>
      <c r="JU26" s="2"/>
      <c r="JV26" s="2">
        <v>90</v>
      </c>
      <c r="JW26" s="4">
        <v>1</v>
      </c>
      <c r="JX26" s="2">
        <v>90</v>
      </c>
      <c r="JY26" s="4">
        <v>0.59777999999999998</v>
      </c>
      <c r="JZ26" s="2">
        <v>0</v>
      </c>
      <c r="KA26" s="2"/>
      <c r="KB26" s="2"/>
      <c r="KC26" s="2"/>
      <c r="KD26" s="2"/>
      <c r="KE26" s="2"/>
      <c r="KF26" s="2"/>
      <c r="KG26" s="2"/>
      <c r="KH26" s="2">
        <v>31</v>
      </c>
      <c r="KI26" s="2"/>
      <c r="KJ26" s="2"/>
      <c r="KK26" s="2">
        <v>47</v>
      </c>
      <c r="KL26" s="2">
        <v>12</v>
      </c>
      <c r="KM26" s="2"/>
      <c r="KN26" s="2"/>
      <c r="KO26" s="2"/>
      <c r="KP26" s="2"/>
      <c r="KQ26" s="2" t="s">
        <v>83</v>
      </c>
      <c r="KR26" s="2" t="s">
        <v>73</v>
      </c>
      <c r="KS26" s="2"/>
      <c r="KT26" s="2">
        <v>1</v>
      </c>
      <c r="KU26" s="2" t="s">
        <v>84</v>
      </c>
      <c r="KV26" s="2" t="s">
        <v>85</v>
      </c>
      <c r="KW26" s="2" t="s">
        <v>86</v>
      </c>
      <c r="KX26" s="2" t="s">
        <v>17</v>
      </c>
      <c r="KY26" s="2" t="s">
        <v>17</v>
      </c>
      <c r="KZ26" s="2" t="s">
        <v>17</v>
      </c>
      <c r="LA26" s="2" t="s">
        <v>17</v>
      </c>
      <c r="LB26" s="2" t="s">
        <v>17</v>
      </c>
      <c r="LC26" s="2" t="s">
        <v>17</v>
      </c>
      <c r="LD26" s="2" t="s">
        <v>17</v>
      </c>
      <c r="LE26" s="2" t="s">
        <v>17</v>
      </c>
      <c r="LF26" s="2" t="s">
        <v>17</v>
      </c>
      <c r="LG26" s="2" t="s">
        <v>17</v>
      </c>
      <c r="LH26" s="2" t="s">
        <v>17</v>
      </c>
      <c r="LI26" s="2" t="s">
        <v>17</v>
      </c>
      <c r="LJ26" s="2" t="s">
        <v>87</v>
      </c>
      <c r="LK26" s="2" t="s">
        <v>17</v>
      </c>
      <c r="LL26" s="2" t="s">
        <v>17</v>
      </c>
      <c r="LM26" s="2">
        <v>0</v>
      </c>
      <c r="LN26" s="2" t="s">
        <v>17</v>
      </c>
      <c r="LO26" s="2" t="s">
        <v>9</v>
      </c>
      <c r="LP26" s="2" t="s">
        <v>9</v>
      </c>
      <c r="LQ26" s="2" t="s">
        <v>17</v>
      </c>
      <c r="LR26" s="2" t="s">
        <v>9</v>
      </c>
      <c r="LS26" s="2" t="s">
        <v>17</v>
      </c>
      <c r="LT26" s="2" t="s">
        <v>17</v>
      </c>
      <c r="LU26" s="2" t="s">
        <v>17</v>
      </c>
      <c r="LV26" s="2" t="s">
        <v>17</v>
      </c>
      <c r="LW26" s="2" t="s">
        <v>17</v>
      </c>
      <c r="LX26" s="2" t="s">
        <v>17</v>
      </c>
      <c r="LY26" s="5">
        <v>6500000</v>
      </c>
      <c r="LZ26" s="5">
        <v>0</v>
      </c>
      <c r="MA26" s="5">
        <v>8400000</v>
      </c>
      <c r="MB26" s="5">
        <v>0</v>
      </c>
      <c r="MC26" s="5">
        <v>0</v>
      </c>
      <c r="MD26" s="5">
        <v>0</v>
      </c>
      <c r="ME26" s="5">
        <v>9450000</v>
      </c>
      <c r="MF26" s="5">
        <v>0</v>
      </c>
      <c r="MG26" s="5">
        <v>0</v>
      </c>
      <c r="MH26" s="5">
        <v>0</v>
      </c>
      <c r="MI26" s="5">
        <v>0</v>
      </c>
      <c r="MJ26" s="5">
        <v>0</v>
      </c>
      <c r="MK26" s="5">
        <v>0</v>
      </c>
      <c r="ML26" s="2">
        <v>0</v>
      </c>
      <c r="MM26" s="5">
        <v>0</v>
      </c>
      <c r="MN26" s="5">
        <v>0</v>
      </c>
      <c r="MO26" s="2">
        <v>0</v>
      </c>
      <c r="MP26" s="2">
        <v>0</v>
      </c>
      <c r="MQ26" s="2">
        <v>0</v>
      </c>
      <c r="MR26" s="5">
        <v>2950000</v>
      </c>
      <c r="MS26" s="5">
        <v>0</v>
      </c>
      <c r="MT26" s="5">
        <v>4600000</v>
      </c>
      <c r="MU26" s="5">
        <v>0</v>
      </c>
      <c r="MV26" s="5">
        <v>0</v>
      </c>
      <c r="MW26" s="5">
        <v>0</v>
      </c>
      <c r="MX26" s="5">
        <v>0</v>
      </c>
      <c r="MY26" s="5">
        <v>2500000</v>
      </c>
      <c r="MZ26" s="5">
        <v>0</v>
      </c>
      <c r="NA26" s="5">
        <v>5000000</v>
      </c>
      <c r="NB26" s="5">
        <v>0</v>
      </c>
      <c r="NC26" s="5">
        <v>0</v>
      </c>
      <c r="ND26" s="5">
        <v>0</v>
      </c>
      <c r="NE26" s="5">
        <v>0</v>
      </c>
      <c r="NF26" s="5">
        <v>0</v>
      </c>
      <c r="NG26" s="5">
        <v>2992500</v>
      </c>
      <c r="NH26" s="5">
        <v>2992490</v>
      </c>
      <c r="NI26" s="5">
        <v>2992490</v>
      </c>
      <c r="NJ26" s="2" t="s">
        <v>17</v>
      </c>
      <c r="NK26" s="2"/>
      <c r="NL26" s="2"/>
      <c r="NM26" s="2" t="s">
        <v>17</v>
      </c>
      <c r="NN26" s="2"/>
      <c r="NO26" s="2" t="s">
        <v>17</v>
      </c>
      <c r="NP26" s="2"/>
      <c r="NQ26" s="2"/>
      <c r="NR26" s="2" t="s">
        <v>17</v>
      </c>
      <c r="NS26" s="2"/>
      <c r="NT26" s="2" t="s">
        <v>9</v>
      </c>
      <c r="NU26" s="2" t="s">
        <v>450</v>
      </c>
      <c r="NV26" s="2">
        <v>26</v>
      </c>
      <c r="NW26" s="2" t="s">
        <v>2967</v>
      </c>
      <c r="NX26" s="2"/>
      <c r="NY26" s="2"/>
      <c r="NZ26" s="2"/>
      <c r="OA26" s="2" t="s">
        <v>118</v>
      </c>
      <c r="OB26" s="2" t="s">
        <v>118</v>
      </c>
      <c r="OC26" s="2" t="s">
        <v>118</v>
      </c>
      <c r="OD26" s="2" t="s">
        <v>17</v>
      </c>
      <c r="OE26" s="2" t="s">
        <v>119</v>
      </c>
      <c r="OF26" s="2" t="s">
        <v>17</v>
      </c>
      <c r="OG26" s="2"/>
      <c r="OH26" s="2" t="s">
        <v>17</v>
      </c>
      <c r="OI26" s="2" t="s">
        <v>17</v>
      </c>
      <c r="OJ26" s="2" t="s">
        <v>85</v>
      </c>
      <c r="OK26" s="6">
        <v>0</v>
      </c>
      <c r="OL26" s="6">
        <v>0</v>
      </c>
      <c r="OM26" s="2" t="s">
        <v>93</v>
      </c>
      <c r="ON26" s="2" t="s">
        <v>93</v>
      </c>
      <c r="OO26" s="6">
        <v>0</v>
      </c>
      <c r="OP26" s="6">
        <v>0</v>
      </c>
      <c r="OQ26" s="4">
        <v>0</v>
      </c>
      <c r="OR26" s="6">
        <v>0</v>
      </c>
      <c r="OS26" s="4">
        <v>0</v>
      </c>
      <c r="OT26" s="2" t="s">
        <v>17</v>
      </c>
      <c r="OU26" s="2" t="s">
        <v>17</v>
      </c>
      <c r="OV26" s="2"/>
      <c r="OW26" s="2"/>
      <c r="OX26" s="5">
        <v>19916517</v>
      </c>
      <c r="OY26" s="6">
        <v>221294.64</v>
      </c>
      <c r="OZ26" s="2"/>
      <c r="PA26" s="2"/>
      <c r="PB26" s="2"/>
      <c r="PC26" s="2"/>
      <c r="PD26" s="8">
        <v>14000700</v>
      </c>
      <c r="PE26" s="8">
        <v>85500</v>
      </c>
      <c r="PF26" s="8">
        <v>14086200</v>
      </c>
      <c r="PG26" s="8">
        <v>2205000</v>
      </c>
      <c r="PH26" s="2"/>
      <c r="PI26" s="8">
        <v>2205000</v>
      </c>
      <c r="PJ26" s="2"/>
      <c r="PK26" s="2"/>
      <c r="PL26" s="2"/>
      <c r="PM26" s="8">
        <v>16205700</v>
      </c>
      <c r="PN26" s="8">
        <v>85500</v>
      </c>
      <c r="PO26" s="8">
        <v>16291200</v>
      </c>
      <c r="PP26" s="8">
        <v>2279800</v>
      </c>
      <c r="PQ26" s="2"/>
      <c r="PR26" s="8">
        <v>2279800</v>
      </c>
      <c r="PS26" s="6">
        <v>2280768</v>
      </c>
      <c r="PT26" s="8">
        <v>18485500</v>
      </c>
      <c r="PU26" s="8">
        <v>85500</v>
      </c>
      <c r="PV26" s="8">
        <v>18571000</v>
      </c>
      <c r="PW26" s="8">
        <v>928550</v>
      </c>
      <c r="PX26" s="2"/>
      <c r="PY26" s="8">
        <v>928550</v>
      </c>
      <c r="PZ26" s="6">
        <v>928550</v>
      </c>
      <c r="QA26" s="8">
        <v>718037</v>
      </c>
      <c r="QB26" s="8">
        <v>318000</v>
      </c>
      <c r="QC26" s="8">
        <v>1036037</v>
      </c>
      <c r="QD26" s="8">
        <v>90000</v>
      </c>
      <c r="QE26" s="2"/>
      <c r="QF26" s="8">
        <v>90000</v>
      </c>
      <c r="QG26" s="8">
        <v>584000</v>
      </c>
      <c r="QH26" s="2"/>
      <c r="QI26" s="8">
        <v>584000</v>
      </c>
      <c r="QJ26" s="2"/>
      <c r="QK26" s="8">
        <v>527325</v>
      </c>
      <c r="QL26" s="8">
        <v>527325</v>
      </c>
      <c r="QM26" s="2"/>
      <c r="QN26" s="2"/>
      <c r="QO26" s="2"/>
      <c r="QP26" s="8">
        <v>291000</v>
      </c>
      <c r="QQ26" s="2"/>
      <c r="QR26" s="8">
        <v>291000</v>
      </c>
      <c r="QS26" s="8">
        <v>1683037</v>
      </c>
      <c r="QT26" s="8">
        <v>845325</v>
      </c>
      <c r="QU26" s="8">
        <v>2528362</v>
      </c>
      <c r="QV26" s="8">
        <v>125000</v>
      </c>
      <c r="QW26" s="2"/>
      <c r="QX26" s="8">
        <v>125000</v>
      </c>
      <c r="QY26" s="6">
        <v>126418.1</v>
      </c>
      <c r="QZ26" s="8">
        <v>1813250</v>
      </c>
      <c r="RA26" s="8">
        <v>522750</v>
      </c>
      <c r="RB26" s="8">
        <v>2336000</v>
      </c>
      <c r="RC26" s="8">
        <v>83000</v>
      </c>
      <c r="RD26" s="8">
        <v>83000</v>
      </c>
      <c r="RE26" s="2"/>
      <c r="RF26" s="2"/>
      <c r="RG26" s="2"/>
      <c r="RH26" s="8">
        <v>1813250</v>
      </c>
      <c r="RI26" s="8">
        <v>605750</v>
      </c>
      <c r="RJ26" s="8">
        <v>2419000</v>
      </c>
      <c r="RK26" s="2"/>
      <c r="RL26" s="2"/>
      <c r="RM26" s="8">
        <v>23035337</v>
      </c>
      <c r="RN26" s="8">
        <v>1536575</v>
      </c>
      <c r="RO26" s="8">
        <v>24571912</v>
      </c>
      <c r="RP26" s="2">
        <v>0</v>
      </c>
      <c r="RQ26" s="6">
        <v>0</v>
      </c>
      <c r="RR26" s="8">
        <v>3928000</v>
      </c>
      <c r="RS26" s="2"/>
      <c r="RT26" s="8">
        <v>3928000</v>
      </c>
      <c r="RU26" s="6">
        <v>3931505</v>
      </c>
      <c r="RV26" s="6">
        <v>0</v>
      </c>
      <c r="RW26" s="8">
        <v>3928000</v>
      </c>
      <c r="RX26" s="2"/>
      <c r="RY26" s="8">
        <v>3928000</v>
      </c>
      <c r="RZ26" s="6">
        <v>3931505</v>
      </c>
      <c r="SA26" s="2"/>
      <c r="SB26" s="2"/>
      <c r="SC26" s="6">
        <v>315000</v>
      </c>
      <c r="SD26" s="8">
        <v>3625200</v>
      </c>
      <c r="SE26" s="8">
        <v>3625200</v>
      </c>
      <c r="SF26" s="8">
        <v>26963337</v>
      </c>
      <c r="SG26" s="8">
        <v>5161775</v>
      </c>
      <c r="SH26" s="8">
        <v>32125112</v>
      </c>
      <c r="SI26" s="2" t="s">
        <v>1876</v>
      </c>
      <c r="SJ26" s="2"/>
      <c r="SK26" s="2" t="s">
        <v>3207</v>
      </c>
      <c r="SL26" s="2"/>
      <c r="SM26" s="8">
        <v>24500000</v>
      </c>
      <c r="SN26" s="2" t="s">
        <v>95</v>
      </c>
      <c r="SO26" s="8">
        <v>75000</v>
      </c>
      <c r="SP26" s="2" t="s">
        <v>453</v>
      </c>
      <c r="SQ26" s="2"/>
      <c r="SR26" s="2"/>
      <c r="SS26" s="2" t="s">
        <v>96</v>
      </c>
      <c r="ST26" s="2" t="s">
        <v>96</v>
      </c>
      <c r="SU26" s="2" t="s">
        <v>96</v>
      </c>
      <c r="SV26" s="2" t="s">
        <v>96</v>
      </c>
      <c r="SW26" s="8">
        <v>4955000</v>
      </c>
      <c r="SX26" s="2"/>
      <c r="SY26" s="2"/>
      <c r="SZ26" s="2"/>
      <c r="TA26" s="8">
        <v>2595112</v>
      </c>
      <c r="TB26" s="8">
        <v>32125112</v>
      </c>
      <c r="TC26" s="2">
        <v>0</v>
      </c>
      <c r="TD26" s="2" t="s">
        <v>9</v>
      </c>
      <c r="TE26" s="8">
        <v>3000000</v>
      </c>
      <c r="TF26" s="2" t="s">
        <v>95</v>
      </c>
      <c r="TG26" s="8">
        <v>75000</v>
      </c>
      <c r="TH26" s="2" t="s">
        <v>453</v>
      </c>
      <c r="TI26" s="2"/>
      <c r="TJ26" s="2"/>
      <c r="TK26" s="2" t="s">
        <v>96</v>
      </c>
      <c r="TL26" s="2" t="s">
        <v>96</v>
      </c>
      <c r="TM26" s="2" t="s">
        <v>96</v>
      </c>
      <c r="TN26" s="2" t="s">
        <v>96</v>
      </c>
      <c r="TO26" s="8">
        <v>27528000</v>
      </c>
      <c r="TP26" s="2"/>
      <c r="TQ26" s="2"/>
      <c r="TR26" s="2"/>
      <c r="TS26" s="8">
        <v>1522112</v>
      </c>
      <c r="TT26" s="8">
        <v>32125112</v>
      </c>
      <c r="TU26" s="6">
        <v>3075000</v>
      </c>
      <c r="TV26" s="2">
        <v>0</v>
      </c>
      <c r="TW26" s="2" t="s">
        <v>9</v>
      </c>
      <c r="TX26" s="2">
        <v>90</v>
      </c>
      <c r="TY26" s="5">
        <v>270000</v>
      </c>
      <c r="TZ26" s="6">
        <v>360000</v>
      </c>
      <c r="UA26" s="6">
        <v>360000</v>
      </c>
      <c r="UB26" s="6">
        <v>381600</v>
      </c>
      <c r="UC26" s="6">
        <v>34344000</v>
      </c>
      <c r="UD26" s="6">
        <v>5495040</v>
      </c>
      <c r="UE26" s="2" t="s">
        <v>97</v>
      </c>
      <c r="UF26" s="6">
        <v>5495040</v>
      </c>
      <c r="UG26" s="6">
        <v>39839040</v>
      </c>
      <c r="UH26" s="6">
        <v>28499912</v>
      </c>
      <c r="UI26" s="4">
        <v>0.99990000000000001</v>
      </c>
      <c r="UJ26" s="2" t="s">
        <v>9</v>
      </c>
      <c r="UK26" s="2"/>
      <c r="UL26" s="2"/>
      <c r="UM26" s="6">
        <v>0</v>
      </c>
      <c r="UN26" s="6">
        <v>75000</v>
      </c>
      <c r="UO26" s="6">
        <v>75000</v>
      </c>
      <c r="UP26" s="2"/>
      <c r="UQ26" s="6">
        <v>0</v>
      </c>
      <c r="UR26" s="6">
        <v>0</v>
      </c>
      <c r="US26" s="6">
        <v>75000</v>
      </c>
      <c r="UT26" s="6">
        <v>0</v>
      </c>
      <c r="UU26" s="6">
        <v>75000</v>
      </c>
      <c r="UV26" s="2" t="s">
        <v>396</v>
      </c>
      <c r="UW26" s="2" t="s">
        <v>453</v>
      </c>
      <c r="UX26" s="2" t="s">
        <v>17</v>
      </c>
      <c r="UY26" s="2" t="s">
        <v>17</v>
      </c>
      <c r="UZ26" s="2" t="s">
        <v>17</v>
      </c>
      <c r="VA26" s="2" t="s">
        <v>17</v>
      </c>
      <c r="VB26" s="2" t="s">
        <v>2894</v>
      </c>
      <c r="VC26" s="2" t="s">
        <v>17</v>
      </c>
      <c r="VD26" s="2" t="s">
        <v>17</v>
      </c>
      <c r="VE26" s="2" t="s">
        <v>17</v>
      </c>
      <c r="VF26" s="2"/>
      <c r="VG26" s="2" t="s">
        <v>3208</v>
      </c>
      <c r="VH26" s="2"/>
      <c r="VI26" s="388" t="s">
        <v>3209</v>
      </c>
      <c r="VJ26" s="2" t="s">
        <v>98</v>
      </c>
      <c r="VK26" s="2" t="s">
        <v>536</v>
      </c>
      <c r="VL26" s="23">
        <f t="shared" si="0"/>
        <v>161</v>
      </c>
      <c r="VM26" s="17">
        <f t="shared" si="1"/>
        <v>1.788888888888889</v>
      </c>
      <c r="VN26" s="17" t="str">
        <f t="shared" si="2"/>
        <v>NC-MR-F</v>
      </c>
      <c r="VO26" s="17" t="str">
        <f t="shared" si="14"/>
        <v>NC-MR-F-ESS</v>
      </c>
      <c r="VP26" s="12">
        <v>9</v>
      </c>
      <c r="VQ26" s="57">
        <v>1</v>
      </c>
      <c r="VR26" s="14">
        <f t="shared" si="3"/>
        <v>1</v>
      </c>
      <c r="VS26" s="14">
        <f t="shared" si="4"/>
        <v>1</v>
      </c>
      <c r="VT26" s="12">
        <f t="shared" si="5"/>
        <v>0.90210000000000012</v>
      </c>
      <c r="VU26" s="29">
        <f t="shared" si="6"/>
        <v>24295727.061000004</v>
      </c>
      <c r="VV26" s="29">
        <f t="shared" si="7"/>
        <v>269952.52290000004</v>
      </c>
      <c r="VW26" s="12" t="str">
        <f t="shared" si="15"/>
        <v>A</v>
      </c>
      <c r="VX26" s="12" t="str">
        <f t="shared" si="22"/>
        <v>NC-MR-ESS</v>
      </c>
      <c r="VY26" s="351">
        <f t="shared" si="16"/>
        <v>5</v>
      </c>
      <c r="VZ26" s="12"/>
      <c r="WA26" s="12">
        <f t="shared" si="17"/>
        <v>0</v>
      </c>
      <c r="WB26" s="12">
        <f t="shared" si="18"/>
        <v>0</v>
      </c>
      <c r="WC26" s="12">
        <f t="shared" si="19"/>
        <v>0</v>
      </c>
      <c r="WD26" s="12">
        <f t="shared" si="20"/>
        <v>0</v>
      </c>
      <c r="WE26" s="12">
        <f t="shared" si="21"/>
        <v>1</v>
      </c>
      <c r="WF26" s="12">
        <f t="shared" si="9"/>
        <v>0</v>
      </c>
      <c r="WG26" s="12">
        <f t="shared" si="10"/>
        <v>1</v>
      </c>
      <c r="WH26" s="12">
        <f t="shared" si="11"/>
        <v>0</v>
      </c>
      <c r="WI26" s="31">
        <f t="shared" si="12"/>
        <v>2</v>
      </c>
      <c r="WJ26" s="2"/>
      <c r="WK26" s="444" t="str">
        <f t="shared" si="13"/>
        <v>NC-MR-ESS-BBN-BRN-NPH-F</v>
      </c>
      <c r="WL26" s="444"/>
      <c r="WM26" s="444"/>
      <c r="WN26" s="12"/>
      <c r="WO26" s="12"/>
    </row>
    <row r="27" spans="1:613" x14ac:dyDescent="0.25">
      <c r="A27" s="2">
        <v>9618</v>
      </c>
      <c r="B27" s="2" t="s">
        <v>3210</v>
      </c>
      <c r="C27" s="2" t="s">
        <v>2652</v>
      </c>
      <c r="D27" s="3">
        <v>45152</v>
      </c>
      <c r="E27" s="2" t="s">
        <v>9</v>
      </c>
      <c r="F27" s="2">
        <v>3</v>
      </c>
      <c r="G27" s="2" t="s">
        <v>9</v>
      </c>
      <c r="H27" s="2">
        <v>3</v>
      </c>
      <c r="I27" s="2" t="s">
        <v>9</v>
      </c>
      <c r="J27" s="2">
        <v>1</v>
      </c>
      <c r="K27" s="2" t="s">
        <v>9</v>
      </c>
      <c r="L27" s="2">
        <v>3</v>
      </c>
      <c r="M27" s="2" t="s">
        <v>10</v>
      </c>
      <c r="N27" s="2">
        <v>0</v>
      </c>
      <c r="O27" s="2" t="s">
        <v>10</v>
      </c>
      <c r="P27" s="2">
        <v>0</v>
      </c>
      <c r="Q27" s="2" t="s">
        <v>11</v>
      </c>
      <c r="R27" s="2">
        <v>0</v>
      </c>
      <c r="S27" s="2" t="s">
        <v>9</v>
      </c>
      <c r="T27" s="2">
        <v>2</v>
      </c>
      <c r="U27" s="2" t="s">
        <v>9</v>
      </c>
      <c r="V27" s="2">
        <v>2</v>
      </c>
      <c r="W27" s="2" t="s">
        <v>9</v>
      </c>
      <c r="X27" s="2">
        <v>2</v>
      </c>
      <c r="Y27" s="2" t="s">
        <v>12</v>
      </c>
      <c r="Z27" s="2" t="s">
        <v>978</v>
      </c>
      <c r="AA27" s="2" t="s">
        <v>978</v>
      </c>
      <c r="AB27" s="2" t="s">
        <v>188</v>
      </c>
      <c r="AC27" s="2" t="s">
        <v>15</v>
      </c>
      <c r="AD27" s="2" t="s">
        <v>15</v>
      </c>
      <c r="AE27" s="2" t="s">
        <v>15</v>
      </c>
      <c r="AF27" s="2">
        <v>3</v>
      </c>
      <c r="AG27" s="2" t="s">
        <v>787</v>
      </c>
      <c r="AH27" s="2" t="s">
        <v>17</v>
      </c>
      <c r="AI27" s="4">
        <v>0.15556</v>
      </c>
      <c r="AJ27" s="2" t="s">
        <v>17</v>
      </c>
      <c r="AK27" s="2" t="s">
        <v>9</v>
      </c>
      <c r="AL27" s="2" t="s">
        <v>17</v>
      </c>
      <c r="AM27" s="2" t="s">
        <v>17</v>
      </c>
      <c r="AN27" s="2" t="s">
        <v>17</v>
      </c>
      <c r="AO27" s="2" t="s">
        <v>9</v>
      </c>
      <c r="AP27" s="2" t="s">
        <v>17</v>
      </c>
      <c r="AQ27" s="2" t="s">
        <v>17</v>
      </c>
      <c r="AR27" s="2" t="s">
        <v>17</v>
      </c>
      <c r="AS27" s="2" t="s">
        <v>17</v>
      </c>
      <c r="AT27" s="2">
        <v>5</v>
      </c>
      <c r="AU27" s="5">
        <v>75000</v>
      </c>
      <c r="AV27" s="5">
        <v>610000</v>
      </c>
      <c r="AW27" s="2">
        <v>0</v>
      </c>
      <c r="AX27" s="2">
        <v>4</v>
      </c>
      <c r="AY27" s="2">
        <v>0</v>
      </c>
      <c r="AZ27" s="2">
        <v>18</v>
      </c>
      <c r="BA27" s="2">
        <v>0</v>
      </c>
      <c r="BB27" s="2">
        <v>0</v>
      </c>
      <c r="BC27" s="2">
        <v>1</v>
      </c>
      <c r="BD27" s="2">
        <v>3</v>
      </c>
      <c r="BE27" s="2">
        <v>0</v>
      </c>
      <c r="BF27" s="2">
        <v>1</v>
      </c>
      <c r="BG27" s="2">
        <v>0</v>
      </c>
      <c r="BH27" s="2">
        <v>0</v>
      </c>
      <c r="BI27" s="2">
        <v>13</v>
      </c>
      <c r="BJ27" s="2">
        <v>1</v>
      </c>
      <c r="BK27" s="2">
        <v>0</v>
      </c>
      <c r="BL27" s="2">
        <v>3</v>
      </c>
      <c r="BM27" s="2">
        <v>1</v>
      </c>
      <c r="BN27" s="2">
        <v>13</v>
      </c>
      <c r="BO27" s="2">
        <v>11</v>
      </c>
      <c r="BP27" s="2">
        <v>0</v>
      </c>
      <c r="BQ27" s="2">
        <v>10</v>
      </c>
      <c r="BR27" s="2">
        <v>9.84</v>
      </c>
      <c r="BS27" s="2">
        <v>0</v>
      </c>
      <c r="BT27" s="4">
        <v>0.06</v>
      </c>
      <c r="BU27" s="2" t="s">
        <v>9</v>
      </c>
      <c r="BV27" s="6">
        <v>221295.38</v>
      </c>
      <c r="BW27" s="2" t="s">
        <v>18</v>
      </c>
      <c r="BX27" s="2" t="s">
        <v>17</v>
      </c>
      <c r="BY27" s="2" t="s">
        <v>17</v>
      </c>
      <c r="BZ27" s="2" t="s">
        <v>17</v>
      </c>
      <c r="CA27" s="2" t="s">
        <v>17</v>
      </c>
      <c r="CB27" s="2" t="s">
        <v>17</v>
      </c>
      <c r="CC27" s="2" t="s">
        <v>17</v>
      </c>
      <c r="CD27" s="2" t="s">
        <v>17</v>
      </c>
      <c r="CE27" s="2" t="s">
        <v>3211</v>
      </c>
      <c r="CF27" s="2" t="s">
        <v>17</v>
      </c>
      <c r="CG27" s="2" t="s">
        <v>3181</v>
      </c>
      <c r="CH27" s="2"/>
      <c r="CI27" s="2"/>
      <c r="CJ27" s="2" t="s">
        <v>9</v>
      </c>
      <c r="CK27" s="2" t="s">
        <v>3182</v>
      </c>
      <c r="CL27" s="2" t="s">
        <v>3181</v>
      </c>
      <c r="CM27" s="2" t="s">
        <v>3183</v>
      </c>
      <c r="CN27" s="2" t="s">
        <v>330</v>
      </c>
      <c r="CO27" s="2" t="s">
        <v>24</v>
      </c>
      <c r="CP27" s="2"/>
      <c r="CQ27" s="2">
        <v>108</v>
      </c>
      <c r="CR27" s="2" t="s">
        <v>25</v>
      </c>
      <c r="CS27" s="2">
        <v>2020</v>
      </c>
      <c r="CT27" s="2" t="s">
        <v>26</v>
      </c>
      <c r="CU27" s="2" t="s">
        <v>27</v>
      </c>
      <c r="CV27" s="2" t="s">
        <v>3184</v>
      </c>
      <c r="CW27" s="2" t="s">
        <v>330</v>
      </c>
      <c r="CX27" s="2" t="s">
        <v>413</v>
      </c>
      <c r="CY27" s="2" t="s">
        <v>3185</v>
      </c>
      <c r="CZ27" s="2">
        <v>96</v>
      </c>
      <c r="DA27" s="2" t="s">
        <v>25</v>
      </c>
      <c r="DB27" s="2">
        <v>2016</v>
      </c>
      <c r="DC27" s="2" t="s">
        <v>26</v>
      </c>
      <c r="DD27" s="2" t="s">
        <v>27</v>
      </c>
      <c r="DE27" s="2" t="s">
        <v>3186</v>
      </c>
      <c r="DF27" s="2" t="s">
        <v>3187</v>
      </c>
      <c r="DG27" s="2" t="s">
        <v>413</v>
      </c>
      <c r="DH27" s="2" t="s">
        <v>3188</v>
      </c>
      <c r="DI27" s="2">
        <v>112</v>
      </c>
      <c r="DJ27" s="2" t="s">
        <v>25</v>
      </c>
      <c r="DK27" s="2">
        <v>2016</v>
      </c>
      <c r="DL27" s="2" t="s">
        <v>26</v>
      </c>
      <c r="DM27" s="2" t="s">
        <v>27</v>
      </c>
      <c r="DN27" s="2" t="s">
        <v>2663</v>
      </c>
      <c r="DO27" s="2" t="s">
        <v>3189</v>
      </c>
      <c r="DP27" s="2"/>
      <c r="DQ27" s="2" t="s">
        <v>3190</v>
      </c>
      <c r="DR27" s="2" t="s">
        <v>3191</v>
      </c>
      <c r="DS27" s="2">
        <v>1</v>
      </c>
      <c r="DT27" s="2" t="s">
        <v>3192</v>
      </c>
      <c r="DU27" s="2" t="s">
        <v>3079</v>
      </c>
      <c r="DV27" s="2" t="s">
        <v>39</v>
      </c>
      <c r="DW27" s="2">
        <v>33020</v>
      </c>
      <c r="DX27" s="2" t="s">
        <v>3193</v>
      </c>
      <c r="DY27" s="2">
        <v>2256</v>
      </c>
      <c r="DZ27" s="2" t="s">
        <v>3194</v>
      </c>
      <c r="EA27" s="2" t="s">
        <v>3182</v>
      </c>
      <c r="EB27" s="2" t="s">
        <v>3195</v>
      </c>
      <c r="EC27" s="2" t="s">
        <v>330</v>
      </c>
      <c r="ED27" s="2" t="s">
        <v>811</v>
      </c>
      <c r="EE27" s="2">
        <v>148</v>
      </c>
      <c r="EF27" s="2" t="s">
        <v>45</v>
      </c>
      <c r="EG27" s="2">
        <v>12</v>
      </c>
      <c r="EH27" s="2" t="s">
        <v>46</v>
      </c>
      <c r="EI27" s="2" t="s">
        <v>47</v>
      </c>
      <c r="EJ27" s="2" t="s">
        <v>3196</v>
      </c>
      <c r="EK27" s="2" t="s">
        <v>330</v>
      </c>
      <c r="EL27" s="2" t="s">
        <v>811</v>
      </c>
      <c r="EM27" s="2">
        <v>240</v>
      </c>
      <c r="EN27" s="2" t="s">
        <v>45</v>
      </c>
      <c r="EO27" s="2">
        <v>15</v>
      </c>
      <c r="EP27" s="2" t="s">
        <v>46</v>
      </c>
      <c r="EQ27" s="2" t="s">
        <v>47</v>
      </c>
      <c r="ER27" s="2" t="s">
        <v>3197</v>
      </c>
      <c r="ES27" s="2" t="s">
        <v>1415</v>
      </c>
      <c r="ET27" s="2" t="s">
        <v>3198</v>
      </c>
      <c r="EU27" s="2" t="s">
        <v>3212</v>
      </c>
      <c r="EV27" s="2" t="s">
        <v>3192</v>
      </c>
      <c r="EW27" s="2" t="s">
        <v>3079</v>
      </c>
      <c r="EX27" s="2" t="s">
        <v>39</v>
      </c>
      <c r="EY27" s="2">
        <v>33020</v>
      </c>
      <c r="EZ27" s="2" t="s">
        <v>3199</v>
      </c>
      <c r="FA27" s="2">
        <v>2231</v>
      </c>
      <c r="FB27" s="2" t="s">
        <v>3200</v>
      </c>
      <c r="FC27" s="2" t="s">
        <v>3197</v>
      </c>
      <c r="FD27" s="2" t="s">
        <v>672</v>
      </c>
      <c r="FE27" s="2" t="s">
        <v>3198</v>
      </c>
      <c r="FF27" s="2" t="s">
        <v>3212</v>
      </c>
      <c r="FG27" s="2" t="s">
        <v>3192</v>
      </c>
      <c r="FH27" s="2" t="s">
        <v>3079</v>
      </c>
      <c r="FI27" s="2" t="s">
        <v>39</v>
      </c>
      <c r="FJ27" s="2">
        <v>33020</v>
      </c>
      <c r="FK27" s="2" t="s">
        <v>3199</v>
      </c>
      <c r="FL27" s="2">
        <v>2231</v>
      </c>
      <c r="FM27" s="2" t="s">
        <v>3200</v>
      </c>
      <c r="FN27" s="2" t="s">
        <v>3213</v>
      </c>
      <c r="FO27" s="2" t="s">
        <v>63</v>
      </c>
      <c r="FP27" s="2" t="s">
        <v>64</v>
      </c>
      <c r="FQ27" s="2" t="s">
        <v>9</v>
      </c>
      <c r="FR27" s="2" t="s">
        <v>17</v>
      </c>
      <c r="FS27" s="2" t="s">
        <v>17</v>
      </c>
      <c r="FT27" s="2" t="s">
        <v>9</v>
      </c>
      <c r="FU27" s="2">
        <v>0</v>
      </c>
      <c r="FV27" s="2">
        <v>0</v>
      </c>
      <c r="FW27" s="4">
        <v>0</v>
      </c>
      <c r="FX27" s="4">
        <v>0</v>
      </c>
      <c r="FY27" s="2" t="s">
        <v>65</v>
      </c>
      <c r="FZ27" s="2" t="s">
        <v>66</v>
      </c>
      <c r="GA27" s="2" t="s">
        <v>67</v>
      </c>
      <c r="GB27" s="2"/>
      <c r="GC27" s="2"/>
      <c r="GD27" s="2"/>
      <c r="GE27" s="2" t="s">
        <v>1612</v>
      </c>
      <c r="GF27" s="2"/>
      <c r="GG27" s="2"/>
      <c r="GH27" s="2"/>
      <c r="GI27" s="2">
        <v>90</v>
      </c>
      <c r="GJ27" s="2"/>
      <c r="GK27" s="2"/>
      <c r="GL27" s="2"/>
      <c r="GM27" s="2"/>
      <c r="GN27" s="2"/>
      <c r="GO27" s="2"/>
      <c r="GP27" s="2"/>
      <c r="GQ27" s="2">
        <v>90</v>
      </c>
      <c r="GR27" s="2" t="s">
        <v>2826</v>
      </c>
      <c r="GS27" s="2" t="s">
        <v>2686</v>
      </c>
      <c r="GT27" s="2" t="s">
        <v>3214</v>
      </c>
      <c r="GU27" s="2" t="s">
        <v>2828</v>
      </c>
      <c r="GV27" s="2" t="s">
        <v>17</v>
      </c>
      <c r="GW27" s="2">
        <v>28.473911000000001</v>
      </c>
      <c r="GX27" s="2">
        <v>-81.403445000000005</v>
      </c>
      <c r="GY27" s="2"/>
      <c r="GZ27" s="2" t="s">
        <v>17</v>
      </c>
      <c r="HA27" s="2">
        <v>0</v>
      </c>
      <c r="HB27" s="2" t="s">
        <v>17</v>
      </c>
      <c r="HC27" s="2"/>
      <c r="HD27" s="2">
        <v>0</v>
      </c>
      <c r="HE27" s="2">
        <v>28.472612999999999</v>
      </c>
      <c r="HF27" s="2">
        <v>-81.401989999999998</v>
      </c>
      <c r="HG27" s="2">
        <v>0.13</v>
      </c>
      <c r="HH27" s="2">
        <v>6</v>
      </c>
      <c r="HI27" s="2">
        <v>28.472425999999999</v>
      </c>
      <c r="HJ27" s="2">
        <v>-81.402126999999993</v>
      </c>
      <c r="HK27" s="2">
        <v>0.14000000000000001</v>
      </c>
      <c r="HL27" s="2">
        <v>28.473151000000001</v>
      </c>
      <c r="HM27" s="2">
        <v>-81.400913000000003</v>
      </c>
      <c r="HN27" s="2">
        <v>0.17</v>
      </c>
      <c r="HO27" s="2"/>
      <c r="HP27" s="2"/>
      <c r="HQ27" s="2"/>
      <c r="HR27" s="2"/>
      <c r="HS27" s="2"/>
      <c r="HT27" s="2"/>
      <c r="HU27" s="2"/>
      <c r="HV27" s="2"/>
      <c r="HW27" s="2" t="s">
        <v>73</v>
      </c>
      <c r="HX27" s="2" t="s">
        <v>74</v>
      </c>
      <c r="HY27" s="2" t="s">
        <v>3215</v>
      </c>
      <c r="HZ27" s="2">
        <v>0.28999999999999998</v>
      </c>
      <c r="IA27" s="2">
        <v>4</v>
      </c>
      <c r="IB27" s="2"/>
      <c r="IC27" s="2"/>
      <c r="ID27" s="2"/>
      <c r="IE27" s="2"/>
      <c r="IF27" s="2" t="s">
        <v>74</v>
      </c>
      <c r="IG27" s="2" t="s">
        <v>3215</v>
      </c>
      <c r="IH27" s="2">
        <v>0.28999999999999998</v>
      </c>
      <c r="II27" s="2">
        <v>4</v>
      </c>
      <c r="IJ27" s="2" t="s">
        <v>3009</v>
      </c>
      <c r="IK27" s="2" t="s">
        <v>3010</v>
      </c>
      <c r="IL27" s="2">
        <v>0.48</v>
      </c>
      <c r="IM27" s="2">
        <v>4</v>
      </c>
      <c r="IN27" s="2" t="s">
        <v>17</v>
      </c>
      <c r="IO27" s="2" t="s">
        <v>17</v>
      </c>
      <c r="IP27" s="2" t="s">
        <v>79</v>
      </c>
      <c r="IQ27" s="2">
        <v>6</v>
      </c>
      <c r="IR27" s="2">
        <v>12</v>
      </c>
      <c r="IS27" s="2">
        <v>0</v>
      </c>
      <c r="IT27" s="2">
        <v>18</v>
      </c>
      <c r="IU27" s="2" t="s">
        <v>17</v>
      </c>
      <c r="IV27" s="2" t="s">
        <v>17</v>
      </c>
      <c r="IW27" s="2" t="s">
        <v>17</v>
      </c>
      <c r="IX27" s="2" t="s">
        <v>9</v>
      </c>
      <c r="IY27" s="2">
        <v>18</v>
      </c>
      <c r="IZ27" s="2">
        <v>90</v>
      </c>
      <c r="JA27" s="2" t="s">
        <v>2731</v>
      </c>
      <c r="JB27" s="2" t="s">
        <v>82</v>
      </c>
      <c r="JC27" s="2"/>
      <c r="JD27" s="2"/>
      <c r="JE27" s="2"/>
      <c r="JF27" s="7">
        <v>0</v>
      </c>
      <c r="JG27" s="7"/>
      <c r="JH27" s="7"/>
      <c r="JI27" s="2">
        <v>0</v>
      </c>
      <c r="JJ27" s="7">
        <v>0</v>
      </c>
      <c r="JK27" s="2">
        <v>0</v>
      </c>
      <c r="JL27" s="7">
        <v>0</v>
      </c>
      <c r="JM27" s="2">
        <v>14</v>
      </c>
      <c r="JN27" s="2"/>
      <c r="JO27" s="2">
        <v>36</v>
      </c>
      <c r="JP27" s="2">
        <v>40</v>
      </c>
      <c r="JQ27" s="2"/>
      <c r="JR27" s="2">
        <v>0</v>
      </c>
      <c r="JS27" s="2">
        <v>0</v>
      </c>
      <c r="JT27" s="2"/>
      <c r="JU27" s="2"/>
      <c r="JV27" s="2">
        <v>90</v>
      </c>
      <c r="JW27" s="4">
        <v>1</v>
      </c>
      <c r="JX27" s="2">
        <v>90</v>
      </c>
      <c r="JY27" s="4">
        <v>0.59777999999999998</v>
      </c>
      <c r="JZ27" s="2">
        <v>0</v>
      </c>
      <c r="KA27" s="2"/>
      <c r="KB27" s="2"/>
      <c r="KC27" s="2"/>
      <c r="KD27" s="2"/>
      <c r="KE27" s="2"/>
      <c r="KF27" s="2"/>
      <c r="KG27" s="2"/>
      <c r="KH27" s="2">
        <v>45</v>
      </c>
      <c r="KI27" s="2"/>
      <c r="KJ27" s="2"/>
      <c r="KK27" s="2">
        <v>45</v>
      </c>
      <c r="KL27" s="2"/>
      <c r="KM27" s="2"/>
      <c r="KN27" s="2"/>
      <c r="KO27" s="2"/>
      <c r="KP27" s="2"/>
      <c r="KQ27" s="2" t="s">
        <v>83</v>
      </c>
      <c r="KR27" s="2" t="s">
        <v>73</v>
      </c>
      <c r="KS27" s="2"/>
      <c r="KT27" s="2">
        <v>1</v>
      </c>
      <c r="KU27" s="2" t="s">
        <v>84</v>
      </c>
      <c r="KV27" s="2" t="s">
        <v>85</v>
      </c>
      <c r="KW27" s="2" t="s">
        <v>86</v>
      </c>
      <c r="KX27" s="2" t="s">
        <v>17</v>
      </c>
      <c r="KY27" s="2" t="s">
        <v>17</v>
      </c>
      <c r="KZ27" s="2" t="s">
        <v>17</v>
      </c>
      <c r="LA27" s="2" t="s">
        <v>17</v>
      </c>
      <c r="LB27" s="2" t="s">
        <v>17</v>
      </c>
      <c r="LC27" s="2" t="s">
        <v>17</v>
      </c>
      <c r="LD27" s="2" t="s">
        <v>17</v>
      </c>
      <c r="LE27" s="2" t="s">
        <v>17</v>
      </c>
      <c r="LF27" s="2" t="s">
        <v>17</v>
      </c>
      <c r="LG27" s="2" t="s">
        <v>17</v>
      </c>
      <c r="LH27" s="2" t="s">
        <v>17</v>
      </c>
      <c r="LI27" s="2" t="s">
        <v>17</v>
      </c>
      <c r="LJ27" s="2" t="s">
        <v>87</v>
      </c>
      <c r="LK27" s="2" t="s">
        <v>17</v>
      </c>
      <c r="LL27" s="2" t="s">
        <v>17</v>
      </c>
      <c r="LM27" s="2">
        <v>0</v>
      </c>
      <c r="LN27" s="2" t="s">
        <v>17</v>
      </c>
      <c r="LO27" s="2" t="s">
        <v>9</v>
      </c>
      <c r="LP27" s="2" t="s">
        <v>9</v>
      </c>
      <c r="LQ27" s="2" t="s">
        <v>17</v>
      </c>
      <c r="LR27" s="2" t="s">
        <v>9</v>
      </c>
      <c r="LS27" s="2" t="s">
        <v>17</v>
      </c>
      <c r="LT27" s="2" t="s">
        <v>17</v>
      </c>
      <c r="LU27" s="2" t="s">
        <v>17</v>
      </c>
      <c r="LV27" s="2" t="s">
        <v>17</v>
      </c>
      <c r="LW27" s="2" t="s">
        <v>17</v>
      </c>
      <c r="LX27" s="2" t="s">
        <v>17</v>
      </c>
      <c r="LY27" s="5">
        <v>6500000</v>
      </c>
      <c r="LZ27" s="5">
        <v>0</v>
      </c>
      <c r="MA27" s="5">
        <v>8400000</v>
      </c>
      <c r="MB27" s="5">
        <v>0</v>
      </c>
      <c r="MC27" s="5">
        <v>0</v>
      </c>
      <c r="MD27" s="5">
        <v>0</v>
      </c>
      <c r="ME27" s="5">
        <v>9450000</v>
      </c>
      <c r="MF27" s="5">
        <v>0</v>
      </c>
      <c r="MG27" s="5">
        <v>0</v>
      </c>
      <c r="MH27" s="5">
        <v>0</v>
      </c>
      <c r="MI27" s="5">
        <v>0</v>
      </c>
      <c r="MJ27" s="5">
        <v>0</v>
      </c>
      <c r="MK27" s="5">
        <v>0</v>
      </c>
      <c r="ML27" s="2">
        <v>0</v>
      </c>
      <c r="MM27" s="5">
        <v>0</v>
      </c>
      <c r="MN27" s="5">
        <v>0</v>
      </c>
      <c r="MO27" s="2">
        <v>0</v>
      </c>
      <c r="MP27" s="2">
        <v>0</v>
      </c>
      <c r="MQ27" s="2">
        <v>0</v>
      </c>
      <c r="MR27" s="5">
        <v>2950000</v>
      </c>
      <c r="MS27" s="5">
        <v>0</v>
      </c>
      <c r="MT27" s="5">
        <v>4600000</v>
      </c>
      <c r="MU27" s="5">
        <v>0</v>
      </c>
      <c r="MV27" s="5">
        <v>0</v>
      </c>
      <c r="MW27" s="5">
        <v>0</v>
      </c>
      <c r="MX27" s="5">
        <v>0</v>
      </c>
      <c r="MY27" s="5">
        <v>2500000</v>
      </c>
      <c r="MZ27" s="5">
        <v>0</v>
      </c>
      <c r="NA27" s="5">
        <v>5000000</v>
      </c>
      <c r="NB27" s="5">
        <v>0</v>
      </c>
      <c r="NC27" s="5">
        <v>0</v>
      </c>
      <c r="ND27" s="5">
        <v>0</v>
      </c>
      <c r="NE27" s="5">
        <v>0</v>
      </c>
      <c r="NF27" s="5">
        <v>0</v>
      </c>
      <c r="NG27" s="5">
        <v>2992500</v>
      </c>
      <c r="NH27" s="5">
        <v>2992500</v>
      </c>
      <c r="NI27" s="5">
        <v>2992500</v>
      </c>
      <c r="NJ27" s="2" t="s">
        <v>17</v>
      </c>
      <c r="NK27" s="2"/>
      <c r="NL27" s="2"/>
      <c r="NM27" s="2" t="s">
        <v>17</v>
      </c>
      <c r="NN27" s="2"/>
      <c r="NO27" s="2" t="s">
        <v>17</v>
      </c>
      <c r="NP27" s="2"/>
      <c r="NQ27" s="2"/>
      <c r="NR27" s="2" t="s">
        <v>17</v>
      </c>
      <c r="NS27" s="2"/>
      <c r="NT27" s="2" t="s">
        <v>9</v>
      </c>
      <c r="NU27" s="2" t="s">
        <v>450</v>
      </c>
      <c r="NV27" s="2">
        <v>169.07</v>
      </c>
      <c r="NW27" s="2" t="s">
        <v>3011</v>
      </c>
      <c r="NX27" s="2"/>
      <c r="NY27" s="2"/>
      <c r="NZ27" s="2"/>
      <c r="OA27" s="2" t="s">
        <v>118</v>
      </c>
      <c r="OB27" s="2" t="s">
        <v>118</v>
      </c>
      <c r="OC27" s="2" t="s">
        <v>118</v>
      </c>
      <c r="OD27" s="2" t="s">
        <v>17</v>
      </c>
      <c r="OE27" s="2" t="s">
        <v>119</v>
      </c>
      <c r="OF27" s="2" t="s">
        <v>17</v>
      </c>
      <c r="OG27" s="2"/>
      <c r="OH27" s="2" t="s">
        <v>17</v>
      </c>
      <c r="OI27" s="2" t="s">
        <v>17</v>
      </c>
      <c r="OJ27" s="2" t="s">
        <v>85</v>
      </c>
      <c r="OK27" s="6">
        <v>0</v>
      </c>
      <c r="OL27" s="6">
        <v>0</v>
      </c>
      <c r="OM27" s="2" t="s">
        <v>93</v>
      </c>
      <c r="ON27" s="2" t="s">
        <v>93</v>
      </c>
      <c r="OO27" s="6">
        <v>0</v>
      </c>
      <c r="OP27" s="6">
        <v>0</v>
      </c>
      <c r="OQ27" s="4">
        <v>0</v>
      </c>
      <c r="OR27" s="6">
        <v>0</v>
      </c>
      <c r="OS27" s="4">
        <v>0</v>
      </c>
      <c r="OT27" s="2" t="s">
        <v>17</v>
      </c>
      <c r="OU27" s="2" t="s">
        <v>17</v>
      </c>
      <c r="OV27" s="2"/>
      <c r="OW27" s="2"/>
      <c r="OX27" s="5">
        <v>19916584</v>
      </c>
      <c r="OY27" s="6">
        <v>221295.38</v>
      </c>
      <c r="OZ27" s="2"/>
      <c r="PA27" s="2"/>
      <c r="PB27" s="2"/>
      <c r="PC27" s="2"/>
      <c r="PD27" s="8">
        <v>14006500</v>
      </c>
      <c r="PE27" s="8">
        <v>85500</v>
      </c>
      <c r="PF27" s="8">
        <v>14092000</v>
      </c>
      <c r="PG27" s="8">
        <v>2115000</v>
      </c>
      <c r="PH27" s="2"/>
      <c r="PI27" s="8">
        <v>2115000</v>
      </c>
      <c r="PJ27" s="2"/>
      <c r="PK27" s="2"/>
      <c r="PL27" s="2"/>
      <c r="PM27" s="8">
        <v>16121500</v>
      </c>
      <c r="PN27" s="8">
        <v>85500</v>
      </c>
      <c r="PO27" s="8">
        <v>16207000</v>
      </c>
      <c r="PP27" s="8">
        <v>2266000</v>
      </c>
      <c r="PQ27" s="2"/>
      <c r="PR27" s="8">
        <v>2266000</v>
      </c>
      <c r="PS27" s="6">
        <v>2268980</v>
      </c>
      <c r="PT27" s="8">
        <v>18387500</v>
      </c>
      <c r="PU27" s="8">
        <v>85500</v>
      </c>
      <c r="PV27" s="8">
        <v>18473000</v>
      </c>
      <c r="PW27" s="8">
        <v>923650</v>
      </c>
      <c r="PX27" s="2"/>
      <c r="PY27" s="8">
        <v>923650</v>
      </c>
      <c r="PZ27" s="6">
        <v>923650</v>
      </c>
      <c r="QA27" s="8">
        <v>579500</v>
      </c>
      <c r="QB27" s="8">
        <v>470000</v>
      </c>
      <c r="QC27" s="8">
        <v>1049500</v>
      </c>
      <c r="QD27" s="8">
        <v>90000</v>
      </c>
      <c r="QE27" s="2"/>
      <c r="QF27" s="8">
        <v>90000</v>
      </c>
      <c r="QG27" s="8">
        <v>617618</v>
      </c>
      <c r="QH27" s="2"/>
      <c r="QI27" s="8">
        <v>617618</v>
      </c>
      <c r="QJ27" s="2"/>
      <c r="QK27" s="8">
        <v>487325</v>
      </c>
      <c r="QL27" s="8">
        <v>487325</v>
      </c>
      <c r="QM27" s="2"/>
      <c r="QN27" s="2"/>
      <c r="QO27" s="2"/>
      <c r="QP27" s="8">
        <v>245000</v>
      </c>
      <c r="QQ27" s="2"/>
      <c r="QR27" s="8">
        <v>245000</v>
      </c>
      <c r="QS27" s="8">
        <v>1532118</v>
      </c>
      <c r="QT27" s="8">
        <v>957325</v>
      </c>
      <c r="QU27" s="8">
        <v>2489443</v>
      </c>
      <c r="QV27" s="8">
        <v>123000</v>
      </c>
      <c r="QW27" s="2"/>
      <c r="QX27" s="8">
        <v>123000</v>
      </c>
      <c r="QY27" s="6">
        <v>124472.15</v>
      </c>
      <c r="QZ27" s="8">
        <v>1439600</v>
      </c>
      <c r="RA27" s="8">
        <v>430000</v>
      </c>
      <c r="RB27" s="8">
        <v>1869600</v>
      </c>
      <c r="RC27" s="8">
        <v>89000</v>
      </c>
      <c r="RD27" s="8">
        <v>89000</v>
      </c>
      <c r="RE27" s="2"/>
      <c r="RF27" s="2"/>
      <c r="RG27" s="2"/>
      <c r="RH27" s="8">
        <v>1439600</v>
      </c>
      <c r="RI27" s="8">
        <v>519000</v>
      </c>
      <c r="RJ27" s="8">
        <v>1958600</v>
      </c>
      <c r="RK27" s="2"/>
      <c r="RL27" s="2"/>
      <c r="RM27" s="8">
        <v>22405868</v>
      </c>
      <c r="RN27" s="8">
        <v>1561825</v>
      </c>
      <c r="RO27" s="8">
        <v>23967693</v>
      </c>
      <c r="RP27" s="2">
        <v>0</v>
      </c>
      <c r="RQ27" s="6">
        <v>0</v>
      </c>
      <c r="RR27" s="8">
        <v>3832000</v>
      </c>
      <c r="RS27" s="2"/>
      <c r="RT27" s="8">
        <v>3832000</v>
      </c>
      <c r="RU27" s="6">
        <v>3834830</v>
      </c>
      <c r="RV27" s="6">
        <v>0</v>
      </c>
      <c r="RW27" s="8">
        <v>3832000</v>
      </c>
      <c r="RX27" s="2"/>
      <c r="RY27" s="8">
        <v>3832000</v>
      </c>
      <c r="RZ27" s="6">
        <v>3834830</v>
      </c>
      <c r="SA27" s="2"/>
      <c r="SB27" s="2"/>
      <c r="SC27" s="6">
        <v>315000</v>
      </c>
      <c r="SD27" s="8">
        <v>2950000</v>
      </c>
      <c r="SE27" s="8">
        <v>2950000</v>
      </c>
      <c r="SF27" s="8">
        <v>26237868</v>
      </c>
      <c r="SG27" s="8">
        <v>4511825</v>
      </c>
      <c r="SH27" s="8">
        <v>30749693</v>
      </c>
      <c r="SI27" s="2" t="s">
        <v>2694</v>
      </c>
      <c r="SJ27" s="2"/>
      <c r="SK27" s="2" t="s">
        <v>3216</v>
      </c>
      <c r="SL27" s="2"/>
      <c r="SM27" s="8">
        <v>18700000</v>
      </c>
      <c r="SN27" s="2" t="s">
        <v>95</v>
      </c>
      <c r="SO27" s="8">
        <v>75000</v>
      </c>
      <c r="SP27" s="2" t="s">
        <v>453</v>
      </c>
      <c r="SQ27" s="2"/>
      <c r="SR27" s="2"/>
      <c r="SS27" s="2" t="s">
        <v>96</v>
      </c>
      <c r="ST27" s="2" t="s">
        <v>96</v>
      </c>
      <c r="SU27" s="2" t="s">
        <v>96</v>
      </c>
      <c r="SV27" s="2" t="s">
        <v>96</v>
      </c>
      <c r="SW27" s="8">
        <v>9359000</v>
      </c>
      <c r="SX27" s="2"/>
      <c r="SY27" s="2"/>
      <c r="SZ27" s="2"/>
      <c r="TA27" s="8">
        <v>2615693</v>
      </c>
      <c r="TB27" s="8">
        <v>30749693</v>
      </c>
      <c r="TC27" s="2">
        <v>0</v>
      </c>
      <c r="TD27" s="2" t="s">
        <v>9</v>
      </c>
      <c r="TE27" s="8">
        <v>2900000</v>
      </c>
      <c r="TF27" s="2" t="s">
        <v>95</v>
      </c>
      <c r="TG27" s="8">
        <v>75000</v>
      </c>
      <c r="TH27" s="2" t="s">
        <v>453</v>
      </c>
      <c r="TI27" s="2"/>
      <c r="TJ27" s="2"/>
      <c r="TK27" s="2" t="s">
        <v>96</v>
      </c>
      <c r="TL27" s="2" t="s">
        <v>96</v>
      </c>
      <c r="TM27" s="2" t="s">
        <v>96</v>
      </c>
      <c r="TN27" s="2" t="s">
        <v>96</v>
      </c>
      <c r="TO27" s="8">
        <v>27528000</v>
      </c>
      <c r="TP27" s="2"/>
      <c r="TQ27" s="2"/>
      <c r="TR27" s="2"/>
      <c r="TS27" s="8">
        <v>246693</v>
      </c>
      <c r="TT27" s="8">
        <v>30749693</v>
      </c>
      <c r="TU27" s="6">
        <v>2975000</v>
      </c>
      <c r="TV27" s="2">
        <v>0</v>
      </c>
      <c r="TW27" s="2" t="s">
        <v>9</v>
      </c>
      <c r="TX27" s="2">
        <v>90</v>
      </c>
      <c r="TY27" s="5">
        <v>270000</v>
      </c>
      <c r="TZ27" s="6">
        <v>360000</v>
      </c>
      <c r="UA27" s="6">
        <v>360000</v>
      </c>
      <c r="UB27" s="6">
        <v>381600</v>
      </c>
      <c r="UC27" s="6">
        <v>34344000</v>
      </c>
      <c r="UD27" s="6">
        <v>5495040</v>
      </c>
      <c r="UE27" s="2" t="s">
        <v>97</v>
      </c>
      <c r="UF27" s="6">
        <v>5495040</v>
      </c>
      <c r="UG27" s="6">
        <v>39839040</v>
      </c>
      <c r="UH27" s="6">
        <v>27799693</v>
      </c>
      <c r="UI27" s="4">
        <v>0.99990000000000001</v>
      </c>
      <c r="UJ27" s="2" t="s">
        <v>9</v>
      </c>
      <c r="UK27" s="2"/>
      <c r="UL27" s="2"/>
      <c r="UM27" s="6">
        <v>0</v>
      </c>
      <c r="UN27" s="6">
        <v>75000</v>
      </c>
      <c r="UO27" s="6">
        <v>75000</v>
      </c>
      <c r="UP27" s="2"/>
      <c r="UQ27" s="6">
        <v>0</v>
      </c>
      <c r="UR27" s="6">
        <v>0</v>
      </c>
      <c r="US27" s="6">
        <v>75000</v>
      </c>
      <c r="UT27" s="6">
        <v>0</v>
      </c>
      <c r="UU27" s="6">
        <v>75000</v>
      </c>
      <c r="UV27" s="2" t="s">
        <v>3217</v>
      </c>
      <c r="UW27" s="2" t="s">
        <v>453</v>
      </c>
      <c r="UX27" s="2" t="s">
        <v>17</v>
      </c>
      <c r="UY27" s="2" t="s">
        <v>17</v>
      </c>
      <c r="UZ27" s="2" t="s">
        <v>17</v>
      </c>
      <c r="VA27" s="2" t="s">
        <v>17</v>
      </c>
      <c r="VB27" s="2"/>
      <c r="VC27" s="2" t="s">
        <v>17</v>
      </c>
      <c r="VD27" s="2" t="s">
        <v>17</v>
      </c>
      <c r="VE27" s="2" t="s">
        <v>17</v>
      </c>
      <c r="VF27" s="2"/>
      <c r="VG27" s="2" t="s">
        <v>3218</v>
      </c>
      <c r="VH27" s="2"/>
      <c r="VI27" s="388" t="s">
        <v>3209</v>
      </c>
      <c r="VJ27" s="2" t="s">
        <v>98</v>
      </c>
      <c r="VK27" s="2" t="s">
        <v>536</v>
      </c>
      <c r="VL27" s="23">
        <f t="shared" si="0"/>
        <v>135</v>
      </c>
      <c r="VM27" s="17">
        <f t="shared" si="1"/>
        <v>1.5</v>
      </c>
      <c r="VN27" s="17" t="str">
        <f t="shared" si="2"/>
        <v>NC-MR-F</v>
      </c>
      <c r="VO27" s="17" t="str">
        <f t="shared" si="14"/>
        <v>NC-MR-F-ESS</v>
      </c>
      <c r="VP27" s="12">
        <v>9</v>
      </c>
      <c r="VQ27" s="57">
        <v>1</v>
      </c>
      <c r="VR27" s="14">
        <f t="shared" si="3"/>
        <v>1</v>
      </c>
      <c r="VS27" s="14">
        <f t="shared" si="4"/>
        <v>1</v>
      </c>
      <c r="VT27" s="12">
        <f t="shared" si="5"/>
        <v>0.90210000000000012</v>
      </c>
      <c r="VU27" s="29">
        <f t="shared" si="6"/>
        <v>24295808.250000004</v>
      </c>
      <c r="VV27" s="29">
        <f t="shared" si="7"/>
        <v>269953.42500000005</v>
      </c>
      <c r="VW27" s="12" t="str">
        <f t="shared" si="15"/>
        <v>A</v>
      </c>
      <c r="VX27" s="12" t="str">
        <f t="shared" si="22"/>
        <v>NC-MR-ESS</v>
      </c>
      <c r="VY27" s="351">
        <f t="shared" si="16"/>
        <v>5</v>
      </c>
      <c r="VZ27" s="12"/>
      <c r="WA27" s="12">
        <f t="shared" si="17"/>
        <v>0</v>
      </c>
      <c r="WB27" s="12">
        <f t="shared" si="18"/>
        <v>0</v>
      </c>
      <c r="WC27" s="12">
        <f t="shared" si="19"/>
        <v>0</v>
      </c>
      <c r="WD27" s="12">
        <f t="shared" si="20"/>
        <v>0</v>
      </c>
      <c r="WE27" s="12">
        <f t="shared" si="21"/>
        <v>1</v>
      </c>
      <c r="WF27" s="12">
        <f t="shared" si="9"/>
        <v>0</v>
      </c>
      <c r="WG27" s="12">
        <f t="shared" si="10"/>
        <v>1</v>
      </c>
      <c r="WH27" s="12">
        <f t="shared" si="11"/>
        <v>0</v>
      </c>
      <c r="WI27" s="31">
        <f t="shared" si="12"/>
        <v>2</v>
      </c>
      <c r="WJ27" s="2"/>
      <c r="WK27" s="444" t="str">
        <f t="shared" si="13"/>
        <v>NC-MR-ESS-BBN-BRN-NPH-F</v>
      </c>
      <c r="WL27" s="444"/>
      <c r="WM27" s="444"/>
      <c r="WN27" s="12"/>
      <c r="WO27" s="12"/>
    </row>
    <row r="28" spans="1:613" x14ac:dyDescent="0.25">
      <c r="A28" s="2">
        <v>9613</v>
      </c>
      <c r="B28" s="2" t="s">
        <v>3219</v>
      </c>
      <c r="C28" s="2" t="s">
        <v>2652</v>
      </c>
      <c r="D28" s="3">
        <v>45152</v>
      </c>
      <c r="E28" s="2" t="s">
        <v>9</v>
      </c>
      <c r="F28" s="2">
        <v>3</v>
      </c>
      <c r="G28" s="2" t="s">
        <v>9</v>
      </c>
      <c r="H28" s="2">
        <v>3</v>
      </c>
      <c r="I28" s="2" t="s">
        <v>9</v>
      </c>
      <c r="J28" s="2">
        <v>3</v>
      </c>
      <c r="K28" s="2" t="s">
        <v>9</v>
      </c>
      <c r="L28" s="2">
        <v>3</v>
      </c>
      <c r="M28" s="2" t="s">
        <v>10</v>
      </c>
      <c r="N28" s="2">
        <v>0</v>
      </c>
      <c r="O28" s="2" t="s">
        <v>10</v>
      </c>
      <c r="P28" s="2">
        <v>0</v>
      </c>
      <c r="Q28" s="2" t="s">
        <v>11</v>
      </c>
      <c r="R28" s="2">
        <v>0</v>
      </c>
      <c r="S28" s="2" t="s">
        <v>9</v>
      </c>
      <c r="T28" s="2">
        <v>2</v>
      </c>
      <c r="U28" s="2" t="s">
        <v>9</v>
      </c>
      <c r="V28" s="2">
        <v>2</v>
      </c>
      <c r="W28" s="2" t="s">
        <v>9</v>
      </c>
      <c r="X28" s="2">
        <v>2</v>
      </c>
      <c r="Y28" s="2" t="s">
        <v>12</v>
      </c>
      <c r="Z28" s="2" t="s">
        <v>187</v>
      </c>
      <c r="AA28" s="2" t="s">
        <v>15</v>
      </c>
      <c r="AB28" s="2" t="s">
        <v>15</v>
      </c>
      <c r="AC28" s="2" t="s">
        <v>15</v>
      </c>
      <c r="AD28" s="2" t="s">
        <v>15</v>
      </c>
      <c r="AE28" s="2" t="s">
        <v>15</v>
      </c>
      <c r="AF28" s="2">
        <v>1</v>
      </c>
      <c r="AG28" s="2" t="s">
        <v>1366</v>
      </c>
      <c r="AH28" s="2" t="s">
        <v>17</v>
      </c>
      <c r="AI28" s="4">
        <v>0.26828999999999997</v>
      </c>
      <c r="AJ28" s="2" t="s">
        <v>17</v>
      </c>
      <c r="AK28" s="2" t="s">
        <v>9</v>
      </c>
      <c r="AL28" s="2" t="s">
        <v>17</v>
      </c>
      <c r="AM28" s="2" t="s">
        <v>9</v>
      </c>
      <c r="AN28" s="2" t="s">
        <v>17</v>
      </c>
      <c r="AO28" s="2" t="s">
        <v>17</v>
      </c>
      <c r="AP28" s="2" t="s">
        <v>17</v>
      </c>
      <c r="AQ28" s="2" t="s">
        <v>17</v>
      </c>
      <c r="AR28" s="2" t="s">
        <v>17</v>
      </c>
      <c r="AS28" s="2" t="s">
        <v>17</v>
      </c>
      <c r="AT28" s="2">
        <v>5</v>
      </c>
      <c r="AU28" s="5">
        <v>75000</v>
      </c>
      <c r="AV28" s="5">
        <v>610000</v>
      </c>
      <c r="AW28" s="2">
        <v>0</v>
      </c>
      <c r="AX28" s="2">
        <v>8</v>
      </c>
      <c r="AY28" s="2">
        <v>0</v>
      </c>
      <c r="AZ28" s="2">
        <v>18</v>
      </c>
      <c r="BA28" s="2">
        <v>0</v>
      </c>
      <c r="BB28" s="2">
        <v>0</v>
      </c>
      <c r="BC28" s="2">
        <v>0</v>
      </c>
      <c r="BD28" s="2">
        <v>5</v>
      </c>
      <c r="BE28" s="2">
        <v>0</v>
      </c>
      <c r="BF28" s="2">
        <v>1</v>
      </c>
      <c r="BG28" s="2">
        <v>0</v>
      </c>
      <c r="BH28" s="2">
        <v>0</v>
      </c>
      <c r="BI28" s="2">
        <v>13</v>
      </c>
      <c r="BJ28" s="2">
        <v>1</v>
      </c>
      <c r="BK28" s="2">
        <v>0</v>
      </c>
      <c r="BL28" s="2">
        <v>2</v>
      </c>
      <c r="BM28" s="2">
        <v>1</v>
      </c>
      <c r="BN28" s="2">
        <v>13</v>
      </c>
      <c r="BO28" s="2">
        <v>11</v>
      </c>
      <c r="BP28" s="2">
        <v>0</v>
      </c>
      <c r="BQ28" s="2">
        <v>10</v>
      </c>
      <c r="BR28" s="2">
        <v>9.25</v>
      </c>
      <c r="BS28" s="2">
        <v>0</v>
      </c>
      <c r="BT28" s="4">
        <v>0.06</v>
      </c>
      <c r="BU28" s="2" t="s">
        <v>9</v>
      </c>
      <c r="BV28" s="6">
        <v>235377.44</v>
      </c>
      <c r="BW28" s="2" t="s">
        <v>126</v>
      </c>
      <c r="BX28" s="2" t="s">
        <v>17</v>
      </c>
      <c r="BY28" s="2" t="s">
        <v>17</v>
      </c>
      <c r="BZ28" s="2" t="s">
        <v>17</v>
      </c>
      <c r="CA28" s="2" t="s">
        <v>17</v>
      </c>
      <c r="CB28" s="2" t="s">
        <v>17</v>
      </c>
      <c r="CC28" s="2" t="s">
        <v>17</v>
      </c>
      <c r="CD28" s="2" t="s">
        <v>17</v>
      </c>
      <c r="CE28" s="2" t="s">
        <v>3220</v>
      </c>
      <c r="CF28" s="2" t="s">
        <v>17</v>
      </c>
      <c r="CG28" s="2" t="s">
        <v>3221</v>
      </c>
      <c r="CH28" s="2"/>
      <c r="CI28" s="2"/>
      <c r="CJ28" s="2" t="s">
        <v>9</v>
      </c>
      <c r="CK28" s="2" t="s">
        <v>1408</v>
      </c>
      <c r="CL28" s="2" t="s">
        <v>3221</v>
      </c>
      <c r="CM28" s="2" t="s">
        <v>1409</v>
      </c>
      <c r="CN28" s="2" t="s">
        <v>1410</v>
      </c>
      <c r="CO28" s="2" t="s">
        <v>24</v>
      </c>
      <c r="CP28" s="2"/>
      <c r="CQ28" s="2">
        <v>123</v>
      </c>
      <c r="CR28" s="2" t="s">
        <v>289</v>
      </c>
      <c r="CS28" s="2">
        <v>2015</v>
      </c>
      <c r="CT28" s="2" t="s">
        <v>26</v>
      </c>
      <c r="CU28" s="2" t="s">
        <v>27</v>
      </c>
      <c r="CV28" s="2" t="s">
        <v>1411</v>
      </c>
      <c r="CW28" s="2" t="s">
        <v>1412</v>
      </c>
      <c r="CX28" s="2" t="s">
        <v>24</v>
      </c>
      <c r="CY28" s="2"/>
      <c r="CZ28" s="2">
        <v>80</v>
      </c>
      <c r="DA28" s="2" t="s">
        <v>289</v>
      </c>
      <c r="DB28" s="2">
        <v>2017</v>
      </c>
      <c r="DC28" s="2" t="s">
        <v>30</v>
      </c>
      <c r="DD28" s="2" t="s">
        <v>27</v>
      </c>
      <c r="DE28" s="2" t="s">
        <v>1413</v>
      </c>
      <c r="DF28" s="2" t="s">
        <v>1412</v>
      </c>
      <c r="DG28" s="2" t="s">
        <v>24</v>
      </c>
      <c r="DH28" s="2"/>
      <c r="DI28" s="2">
        <v>120</v>
      </c>
      <c r="DJ28" s="2" t="s">
        <v>289</v>
      </c>
      <c r="DK28" s="2">
        <v>2017</v>
      </c>
      <c r="DL28" s="2" t="s">
        <v>30</v>
      </c>
      <c r="DM28" s="2" t="s">
        <v>27</v>
      </c>
      <c r="DN28" s="2" t="s">
        <v>2663</v>
      </c>
      <c r="DO28" s="2" t="s">
        <v>1414</v>
      </c>
      <c r="DP28" s="2" t="s">
        <v>1415</v>
      </c>
      <c r="DQ28" s="2" t="s">
        <v>1416</v>
      </c>
      <c r="DR28" s="2" t="s">
        <v>1417</v>
      </c>
      <c r="DS28" s="2">
        <v>1</v>
      </c>
      <c r="DT28" s="2" t="s">
        <v>1418</v>
      </c>
      <c r="DU28" s="2" t="s">
        <v>1419</v>
      </c>
      <c r="DV28" s="2" t="s">
        <v>39</v>
      </c>
      <c r="DW28" s="2">
        <v>32714</v>
      </c>
      <c r="DX28" s="2" t="s">
        <v>1420</v>
      </c>
      <c r="DY28" s="2">
        <v>294</v>
      </c>
      <c r="DZ28" s="2" t="s">
        <v>1421</v>
      </c>
      <c r="EA28" s="2" t="s">
        <v>1417</v>
      </c>
      <c r="EB28" s="2" t="s">
        <v>1422</v>
      </c>
      <c r="EC28" s="2" t="s">
        <v>1423</v>
      </c>
      <c r="ED28" s="2" t="s">
        <v>44</v>
      </c>
      <c r="EE28" s="2">
        <v>200</v>
      </c>
      <c r="EF28" s="2" t="s">
        <v>303</v>
      </c>
      <c r="EG28" s="2">
        <v>14</v>
      </c>
      <c r="EH28" s="2" t="s">
        <v>46</v>
      </c>
      <c r="EI28" s="2" t="s">
        <v>47</v>
      </c>
      <c r="EJ28" s="2" t="s">
        <v>1424</v>
      </c>
      <c r="EK28" s="2" t="s">
        <v>464</v>
      </c>
      <c r="EL28" s="2" t="s">
        <v>44</v>
      </c>
      <c r="EM28" s="2">
        <v>120</v>
      </c>
      <c r="EN28" s="2" t="s">
        <v>303</v>
      </c>
      <c r="EO28" s="2">
        <v>12</v>
      </c>
      <c r="EP28" s="2" t="s">
        <v>46</v>
      </c>
      <c r="EQ28" s="2" t="s">
        <v>47</v>
      </c>
      <c r="ER28" s="2" t="s">
        <v>3222</v>
      </c>
      <c r="ES28" s="2"/>
      <c r="ET28" s="2" t="s">
        <v>1416</v>
      </c>
      <c r="EU28" s="2" t="s">
        <v>3223</v>
      </c>
      <c r="EV28" s="2" t="s">
        <v>3224</v>
      </c>
      <c r="EW28" s="2" t="s">
        <v>1419</v>
      </c>
      <c r="EX28" s="2" t="s">
        <v>39</v>
      </c>
      <c r="EY28" s="2">
        <v>32714</v>
      </c>
      <c r="EZ28" s="2" t="s">
        <v>3225</v>
      </c>
      <c r="FA28" s="2"/>
      <c r="FB28" s="2" t="s">
        <v>3226</v>
      </c>
      <c r="FC28" s="2" t="s">
        <v>1428</v>
      </c>
      <c r="FD28" s="2" t="s">
        <v>1429</v>
      </c>
      <c r="FE28" s="2" t="s">
        <v>1430</v>
      </c>
      <c r="FF28" s="2" t="s">
        <v>1426</v>
      </c>
      <c r="FG28" s="2" t="s">
        <v>1418</v>
      </c>
      <c r="FH28" s="2" t="s">
        <v>1419</v>
      </c>
      <c r="FI28" s="2" t="s">
        <v>39</v>
      </c>
      <c r="FJ28" s="2">
        <v>32714</v>
      </c>
      <c r="FK28" s="2" t="s">
        <v>1420</v>
      </c>
      <c r="FL28" s="2">
        <v>210</v>
      </c>
      <c r="FM28" s="2" t="s">
        <v>1431</v>
      </c>
      <c r="FN28" s="2" t="s">
        <v>3227</v>
      </c>
      <c r="FO28" s="2" t="s">
        <v>63</v>
      </c>
      <c r="FP28" s="2" t="s">
        <v>64</v>
      </c>
      <c r="FQ28" s="2" t="s">
        <v>9</v>
      </c>
      <c r="FR28" s="2" t="s">
        <v>17</v>
      </c>
      <c r="FS28" s="2" t="s">
        <v>17</v>
      </c>
      <c r="FT28" s="2" t="s">
        <v>9</v>
      </c>
      <c r="FU28" s="2">
        <v>0</v>
      </c>
      <c r="FV28" s="2">
        <v>0</v>
      </c>
      <c r="FW28" s="4">
        <v>0</v>
      </c>
      <c r="FX28" s="4">
        <v>0</v>
      </c>
      <c r="FY28" s="2" t="s">
        <v>65</v>
      </c>
      <c r="FZ28" s="2" t="s">
        <v>66</v>
      </c>
      <c r="GA28" s="2" t="s">
        <v>67</v>
      </c>
      <c r="GB28" s="2"/>
      <c r="GC28" s="2"/>
      <c r="GD28" s="2"/>
      <c r="GE28" s="2" t="s">
        <v>108</v>
      </c>
      <c r="GF28" s="2"/>
      <c r="GG28" s="2"/>
      <c r="GH28" s="2"/>
      <c r="GI28" s="2">
        <v>82</v>
      </c>
      <c r="GJ28" s="2"/>
      <c r="GK28" s="2"/>
      <c r="GL28" s="2"/>
      <c r="GM28" s="2"/>
      <c r="GN28" s="2"/>
      <c r="GO28" s="2"/>
      <c r="GP28" s="2"/>
      <c r="GQ28" s="2">
        <v>82</v>
      </c>
      <c r="GR28" s="2" t="s">
        <v>2826</v>
      </c>
      <c r="GS28" s="2" t="s">
        <v>2686</v>
      </c>
      <c r="GT28" s="2" t="s">
        <v>3228</v>
      </c>
      <c r="GU28" s="2" t="s">
        <v>3229</v>
      </c>
      <c r="GV28" s="2" t="s">
        <v>17</v>
      </c>
      <c r="GW28" s="2">
        <v>28.690722999999998</v>
      </c>
      <c r="GX28" s="2">
        <v>-81.543063000000004</v>
      </c>
      <c r="GY28" s="2"/>
      <c r="GZ28" s="2" t="s">
        <v>17</v>
      </c>
      <c r="HA28" s="2">
        <v>0</v>
      </c>
      <c r="HB28" s="2" t="s">
        <v>17</v>
      </c>
      <c r="HC28" s="2" t="s">
        <v>17</v>
      </c>
      <c r="HD28" s="2">
        <v>0</v>
      </c>
      <c r="HE28" s="2">
        <v>28.688614999999999</v>
      </c>
      <c r="HF28" s="2">
        <v>-81.542368999999994</v>
      </c>
      <c r="HG28" s="2">
        <v>0.15</v>
      </c>
      <c r="HH28" s="2">
        <v>2</v>
      </c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 t="s">
        <v>73</v>
      </c>
      <c r="HX28" s="2" t="s">
        <v>167</v>
      </c>
      <c r="HY28" s="2" t="s">
        <v>3230</v>
      </c>
      <c r="HZ28" s="2">
        <v>0.39</v>
      </c>
      <c r="IA28" s="2">
        <v>3.5</v>
      </c>
      <c r="IB28" s="2" t="s">
        <v>3231</v>
      </c>
      <c r="IC28" s="2" t="s">
        <v>3232</v>
      </c>
      <c r="ID28" s="2">
        <v>0.47</v>
      </c>
      <c r="IE28" s="2">
        <v>3.5</v>
      </c>
      <c r="IF28" s="2" t="s">
        <v>167</v>
      </c>
      <c r="IG28" s="2" t="s">
        <v>3230</v>
      </c>
      <c r="IH28" s="2">
        <v>0.39</v>
      </c>
      <c r="II28" s="2">
        <v>3.5</v>
      </c>
      <c r="IJ28" s="2"/>
      <c r="IK28" s="2"/>
      <c r="IL28" s="2"/>
      <c r="IM28" s="2"/>
      <c r="IN28" s="2" t="s">
        <v>17</v>
      </c>
      <c r="IO28" s="2"/>
      <c r="IP28" s="2" t="s">
        <v>79</v>
      </c>
      <c r="IQ28" s="2">
        <v>2</v>
      </c>
      <c r="IR28" s="2">
        <v>10.5</v>
      </c>
      <c r="IS28" s="2">
        <v>0</v>
      </c>
      <c r="IT28" s="2">
        <v>12.5</v>
      </c>
      <c r="IU28" s="2" t="s">
        <v>17</v>
      </c>
      <c r="IV28" s="2" t="s">
        <v>17</v>
      </c>
      <c r="IW28" s="2" t="s">
        <v>17</v>
      </c>
      <c r="IX28" s="2" t="s">
        <v>9</v>
      </c>
      <c r="IY28" s="2">
        <v>12.5</v>
      </c>
      <c r="IZ28" s="2">
        <v>82</v>
      </c>
      <c r="JA28" s="2" t="s">
        <v>2693</v>
      </c>
      <c r="JB28" s="2" t="s">
        <v>82</v>
      </c>
      <c r="JC28" s="2"/>
      <c r="JD28" s="2"/>
      <c r="JE28" s="2"/>
      <c r="JF28" s="7">
        <v>0</v>
      </c>
      <c r="JG28" s="7"/>
      <c r="JH28" s="7"/>
      <c r="JI28" s="2">
        <v>0</v>
      </c>
      <c r="JJ28" s="7">
        <v>0</v>
      </c>
      <c r="JK28" s="2">
        <v>0</v>
      </c>
      <c r="JL28" s="7">
        <v>0</v>
      </c>
      <c r="JM28" s="2">
        <v>22</v>
      </c>
      <c r="JN28" s="2"/>
      <c r="JO28" s="2">
        <v>27</v>
      </c>
      <c r="JP28" s="2"/>
      <c r="JQ28" s="2">
        <v>33</v>
      </c>
      <c r="JR28" s="2">
        <v>0</v>
      </c>
      <c r="JS28" s="2">
        <v>0</v>
      </c>
      <c r="JT28" s="2"/>
      <c r="JU28" s="2"/>
      <c r="JV28" s="2">
        <v>82</v>
      </c>
      <c r="JW28" s="4">
        <v>1</v>
      </c>
      <c r="JX28" s="2">
        <v>82</v>
      </c>
      <c r="JY28" s="4">
        <v>0.6</v>
      </c>
      <c r="JZ28" s="2">
        <v>0</v>
      </c>
      <c r="KA28" s="2"/>
      <c r="KB28" s="2"/>
      <c r="KC28" s="2"/>
      <c r="KD28" s="2"/>
      <c r="KE28" s="2"/>
      <c r="KF28" s="2"/>
      <c r="KG28" s="2"/>
      <c r="KH28" s="2">
        <v>41</v>
      </c>
      <c r="KI28" s="2"/>
      <c r="KJ28" s="2"/>
      <c r="KK28" s="2">
        <v>41</v>
      </c>
      <c r="KL28" s="2"/>
      <c r="KM28" s="2"/>
      <c r="KN28" s="2"/>
      <c r="KO28" s="2"/>
      <c r="KP28" s="2"/>
      <c r="KQ28" s="2" t="s">
        <v>83</v>
      </c>
      <c r="KR28" s="2"/>
      <c r="KS28" s="2" t="s">
        <v>73</v>
      </c>
      <c r="KT28" s="2">
        <v>1</v>
      </c>
      <c r="KU28" s="2" t="s">
        <v>84</v>
      </c>
      <c r="KV28" s="2" t="s">
        <v>85</v>
      </c>
      <c r="KW28" s="2" t="s">
        <v>530</v>
      </c>
      <c r="KX28" s="2" t="s">
        <v>17</v>
      </c>
      <c r="KY28" s="2" t="s">
        <v>17</v>
      </c>
      <c r="KZ28" s="2" t="s">
        <v>17</v>
      </c>
      <c r="LA28" s="2" t="s">
        <v>17</v>
      </c>
      <c r="LB28" s="2" t="s">
        <v>17</v>
      </c>
      <c r="LC28" s="2" t="s">
        <v>17</v>
      </c>
      <c r="LD28" s="2" t="s">
        <v>17</v>
      </c>
      <c r="LE28" s="2" t="s">
        <v>17</v>
      </c>
      <c r="LF28" s="2" t="s">
        <v>17</v>
      </c>
      <c r="LG28" s="2" t="s">
        <v>17</v>
      </c>
      <c r="LH28" s="2" t="s">
        <v>17</v>
      </c>
      <c r="LI28" s="2" t="s">
        <v>17</v>
      </c>
      <c r="LJ28" s="2" t="s">
        <v>87</v>
      </c>
      <c r="LK28" s="2" t="s">
        <v>17</v>
      </c>
      <c r="LL28" s="2" t="s">
        <v>17</v>
      </c>
      <c r="LM28" s="2">
        <v>0</v>
      </c>
      <c r="LN28" s="2" t="s">
        <v>17</v>
      </c>
      <c r="LO28" s="2" t="s">
        <v>17</v>
      </c>
      <c r="LP28" s="2" t="s">
        <v>17</v>
      </c>
      <c r="LQ28" s="2" t="s">
        <v>17</v>
      </c>
      <c r="LR28" s="2" t="s">
        <v>17</v>
      </c>
      <c r="LS28" s="2" t="s">
        <v>17</v>
      </c>
      <c r="LT28" s="2" t="s">
        <v>17</v>
      </c>
      <c r="LU28" s="2" t="s">
        <v>17</v>
      </c>
      <c r="LV28" s="2" t="s">
        <v>9</v>
      </c>
      <c r="LW28" s="2" t="s">
        <v>9</v>
      </c>
      <c r="LX28" s="2" t="s">
        <v>9</v>
      </c>
      <c r="LY28" s="5">
        <v>6500000</v>
      </c>
      <c r="LZ28" s="5">
        <v>0</v>
      </c>
      <c r="MA28" s="5">
        <v>8200000</v>
      </c>
      <c r="MB28" s="5">
        <v>0</v>
      </c>
      <c r="MC28" s="5">
        <v>0</v>
      </c>
      <c r="MD28" s="5">
        <v>0</v>
      </c>
      <c r="ME28" s="5">
        <v>8610000</v>
      </c>
      <c r="MF28" s="5">
        <v>0</v>
      </c>
      <c r="MG28" s="5">
        <v>0</v>
      </c>
      <c r="MH28" s="5">
        <v>0</v>
      </c>
      <c r="MI28" s="5">
        <v>0</v>
      </c>
      <c r="MJ28" s="5">
        <v>0</v>
      </c>
      <c r="MK28" s="5">
        <v>0</v>
      </c>
      <c r="ML28" s="2">
        <v>0</v>
      </c>
      <c r="MM28" s="5">
        <v>0</v>
      </c>
      <c r="MN28" s="5">
        <v>0</v>
      </c>
      <c r="MO28" s="2">
        <v>0</v>
      </c>
      <c r="MP28" s="2">
        <v>0</v>
      </c>
      <c r="MQ28" s="2">
        <v>0</v>
      </c>
      <c r="MR28" s="5">
        <v>2950000</v>
      </c>
      <c r="MS28" s="5">
        <v>0</v>
      </c>
      <c r="MT28" s="5">
        <v>4600000</v>
      </c>
      <c r="MU28" s="5">
        <v>0</v>
      </c>
      <c r="MV28" s="5">
        <v>0</v>
      </c>
      <c r="MW28" s="5">
        <v>0</v>
      </c>
      <c r="MX28" s="5">
        <v>0</v>
      </c>
      <c r="MY28" s="5">
        <v>2500000</v>
      </c>
      <c r="MZ28" s="5">
        <v>0</v>
      </c>
      <c r="NA28" s="5">
        <v>5000000</v>
      </c>
      <c r="NB28" s="5">
        <v>0</v>
      </c>
      <c r="NC28" s="5">
        <v>0</v>
      </c>
      <c r="ND28" s="5">
        <v>0</v>
      </c>
      <c r="NE28" s="5">
        <v>0</v>
      </c>
      <c r="NF28" s="5">
        <v>0</v>
      </c>
      <c r="NG28" s="5">
        <v>2992500</v>
      </c>
      <c r="NH28" s="5">
        <v>2900000</v>
      </c>
      <c r="NI28" s="5">
        <v>2900000</v>
      </c>
      <c r="NJ28" s="2" t="s">
        <v>17</v>
      </c>
      <c r="NK28" s="2"/>
      <c r="NL28" s="2"/>
      <c r="NM28" s="2" t="s">
        <v>17</v>
      </c>
      <c r="NN28" s="2"/>
      <c r="NO28" s="2" t="s">
        <v>9</v>
      </c>
      <c r="NP28" s="2">
        <v>32712</v>
      </c>
      <c r="NQ28" s="2" t="s">
        <v>2835</v>
      </c>
      <c r="NR28" s="2" t="s">
        <v>17</v>
      </c>
      <c r="NS28" s="2"/>
      <c r="NT28" s="2" t="s">
        <v>17</v>
      </c>
      <c r="NU28" s="2"/>
      <c r="NV28" s="2"/>
      <c r="NW28" s="2"/>
      <c r="NX28" s="2"/>
      <c r="NY28" s="2"/>
      <c r="NZ28" s="2"/>
      <c r="OA28" s="2" t="s">
        <v>118</v>
      </c>
      <c r="OB28" s="2" t="s">
        <v>118</v>
      </c>
      <c r="OC28" s="2" t="s">
        <v>118</v>
      </c>
      <c r="OD28" s="2" t="s">
        <v>17</v>
      </c>
      <c r="OE28" s="2" t="s">
        <v>119</v>
      </c>
      <c r="OF28" s="2" t="s">
        <v>17</v>
      </c>
      <c r="OG28" s="2"/>
      <c r="OH28" s="2" t="s">
        <v>17</v>
      </c>
      <c r="OI28" s="2" t="s">
        <v>17</v>
      </c>
      <c r="OJ28" s="2" t="s">
        <v>85</v>
      </c>
      <c r="OK28" s="6">
        <v>0</v>
      </c>
      <c r="OL28" s="6">
        <v>0</v>
      </c>
      <c r="OM28" s="2" t="s">
        <v>93</v>
      </c>
      <c r="ON28" s="2" t="s">
        <v>93</v>
      </c>
      <c r="OO28" s="6">
        <v>0</v>
      </c>
      <c r="OP28" s="6">
        <v>0</v>
      </c>
      <c r="OQ28" s="4">
        <v>0</v>
      </c>
      <c r="OR28" s="6">
        <v>0</v>
      </c>
      <c r="OS28" s="4">
        <v>0</v>
      </c>
      <c r="OT28" s="2" t="s">
        <v>17</v>
      </c>
      <c r="OU28" s="2" t="s">
        <v>17</v>
      </c>
      <c r="OV28" s="2"/>
      <c r="OW28" s="2"/>
      <c r="OX28" s="5">
        <v>19300950</v>
      </c>
      <c r="OY28" s="6">
        <v>235377.44</v>
      </c>
      <c r="OZ28" s="2"/>
      <c r="PA28" s="2"/>
      <c r="PB28" s="2"/>
      <c r="PC28" s="2"/>
      <c r="PD28" s="8">
        <v>13680000</v>
      </c>
      <c r="PE28" s="2"/>
      <c r="PF28" s="8">
        <v>13680000</v>
      </c>
      <c r="PG28" s="8">
        <v>2000000</v>
      </c>
      <c r="PH28" s="2"/>
      <c r="PI28" s="8">
        <v>2000000</v>
      </c>
      <c r="PJ28" s="2"/>
      <c r="PK28" s="2"/>
      <c r="PL28" s="2"/>
      <c r="PM28" s="8">
        <v>15680000</v>
      </c>
      <c r="PN28" s="2"/>
      <c r="PO28" s="8">
        <v>15680000</v>
      </c>
      <c r="PP28" s="8">
        <v>2174200</v>
      </c>
      <c r="PQ28" s="2"/>
      <c r="PR28" s="8">
        <v>2174200</v>
      </c>
      <c r="PS28" s="6">
        <v>2195200</v>
      </c>
      <c r="PT28" s="8">
        <v>17854200</v>
      </c>
      <c r="PU28" s="2"/>
      <c r="PV28" s="8">
        <v>17854200</v>
      </c>
      <c r="PW28" s="8">
        <v>885210</v>
      </c>
      <c r="PX28" s="2"/>
      <c r="PY28" s="8">
        <v>885210</v>
      </c>
      <c r="PZ28" s="6">
        <v>892710</v>
      </c>
      <c r="QA28" s="8">
        <v>851000</v>
      </c>
      <c r="QB28" s="8">
        <v>260000</v>
      </c>
      <c r="QC28" s="8">
        <v>1111000</v>
      </c>
      <c r="QD28" s="8">
        <v>200000</v>
      </c>
      <c r="QE28" s="2"/>
      <c r="QF28" s="8">
        <v>200000</v>
      </c>
      <c r="QG28" s="8">
        <v>1263416</v>
      </c>
      <c r="QH28" s="2"/>
      <c r="QI28" s="8">
        <v>1263416</v>
      </c>
      <c r="QJ28" s="2"/>
      <c r="QK28" s="8">
        <v>504618</v>
      </c>
      <c r="QL28" s="8">
        <v>504618</v>
      </c>
      <c r="QM28" s="2"/>
      <c r="QN28" s="2"/>
      <c r="QO28" s="2"/>
      <c r="QP28" s="2"/>
      <c r="QQ28" s="8">
        <v>625000</v>
      </c>
      <c r="QR28" s="8">
        <v>625000</v>
      </c>
      <c r="QS28" s="8">
        <v>2314416</v>
      </c>
      <c r="QT28" s="8">
        <v>1389618</v>
      </c>
      <c r="QU28" s="8">
        <v>3704034</v>
      </c>
      <c r="QV28" s="2"/>
      <c r="QW28" s="8">
        <v>82840</v>
      </c>
      <c r="QX28" s="8">
        <v>82840</v>
      </c>
      <c r="QY28" s="6">
        <v>185201.7</v>
      </c>
      <c r="QZ28" s="8">
        <v>990098</v>
      </c>
      <c r="RA28" s="2"/>
      <c r="RB28" s="8">
        <v>990098</v>
      </c>
      <c r="RC28" s="8">
        <v>1165197</v>
      </c>
      <c r="RD28" s="8">
        <v>1165197</v>
      </c>
      <c r="RE28" s="2"/>
      <c r="RF28" s="8">
        <v>55000</v>
      </c>
      <c r="RG28" s="8">
        <v>55000</v>
      </c>
      <c r="RH28" s="8">
        <v>990098</v>
      </c>
      <c r="RI28" s="8">
        <v>1220197</v>
      </c>
      <c r="RJ28" s="8">
        <v>2210295</v>
      </c>
      <c r="RK28" s="2"/>
      <c r="RL28" s="2"/>
      <c r="RM28" s="8">
        <v>22043924</v>
      </c>
      <c r="RN28" s="8">
        <v>2692655</v>
      </c>
      <c r="RO28" s="8">
        <v>24736579</v>
      </c>
      <c r="RP28" s="2">
        <v>0</v>
      </c>
      <c r="RQ28" s="6">
        <v>0</v>
      </c>
      <c r="RR28" s="8">
        <v>3957852</v>
      </c>
      <c r="RS28" s="2"/>
      <c r="RT28" s="8">
        <v>3957852</v>
      </c>
      <c r="RU28" s="6">
        <v>3957852</v>
      </c>
      <c r="RV28" s="6">
        <v>0</v>
      </c>
      <c r="RW28" s="8">
        <v>3957852</v>
      </c>
      <c r="RX28" s="2"/>
      <c r="RY28" s="8">
        <v>3957852</v>
      </c>
      <c r="RZ28" s="6">
        <v>3957852</v>
      </c>
      <c r="SA28" s="8">
        <v>246000</v>
      </c>
      <c r="SB28" s="8">
        <v>246000</v>
      </c>
      <c r="SC28" s="6">
        <v>287000</v>
      </c>
      <c r="SD28" s="8">
        <v>2250000</v>
      </c>
      <c r="SE28" s="8">
        <v>2250000</v>
      </c>
      <c r="SF28" s="8">
        <v>26001776</v>
      </c>
      <c r="SG28" s="8">
        <v>5188655</v>
      </c>
      <c r="SH28" s="8">
        <v>31190431</v>
      </c>
      <c r="SI28" s="2" t="s">
        <v>229</v>
      </c>
      <c r="SJ28" s="2"/>
      <c r="SK28" s="2" t="s">
        <v>1441</v>
      </c>
      <c r="SL28" s="2" t="s">
        <v>1442</v>
      </c>
      <c r="SM28" s="8">
        <v>23500000</v>
      </c>
      <c r="SN28" s="2" t="s">
        <v>95</v>
      </c>
      <c r="SO28" s="2"/>
      <c r="SP28" s="2"/>
      <c r="SQ28" s="2"/>
      <c r="SR28" s="2"/>
      <c r="SS28" s="2" t="s">
        <v>96</v>
      </c>
      <c r="ST28" s="2" t="s">
        <v>96</v>
      </c>
      <c r="SU28" s="2" t="s">
        <v>96</v>
      </c>
      <c r="SV28" s="2" t="s">
        <v>96</v>
      </c>
      <c r="SW28" s="8">
        <v>5219478</v>
      </c>
      <c r="SX28" s="2" t="s">
        <v>3233</v>
      </c>
      <c r="SY28" s="8">
        <v>75000</v>
      </c>
      <c r="SZ28" s="2" t="s">
        <v>180</v>
      </c>
      <c r="TA28" s="8">
        <v>2395953</v>
      </c>
      <c r="TB28" s="8">
        <v>31190431</v>
      </c>
      <c r="TC28" s="2">
        <v>0</v>
      </c>
      <c r="TD28" s="2" t="s">
        <v>9</v>
      </c>
      <c r="TE28" s="8">
        <v>4000000</v>
      </c>
      <c r="TF28" s="2" t="s">
        <v>95</v>
      </c>
      <c r="TG28" s="2"/>
      <c r="TH28" s="2"/>
      <c r="TI28" s="2"/>
      <c r="TJ28" s="2"/>
      <c r="TK28" s="2" t="s">
        <v>96</v>
      </c>
      <c r="TL28" s="2" t="s">
        <v>96</v>
      </c>
      <c r="TM28" s="2" t="s">
        <v>96</v>
      </c>
      <c r="TN28" s="2" t="s">
        <v>96</v>
      </c>
      <c r="TO28" s="8">
        <v>26097390</v>
      </c>
      <c r="TP28" s="2" t="s">
        <v>3233</v>
      </c>
      <c r="TQ28" s="8">
        <v>75000</v>
      </c>
      <c r="TR28" s="2" t="s">
        <v>180</v>
      </c>
      <c r="TS28" s="8">
        <v>1018041</v>
      </c>
      <c r="TT28" s="8">
        <v>31190431</v>
      </c>
      <c r="TU28" s="6">
        <v>4075000</v>
      </c>
      <c r="TV28" s="2">
        <v>0</v>
      </c>
      <c r="TW28" s="2" t="s">
        <v>9</v>
      </c>
      <c r="TX28" s="2">
        <v>82</v>
      </c>
      <c r="TY28" s="5">
        <v>270000</v>
      </c>
      <c r="TZ28" s="6">
        <v>360000</v>
      </c>
      <c r="UA28" s="6">
        <v>360000</v>
      </c>
      <c r="UB28" s="6">
        <v>381600</v>
      </c>
      <c r="UC28" s="6">
        <v>31291200</v>
      </c>
      <c r="UD28" s="6">
        <v>5006592</v>
      </c>
      <c r="UE28" s="2" t="s">
        <v>97</v>
      </c>
      <c r="UF28" s="6">
        <v>5006592</v>
      </c>
      <c r="UG28" s="6">
        <v>36297792</v>
      </c>
      <c r="UH28" s="6">
        <v>28694431</v>
      </c>
      <c r="UI28" s="4">
        <v>0.99990000000000001</v>
      </c>
      <c r="UJ28" s="2" t="s">
        <v>9</v>
      </c>
      <c r="UK28" s="2"/>
      <c r="UL28" s="2"/>
      <c r="UM28" s="6">
        <v>0</v>
      </c>
      <c r="UN28" s="6">
        <v>75000</v>
      </c>
      <c r="UO28" s="6">
        <v>75000</v>
      </c>
      <c r="UP28" s="2"/>
      <c r="UQ28" s="6">
        <v>0</v>
      </c>
      <c r="UR28" s="6">
        <v>0</v>
      </c>
      <c r="US28" s="6">
        <v>75000</v>
      </c>
      <c r="UT28" s="6">
        <v>0</v>
      </c>
      <c r="UU28" s="6">
        <v>75000</v>
      </c>
      <c r="UV28" s="2" t="s">
        <v>2838</v>
      </c>
      <c r="UW28" s="2" t="s">
        <v>453</v>
      </c>
      <c r="UX28" s="2" t="s">
        <v>17</v>
      </c>
      <c r="UY28" s="2" t="s">
        <v>17</v>
      </c>
      <c r="UZ28" s="2" t="s">
        <v>17</v>
      </c>
      <c r="VA28" s="2" t="s">
        <v>17</v>
      </c>
      <c r="VB28" s="2"/>
      <c r="VC28" s="2" t="s">
        <v>17</v>
      </c>
      <c r="VD28" s="2" t="s">
        <v>17</v>
      </c>
      <c r="VE28" s="2" t="s">
        <v>17</v>
      </c>
      <c r="VF28" s="2"/>
      <c r="VG28" s="2" t="s">
        <v>3234</v>
      </c>
      <c r="VH28" s="2"/>
      <c r="VI28" s="388" t="s">
        <v>3235</v>
      </c>
      <c r="VJ28" s="2" t="s">
        <v>98</v>
      </c>
      <c r="VK28" s="2" t="s">
        <v>3236</v>
      </c>
      <c r="VL28" s="23">
        <f t="shared" si="0"/>
        <v>123</v>
      </c>
      <c r="VM28" s="17">
        <f t="shared" si="1"/>
        <v>1.5</v>
      </c>
      <c r="VN28" s="17" t="str">
        <f t="shared" si="2"/>
        <v>NC-MR-E</v>
      </c>
      <c r="VO28" s="17" t="str">
        <f t="shared" si="14"/>
        <v>NC-MR-E-ESS</v>
      </c>
      <c r="VP28" s="12">
        <v>9</v>
      </c>
      <c r="VQ28" s="57">
        <v>1</v>
      </c>
      <c r="VR28" s="14">
        <f t="shared" si="3"/>
        <v>1</v>
      </c>
      <c r="VS28" s="14">
        <f t="shared" si="4"/>
        <v>1</v>
      </c>
      <c r="VT28" s="12">
        <f t="shared" si="5"/>
        <v>0.90210000000000001</v>
      </c>
      <c r="VU28" s="29">
        <f t="shared" si="6"/>
        <v>23544810</v>
      </c>
      <c r="VV28" s="29">
        <f t="shared" si="7"/>
        <v>287131.8292682927</v>
      </c>
      <c r="VW28" s="12" t="str">
        <f t="shared" si="15"/>
        <v>B</v>
      </c>
      <c r="VX28" s="12" t="str">
        <f t="shared" si="22"/>
        <v>NC-MR-ESS</v>
      </c>
      <c r="VY28" s="351">
        <f t="shared" si="16"/>
        <v>5</v>
      </c>
      <c r="VZ28" s="12"/>
      <c r="WA28" s="12">
        <f t="shared" si="17"/>
        <v>1</v>
      </c>
      <c r="WB28" s="12">
        <f t="shared" si="18"/>
        <v>0</v>
      </c>
      <c r="WC28" s="12">
        <f t="shared" si="19"/>
        <v>0</v>
      </c>
      <c r="WD28" s="12">
        <f t="shared" si="20"/>
        <v>0</v>
      </c>
      <c r="WE28" s="12">
        <f t="shared" si="21"/>
        <v>1</v>
      </c>
      <c r="WF28" s="12">
        <f t="shared" si="9"/>
        <v>0</v>
      </c>
      <c r="WG28" s="12">
        <f t="shared" si="10"/>
        <v>1</v>
      </c>
      <c r="WH28" s="12">
        <f t="shared" si="11"/>
        <v>0</v>
      </c>
      <c r="WI28" s="31">
        <f t="shared" si="12"/>
        <v>3</v>
      </c>
      <c r="WJ28" s="2"/>
      <c r="WK28" s="444" t="str">
        <f t="shared" si="13"/>
        <v>NC-MR-ESS-BBN-BRN-NPH-E</v>
      </c>
      <c r="WL28" s="444"/>
      <c r="WM28" s="444"/>
      <c r="WN28" s="12"/>
      <c r="WO28" s="12"/>
    </row>
    <row r="29" spans="1:613" x14ac:dyDescent="0.25">
      <c r="A29" s="2">
        <v>9600</v>
      </c>
      <c r="B29" s="2" t="s">
        <v>3237</v>
      </c>
      <c r="C29" s="2" t="s">
        <v>2652</v>
      </c>
      <c r="D29" s="3">
        <v>45152</v>
      </c>
      <c r="E29" s="2" t="s">
        <v>9</v>
      </c>
      <c r="F29" s="2">
        <v>3</v>
      </c>
      <c r="G29" s="2" t="s">
        <v>9</v>
      </c>
      <c r="H29" s="2">
        <v>3</v>
      </c>
      <c r="I29" s="2" t="s">
        <v>9</v>
      </c>
      <c r="J29" s="2">
        <v>1</v>
      </c>
      <c r="K29" s="2" t="s">
        <v>9</v>
      </c>
      <c r="L29" s="2">
        <v>3</v>
      </c>
      <c r="M29" s="2" t="s">
        <v>10</v>
      </c>
      <c r="N29" s="2">
        <v>0</v>
      </c>
      <c r="O29" s="2" t="s">
        <v>10</v>
      </c>
      <c r="P29" s="2">
        <v>0</v>
      </c>
      <c r="Q29" s="2" t="s">
        <v>11</v>
      </c>
      <c r="R29" s="2">
        <v>0</v>
      </c>
      <c r="S29" s="2" t="s">
        <v>9</v>
      </c>
      <c r="T29" s="2">
        <v>2</v>
      </c>
      <c r="U29" s="2" t="s">
        <v>9</v>
      </c>
      <c r="V29" s="2">
        <v>2</v>
      </c>
      <c r="W29" s="2" t="s">
        <v>9</v>
      </c>
      <c r="X29" s="2">
        <v>2</v>
      </c>
      <c r="Y29" s="2" t="s">
        <v>12</v>
      </c>
      <c r="Z29" s="2" t="s">
        <v>1226</v>
      </c>
      <c r="AA29" s="2" t="s">
        <v>1666</v>
      </c>
      <c r="AB29" s="2" t="s">
        <v>785</v>
      </c>
      <c r="AC29" s="2" t="s">
        <v>15</v>
      </c>
      <c r="AD29" s="2" t="s">
        <v>15</v>
      </c>
      <c r="AE29" s="2" t="s">
        <v>15</v>
      </c>
      <c r="AF29" s="2">
        <v>3</v>
      </c>
      <c r="AG29" s="2" t="s">
        <v>1228</v>
      </c>
      <c r="AH29" s="2" t="s">
        <v>17</v>
      </c>
      <c r="AI29" s="4">
        <v>0.15278</v>
      </c>
      <c r="AJ29" s="2" t="s">
        <v>17</v>
      </c>
      <c r="AK29" s="2" t="s">
        <v>9</v>
      </c>
      <c r="AL29" s="2" t="s">
        <v>17</v>
      </c>
      <c r="AM29" s="2" t="s">
        <v>9</v>
      </c>
      <c r="AN29" s="2" t="s">
        <v>17</v>
      </c>
      <c r="AO29" s="2" t="s">
        <v>9</v>
      </c>
      <c r="AP29" s="2" t="s">
        <v>17</v>
      </c>
      <c r="AQ29" s="2" t="s">
        <v>17</v>
      </c>
      <c r="AR29" s="2" t="s">
        <v>17</v>
      </c>
      <c r="AS29" s="2" t="s">
        <v>17</v>
      </c>
      <c r="AT29" s="2">
        <v>5</v>
      </c>
      <c r="AU29" s="5">
        <v>75000</v>
      </c>
      <c r="AV29" s="5">
        <v>610000</v>
      </c>
      <c r="AW29" s="2">
        <v>0</v>
      </c>
      <c r="AX29" s="2">
        <v>11</v>
      </c>
      <c r="AY29" s="2">
        <v>0</v>
      </c>
      <c r="AZ29" s="2">
        <v>18</v>
      </c>
      <c r="BA29" s="2">
        <v>0</v>
      </c>
      <c r="BB29" s="2">
        <v>0</v>
      </c>
      <c r="BC29" s="2">
        <v>1</v>
      </c>
      <c r="BD29" s="2">
        <v>3</v>
      </c>
      <c r="BE29" s="2">
        <v>0</v>
      </c>
      <c r="BF29" s="2">
        <v>1</v>
      </c>
      <c r="BG29" s="2">
        <v>0</v>
      </c>
      <c r="BH29" s="2">
        <v>0</v>
      </c>
      <c r="BI29" s="2">
        <v>13</v>
      </c>
      <c r="BJ29" s="2">
        <v>1</v>
      </c>
      <c r="BK29" s="2">
        <v>0</v>
      </c>
      <c r="BL29" s="2">
        <v>3</v>
      </c>
      <c r="BM29" s="2">
        <v>0</v>
      </c>
      <c r="BN29" s="2">
        <v>8</v>
      </c>
      <c r="BO29" s="2">
        <v>11</v>
      </c>
      <c r="BP29" s="2">
        <v>0</v>
      </c>
      <c r="BQ29" s="2">
        <v>10</v>
      </c>
      <c r="BR29" s="2">
        <v>10.01</v>
      </c>
      <c r="BS29" s="2">
        <v>0</v>
      </c>
      <c r="BT29" s="4">
        <v>0.06</v>
      </c>
      <c r="BU29" s="2" t="s">
        <v>9</v>
      </c>
      <c r="BV29" s="6">
        <v>235485.68</v>
      </c>
      <c r="BW29" s="2" t="s">
        <v>18</v>
      </c>
      <c r="BX29" s="2" t="s">
        <v>17</v>
      </c>
      <c r="BY29" s="2" t="s">
        <v>17</v>
      </c>
      <c r="BZ29" s="2" t="s">
        <v>17</v>
      </c>
      <c r="CA29" s="2" t="s">
        <v>17</v>
      </c>
      <c r="CB29" s="2" t="s">
        <v>17</v>
      </c>
      <c r="CC29" s="2" t="s">
        <v>17</v>
      </c>
      <c r="CD29" s="2" t="s">
        <v>17</v>
      </c>
      <c r="CE29" s="2" t="s">
        <v>3238</v>
      </c>
      <c r="CF29" s="2" t="s">
        <v>17</v>
      </c>
      <c r="CG29" s="2" t="s">
        <v>3239</v>
      </c>
      <c r="CH29" s="2"/>
      <c r="CI29" s="2"/>
      <c r="CJ29" s="2" t="s">
        <v>9</v>
      </c>
      <c r="CK29" s="2" t="s">
        <v>1231</v>
      </c>
      <c r="CL29" s="2" t="s">
        <v>3240</v>
      </c>
      <c r="CM29" s="2" t="s">
        <v>1232</v>
      </c>
      <c r="CN29" s="2" t="s">
        <v>1233</v>
      </c>
      <c r="CO29" s="2" t="s">
        <v>24</v>
      </c>
      <c r="CP29" s="2"/>
      <c r="CQ29" s="2">
        <v>70</v>
      </c>
      <c r="CR29" s="2" t="s">
        <v>1234</v>
      </c>
      <c r="CS29" s="2">
        <v>2022</v>
      </c>
      <c r="CT29" s="2" t="s">
        <v>26</v>
      </c>
      <c r="CU29" s="2" t="s">
        <v>27</v>
      </c>
      <c r="CV29" s="2" t="s">
        <v>1235</v>
      </c>
      <c r="CW29" s="2" t="s">
        <v>1233</v>
      </c>
      <c r="CX29" s="2" t="s">
        <v>1236</v>
      </c>
      <c r="CY29" s="2"/>
      <c r="CZ29" s="2">
        <v>50</v>
      </c>
      <c r="DA29" s="2" t="s">
        <v>1234</v>
      </c>
      <c r="DB29" s="2">
        <v>2022</v>
      </c>
      <c r="DC29" s="2" t="s">
        <v>26</v>
      </c>
      <c r="DD29" s="2" t="s">
        <v>27</v>
      </c>
      <c r="DE29" s="2" t="s">
        <v>1237</v>
      </c>
      <c r="DF29" s="2" t="s">
        <v>1238</v>
      </c>
      <c r="DG29" s="2" t="s">
        <v>853</v>
      </c>
      <c r="DH29" s="2"/>
      <c r="DI29" s="2">
        <v>60</v>
      </c>
      <c r="DJ29" s="2" t="s">
        <v>1234</v>
      </c>
      <c r="DK29" s="2">
        <v>2021</v>
      </c>
      <c r="DL29" s="2" t="s">
        <v>26</v>
      </c>
      <c r="DM29" s="2" t="s">
        <v>27</v>
      </c>
      <c r="DN29" s="2" t="s">
        <v>2663</v>
      </c>
      <c r="DO29" s="2" t="s">
        <v>812</v>
      </c>
      <c r="DP29" s="2"/>
      <c r="DQ29" s="2" t="s">
        <v>948</v>
      </c>
      <c r="DR29" s="2" t="s">
        <v>1239</v>
      </c>
      <c r="DS29" s="2">
        <v>1</v>
      </c>
      <c r="DT29" s="2" t="s">
        <v>1240</v>
      </c>
      <c r="DU29" s="2" t="s">
        <v>479</v>
      </c>
      <c r="DV29" s="2" t="s">
        <v>39</v>
      </c>
      <c r="DW29" s="2">
        <v>32257</v>
      </c>
      <c r="DX29" s="2" t="s">
        <v>3058</v>
      </c>
      <c r="DY29" s="2"/>
      <c r="DZ29" s="2" t="s">
        <v>471</v>
      </c>
      <c r="EA29" s="2" t="s">
        <v>1239</v>
      </c>
      <c r="EB29" s="2" t="s">
        <v>1242</v>
      </c>
      <c r="EC29" s="2" t="s">
        <v>1243</v>
      </c>
      <c r="ED29" s="2" t="s">
        <v>44</v>
      </c>
      <c r="EE29" s="2">
        <v>130</v>
      </c>
      <c r="EF29" s="2" t="s">
        <v>1244</v>
      </c>
      <c r="EG29" s="2">
        <v>5</v>
      </c>
      <c r="EH29" s="2" t="s">
        <v>46</v>
      </c>
      <c r="EI29" s="2" t="s">
        <v>47</v>
      </c>
      <c r="EJ29" s="2" t="s">
        <v>1245</v>
      </c>
      <c r="EK29" s="2" t="s">
        <v>1243</v>
      </c>
      <c r="EL29" s="2" t="s">
        <v>44</v>
      </c>
      <c r="EM29" s="2">
        <v>123</v>
      </c>
      <c r="EN29" s="2" t="s">
        <v>1244</v>
      </c>
      <c r="EO29" s="2">
        <v>6</v>
      </c>
      <c r="EP29" s="2" t="s">
        <v>46</v>
      </c>
      <c r="EQ29" s="2" t="s">
        <v>47</v>
      </c>
      <c r="ER29" s="2" t="s">
        <v>1246</v>
      </c>
      <c r="ES29" s="2"/>
      <c r="ET29" s="2" t="s">
        <v>571</v>
      </c>
      <c r="EU29" s="2" t="s">
        <v>1247</v>
      </c>
      <c r="EV29" s="2" t="s">
        <v>1248</v>
      </c>
      <c r="EW29" s="2" t="s">
        <v>510</v>
      </c>
      <c r="EX29" s="2" t="s">
        <v>39</v>
      </c>
      <c r="EY29" s="2">
        <v>32819</v>
      </c>
      <c r="EZ29" s="2" t="s">
        <v>1249</v>
      </c>
      <c r="FA29" s="2"/>
      <c r="FB29" s="2" t="s">
        <v>1250</v>
      </c>
      <c r="FC29" s="2" t="s">
        <v>656</v>
      </c>
      <c r="FD29" s="2"/>
      <c r="FE29" s="2" t="s">
        <v>1251</v>
      </c>
      <c r="FF29" s="2" t="s">
        <v>3241</v>
      </c>
      <c r="FG29" s="2" t="s">
        <v>1248</v>
      </c>
      <c r="FH29" s="2" t="s">
        <v>510</v>
      </c>
      <c r="FI29" s="2" t="s">
        <v>39</v>
      </c>
      <c r="FJ29" s="2">
        <v>32819</v>
      </c>
      <c r="FK29" s="2" t="s">
        <v>1252</v>
      </c>
      <c r="FL29" s="2"/>
      <c r="FM29" s="2" t="s">
        <v>1253</v>
      </c>
      <c r="FN29" s="2" t="s">
        <v>3242</v>
      </c>
      <c r="FO29" s="2" t="s">
        <v>63</v>
      </c>
      <c r="FP29" s="2" t="s">
        <v>64</v>
      </c>
      <c r="FQ29" s="2" t="s">
        <v>9</v>
      </c>
      <c r="FR29" s="2" t="s">
        <v>17</v>
      </c>
      <c r="FS29" s="2" t="s">
        <v>17</v>
      </c>
      <c r="FT29" s="2" t="s">
        <v>9</v>
      </c>
      <c r="FU29" s="2">
        <v>0</v>
      </c>
      <c r="FV29" s="2">
        <v>0</v>
      </c>
      <c r="FW29" s="4">
        <v>0</v>
      </c>
      <c r="FX29" s="4">
        <v>0</v>
      </c>
      <c r="FY29" s="2" t="s">
        <v>65</v>
      </c>
      <c r="FZ29" s="2" t="s">
        <v>66</v>
      </c>
      <c r="GA29" s="2" t="s">
        <v>67</v>
      </c>
      <c r="GB29" s="2"/>
      <c r="GC29" s="2"/>
      <c r="GD29" s="2"/>
      <c r="GE29" s="2" t="s">
        <v>68</v>
      </c>
      <c r="GF29" s="2">
        <v>72</v>
      </c>
      <c r="GG29" s="2">
        <v>72</v>
      </c>
      <c r="GH29" s="2"/>
      <c r="GI29" s="2"/>
      <c r="GJ29" s="2"/>
      <c r="GK29" s="2"/>
      <c r="GL29" s="2"/>
      <c r="GM29" s="2"/>
      <c r="GN29" s="2"/>
      <c r="GO29" s="2"/>
      <c r="GP29" s="2"/>
      <c r="GQ29" s="2">
        <v>72</v>
      </c>
      <c r="GR29" s="2" t="s">
        <v>2802</v>
      </c>
      <c r="GS29" s="2" t="s">
        <v>2686</v>
      </c>
      <c r="GT29" s="2" t="s">
        <v>3243</v>
      </c>
      <c r="GU29" s="2" t="s">
        <v>3244</v>
      </c>
      <c r="GV29" s="2" t="s">
        <v>17</v>
      </c>
      <c r="GW29" s="2">
        <v>28.020918999999999</v>
      </c>
      <c r="GX29" s="2">
        <v>-82.766495000000006</v>
      </c>
      <c r="GY29" s="2"/>
      <c r="GZ29" s="2" t="s">
        <v>17</v>
      </c>
      <c r="HA29" s="2">
        <v>0</v>
      </c>
      <c r="HB29" s="2" t="s">
        <v>17</v>
      </c>
      <c r="HC29" s="2"/>
      <c r="HD29" s="2">
        <v>0</v>
      </c>
      <c r="HE29" s="2">
        <v>28.026357999999998</v>
      </c>
      <c r="HF29" s="2">
        <v>-82.763490000000004</v>
      </c>
      <c r="HG29" s="2">
        <v>0.42</v>
      </c>
      <c r="HH29" s="2">
        <v>5.5</v>
      </c>
      <c r="HI29" s="2">
        <v>28.019632999999999</v>
      </c>
      <c r="HJ29" s="2">
        <v>-82.766266999999999</v>
      </c>
      <c r="HK29" s="2">
        <v>0.09</v>
      </c>
      <c r="HL29" s="2">
        <v>28.019338999999999</v>
      </c>
      <c r="HM29" s="2">
        <v>-82.767904000000001</v>
      </c>
      <c r="HN29" s="2">
        <v>0.14000000000000001</v>
      </c>
      <c r="HO29" s="2"/>
      <c r="HP29" s="2"/>
      <c r="HQ29" s="2"/>
      <c r="HR29" s="2"/>
      <c r="HS29" s="2"/>
      <c r="HT29" s="2"/>
      <c r="HU29" s="2"/>
      <c r="HV29" s="2"/>
      <c r="HW29" s="2" t="s">
        <v>73</v>
      </c>
      <c r="HX29" s="2" t="s">
        <v>359</v>
      </c>
      <c r="HY29" s="2" t="s">
        <v>3245</v>
      </c>
      <c r="HZ29" s="2">
        <v>0.15</v>
      </c>
      <c r="IA29" s="2">
        <v>4</v>
      </c>
      <c r="IB29" s="2"/>
      <c r="IC29" s="2"/>
      <c r="ID29" s="2"/>
      <c r="IE29" s="2"/>
      <c r="IF29" s="2" t="s">
        <v>641</v>
      </c>
      <c r="IG29" s="2" t="s">
        <v>3246</v>
      </c>
      <c r="IH29" s="2">
        <v>0.17</v>
      </c>
      <c r="II29" s="2">
        <v>4</v>
      </c>
      <c r="IJ29" s="2" t="s">
        <v>3247</v>
      </c>
      <c r="IK29" s="2" t="s">
        <v>3248</v>
      </c>
      <c r="IL29" s="2">
        <v>0.52</v>
      </c>
      <c r="IM29" s="2">
        <v>3.5</v>
      </c>
      <c r="IN29" s="2" t="s">
        <v>17</v>
      </c>
      <c r="IO29" s="2"/>
      <c r="IP29" s="2" t="s">
        <v>79</v>
      </c>
      <c r="IQ29" s="2">
        <v>5.5</v>
      </c>
      <c r="IR29" s="2">
        <v>11.5</v>
      </c>
      <c r="IS29" s="2">
        <v>0</v>
      </c>
      <c r="IT29" s="2">
        <v>17</v>
      </c>
      <c r="IU29" s="2" t="s">
        <v>17</v>
      </c>
      <c r="IV29" s="2" t="s">
        <v>17</v>
      </c>
      <c r="IW29" s="2" t="s">
        <v>17</v>
      </c>
      <c r="IX29" s="2" t="s">
        <v>9</v>
      </c>
      <c r="IY29" s="2">
        <v>17</v>
      </c>
      <c r="IZ29" s="2">
        <v>72</v>
      </c>
      <c r="JA29" s="2" t="s">
        <v>2809</v>
      </c>
      <c r="JB29" s="2" t="s">
        <v>82</v>
      </c>
      <c r="JC29" s="2"/>
      <c r="JD29" s="2"/>
      <c r="JE29" s="2"/>
      <c r="JF29" s="7">
        <v>0</v>
      </c>
      <c r="JG29" s="7"/>
      <c r="JH29" s="7"/>
      <c r="JI29" s="2">
        <v>0</v>
      </c>
      <c r="JJ29" s="7">
        <v>0</v>
      </c>
      <c r="JK29" s="2">
        <v>0</v>
      </c>
      <c r="JL29" s="7">
        <v>0</v>
      </c>
      <c r="JM29" s="2">
        <v>11</v>
      </c>
      <c r="JN29" s="2"/>
      <c r="JO29" s="2">
        <v>45</v>
      </c>
      <c r="JP29" s="2"/>
      <c r="JQ29" s="2">
        <v>16</v>
      </c>
      <c r="JR29" s="2">
        <v>0</v>
      </c>
      <c r="JS29" s="2">
        <v>0</v>
      </c>
      <c r="JT29" s="2"/>
      <c r="JU29" s="2"/>
      <c r="JV29" s="2">
        <v>72</v>
      </c>
      <c r="JW29" s="4">
        <v>1</v>
      </c>
      <c r="JX29" s="2">
        <v>72</v>
      </c>
      <c r="JY29" s="4">
        <v>0.59860999999999998</v>
      </c>
      <c r="JZ29" s="2">
        <v>0</v>
      </c>
      <c r="KA29" s="2"/>
      <c r="KB29" s="2"/>
      <c r="KC29" s="2"/>
      <c r="KD29" s="2"/>
      <c r="KE29" s="2"/>
      <c r="KF29" s="2"/>
      <c r="KG29" s="2"/>
      <c r="KH29" s="2">
        <v>72</v>
      </c>
      <c r="KI29" s="2"/>
      <c r="KJ29" s="2"/>
      <c r="KK29" s="2"/>
      <c r="KL29" s="2"/>
      <c r="KM29" s="2"/>
      <c r="KN29" s="2"/>
      <c r="KO29" s="2"/>
      <c r="KP29" s="2"/>
      <c r="KQ29" s="2" t="s">
        <v>83</v>
      </c>
      <c r="KR29" s="2" t="s">
        <v>73</v>
      </c>
      <c r="KS29" s="2"/>
      <c r="KT29" s="2">
        <v>2</v>
      </c>
      <c r="KU29" s="2" t="s">
        <v>84</v>
      </c>
      <c r="KV29" s="2" t="s">
        <v>85</v>
      </c>
      <c r="KW29" s="2" t="s">
        <v>86</v>
      </c>
      <c r="KX29" s="2" t="s">
        <v>17</v>
      </c>
      <c r="KY29" s="2" t="s">
        <v>17</v>
      </c>
      <c r="KZ29" s="2" t="s">
        <v>17</v>
      </c>
      <c r="LA29" s="2" t="s">
        <v>17</v>
      </c>
      <c r="LB29" s="2" t="s">
        <v>17</v>
      </c>
      <c r="LC29" s="2" t="s">
        <v>17</v>
      </c>
      <c r="LD29" s="2" t="s">
        <v>17</v>
      </c>
      <c r="LE29" s="2" t="s">
        <v>17</v>
      </c>
      <c r="LF29" s="2" t="s">
        <v>17</v>
      </c>
      <c r="LG29" s="2" t="s">
        <v>17</v>
      </c>
      <c r="LH29" s="2" t="s">
        <v>17</v>
      </c>
      <c r="LI29" s="2" t="s">
        <v>17</v>
      </c>
      <c r="LJ29" s="2" t="s">
        <v>87</v>
      </c>
      <c r="LK29" s="2" t="s">
        <v>17</v>
      </c>
      <c r="LL29" s="2" t="s">
        <v>17</v>
      </c>
      <c r="LM29" s="2">
        <v>0</v>
      </c>
      <c r="LN29" s="2" t="s">
        <v>17</v>
      </c>
      <c r="LO29" s="2" t="s">
        <v>9</v>
      </c>
      <c r="LP29" s="2" t="s">
        <v>9</v>
      </c>
      <c r="LQ29" s="2" t="s">
        <v>17</v>
      </c>
      <c r="LR29" s="2" t="s">
        <v>9</v>
      </c>
      <c r="LS29" s="2" t="s">
        <v>17</v>
      </c>
      <c r="LT29" s="2" t="s">
        <v>17</v>
      </c>
      <c r="LU29" s="2" t="s">
        <v>17</v>
      </c>
      <c r="LV29" s="2" t="s">
        <v>17</v>
      </c>
      <c r="LW29" s="2" t="s">
        <v>17</v>
      </c>
      <c r="LX29" s="2" t="s">
        <v>17</v>
      </c>
      <c r="LY29" s="5">
        <v>5760000</v>
      </c>
      <c r="LZ29" s="5">
        <v>0</v>
      </c>
      <c r="MA29" s="5">
        <v>7200000</v>
      </c>
      <c r="MB29" s="5">
        <v>0</v>
      </c>
      <c r="MC29" s="5">
        <v>0</v>
      </c>
      <c r="MD29" s="5">
        <v>0</v>
      </c>
      <c r="ME29" s="5">
        <v>7560000</v>
      </c>
      <c r="MF29" s="5">
        <v>0</v>
      </c>
      <c r="MG29" s="5">
        <v>0</v>
      </c>
      <c r="MH29" s="5">
        <v>0</v>
      </c>
      <c r="MI29" s="5">
        <v>0</v>
      </c>
      <c r="MJ29" s="5">
        <v>0</v>
      </c>
      <c r="MK29" s="5">
        <v>0</v>
      </c>
      <c r="ML29" s="2">
        <v>0</v>
      </c>
      <c r="MM29" s="5">
        <v>0</v>
      </c>
      <c r="MN29" s="5">
        <v>0</v>
      </c>
      <c r="MO29" s="2">
        <v>0</v>
      </c>
      <c r="MP29" s="2">
        <v>0</v>
      </c>
      <c r="MQ29" s="2">
        <v>0</v>
      </c>
      <c r="MR29" s="5">
        <v>2950000</v>
      </c>
      <c r="MS29" s="5">
        <v>0</v>
      </c>
      <c r="MT29" s="5">
        <v>4600000</v>
      </c>
      <c r="MU29" s="5">
        <v>0</v>
      </c>
      <c r="MV29" s="5">
        <v>0</v>
      </c>
      <c r="MW29" s="5">
        <v>0</v>
      </c>
      <c r="MX29" s="5">
        <v>0</v>
      </c>
      <c r="MY29" s="5">
        <v>2500000</v>
      </c>
      <c r="MZ29" s="5">
        <v>0</v>
      </c>
      <c r="NA29" s="5">
        <v>5000000</v>
      </c>
      <c r="NB29" s="5">
        <v>0</v>
      </c>
      <c r="NC29" s="5">
        <v>0</v>
      </c>
      <c r="ND29" s="5">
        <v>0</v>
      </c>
      <c r="NE29" s="5">
        <v>0</v>
      </c>
      <c r="NF29" s="5">
        <v>0</v>
      </c>
      <c r="NG29" s="5">
        <v>2353680</v>
      </c>
      <c r="NH29" s="5">
        <v>2353680</v>
      </c>
      <c r="NI29" s="5">
        <v>2353680</v>
      </c>
      <c r="NJ29" s="2" t="s">
        <v>17</v>
      </c>
      <c r="NK29" s="2"/>
      <c r="NL29" s="2"/>
      <c r="NM29" s="2" t="s">
        <v>17</v>
      </c>
      <c r="NN29" s="2"/>
      <c r="NO29" s="2" t="s">
        <v>9</v>
      </c>
      <c r="NP29" s="2">
        <v>34698</v>
      </c>
      <c r="NQ29" s="2" t="s">
        <v>3249</v>
      </c>
      <c r="NR29" s="2" t="s">
        <v>17</v>
      </c>
      <c r="NS29" s="2"/>
      <c r="NT29" s="2" t="s">
        <v>9</v>
      </c>
      <c r="NU29" s="2" t="s">
        <v>450</v>
      </c>
      <c r="NV29" s="2">
        <v>269.08999999999997</v>
      </c>
      <c r="NW29" s="2" t="s">
        <v>3250</v>
      </c>
      <c r="NX29" s="2" t="s">
        <v>17</v>
      </c>
      <c r="NY29" s="2"/>
      <c r="NZ29" s="2"/>
      <c r="OA29" s="2" t="s">
        <v>118</v>
      </c>
      <c r="OB29" s="2" t="s">
        <v>118</v>
      </c>
      <c r="OC29" s="2" t="s">
        <v>118</v>
      </c>
      <c r="OD29" s="2" t="s">
        <v>17</v>
      </c>
      <c r="OE29" s="2" t="s">
        <v>119</v>
      </c>
      <c r="OF29" s="2" t="s">
        <v>9</v>
      </c>
      <c r="OG29" s="2" t="s">
        <v>120</v>
      </c>
      <c r="OH29" s="2" t="s">
        <v>17</v>
      </c>
      <c r="OI29" s="2" t="s">
        <v>17</v>
      </c>
      <c r="OJ29" s="2" t="s">
        <v>85</v>
      </c>
      <c r="OK29" s="6">
        <v>0</v>
      </c>
      <c r="OL29" s="6">
        <v>0</v>
      </c>
      <c r="OM29" s="2" t="s">
        <v>93</v>
      </c>
      <c r="ON29" s="2" t="s">
        <v>93</v>
      </c>
      <c r="OO29" s="6">
        <v>0</v>
      </c>
      <c r="OP29" s="6">
        <v>0</v>
      </c>
      <c r="OQ29" s="4">
        <v>0</v>
      </c>
      <c r="OR29" s="6">
        <v>0</v>
      </c>
      <c r="OS29" s="4">
        <v>0</v>
      </c>
      <c r="OT29" s="2" t="s">
        <v>17</v>
      </c>
      <c r="OU29" s="2" t="s">
        <v>17</v>
      </c>
      <c r="OV29" s="2"/>
      <c r="OW29" s="2"/>
      <c r="OX29" s="5">
        <v>16954969</v>
      </c>
      <c r="OY29" s="6">
        <v>235485.68</v>
      </c>
      <c r="OZ29" s="2"/>
      <c r="PA29" s="2"/>
      <c r="PB29" s="2"/>
      <c r="PC29" s="2"/>
      <c r="PD29" s="8">
        <v>9975570</v>
      </c>
      <c r="PE29" s="2"/>
      <c r="PF29" s="8">
        <v>9975570</v>
      </c>
      <c r="PG29" s="8">
        <v>2000000</v>
      </c>
      <c r="PH29" s="8">
        <v>150000</v>
      </c>
      <c r="PI29" s="8">
        <v>2150000</v>
      </c>
      <c r="PJ29" s="2"/>
      <c r="PK29" s="8">
        <v>50000</v>
      </c>
      <c r="PL29" s="8">
        <v>50000</v>
      </c>
      <c r="PM29" s="8">
        <v>11975570</v>
      </c>
      <c r="PN29" s="8">
        <v>200000</v>
      </c>
      <c r="PO29" s="8">
        <v>12175570</v>
      </c>
      <c r="PP29" s="8">
        <v>1676580</v>
      </c>
      <c r="PQ29" s="2"/>
      <c r="PR29" s="8">
        <v>1676580</v>
      </c>
      <c r="PS29" s="6">
        <v>1704579</v>
      </c>
      <c r="PT29" s="8">
        <v>13652150</v>
      </c>
      <c r="PU29" s="8">
        <v>200000</v>
      </c>
      <c r="PV29" s="8">
        <v>13852150</v>
      </c>
      <c r="PW29" s="8">
        <v>682607</v>
      </c>
      <c r="PX29" s="2"/>
      <c r="PY29" s="8">
        <v>682607</v>
      </c>
      <c r="PZ29" s="6">
        <v>692607.5</v>
      </c>
      <c r="QA29" s="8">
        <v>896396</v>
      </c>
      <c r="QB29" s="8">
        <v>130582</v>
      </c>
      <c r="QC29" s="8">
        <v>1026978</v>
      </c>
      <c r="QD29" s="8">
        <v>122967</v>
      </c>
      <c r="QE29" s="8">
        <v>21600</v>
      </c>
      <c r="QF29" s="8">
        <v>144567</v>
      </c>
      <c r="QG29" s="8">
        <v>834491</v>
      </c>
      <c r="QH29" s="2"/>
      <c r="QI29" s="8">
        <v>834491</v>
      </c>
      <c r="QJ29" s="2"/>
      <c r="QK29" s="8">
        <v>479831</v>
      </c>
      <c r="QL29" s="8">
        <v>479831</v>
      </c>
      <c r="QM29" s="2"/>
      <c r="QN29" s="2"/>
      <c r="QO29" s="2"/>
      <c r="QP29" s="8">
        <v>267087</v>
      </c>
      <c r="QQ29" s="2"/>
      <c r="QR29" s="8">
        <v>267087</v>
      </c>
      <c r="QS29" s="8">
        <v>2120941</v>
      </c>
      <c r="QT29" s="8">
        <v>632013</v>
      </c>
      <c r="QU29" s="8">
        <v>2752954</v>
      </c>
      <c r="QV29" s="8">
        <v>96467</v>
      </c>
      <c r="QW29" s="8">
        <v>6529</v>
      </c>
      <c r="QX29" s="8">
        <v>102996</v>
      </c>
      <c r="QY29" s="6">
        <v>137647.70000000001</v>
      </c>
      <c r="QZ29" s="8">
        <v>1334801</v>
      </c>
      <c r="RA29" s="8">
        <v>200000</v>
      </c>
      <c r="RB29" s="8">
        <v>1534801</v>
      </c>
      <c r="RC29" s="8">
        <v>737407</v>
      </c>
      <c r="RD29" s="8">
        <v>737407</v>
      </c>
      <c r="RE29" s="2"/>
      <c r="RF29" s="2"/>
      <c r="RG29" s="2"/>
      <c r="RH29" s="8">
        <v>1334801</v>
      </c>
      <c r="RI29" s="8">
        <v>937407</v>
      </c>
      <c r="RJ29" s="8">
        <v>2272208</v>
      </c>
      <c r="RK29" s="2"/>
      <c r="RL29" s="2"/>
      <c r="RM29" s="8">
        <v>17886966</v>
      </c>
      <c r="RN29" s="8">
        <v>1775949</v>
      </c>
      <c r="RO29" s="8">
        <v>19662915</v>
      </c>
      <c r="RP29" s="2">
        <v>0</v>
      </c>
      <c r="RQ29" s="6">
        <v>0</v>
      </c>
      <c r="RR29" s="8">
        <v>3126829</v>
      </c>
      <c r="RS29" s="2"/>
      <c r="RT29" s="8">
        <v>3126829</v>
      </c>
      <c r="RU29" s="6">
        <v>3146066</v>
      </c>
      <c r="RV29" s="6">
        <v>0</v>
      </c>
      <c r="RW29" s="8">
        <v>3126829</v>
      </c>
      <c r="RX29" s="2"/>
      <c r="RY29" s="8">
        <v>3126829</v>
      </c>
      <c r="RZ29" s="6">
        <v>3146066</v>
      </c>
      <c r="SA29" s="8">
        <v>178343</v>
      </c>
      <c r="SB29" s="8">
        <v>178343</v>
      </c>
      <c r="SC29" s="6">
        <v>252000</v>
      </c>
      <c r="SD29" s="8">
        <v>3050000</v>
      </c>
      <c r="SE29" s="8">
        <v>3050000</v>
      </c>
      <c r="SF29" s="8">
        <v>21013795</v>
      </c>
      <c r="SG29" s="8">
        <v>5004292</v>
      </c>
      <c r="SH29" s="8">
        <v>26018087</v>
      </c>
      <c r="SI29" s="2" t="s">
        <v>1258</v>
      </c>
      <c r="SJ29" s="2" t="s">
        <v>1259</v>
      </c>
      <c r="SK29" s="2" t="s">
        <v>1260</v>
      </c>
      <c r="SL29" s="2"/>
      <c r="SM29" s="8">
        <v>18500000</v>
      </c>
      <c r="SN29" s="2" t="s">
        <v>95</v>
      </c>
      <c r="SO29" s="2"/>
      <c r="SP29" s="2"/>
      <c r="SQ29" s="2"/>
      <c r="SR29" s="2"/>
      <c r="SS29" s="2" t="s">
        <v>96</v>
      </c>
      <c r="ST29" s="2" t="s">
        <v>96</v>
      </c>
      <c r="SU29" s="2" t="s">
        <v>96</v>
      </c>
      <c r="SV29" s="2" t="s">
        <v>96</v>
      </c>
      <c r="SW29" s="8">
        <v>4377407</v>
      </c>
      <c r="SX29" s="2" t="s">
        <v>3251</v>
      </c>
      <c r="SY29" s="8">
        <v>75000</v>
      </c>
      <c r="SZ29" s="2" t="s">
        <v>180</v>
      </c>
      <c r="TA29" s="8">
        <v>3065680</v>
      </c>
      <c r="TB29" s="8">
        <v>26018087</v>
      </c>
      <c r="TC29" s="2">
        <v>0</v>
      </c>
      <c r="TD29" s="2" t="s">
        <v>9</v>
      </c>
      <c r="TE29" s="8">
        <v>2550000</v>
      </c>
      <c r="TF29" s="2" t="s">
        <v>95</v>
      </c>
      <c r="TG29" s="2"/>
      <c r="TH29" s="2"/>
      <c r="TI29" s="2"/>
      <c r="TJ29" s="2"/>
      <c r="TK29" s="2" t="s">
        <v>96</v>
      </c>
      <c r="TL29" s="2" t="s">
        <v>96</v>
      </c>
      <c r="TM29" s="2" t="s">
        <v>96</v>
      </c>
      <c r="TN29" s="2" t="s">
        <v>96</v>
      </c>
      <c r="TO29" s="8">
        <v>21887034</v>
      </c>
      <c r="TP29" s="2" t="s">
        <v>3251</v>
      </c>
      <c r="TQ29" s="8">
        <v>75000</v>
      </c>
      <c r="TR29" s="2" t="s">
        <v>180</v>
      </c>
      <c r="TS29" s="8">
        <v>1506053</v>
      </c>
      <c r="TT29" s="8">
        <v>26018087</v>
      </c>
      <c r="TU29" s="6">
        <v>2625000</v>
      </c>
      <c r="TV29" s="2">
        <v>0</v>
      </c>
      <c r="TW29" s="2" t="s">
        <v>9</v>
      </c>
      <c r="TX29" s="2">
        <v>72</v>
      </c>
      <c r="TY29" s="5">
        <v>240000</v>
      </c>
      <c r="TZ29" s="6">
        <v>320000</v>
      </c>
      <c r="UA29" s="6">
        <v>320000</v>
      </c>
      <c r="UB29" s="6">
        <v>339200</v>
      </c>
      <c r="UC29" s="6">
        <v>24422400</v>
      </c>
      <c r="UD29" s="6">
        <v>3907584</v>
      </c>
      <c r="UE29" s="2" t="s">
        <v>97</v>
      </c>
      <c r="UF29" s="6">
        <v>3907584</v>
      </c>
      <c r="UG29" s="6">
        <v>28329984</v>
      </c>
      <c r="UH29" s="6">
        <v>22789744</v>
      </c>
      <c r="UI29" s="4">
        <v>0.99990000000000001</v>
      </c>
      <c r="UJ29" s="2" t="s">
        <v>9</v>
      </c>
      <c r="UK29" s="2"/>
      <c r="UL29" s="2"/>
      <c r="UM29" s="6">
        <v>0</v>
      </c>
      <c r="UN29" s="6">
        <v>75000</v>
      </c>
      <c r="UO29" s="6">
        <v>75000</v>
      </c>
      <c r="UP29" s="2"/>
      <c r="UQ29" s="6">
        <v>0</v>
      </c>
      <c r="UR29" s="6">
        <v>0</v>
      </c>
      <c r="US29" s="6">
        <v>75000</v>
      </c>
      <c r="UT29" s="6">
        <v>0</v>
      </c>
      <c r="UU29" s="6">
        <v>75000</v>
      </c>
      <c r="UV29" s="2" t="s">
        <v>3252</v>
      </c>
      <c r="UW29" s="2" t="s">
        <v>453</v>
      </c>
      <c r="UX29" s="2" t="s">
        <v>17</v>
      </c>
      <c r="UY29" s="2" t="s">
        <v>17</v>
      </c>
      <c r="UZ29" s="2" t="s">
        <v>17</v>
      </c>
      <c r="VA29" s="2" t="s">
        <v>17</v>
      </c>
      <c r="VB29" s="2" t="s">
        <v>2740</v>
      </c>
      <c r="VC29" s="2" t="s">
        <v>17</v>
      </c>
      <c r="VD29" s="2" t="s">
        <v>17</v>
      </c>
      <c r="VE29" s="2" t="s">
        <v>17</v>
      </c>
      <c r="VF29" s="2"/>
      <c r="VG29" s="2" t="s">
        <v>3253</v>
      </c>
      <c r="VH29" s="2"/>
      <c r="VI29" s="388" t="s">
        <v>1231</v>
      </c>
      <c r="VJ29" s="2" t="s">
        <v>98</v>
      </c>
      <c r="VK29" s="2" t="s">
        <v>1247</v>
      </c>
      <c r="VL29" s="23">
        <f t="shared" si="0"/>
        <v>72</v>
      </c>
      <c r="VM29" s="17">
        <f t="shared" si="1"/>
        <v>1</v>
      </c>
      <c r="VN29" s="17" t="str">
        <f t="shared" si="2"/>
        <v>NC-GA-F</v>
      </c>
      <c r="VO29" s="17" t="str">
        <f t="shared" si="14"/>
        <v>NC-GA-F-ESS</v>
      </c>
      <c r="VP29" s="12">
        <v>9</v>
      </c>
      <c r="VQ29" s="57">
        <v>1</v>
      </c>
      <c r="VR29" s="14">
        <f t="shared" si="3"/>
        <v>1</v>
      </c>
      <c r="VS29" s="14">
        <f t="shared" si="4"/>
        <v>1</v>
      </c>
      <c r="VT29" s="12">
        <f t="shared" si="5"/>
        <v>0.93000000000000016</v>
      </c>
      <c r="VU29" s="29">
        <f t="shared" si="6"/>
        <v>19700301.600000005</v>
      </c>
      <c r="VV29" s="29">
        <f t="shared" si="7"/>
        <v>273615.30000000005</v>
      </c>
      <c r="VW29" s="12" t="str">
        <f t="shared" si="15"/>
        <v>B</v>
      </c>
      <c r="VX29" s="12" t="str">
        <f t="shared" si="22"/>
        <v>NC-GA-ESS</v>
      </c>
      <c r="VY29" s="351">
        <f t="shared" si="16"/>
        <v>5</v>
      </c>
      <c r="VZ29" s="12"/>
      <c r="WA29" s="12">
        <f t="shared" si="17"/>
        <v>0</v>
      </c>
      <c r="WB29" s="12">
        <f t="shared" si="18"/>
        <v>0</v>
      </c>
      <c r="WC29" s="12">
        <f t="shared" si="19"/>
        <v>0</v>
      </c>
      <c r="WD29" s="12">
        <f t="shared" si="20"/>
        <v>0</v>
      </c>
      <c r="WE29" s="12">
        <f t="shared" si="21"/>
        <v>1</v>
      </c>
      <c r="WF29" s="12">
        <f t="shared" si="9"/>
        <v>1</v>
      </c>
      <c r="WG29" s="12">
        <f t="shared" si="10"/>
        <v>0</v>
      </c>
      <c r="WH29" s="12">
        <f t="shared" si="11"/>
        <v>0</v>
      </c>
      <c r="WI29" s="31">
        <f t="shared" si="12"/>
        <v>2</v>
      </c>
      <c r="WJ29" s="2"/>
      <c r="WK29" s="444" t="str">
        <f t="shared" si="13"/>
        <v>NC-GA-ESS-BBN-BRN-NPH-F</v>
      </c>
      <c r="WL29" s="444"/>
      <c r="WM29" s="444"/>
      <c r="WN29" s="12"/>
      <c r="WO29" s="12"/>
    </row>
    <row r="30" spans="1:613" x14ac:dyDescent="0.25">
      <c r="A30" s="2">
        <v>9615</v>
      </c>
      <c r="B30" s="2" t="s">
        <v>3254</v>
      </c>
      <c r="C30" s="2" t="s">
        <v>2652</v>
      </c>
      <c r="D30" s="3">
        <v>45152</v>
      </c>
      <c r="E30" s="2" t="s">
        <v>9</v>
      </c>
      <c r="F30" s="2">
        <v>3</v>
      </c>
      <c r="G30" s="2" t="s">
        <v>9</v>
      </c>
      <c r="H30" s="2">
        <v>3</v>
      </c>
      <c r="I30" s="2" t="s">
        <v>9</v>
      </c>
      <c r="J30" s="2">
        <v>3</v>
      </c>
      <c r="K30" s="2" t="s">
        <v>9</v>
      </c>
      <c r="L30" s="2">
        <v>3</v>
      </c>
      <c r="M30" s="2" t="s">
        <v>10</v>
      </c>
      <c r="N30" s="2">
        <v>0</v>
      </c>
      <c r="O30" s="2" t="s">
        <v>10</v>
      </c>
      <c r="P30" s="2">
        <v>0</v>
      </c>
      <c r="Q30" s="2" t="s">
        <v>11</v>
      </c>
      <c r="R30" s="2">
        <v>0</v>
      </c>
      <c r="S30" s="2" t="s">
        <v>9</v>
      </c>
      <c r="T30" s="2">
        <v>2</v>
      </c>
      <c r="U30" s="2" t="s">
        <v>9</v>
      </c>
      <c r="V30" s="2">
        <v>2</v>
      </c>
      <c r="W30" s="2" t="s">
        <v>9</v>
      </c>
      <c r="X30" s="2">
        <v>2</v>
      </c>
      <c r="Y30" s="2" t="s">
        <v>12</v>
      </c>
      <c r="Z30" s="2" t="s">
        <v>3255</v>
      </c>
      <c r="AA30" s="2" t="s">
        <v>1570</v>
      </c>
      <c r="AB30" s="2" t="s">
        <v>3256</v>
      </c>
      <c r="AC30" s="2" t="s">
        <v>15</v>
      </c>
      <c r="AD30" s="2" t="s">
        <v>15</v>
      </c>
      <c r="AE30" s="2" t="s">
        <v>15</v>
      </c>
      <c r="AF30" s="2">
        <v>3</v>
      </c>
      <c r="AG30" s="2" t="s">
        <v>3257</v>
      </c>
      <c r="AH30" s="2" t="s">
        <v>17</v>
      </c>
      <c r="AI30" s="4">
        <v>0.15493000000000001</v>
      </c>
      <c r="AJ30" s="2" t="s">
        <v>17</v>
      </c>
      <c r="AK30" s="2" t="s">
        <v>9</v>
      </c>
      <c r="AL30" s="2" t="s">
        <v>17</v>
      </c>
      <c r="AM30" s="2" t="s">
        <v>9</v>
      </c>
      <c r="AN30" s="2" t="s">
        <v>17</v>
      </c>
      <c r="AO30" s="2" t="s">
        <v>17</v>
      </c>
      <c r="AP30" s="2" t="s">
        <v>17</v>
      </c>
      <c r="AQ30" s="2" t="s">
        <v>17</v>
      </c>
      <c r="AR30" s="2" t="s">
        <v>17</v>
      </c>
      <c r="AS30" s="2" t="s">
        <v>17</v>
      </c>
      <c r="AT30" s="2">
        <v>5</v>
      </c>
      <c r="AU30" s="5">
        <v>75000</v>
      </c>
      <c r="AV30" s="5">
        <v>610000</v>
      </c>
      <c r="AW30" s="2">
        <v>0</v>
      </c>
      <c r="AX30" s="2">
        <v>6</v>
      </c>
      <c r="AY30" s="2">
        <v>0</v>
      </c>
      <c r="AZ30" s="2">
        <v>18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1</v>
      </c>
      <c r="BG30" s="2">
        <v>0</v>
      </c>
      <c r="BH30" s="2">
        <v>0</v>
      </c>
      <c r="BI30" s="2">
        <v>13</v>
      </c>
      <c r="BJ30" s="2">
        <v>1</v>
      </c>
      <c r="BK30" s="2">
        <v>0</v>
      </c>
      <c r="BL30" s="2">
        <v>3</v>
      </c>
      <c r="BM30" s="2">
        <v>0</v>
      </c>
      <c r="BN30" s="2">
        <v>11</v>
      </c>
      <c r="BO30" s="2">
        <v>11</v>
      </c>
      <c r="BP30" s="2">
        <v>0</v>
      </c>
      <c r="BQ30" s="2">
        <v>10</v>
      </c>
      <c r="BR30" s="2">
        <v>9.8699999999999992</v>
      </c>
      <c r="BS30" s="2">
        <v>0</v>
      </c>
      <c r="BT30" s="4">
        <v>0.06</v>
      </c>
      <c r="BU30" s="2" t="s">
        <v>9</v>
      </c>
      <c r="BV30" s="6">
        <v>238802.38</v>
      </c>
      <c r="BW30" s="2" t="s">
        <v>18</v>
      </c>
      <c r="BX30" s="2" t="s">
        <v>17</v>
      </c>
      <c r="BY30" s="2" t="s">
        <v>17</v>
      </c>
      <c r="BZ30" s="2" t="s">
        <v>17</v>
      </c>
      <c r="CA30" s="2" t="s">
        <v>17</v>
      </c>
      <c r="CB30" s="2" t="s">
        <v>17</v>
      </c>
      <c r="CC30" s="2" t="s">
        <v>17</v>
      </c>
      <c r="CD30" s="2" t="s">
        <v>17</v>
      </c>
      <c r="CE30" s="2" t="s">
        <v>3258</v>
      </c>
      <c r="CF30" s="2" t="s">
        <v>17</v>
      </c>
      <c r="CG30" s="2" t="s">
        <v>3259</v>
      </c>
      <c r="CH30" s="2"/>
      <c r="CI30" s="2"/>
      <c r="CJ30" s="2" t="s">
        <v>9</v>
      </c>
      <c r="CK30" s="2" t="s">
        <v>1408</v>
      </c>
      <c r="CL30" s="2" t="s">
        <v>3259</v>
      </c>
      <c r="CM30" s="2" t="s">
        <v>1409</v>
      </c>
      <c r="CN30" s="2" t="s">
        <v>1410</v>
      </c>
      <c r="CO30" s="2" t="s">
        <v>24</v>
      </c>
      <c r="CP30" s="2"/>
      <c r="CQ30" s="2">
        <v>123</v>
      </c>
      <c r="CR30" s="2" t="s">
        <v>3260</v>
      </c>
      <c r="CS30" s="2">
        <v>2015</v>
      </c>
      <c r="CT30" s="2" t="s">
        <v>26</v>
      </c>
      <c r="CU30" s="2" t="s">
        <v>27</v>
      </c>
      <c r="CV30" s="2" t="s">
        <v>1411</v>
      </c>
      <c r="CW30" s="2" t="s">
        <v>1412</v>
      </c>
      <c r="CX30" s="2" t="s">
        <v>24</v>
      </c>
      <c r="CY30" s="2"/>
      <c r="CZ30" s="2">
        <v>80</v>
      </c>
      <c r="DA30" s="2" t="s">
        <v>3260</v>
      </c>
      <c r="DB30" s="2">
        <v>2017</v>
      </c>
      <c r="DC30" s="2" t="s">
        <v>30</v>
      </c>
      <c r="DD30" s="2" t="s">
        <v>27</v>
      </c>
      <c r="DE30" s="2" t="s">
        <v>1413</v>
      </c>
      <c r="DF30" s="2" t="s">
        <v>1412</v>
      </c>
      <c r="DG30" s="2" t="s">
        <v>24</v>
      </c>
      <c r="DH30" s="2"/>
      <c r="DI30" s="2">
        <v>120</v>
      </c>
      <c r="DJ30" s="2" t="s">
        <v>3260</v>
      </c>
      <c r="DK30" s="2">
        <v>2017</v>
      </c>
      <c r="DL30" s="2" t="s">
        <v>30</v>
      </c>
      <c r="DM30" s="2" t="s">
        <v>27</v>
      </c>
      <c r="DN30" s="2" t="s">
        <v>2663</v>
      </c>
      <c r="DO30" s="2" t="s">
        <v>1414</v>
      </c>
      <c r="DP30" s="2" t="s">
        <v>1415</v>
      </c>
      <c r="DQ30" s="2" t="s">
        <v>1416</v>
      </c>
      <c r="DR30" s="2" t="s">
        <v>1417</v>
      </c>
      <c r="DS30" s="2">
        <v>1</v>
      </c>
      <c r="DT30" s="2" t="s">
        <v>1418</v>
      </c>
      <c r="DU30" s="2" t="s">
        <v>1419</v>
      </c>
      <c r="DV30" s="2" t="s">
        <v>39</v>
      </c>
      <c r="DW30" s="2">
        <v>32714</v>
      </c>
      <c r="DX30" s="2" t="s">
        <v>1420</v>
      </c>
      <c r="DY30" s="2">
        <v>294</v>
      </c>
      <c r="DZ30" s="2" t="s">
        <v>1421</v>
      </c>
      <c r="EA30" s="2" t="s">
        <v>1417</v>
      </c>
      <c r="EB30" s="2" t="s">
        <v>1422</v>
      </c>
      <c r="EC30" s="2" t="s">
        <v>1423</v>
      </c>
      <c r="ED30" s="2" t="s">
        <v>44</v>
      </c>
      <c r="EE30" s="2">
        <v>200</v>
      </c>
      <c r="EF30" s="2" t="s">
        <v>3261</v>
      </c>
      <c r="EG30" s="2">
        <v>14</v>
      </c>
      <c r="EH30" s="2" t="s">
        <v>46</v>
      </c>
      <c r="EI30" s="2" t="s">
        <v>47</v>
      </c>
      <c r="EJ30" s="2" t="s">
        <v>1424</v>
      </c>
      <c r="EK30" s="2" t="s">
        <v>464</v>
      </c>
      <c r="EL30" s="2" t="s">
        <v>44</v>
      </c>
      <c r="EM30" s="2">
        <v>120</v>
      </c>
      <c r="EN30" s="2" t="s">
        <v>3261</v>
      </c>
      <c r="EO30" s="2">
        <v>12</v>
      </c>
      <c r="EP30" s="2" t="s">
        <v>46</v>
      </c>
      <c r="EQ30" s="2" t="s">
        <v>47</v>
      </c>
      <c r="ER30" s="2" t="s">
        <v>738</v>
      </c>
      <c r="ES30" s="2" t="s">
        <v>951</v>
      </c>
      <c r="ET30" s="2" t="s">
        <v>1425</v>
      </c>
      <c r="EU30" s="2" t="s">
        <v>1426</v>
      </c>
      <c r="EV30" s="2" t="s">
        <v>1418</v>
      </c>
      <c r="EW30" s="2" t="s">
        <v>1419</v>
      </c>
      <c r="EX30" s="2" t="s">
        <v>39</v>
      </c>
      <c r="EY30" s="2">
        <v>32714</v>
      </c>
      <c r="EZ30" s="2" t="s">
        <v>1420</v>
      </c>
      <c r="FA30" s="2">
        <v>202</v>
      </c>
      <c r="FB30" s="2" t="s">
        <v>1427</v>
      </c>
      <c r="FC30" s="2" t="s">
        <v>1428</v>
      </c>
      <c r="FD30" s="2" t="s">
        <v>1429</v>
      </c>
      <c r="FE30" s="2" t="s">
        <v>1430</v>
      </c>
      <c r="FF30" s="2" t="s">
        <v>1426</v>
      </c>
      <c r="FG30" s="2" t="s">
        <v>1418</v>
      </c>
      <c r="FH30" s="2" t="s">
        <v>1419</v>
      </c>
      <c r="FI30" s="2" t="s">
        <v>39</v>
      </c>
      <c r="FJ30" s="2">
        <v>32714</v>
      </c>
      <c r="FK30" s="2" t="s">
        <v>1420</v>
      </c>
      <c r="FL30" s="2">
        <v>210</v>
      </c>
      <c r="FM30" s="2" t="s">
        <v>1431</v>
      </c>
      <c r="FN30" s="2" t="s">
        <v>3262</v>
      </c>
      <c r="FO30" s="2" t="s">
        <v>63</v>
      </c>
      <c r="FP30" s="2" t="s">
        <v>64</v>
      </c>
      <c r="FQ30" s="2" t="s">
        <v>9</v>
      </c>
      <c r="FR30" s="2" t="s">
        <v>17</v>
      </c>
      <c r="FS30" s="2" t="s">
        <v>17</v>
      </c>
      <c r="FT30" s="2" t="s">
        <v>9</v>
      </c>
      <c r="FU30" s="2">
        <v>0</v>
      </c>
      <c r="FV30" s="2">
        <v>0</v>
      </c>
      <c r="FW30" s="4">
        <v>0</v>
      </c>
      <c r="FX30" s="4">
        <v>0</v>
      </c>
      <c r="FY30" s="2" t="s">
        <v>65</v>
      </c>
      <c r="FZ30" s="2" t="s">
        <v>66</v>
      </c>
      <c r="GA30" s="2" t="s">
        <v>67</v>
      </c>
      <c r="GB30" s="2"/>
      <c r="GC30" s="2"/>
      <c r="GD30" s="2"/>
      <c r="GE30" s="2" t="s">
        <v>68</v>
      </c>
      <c r="GF30" s="2">
        <v>71</v>
      </c>
      <c r="GG30" s="2">
        <v>71</v>
      </c>
      <c r="GH30" s="2"/>
      <c r="GI30" s="2"/>
      <c r="GJ30" s="2"/>
      <c r="GK30" s="2"/>
      <c r="GL30" s="2"/>
      <c r="GM30" s="2"/>
      <c r="GN30" s="2"/>
      <c r="GO30" s="2"/>
      <c r="GP30" s="2"/>
      <c r="GQ30" s="2">
        <v>71</v>
      </c>
      <c r="GR30" s="2" t="s">
        <v>2802</v>
      </c>
      <c r="GS30" s="2" t="s">
        <v>2686</v>
      </c>
      <c r="GT30" s="2" t="s">
        <v>3263</v>
      </c>
      <c r="GU30" s="2" t="s">
        <v>3244</v>
      </c>
      <c r="GV30" s="2" t="s">
        <v>17</v>
      </c>
      <c r="GW30" s="2">
        <v>27.997610999999999</v>
      </c>
      <c r="GX30" s="2">
        <v>-82.767217000000002</v>
      </c>
      <c r="GY30" s="2"/>
      <c r="GZ30" s="2" t="s">
        <v>17</v>
      </c>
      <c r="HA30" s="2">
        <v>0</v>
      </c>
      <c r="HB30" s="2" t="s">
        <v>17</v>
      </c>
      <c r="HC30" s="2" t="s">
        <v>17</v>
      </c>
      <c r="HD30" s="2">
        <v>0</v>
      </c>
      <c r="HE30" s="2">
        <v>27.997419000000001</v>
      </c>
      <c r="HF30" s="2">
        <v>-82.783259000000001</v>
      </c>
      <c r="HG30" s="2">
        <v>0.98</v>
      </c>
      <c r="HH30" s="2">
        <v>4.5</v>
      </c>
      <c r="HI30" s="2">
        <v>27.996880000000001</v>
      </c>
      <c r="HJ30" s="2">
        <v>-82.754878000000005</v>
      </c>
      <c r="HK30" s="2">
        <v>0.76</v>
      </c>
      <c r="HL30" s="2">
        <v>27.997350000000001</v>
      </c>
      <c r="HM30" s="2">
        <v>-82.783417999999998</v>
      </c>
      <c r="HN30" s="2">
        <v>0.99</v>
      </c>
      <c r="HO30" s="2"/>
      <c r="HP30" s="2"/>
      <c r="HQ30" s="2"/>
      <c r="HR30" s="2"/>
      <c r="HS30" s="2"/>
      <c r="HT30" s="2"/>
      <c r="HU30" s="2"/>
      <c r="HV30" s="2"/>
      <c r="HW30" s="2" t="s">
        <v>73</v>
      </c>
      <c r="HX30" s="2"/>
      <c r="HY30" s="2"/>
      <c r="HZ30" s="2"/>
      <c r="IA30" s="2"/>
      <c r="IB30" s="2" t="s">
        <v>3264</v>
      </c>
      <c r="IC30" s="2" t="s">
        <v>3265</v>
      </c>
      <c r="ID30" s="2">
        <v>0.62</v>
      </c>
      <c r="IE30" s="2">
        <v>3</v>
      </c>
      <c r="IF30" s="2" t="s">
        <v>224</v>
      </c>
      <c r="IG30" s="2" t="s">
        <v>3266</v>
      </c>
      <c r="IH30" s="2">
        <v>0.48</v>
      </c>
      <c r="II30" s="2">
        <v>3.5</v>
      </c>
      <c r="IJ30" s="2" t="s">
        <v>3267</v>
      </c>
      <c r="IK30" s="2" t="s">
        <v>3268</v>
      </c>
      <c r="IL30" s="2">
        <v>0.56000000000000005</v>
      </c>
      <c r="IM30" s="2">
        <v>3.5</v>
      </c>
      <c r="IN30" s="2" t="s">
        <v>17</v>
      </c>
      <c r="IO30" s="2"/>
      <c r="IP30" s="2" t="s">
        <v>79</v>
      </c>
      <c r="IQ30" s="2">
        <v>4.5</v>
      </c>
      <c r="IR30" s="2">
        <v>10</v>
      </c>
      <c r="IS30" s="2">
        <v>0</v>
      </c>
      <c r="IT30" s="2">
        <v>14.5</v>
      </c>
      <c r="IU30" s="2" t="s">
        <v>9</v>
      </c>
      <c r="IV30" s="2" t="s">
        <v>17</v>
      </c>
      <c r="IW30" s="2" t="s">
        <v>17</v>
      </c>
      <c r="IX30" s="2" t="s">
        <v>9</v>
      </c>
      <c r="IY30" s="2">
        <v>14.5</v>
      </c>
      <c r="IZ30" s="2">
        <v>71</v>
      </c>
      <c r="JA30" s="2" t="s">
        <v>2809</v>
      </c>
      <c r="JB30" s="2" t="s">
        <v>82</v>
      </c>
      <c r="JC30" s="2"/>
      <c r="JD30" s="2"/>
      <c r="JE30" s="2"/>
      <c r="JF30" s="7">
        <v>0</v>
      </c>
      <c r="JG30" s="7"/>
      <c r="JH30" s="7"/>
      <c r="JI30" s="2">
        <v>0</v>
      </c>
      <c r="JJ30" s="7">
        <v>0</v>
      </c>
      <c r="JK30" s="2">
        <v>0</v>
      </c>
      <c r="JL30" s="7">
        <v>0</v>
      </c>
      <c r="JM30" s="2">
        <v>11</v>
      </c>
      <c r="JN30" s="2"/>
      <c r="JO30" s="2">
        <v>44</v>
      </c>
      <c r="JP30" s="2"/>
      <c r="JQ30" s="2">
        <v>16</v>
      </c>
      <c r="JR30" s="2">
        <v>0</v>
      </c>
      <c r="JS30" s="2">
        <v>0</v>
      </c>
      <c r="JT30" s="2"/>
      <c r="JU30" s="2"/>
      <c r="JV30" s="2">
        <v>71</v>
      </c>
      <c r="JW30" s="4">
        <v>1</v>
      </c>
      <c r="JX30" s="2">
        <v>71</v>
      </c>
      <c r="JY30" s="4">
        <v>0.59858999999999996</v>
      </c>
      <c r="JZ30" s="2">
        <v>0</v>
      </c>
      <c r="KA30" s="2"/>
      <c r="KB30" s="2"/>
      <c r="KC30" s="2"/>
      <c r="KD30" s="2"/>
      <c r="KE30" s="2"/>
      <c r="KF30" s="2"/>
      <c r="KG30" s="2"/>
      <c r="KH30" s="2">
        <v>18</v>
      </c>
      <c r="KI30" s="2"/>
      <c r="KJ30" s="2"/>
      <c r="KK30" s="2">
        <v>39</v>
      </c>
      <c r="KL30" s="2">
        <v>14</v>
      </c>
      <c r="KM30" s="2"/>
      <c r="KN30" s="2"/>
      <c r="KO30" s="2"/>
      <c r="KP30" s="2"/>
      <c r="KQ30" s="2" t="s">
        <v>83</v>
      </c>
      <c r="KR30" s="2" t="s">
        <v>73</v>
      </c>
      <c r="KS30" s="2"/>
      <c r="KT30" s="2">
        <v>1</v>
      </c>
      <c r="KU30" s="2" t="s">
        <v>84</v>
      </c>
      <c r="KV30" s="2" t="s">
        <v>85</v>
      </c>
      <c r="KW30" s="2" t="s">
        <v>530</v>
      </c>
      <c r="KX30" s="2" t="s">
        <v>17</v>
      </c>
      <c r="KY30" s="2" t="s">
        <v>17</v>
      </c>
      <c r="KZ30" s="2" t="s">
        <v>17</v>
      </c>
      <c r="LA30" s="2" t="s">
        <v>17</v>
      </c>
      <c r="LB30" s="2" t="s">
        <v>17</v>
      </c>
      <c r="LC30" s="2" t="s">
        <v>17</v>
      </c>
      <c r="LD30" s="2" t="s">
        <v>17</v>
      </c>
      <c r="LE30" s="2" t="s">
        <v>17</v>
      </c>
      <c r="LF30" s="2" t="s">
        <v>17</v>
      </c>
      <c r="LG30" s="2" t="s">
        <v>17</v>
      </c>
      <c r="LH30" s="2" t="s">
        <v>17</v>
      </c>
      <c r="LI30" s="2" t="s">
        <v>17</v>
      </c>
      <c r="LJ30" s="2" t="s">
        <v>87</v>
      </c>
      <c r="LK30" s="2" t="s">
        <v>17</v>
      </c>
      <c r="LL30" s="2" t="s">
        <v>17</v>
      </c>
      <c r="LM30" s="2">
        <v>0</v>
      </c>
      <c r="LN30" s="2" t="s">
        <v>17</v>
      </c>
      <c r="LO30" s="2" t="s">
        <v>9</v>
      </c>
      <c r="LP30" s="2" t="s">
        <v>17</v>
      </c>
      <c r="LQ30" s="2" t="s">
        <v>9</v>
      </c>
      <c r="LR30" s="2" t="s">
        <v>9</v>
      </c>
      <c r="LS30" s="2" t="s">
        <v>17</v>
      </c>
      <c r="LT30" s="2" t="s">
        <v>17</v>
      </c>
      <c r="LU30" s="2" t="s">
        <v>17</v>
      </c>
      <c r="LV30" s="2" t="s">
        <v>17</v>
      </c>
      <c r="LW30" s="2" t="s">
        <v>17</v>
      </c>
      <c r="LX30" s="2" t="s">
        <v>17</v>
      </c>
      <c r="LY30" s="5">
        <v>5680000</v>
      </c>
      <c r="LZ30" s="5">
        <v>0</v>
      </c>
      <c r="MA30" s="5">
        <v>7100000</v>
      </c>
      <c r="MB30" s="5">
        <v>0</v>
      </c>
      <c r="MC30" s="5">
        <v>0</v>
      </c>
      <c r="MD30" s="5">
        <v>0</v>
      </c>
      <c r="ME30" s="5">
        <v>7455000</v>
      </c>
      <c r="MF30" s="5">
        <v>0</v>
      </c>
      <c r="MG30" s="5">
        <v>0</v>
      </c>
      <c r="MH30" s="5">
        <v>0</v>
      </c>
      <c r="MI30" s="5">
        <v>0</v>
      </c>
      <c r="MJ30" s="5">
        <v>0</v>
      </c>
      <c r="MK30" s="5">
        <v>0</v>
      </c>
      <c r="ML30" s="2">
        <v>0</v>
      </c>
      <c r="MM30" s="5">
        <v>0</v>
      </c>
      <c r="MN30" s="5">
        <v>0</v>
      </c>
      <c r="MO30" s="2">
        <v>0</v>
      </c>
      <c r="MP30" s="2">
        <v>0</v>
      </c>
      <c r="MQ30" s="2">
        <v>0</v>
      </c>
      <c r="MR30" s="5">
        <v>2950000</v>
      </c>
      <c r="MS30" s="5">
        <v>0</v>
      </c>
      <c r="MT30" s="5">
        <v>4600000</v>
      </c>
      <c r="MU30" s="5">
        <v>0</v>
      </c>
      <c r="MV30" s="5">
        <v>0</v>
      </c>
      <c r="MW30" s="5">
        <v>0</v>
      </c>
      <c r="MX30" s="5">
        <v>0</v>
      </c>
      <c r="MY30" s="5">
        <v>2500000</v>
      </c>
      <c r="MZ30" s="5">
        <v>0</v>
      </c>
      <c r="NA30" s="5">
        <v>5000000</v>
      </c>
      <c r="NB30" s="5">
        <v>0</v>
      </c>
      <c r="NC30" s="5">
        <v>0</v>
      </c>
      <c r="ND30" s="5">
        <v>0</v>
      </c>
      <c r="NE30" s="5">
        <v>0</v>
      </c>
      <c r="NF30" s="5">
        <v>0</v>
      </c>
      <c r="NG30" s="5">
        <v>2353680</v>
      </c>
      <c r="NH30" s="5">
        <v>2353680</v>
      </c>
      <c r="NI30" s="5">
        <v>2353680</v>
      </c>
      <c r="NJ30" s="2" t="s">
        <v>17</v>
      </c>
      <c r="NK30" s="2"/>
      <c r="NL30" s="2"/>
      <c r="NM30" s="2" t="s">
        <v>17</v>
      </c>
      <c r="NN30" s="2"/>
      <c r="NO30" s="2" t="s">
        <v>9</v>
      </c>
      <c r="NP30" s="2">
        <v>34698</v>
      </c>
      <c r="NQ30" s="2" t="s">
        <v>3249</v>
      </c>
      <c r="NR30" s="2" t="s">
        <v>17</v>
      </c>
      <c r="NS30" s="2"/>
      <c r="NT30" s="2" t="s">
        <v>17</v>
      </c>
      <c r="NU30" s="2"/>
      <c r="NV30" s="2"/>
      <c r="NW30" s="2"/>
      <c r="NX30" s="2" t="s">
        <v>9</v>
      </c>
      <c r="NY30" s="2" t="s">
        <v>119</v>
      </c>
      <c r="NZ30" s="2">
        <v>269.14999999999998</v>
      </c>
      <c r="OA30" s="2" t="s">
        <v>2863</v>
      </c>
      <c r="OB30" s="2" t="s">
        <v>2864</v>
      </c>
      <c r="OC30" s="2" t="s">
        <v>2864</v>
      </c>
      <c r="OD30" s="2" t="s">
        <v>17</v>
      </c>
      <c r="OE30" s="2" t="s">
        <v>119</v>
      </c>
      <c r="OF30" s="2" t="s">
        <v>9</v>
      </c>
      <c r="OG30" s="2" t="s">
        <v>557</v>
      </c>
      <c r="OH30" s="2" t="s">
        <v>17</v>
      </c>
      <c r="OI30" s="2" t="s">
        <v>17</v>
      </c>
      <c r="OJ30" s="2" t="s">
        <v>85</v>
      </c>
      <c r="OK30" s="6">
        <v>0</v>
      </c>
      <c r="OL30" s="6">
        <v>0</v>
      </c>
      <c r="OM30" s="2" t="s">
        <v>93</v>
      </c>
      <c r="ON30" s="2" t="s">
        <v>93</v>
      </c>
      <c r="OO30" s="6">
        <v>0</v>
      </c>
      <c r="OP30" s="6">
        <v>0</v>
      </c>
      <c r="OQ30" s="4">
        <v>0</v>
      </c>
      <c r="OR30" s="6">
        <v>0</v>
      </c>
      <c r="OS30" s="4">
        <v>0</v>
      </c>
      <c r="OT30" s="2" t="s">
        <v>17</v>
      </c>
      <c r="OU30" s="2" t="s">
        <v>17</v>
      </c>
      <c r="OV30" s="2"/>
      <c r="OW30" s="2"/>
      <c r="OX30" s="5">
        <v>16954969</v>
      </c>
      <c r="OY30" s="6">
        <v>238802.38</v>
      </c>
      <c r="OZ30" s="2"/>
      <c r="PA30" s="2"/>
      <c r="PB30" s="2"/>
      <c r="PC30" s="2"/>
      <c r="PD30" s="8">
        <v>11865000</v>
      </c>
      <c r="PE30" s="2"/>
      <c r="PF30" s="8">
        <v>11865000</v>
      </c>
      <c r="PG30" s="8">
        <v>2000000</v>
      </c>
      <c r="PH30" s="2"/>
      <c r="PI30" s="8">
        <v>2000000</v>
      </c>
      <c r="PJ30" s="2"/>
      <c r="PK30" s="2"/>
      <c r="PL30" s="2"/>
      <c r="PM30" s="8">
        <v>13865000</v>
      </c>
      <c r="PN30" s="2"/>
      <c r="PO30" s="8">
        <v>13865000</v>
      </c>
      <c r="PP30" s="8">
        <v>1920100</v>
      </c>
      <c r="PQ30" s="2"/>
      <c r="PR30" s="8">
        <v>1920100</v>
      </c>
      <c r="PS30" s="6">
        <v>1941100</v>
      </c>
      <c r="PT30" s="8">
        <v>15785100</v>
      </c>
      <c r="PU30" s="2"/>
      <c r="PV30" s="8">
        <v>15785100</v>
      </c>
      <c r="PW30" s="8">
        <v>781755</v>
      </c>
      <c r="PX30" s="2"/>
      <c r="PY30" s="8">
        <v>781755</v>
      </c>
      <c r="PZ30" s="6">
        <v>789255</v>
      </c>
      <c r="QA30" s="8">
        <v>851000</v>
      </c>
      <c r="QB30" s="8">
        <v>260000</v>
      </c>
      <c r="QC30" s="8">
        <v>1111000</v>
      </c>
      <c r="QD30" s="8">
        <v>200000</v>
      </c>
      <c r="QE30" s="2"/>
      <c r="QF30" s="8">
        <v>200000</v>
      </c>
      <c r="QG30" s="8">
        <v>1153197</v>
      </c>
      <c r="QH30" s="2"/>
      <c r="QI30" s="8">
        <v>1153197</v>
      </c>
      <c r="QJ30" s="2"/>
      <c r="QK30" s="8">
        <v>455449</v>
      </c>
      <c r="QL30" s="8">
        <v>455449</v>
      </c>
      <c r="QM30" s="2"/>
      <c r="QN30" s="2"/>
      <c r="QO30" s="2"/>
      <c r="QP30" s="2"/>
      <c r="QQ30" s="8">
        <v>625000</v>
      </c>
      <c r="QR30" s="8">
        <v>625000</v>
      </c>
      <c r="QS30" s="8">
        <v>2204197</v>
      </c>
      <c r="QT30" s="8">
        <v>1340449</v>
      </c>
      <c r="QU30" s="8">
        <v>3544646</v>
      </c>
      <c r="QV30" s="2"/>
      <c r="QW30" s="8">
        <v>82840</v>
      </c>
      <c r="QX30" s="8">
        <v>82840</v>
      </c>
      <c r="QY30" s="6">
        <v>177232.3</v>
      </c>
      <c r="QZ30" s="8">
        <v>822924</v>
      </c>
      <c r="RA30" s="2"/>
      <c r="RB30" s="8">
        <v>822924</v>
      </c>
      <c r="RC30" s="8">
        <v>967115</v>
      </c>
      <c r="RD30" s="8">
        <v>967115</v>
      </c>
      <c r="RE30" s="2"/>
      <c r="RF30" s="8">
        <v>55000</v>
      </c>
      <c r="RG30" s="8">
        <v>55000</v>
      </c>
      <c r="RH30" s="8">
        <v>822924</v>
      </c>
      <c r="RI30" s="8">
        <v>1022115</v>
      </c>
      <c r="RJ30" s="8">
        <v>1845039</v>
      </c>
      <c r="RK30" s="2"/>
      <c r="RL30" s="2"/>
      <c r="RM30" s="8">
        <v>19593976</v>
      </c>
      <c r="RN30" s="8">
        <v>2445404</v>
      </c>
      <c r="RO30" s="8">
        <v>22039380</v>
      </c>
      <c r="RP30" s="2">
        <v>0</v>
      </c>
      <c r="RQ30" s="6">
        <v>0</v>
      </c>
      <c r="RR30" s="8">
        <v>3526300</v>
      </c>
      <c r="RS30" s="2"/>
      <c r="RT30" s="8">
        <v>3526300</v>
      </c>
      <c r="RU30" s="6">
        <v>3526300</v>
      </c>
      <c r="RV30" s="6">
        <v>0</v>
      </c>
      <c r="RW30" s="8">
        <v>3526300</v>
      </c>
      <c r="RX30" s="2"/>
      <c r="RY30" s="8">
        <v>3526300</v>
      </c>
      <c r="RZ30" s="6">
        <v>3526300</v>
      </c>
      <c r="SA30" s="8">
        <v>213000</v>
      </c>
      <c r="SB30" s="8">
        <v>213000</v>
      </c>
      <c r="SC30" s="6">
        <v>248500</v>
      </c>
      <c r="SD30" s="8">
        <v>2300000</v>
      </c>
      <c r="SE30" s="8">
        <v>2300000</v>
      </c>
      <c r="SF30" s="8">
        <v>23120276</v>
      </c>
      <c r="SG30" s="8">
        <v>4958404</v>
      </c>
      <c r="SH30" s="8">
        <v>28078680</v>
      </c>
      <c r="SI30" s="2" t="s">
        <v>229</v>
      </c>
      <c r="SJ30" s="2"/>
      <c r="SK30" s="2" t="s">
        <v>1441</v>
      </c>
      <c r="SL30" s="2" t="s">
        <v>1442</v>
      </c>
      <c r="SM30" s="8">
        <v>20000000</v>
      </c>
      <c r="SN30" s="2" t="s">
        <v>95</v>
      </c>
      <c r="SO30" s="2"/>
      <c r="SP30" s="2"/>
      <c r="SQ30" s="2"/>
      <c r="SR30" s="2"/>
      <c r="SS30" s="2" t="s">
        <v>96</v>
      </c>
      <c r="ST30" s="2" t="s">
        <v>96</v>
      </c>
      <c r="SU30" s="2" t="s">
        <v>96</v>
      </c>
      <c r="SV30" s="2" t="s">
        <v>96</v>
      </c>
      <c r="SW30" s="8">
        <v>4236200</v>
      </c>
      <c r="SX30" s="2" t="s">
        <v>3269</v>
      </c>
      <c r="SY30" s="8">
        <v>610000</v>
      </c>
      <c r="SZ30" s="2" t="s">
        <v>180</v>
      </c>
      <c r="TA30" s="8">
        <v>3232480</v>
      </c>
      <c r="TB30" s="8">
        <v>28078680</v>
      </c>
      <c r="TC30" s="2">
        <v>0</v>
      </c>
      <c r="TD30" s="2" t="s">
        <v>9</v>
      </c>
      <c r="TE30" s="8">
        <v>5000000</v>
      </c>
      <c r="TF30" s="2" t="s">
        <v>95</v>
      </c>
      <c r="TG30" s="2"/>
      <c r="TH30" s="2"/>
      <c r="TI30" s="2"/>
      <c r="TJ30" s="2"/>
      <c r="TK30" s="2" t="s">
        <v>96</v>
      </c>
      <c r="TL30" s="2" t="s">
        <v>96</v>
      </c>
      <c r="TM30" s="2" t="s">
        <v>96</v>
      </c>
      <c r="TN30" s="2" t="s">
        <v>96</v>
      </c>
      <c r="TO30" s="8">
        <v>21181002</v>
      </c>
      <c r="TP30" s="2" t="s">
        <v>3269</v>
      </c>
      <c r="TQ30" s="8">
        <v>610000</v>
      </c>
      <c r="TR30" s="2" t="s">
        <v>180</v>
      </c>
      <c r="TS30" s="8">
        <v>1287678</v>
      </c>
      <c r="TT30" s="8">
        <v>28078680</v>
      </c>
      <c r="TU30" s="6">
        <v>5610000</v>
      </c>
      <c r="TV30" s="2">
        <v>0</v>
      </c>
      <c r="TW30" s="2" t="s">
        <v>9</v>
      </c>
      <c r="TX30" s="2">
        <v>71</v>
      </c>
      <c r="TY30" s="5">
        <v>240000</v>
      </c>
      <c r="TZ30" s="6">
        <v>320000</v>
      </c>
      <c r="UA30" s="6">
        <v>320000</v>
      </c>
      <c r="UB30" s="6">
        <v>339200</v>
      </c>
      <c r="UC30" s="6">
        <v>24083200</v>
      </c>
      <c r="UD30" s="6">
        <v>3853312</v>
      </c>
      <c r="UE30" s="2" t="s">
        <v>97</v>
      </c>
      <c r="UF30" s="6">
        <v>3853312</v>
      </c>
      <c r="UG30" s="6">
        <v>27936512</v>
      </c>
      <c r="UH30" s="6">
        <v>25565680</v>
      </c>
      <c r="UI30" s="4">
        <v>0.99990000000000001</v>
      </c>
      <c r="UJ30" s="2" t="s">
        <v>9</v>
      </c>
      <c r="UK30" s="2"/>
      <c r="UL30" s="2"/>
      <c r="UM30" s="6">
        <v>0</v>
      </c>
      <c r="UN30" s="6">
        <v>610000</v>
      </c>
      <c r="UO30" s="6">
        <v>610000</v>
      </c>
      <c r="UP30" s="2"/>
      <c r="UQ30" s="6">
        <v>0</v>
      </c>
      <c r="UR30" s="6">
        <v>0</v>
      </c>
      <c r="US30" s="6">
        <v>610000</v>
      </c>
      <c r="UT30" s="6">
        <v>0</v>
      </c>
      <c r="UU30" s="6">
        <v>610000</v>
      </c>
      <c r="UV30" s="2" t="s">
        <v>3252</v>
      </c>
      <c r="UW30" s="2" t="s">
        <v>453</v>
      </c>
      <c r="UX30" s="2" t="s">
        <v>9</v>
      </c>
      <c r="UY30" s="2" t="s">
        <v>17</v>
      </c>
      <c r="UZ30" s="2" t="s">
        <v>17</v>
      </c>
      <c r="VA30" s="2" t="s">
        <v>17</v>
      </c>
      <c r="VB30" s="2" t="s">
        <v>2740</v>
      </c>
      <c r="VC30" s="2" t="s">
        <v>17</v>
      </c>
      <c r="VD30" s="2" t="s">
        <v>17</v>
      </c>
      <c r="VE30" s="2" t="s">
        <v>17</v>
      </c>
      <c r="VF30" s="2"/>
      <c r="VG30" s="2" t="s">
        <v>3270</v>
      </c>
      <c r="VH30" s="2"/>
      <c r="VI30" s="388" t="s">
        <v>1408</v>
      </c>
      <c r="VJ30" s="2" t="s">
        <v>98</v>
      </c>
      <c r="VK30" s="2" t="s">
        <v>3271</v>
      </c>
      <c r="VL30" s="23">
        <f t="shared" si="0"/>
        <v>138</v>
      </c>
      <c r="VM30" s="17">
        <f t="shared" si="1"/>
        <v>1.943661971830986</v>
      </c>
      <c r="VN30" s="17" t="str">
        <f t="shared" si="2"/>
        <v>NC-GA-F</v>
      </c>
      <c r="VO30" s="17" t="str">
        <f t="shared" si="14"/>
        <v>NC-GA-F-ESS</v>
      </c>
      <c r="VP30" s="12">
        <v>9</v>
      </c>
      <c r="VQ30" s="57">
        <v>1</v>
      </c>
      <c r="VR30" s="14">
        <f t="shared" si="3"/>
        <v>1</v>
      </c>
      <c r="VS30" s="14">
        <f t="shared" si="4"/>
        <v>1</v>
      </c>
      <c r="VT30" s="12">
        <f t="shared" si="5"/>
        <v>0.93</v>
      </c>
      <c r="VU30" s="29">
        <f t="shared" si="6"/>
        <v>19700301.600000001</v>
      </c>
      <c r="VV30" s="29">
        <f t="shared" si="7"/>
        <v>277469.0366197183</v>
      </c>
      <c r="VW30" s="12" t="str">
        <f t="shared" si="15"/>
        <v>B</v>
      </c>
      <c r="VX30" s="12" t="str">
        <f t="shared" si="22"/>
        <v>NC-GA-ESS</v>
      </c>
      <c r="VY30" s="351">
        <f t="shared" si="16"/>
        <v>5</v>
      </c>
      <c r="VZ30" s="12"/>
      <c r="WA30" s="12">
        <f t="shared" si="17"/>
        <v>0</v>
      </c>
      <c r="WB30" s="12">
        <f t="shared" si="18"/>
        <v>0</v>
      </c>
      <c r="WC30" s="12">
        <f t="shared" si="19"/>
        <v>0</v>
      </c>
      <c r="WD30" s="12">
        <f t="shared" si="20"/>
        <v>0</v>
      </c>
      <c r="WE30" s="12">
        <f t="shared" si="21"/>
        <v>1</v>
      </c>
      <c r="WF30" s="12">
        <f t="shared" si="9"/>
        <v>1</v>
      </c>
      <c r="WG30" s="12">
        <f t="shared" si="10"/>
        <v>0</v>
      </c>
      <c r="WH30" s="12">
        <f t="shared" si="11"/>
        <v>0</v>
      </c>
      <c r="WI30" s="31">
        <f t="shared" si="12"/>
        <v>2</v>
      </c>
      <c r="WJ30" s="2"/>
      <c r="WK30" s="444" t="str">
        <f t="shared" si="13"/>
        <v>NC-GA-ESS-BBN-BRN-NPH-F</v>
      </c>
      <c r="WL30" s="444"/>
      <c r="WM30" s="444"/>
      <c r="WN30" s="12"/>
      <c r="WO30" s="12"/>
    </row>
    <row r="31" spans="1:613" x14ac:dyDescent="0.25">
      <c r="A31" s="172"/>
      <c r="B31" s="172"/>
      <c r="C31" s="172"/>
      <c r="D31" s="173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4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5"/>
      <c r="AV31" s="175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4"/>
      <c r="BU31" s="172"/>
      <c r="BV31" s="176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7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4"/>
      <c r="FX31" s="174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  <c r="JA31" s="172"/>
      <c r="JB31" s="172"/>
      <c r="JC31" s="178"/>
      <c r="JD31" s="172"/>
      <c r="JE31" s="178"/>
      <c r="JF31" s="178"/>
      <c r="JG31" s="178"/>
      <c r="JH31" s="178"/>
      <c r="JI31" s="172"/>
      <c r="JJ31" s="178"/>
      <c r="JK31" s="172"/>
      <c r="JL31" s="178"/>
      <c r="JM31" s="172"/>
      <c r="JN31" s="172"/>
      <c r="JO31" s="172"/>
      <c r="JP31" s="172"/>
      <c r="JQ31" s="172"/>
      <c r="JR31" s="172"/>
      <c r="JS31" s="172"/>
      <c r="JT31" s="172"/>
      <c r="JU31" s="172"/>
      <c r="JV31" s="172"/>
      <c r="JW31" s="174"/>
      <c r="JX31" s="172"/>
      <c r="JY31" s="174"/>
      <c r="JZ31" s="172"/>
      <c r="KA31" s="172"/>
      <c r="KB31" s="172"/>
      <c r="KC31" s="172"/>
      <c r="KD31" s="172"/>
      <c r="KE31" s="172"/>
      <c r="KF31" s="172"/>
      <c r="KG31" s="172"/>
      <c r="KH31" s="172"/>
      <c r="KI31" s="172"/>
      <c r="KJ31" s="172"/>
      <c r="KK31" s="172"/>
      <c r="KL31" s="172"/>
      <c r="KM31" s="172"/>
      <c r="KN31" s="172"/>
      <c r="KO31" s="172"/>
      <c r="KP31" s="172"/>
      <c r="KQ31" s="172"/>
      <c r="KR31" s="172"/>
      <c r="KS31" s="172"/>
      <c r="KT31" s="172"/>
      <c r="KU31" s="172"/>
      <c r="KV31" s="172"/>
      <c r="KW31" s="172"/>
      <c r="KX31" s="172"/>
      <c r="KY31" s="172"/>
      <c r="KZ31" s="172"/>
      <c r="LA31" s="172"/>
      <c r="LB31" s="172"/>
      <c r="LC31" s="172"/>
      <c r="LD31" s="172"/>
      <c r="LE31" s="172"/>
      <c r="LF31" s="172"/>
      <c r="LG31" s="172"/>
      <c r="LH31" s="172"/>
      <c r="LI31" s="172"/>
      <c r="LJ31" s="172"/>
      <c r="LK31" s="172"/>
      <c r="LL31" s="172"/>
      <c r="LM31" s="172"/>
      <c r="LN31" s="172"/>
      <c r="LO31" s="172"/>
      <c r="LP31" s="172"/>
      <c r="LQ31" s="172"/>
      <c r="LR31" s="172"/>
      <c r="LS31" s="172"/>
      <c r="LT31" s="172"/>
      <c r="LU31" s="172"/>
      <c r="LV31" s="172"/>
      <c r="LW31" s="172"/>
      <c r="LX31" s="172"/>
      <c r="LY31" s="175"/>
      <c r="LZ31" s="175"/>
      <c r="MA31" s="175"/>
      <c r="MB31" s="175"/>
      <c r="MC31" s="175"/>
      <c r="MD31" s="175"/>
      <c r="ME31" s="175"/>
      <c r="MF31" s="175"/>
      <c r="MG31" s="175"/>
      <c r="MH31" s="175"/>
      <c r="MI31" s="175"/>
      <c r="MJ31" s="175"/>
      <c r="MK31" s="175"/>
      <c r="ML31" s="172"/>
      <c r="MM31" s="175"/>
      <c r="MN31" s="175"/>
      <c r="MO31" s="172"/>
      <c r="MP31" s="172"/>
      <c r="MQ31" s="172"/>
      <c r="MR31" s="175"/>
      <c r="MS31" s="175"/>
      <c r="MT31" s="175"/>
      <c r="MU31" s="175"/>
      <c r="MV31" s="175"/>
      <c r="MW31" s="175"/>
      <c r="MX31" s="175"/>
      <c r="MY31" s="175"/>
      <c r="MZ31" s="175"/>
      <c r="NA31" s="175"/>
      <c r="NB31" s="175"/>
      <c r="NC31" s="175"/>
      <c r="ND31" s="175"/>
      <c r="NE31" s="175"/>
      <c r="NF31" s="175"/>
      <c r="NG31" s="175"/>
      <c r="NH31" s="175"/>
      <c r="NI31" s="175"/>
      <c r="NJ31" s="172"/>
      <c r="NK31" s="172"/>
      <c r="NL31" s="172"/>
      <c r="NM31" s="172"/>
      <c r="NN31" s="172"/>
      <c r="NO31" s="172"/>
      <c r="NP31" s="172"/>
      <c r="NQ31" s="172"/>
      <c r="NR31" s="172"/>
      <c r="NS31" s="172"/>
      <c r="NT31" s="172"/>
      <c r="NU31" s="172"/>
      <c r="NV31" s="172"/>
      <c r="NW31" s="172"/>
      <c r="NX31" s="172"/>
      <c r="NY31" s="172"/>
      <c r="NZ31" s="172"/>
      <c r="OA31" s="172"/>
      <c r="OB31" s="172"/>
      <c r="OC31" s="172"/>
      <c r="OD31" s="172"/>
      <c r="OE31" s="172"/>
      <c r="OF31" s="172"/>
      <c r="OG31" s="172"/>
      <c r="OH31" s="172"/>
      <c r="OI31" s="172"/>
      <c r="OJ31" s="172"/>
      <c r="OK31" s="176"/>
      <c r="OL31" s="176"/>
      <c r="OM31" s="172"/>
      <c r="ON31" s="172"/>
      <c r="OO31" s="176"/>
      <c r="OP31" s="176"/>
      <c r="OQ31" s="174"/>
      <c r="OR31" s="176"/>
      <c r="OS31" s="174"/>
      <c r="OT31" s="172"/>
      <c r="OU31" s="172"/>
      <c r="OV31" s="172"/>
      <c r="OW31" s="172"/>
      <c r="OX31" s="175"/>
      <c r="OY31" s="176"/>
      <c r="OZ31" s="172"/>
      <c r="PA31" s="172"/>
      <c r="PB31" s="172"/>
      <c r="PC31" s="172"/>
      <c r="PD31" s="179"/>
      <c r="PE31" s="179"/>
      <c r="PF31" s="179"/>
      <c r="PG31" s="172"/>
      <c r="PH31" s="172"/>
      <c r="PI31" s="172"/>
      <c r="PJ31" s="172"/>
      <c r="PK31" s="172"/>
      <c r="PL31" s="172"/>
      <c r="PM31" s="179"/>
      <c r="PN31" s="179"/>
      <c r="PO31" s="179"/>
      <c r="PP31" s="179"/>
      <c r="PQ31" s="172"/>
      <c r="PR31" s="179"/>
      <c r="PS31" s="176"/>
      <c r="PT31" s="179"/>
      <c r="PU31" s="179"/>
      <c r="PV31" s="179"/>
      <c r="PW31" s="179"/>
      <c r="PX31" s="172"/>
      <c r="PY31" s="179"/>
      <c r="PZ31" s="176"/>
      <c r="QA31" s="179"/>
      <c r="QB31" s="179"/>
      <c r="QC31" s="179"/>
      <c r="QD31" s="179"/>
      <c r="QE31" s="172"/>
      <c r="QF31" s="179"/>
      <c r="QG31" s="179"/>
      <c r="QH31" s="172"/>
      <c r="QI31" s="179"/>
      <c r="QJ31" s="172"/>
      <c r="QK31" s="179"/>
      <c r="QL31" s="179"/>
      <c r="QM31" s="172"/>
      <c r="QN31" s="172"/>
      <c r="QO31" s="172"/>
      <c r="QP31" s="172"/>
      <c r="QQ31" s="172"/>
      <c r="QR31" s="172"/>
      <c r="QS31" s="179"/>
      <c r="QT31" s="179"/>
      <c r="QU31" s="179"/>
      <c r="QV31" s="179"/>
      <c r="QW31" s="179"/>
      <c r="QX31" s="179"/>
      <c r="QY31" s="176"/>
      <c r="QZ31" s="179"/>
      <c r="RA31" s="179"/>
      <c r="RB31" s="179"/>
      <c r="RC31" s="179"/>
      <c r="RD31" s="179"/>
      <c r="RE31" s="172"/>
      <c r="RF31" s="172"/>
      <c r="RG31" s="172"/>
      <c r="RH31" s="179"/>
      <c r="RI31" s="179"/>
      <c r="RJ31" s="179"/>
      <c r="RK31" s="172"/>
      <c r="RL31" s="172"/>
      <c r="RM31" s="179"/>
      <c r="RN31" s="179"/>
      <c r="RO31" s="179"/>
      <c r="RP31" s="172"/>
      <c r="RQ31" s="176"/>
      <c r="RR31" s="179"/>
      <c r="RS31" s="172"/>
      <c r="RT31" s="179"/>
      <c r="RU31" s="176"/>
      <c r="RV31" s="176"/>
      <c r="RW31" s="179"/>
      <c r="RX31" s="172"/>
      <c r="RY31" s="179"/>
      <c r="RZ31" s="176"/>
      <c r="SA31" s="179"/>
      <c r="SB31" s="179"/>
      <c r="SC31" s="176"/>
      <c r="SD31" s="179"/>
      <c r="SE31" s="179"/>
      <c r="SF31" s="179"/>
      <c r="SG31" s="179"/>
      <c r="SH31" s="179"/>
      <c r="SI31" s="172"/>
      <c r="SJ31" s="172"/>
      <c r="SK31" s="172"/>
      <c r="SL31" s="172"/>
      <c r="SM31" s="179"/>
      <c r="SN31" s="172"/>
      <c r="SO31" s="172"/>
      <c r="SP31" s="172"/>
      <c r="SQ31" s="172"/>
      <c r="SR31" s="172"/>
      <c r="SS31" s="172"/>
      <c r="ST31" s="172"/>
      <c r="SU31" s="172"/>
      <c r="SV31" s="172"/>
      <c r="SW31" s="179"/>
      <c r="SX31" s="172"/>
      <c r="SY31" s="172"/>
      <c r="SZ31" s="172"/>
      <c r="TA31" s="172"/>
      <c r="TB31" s="179"/>
      <c r="TC31" s="179"/>
      <c r="TD31" s="172"/>
      <c r="TE31" s="179"/>
      <c r="TF31" s="172"/>
      <c r="TG31" s="172"/>
      <c r="TH31" s="172"/>
      <c r="TI31" s="172"/>
      <c r="TJ31" s="172"/>
      <c r="TK31" s="172"/>
      <c r="TL31" s="172"/>
      <c r="TM31" s="172"/>
      <c r="TN31" s="172"/>
      <c r="TO31" s="179"/>
      <c r="TP31" s="172"/>
      <c r="TQ31" s="172"/>
      <c r="TR31" s="172"/>
      <c r="TS31" s="172"/>
      <c r="TT31" s="179"/>
      <c r="TU31" s="176"/>
      <c r="TV31" s="179"/>
      <c r="TW31" s="172"/>
      <c r="TX31" s="172"/>
      <c r="TY31" s="175"/>
      <c r="TZ31" s="176"/>
      <c r="UA31" s="176"/>
      <c r="UB31" s="176"/>
      <c r="UC31" s="176"/>
      <c r="UD31" s="176"/>
      <c r="UE31" s="172"/>
      <c r="UF31" s="176"/>
      <c r="UG31" s="176"/>
      <c r="UH31" s="176"/>
      <c r="UI31" s="174"/>
      <c r="UJ31" s="172"/>
      <c r="UK31" s="172"/>
      <c r="UL31" s="172"/>
      <c r="UM31" s="176"/>
      <c r="UN31" s="172"/>
      <c r="UO31" s="176"/>
      <c r="UP31" s="176"/>
      <c r="UQ31" s="176"/>
      <c r="UR31" s="176"/>
      <c r="US31" s="176"/>
      <c r="UT31" s="176"/>
      <c r="UU31" s="176"/>
      <c r="UV31" s="172"/>
      <c r="UW31" s="172"/>
      <c r="UX31" s="172"/>
      <c r="UY31" s="172"/>
      <c r="UZ31" s="172"/>
      <c r="VA31" s="172"/>
      <c r="VB31" s="172"/>
      <c r="VC31" s="172"/>
      <c r="VD31" s="172"/>
      <c r="VE31" s="172"/>
      <c r="VF31" s="172"/>
      <c r="VG31" s="172"/>
      <c r="VH31" s="172"/>
      <c r="VI31" s="172"/>
      <c r="VJ31" s="172"/>
      <c r="VK31" s="172"/>
      <c r="VL31" s="180"/>
      <c r="VM31" s="181"/>
      <c r="VN31" s="181"/>
      <c r="VO31" s="181"/>
      <c r="VP31" s="182"/>
      <c r="VQ31" s="183"/>
      <c r="VR31" s="184"/>
      <c r="VS31" s="184"/>
      <c r="VT31" s="182"/>
      <c r="VU31" s="185"/>
      <c r="VV31" s="30"/>
      <c r="VW31" s="182"/>
      <c r="VX31" s="54"/>
      <c r="VY31" s="54"/>
      <c r="VZ31" s="12"/>
      <c r="WA31" s="182"/>
      <c r="WB31" s="182"/>
      <c r="WC31" s="182"/>
      <c r="WD31" s="182"/>
      <c r="WE31" s="182"/>
      <c r="WF31" s="182"/>
      <c r="WG31" s="182"/>
      <c r="WH31" s="182"/>
      <c r="WI31" s="186"/>
      <c r="WJ31" s="2"/>
      <c r="WK31" s="2"/>
    </row>
    <row r="32" spans="1:613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  <c r="FF32" s="67"/>
      <c r="FG32" s="67"/>
      <c r="FH32" s="67"/>
      <c r="FI32" s="67"/>
      <c r="FJ32" s="67"/>
      <c r="FK32" s="67"/>
      <c r="FL32" s="67"/>
      <c r="FM32" s="67"/>
      <c r="FN32" s="67"/>
      <c r="FO32" s="67"/>
      <c r="FP32" s="67"/>
      <c r="FQ32" s="67"/>
      <c r="FR32" s="67"/>
      <c r="FS32" s="67"/>
      <c r="FT32" s="67"/>
      <c r="FU32" s="67"/>
      <c r="FV32" s="67"/>
      <c r="FW32" s="67"/>
      <c r="FX32" s="67"/>
      <c r="FY32" s="67"/>
      <c r="FZ32" s="67"/>
      <c r="GA32" s="67"/>
      <c r="GB32" s="67"/>
      <c r="GC32" s="67"/>
      <c r="GD32" s="67"/>
      <c r="GE32" s="67"/>
      <c r="GF32" s="67"/>
      <c r="GG32" s="67"/>
      <c r="GH32" s="67"/>
      <c r="GI32" s="67"/>
      <c r="GJ32" s="67"/>
      <c r="GK32" s="67"/>
      <c r="GL32" s="67"/>
      <c r="GM32" s="67"/>
      <c r="GN32" s="67"/>
      <c r="GO32" s="67"/>
      <c r="GP32" s="67"/>
      <c r="GQ32" s="67"/>
      <c r="GR32" s="67"/>
      <c r="GS32" s="67"/>
      <c r="GT32" s="67"/>
      <c r="GU32" s="67"/>
      <c r="GV32" s="67"/>
      <c r="GW32" s="67"/>
      <c r="GX32" s="67"/>
      <c r="GY32" s="67"/>
      <c r="GZ32" s="67"/>
      <c r="HA32" s="67"/>
      <c r="HB32" s="67"/>
      <c r="HC32" s="67"/>
      <c r="HD32" s="67"/>
      <c r="HE32" s="67"/>
      <c r="HF32" s="67"/>
      <c r="HG32" s="67"/>
      <c r="HH32" s="67"/>
      <c r="HI32" s="67"/>
      <c r="HJ32" s="67"/>
      <c r="HK32" s="67"/>
      <c r="HL32" s="67"/>
      <c r="HM32" s="67"/>
      <c r="HN32" s="67"/>
      <c r="HO32" s="67"/>
      <c r="HP32" s="67"/>
      <c r="HQ32" s="67"/>
      <c r="HR32" s="67"/>
      <c r="HS32" s="67"/>
      <c r="HT32" s="67"/>
      <c r="HU32" s="67"/>
      <c r="HV32" s="67"/>
      <c r="HW32" s="67"/>
      <c r="HX32" s="67"/>
      <c r="HY32" s="67"/>
      <c r="HZ32" s="67"/>
      <c r="IA32" s="67"/>
      <c r="IB32" s="67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67"/>
      <c r="KZ32" s="67"/>
      <c r="LA32" s="67"/>
      <c r="LB32" s="67"/>
      <c r="LC32" s="67"/>
      <c r="LD32" s="67"/>
      <c r="LE32" s="67"/>
      <c r="LF32" s="67"/>
      <c r="LG32" s="67"/>
      <c r="LH32" s="67"/>
      <c r="LI32" s="67"/>
      <c r="LJ32" s="67"/>
      <c r="LK32" s="67"/>
      <c r="LL32" s="67"/>
      <c r="LM32" s="67"/>
      <c r="LN32" s="67"/>
      <c r="LO32" s="67"/>
      <c r="LP32" s="67"/>
      <c r="LQ32" s="67"/>
      <c r="LR32" s="67"/>
      <c r="LS32" s="67"/>
      <c r="LT32" s="67"/>
      <c r="LU32" s="67"/>
      <c r="LV32" s="67"/>
      <c r="LW32" s="67"/>
      <c r="LX32" s="67"/>
      <c r="LY32" s="67"/>
      <c r="LZ32" s="67"/>
      <c r="MA32" s="67"/>
      <c r="MB32" s="67"/>
      <c r="MC32" s="67"/>
      <c r="MD32" s="67"/>
      <c r="ME32" s="67"/>
      <c r="MF32" s="67"/>
      <c r="MG32" s="67"/>
      <c r="MH32" s="67"/>
      <c r="MI32" s="67"/>
      <c r="MJ32" s="67"/>
      <c r="MK32" s="67"/>
      <c r="ML32" s="67"/>
      <c r="MM32" s="67"/>
      <c r="MN32" s="67"/>
      <c r="MO32" s="67"/>
      <c r="MP32" s="67"/>
      <c r="MQ32" s="67"/>
      <c r="MR32" s="67"/>
      <c r="MS32" s="67"/>
      <c r="MT32" s="67"/>
      <c r="MU32" s="67"/>
      <c r="MV32" s="67"/>
      <c r="MW32" s="67"/>
      <c r="MX32" s="67"/>
      <c r="MY32" s="67"/>
      <c r="MZ32" s="67"/>
      <c r="NA32" s="67"/>
      <c r="NB32" s="67"/>
      <c r="NC32" s="67"/>
      <c r="ND32" s="67"/>
      <c r="NE32" s="67"/>
      <c r="NF32" s="67"/>
      <c r="NG32" s="67"/>
      <c r="NH32" s="67"/>
      <c r="NI32" s="67"/>
      <c r="NJ32" s="67"/>
      <c r="NK32" s="67"/>
      <c r="NL32" s="67"/>
      <c r="NM32" s="67"/>
      <c r="NN32" s="67"/>
      <c r="NO32" s="67"/>
      <c r="NP32" s="67"/>
      <c r="NQ32" s="67"/>
      <c r="NR32" s="67"/>
      <c r="NS32" s="67"/>
      <c r="NT32" s="67"/>
      <c r="NU32" s="67"/>
      <c r="NV32" s="67"/>
      <c r="NW32" s="67"/>
      <c r="NX32" s="67"/>
      <c r="NY32" s="67"/>
      <c r="NZ32" s="67"/>
      <c r="OA32" s="67"/>
      <c r="OB32" s="67"/>
      <c r="OC32" s="67"/>
      <c r="OD32" s="67"/>
      <c r="OE32" s="67"/>
      <c r="OF32" s="67"/>
      <c r="OG32" s="67"/>
      <c r="OH32" s="67"/>
      <c r="OI32" s="67"/>
      <c r="OJ32" s="67"/>
      <c r="OK32" s="67"/>
      <c r="OL32" s="67"/>
      <c r="OM32" s="67"/>
      <c r="ON32" s="67"/>
      <c r="OO32" s="67"/>
      <c r="OP32" s="67"/>
      <c r="OQ32" s="67"/>
      <c r="OR32" s="67"/>
      <c r="OS32" s="67"/>
      <c r="OT32" s="67"/>
      <c r="OU32" s="67"/>
      <c r="OV32" s="67"/>
      <c r="OW32" s="67"/>
      <c r="OX32" s="67"/>
      <c r="OY32" s="67"/>
      <c r="OZ32" s="67"/>
      <c r="PA32" s="67"/>
      <c r="PB32" s="67"/>
      <c r="PC32" s="67"/>
      <c r="PD32" s="67"/>
      <c r="PE32" s="67"/>
      <c r="PF32" s="67"/>
      <c r="PG32" s="67"/>
      <c r="PH32" s="67"/>
      <c r="PI32" s="67"/>
      <c r="PJ32" s="67"/>
      <c r="PK32" s="67"/>
      <c r="PL32" s="67"/>
      <c r="PM32" s="67"/>
      <c r="PN32" s="67"/>
      <c r="PO32" s="67"/>
      <c r="PP32" s="67"/>
      <c r="PQ32" s="67"/>
      <c r="PR32" s="67"/>
      <c r="PS32" s="67"/>
      <c r="PT32" s="67"/>
      <c r="PU32" s="67"/>
      <c r="PV32" s="67"/>
      <c r="PW32" s="67"/>
      <c r="PX32" s="67"/>
      <c r="PY32" s="67"/>
      <c r="PZ32" s="67"/>
      <c r="QA32" s="67"/>
      <c r="QB32" s="67"/>
      <c r="QC32" s="67"/>
      <c r="QD32" s="67"/>
      <c r="QE32" s="67"/>
      <c r="QF32" s="67"/>
      <c r="QG32" s="67"/>
      <c r="QH32" s="67"/>
      <c r="QI32" s="67"/>
      <c r="QJ32" s="67"/>
      <c r="QK32" s="67"/>
      <c r="QL32" s="67"/>
      <c r="QM32" s="67"/>
      <c r="QN32" s="67"/>
      <c r="QO32" s="67"/>
      <c r="QP32" s="67"/>
      <c r="QQ32" s="67"/>
      <c r="QR32" s="67"/>
      <c r="QS32" s="67"/>
      <c r="QT32" s="67"/>
      <c r="QU32" s="67"/>
      <c r="QV32" s="67"/>
      <c r="QW32" s="67"/>
      <c r="QX32" s="67"/>
      <c r="QY32" s="67"/>
      <c r="QZ32" s="67"/>
      <c r="RA32" s="67"/>
      <c r="RB32" s="67"/>
      <c r="RC32" s="67"/>
      <c r="RD32" s="67"/>
      <c r="RE32" s="67"/>
      <c r="RF32" s="67"/>
      <c r="RG32" s="67"/>
      <c r="RH32" s="67"/>
      <c r="RI32" s="67"/>
      <c r="RJ32" s="67"/>
      <c r="RK32" s="67"/>
      <c r="RL32" s="67"/>
      <c r="RM32" s="67"/>
      <c r="RN32" s="67"/>
      <c r="RO32" s="67"/>
      <c r="RP32" s="67"/>
      <c r="RQ32" s="67"/>
      <c r="RR32" s="67"/>
      <c r="RS32" s="67"/>
      <c r="RT32" s="67"/>
      <c r="RU32" s="67"/>
      <c r="RV32" s="67"/>
      <c r="RW32" s="67"/>
      <c r="RX32" s="67"/>
      <c r="RY32" s="67"/>
      <c r="RZ32" s="67"/>
      <c r="SA32" s="67"/>
      <c r="SB32" s="67"/>
      <c r="SC32" s="67"/>
      <c r="SD32" s="67"/>
      <c r="SE32" s="67"/>
      <c r="SF32" s="67"/>
      <c r="SG32" s="67"/>
      <c r="SH32" s="67"/>
      <c r="SI32" s="67"/>
      <c r="SJ32" s="67"/>
      <c r="SK32" s="67"/>
      <c r="SL32" s="67"/>
      <c r="SM32" s="67"/>
      <c r="SN32" s="67"/>
      <c r="SO32" s="67"/>
      <c r="SP32" s="67"/>
      <c r="SQ32" s="67"/>
      <c r="SR32" s="67"/>
      <c r="SS32" s="67"/>
      <c r="ST32" s="67"/>
      <c r="SU32" s="67"/>
      <c r="SV32" s="67"/>
      <c r="SW32" s="67"/>
      <c r="SX32" s="67"/>
      <c r="SY32" s="67"/>
      <c r="SZ32" s="67"/>
      <c r="TA32" s="67"/>
      <c r="TB32" s="67"/>
      <c r="TC32" s="67"/>
      <c r="TD32" s="67"/>
      <c r="TE32" s="67"/>
      <c r="TF32" s="67"/>
      <c r="TG32" s="67"/>
      <c r="TH32" s="67"/>
      <c r="TI32" s="67"/>
      <c r="TJ32" s="67"/>
      <c r="TK32" s="67"/>
      <c r="TL32" s="67"/>
      <c r="TM32" s="67"/>
      <c r="TN32" s="67"/>
      <c r="TO32" s="67"/>
      <c r="TP32" s="67"/>
      <c r="TQ32" s="67"/>
      <c r="TR32" s="67"/>
      <c r="TS32" s="67"/>
      <c r="TT32" s="67"/>
      <c r="TU32" s="67"/>
      <c r="TV32" s="67"/>
      <c r="TW32" s="67"/>
      <c r="TX32" s="67"/>
      <c r="TY32" s="67"/>
      <c r="TZ32" s="67"/>
      <c r="UA32" s="67"/>
      <c r="UB32" s="67"/>
      <c r="UC32" s="67"/>
      <c r="UD32" s="67"/>
      <c r="UE32" s="67"/>
      <c r="UF32" s="67"/>
      <c r="UG32" s="67"/>
      <c r="UH32" s="67"/>
      <c r="UI32" s="67"/>
      <c r="UJ32" s="67"/>
      <c r="UK32" s="67"/>
      <c r="UL32" s="67"/>
      <c r="UM32" s="67"/>
      <c r="UN32" s="67"/>
      <c r="UO32" s="67"/>
      <c r="UP32" s="67"/>
      <c r="UQ32" s="67"/>
      <c r="UR32" s="67"/>
      <c r="US32" s="67"/>
      <c r="UT32" s="67"/>
      <c r="UU32" s="67"/>
      <c r="UV32" s="67"/>
      <c r="UW32" s="67"/>
      <c r="UX32" s="67"/>
      <c r="UY32" s="67"/>
      <c r="UZ32" s="67"/>
      <c r="VA32" s="67"/>
      <c r="VB32" s="67"/>
      <c r="VC32" s="67"/>
      <c r="VD32" s="67"/>
      <c r="VE32" s="67"/>
      <c r="VF32" s="67"/>
      <c r="VG32" s="67"/>
      <c r="VH32" s="67"/>
      <c r="VI32" s="67"/>
      <c r="VJ32" s="67"/>
      <c r="VK32" s="67"/>
      <c r="VL32" s="67"/>
      <c r="VM32" s="67"/>
      <c r="VN32" s="67"/>
      <c r="VO32" s="67"/>
      <c r="VP32" s="67"/>
      <c r="VQ32" s="67"/>
      <c r="VR32" s="67"/>
      <c r="VS32" s="67"/>
      <c r="VT32" s="67"/>
      <c r="VU32" s="67"/>
      <c r="VV32" s="67"/>
      <c r="VW32" s="67"/>
      <c r="VX32" s="67"/>
      <c r="VY32" s="67"/>
      <c r="WA32" s="68"/>
      <c r="WB32" s="68"/>
      <c r="WC32" s="68"/>
      <c r="WD32" s="68"/>
      <c r="WE32" s="68"/>
      <c r="WF32" s="68"/>
      <c r="WG32" s="68"/>
      <c r="WH32" s="68"/>
      <c r="WI32" s="89"/>
      <c r="WJ32" s="2"/>
      <c r="WK32" s="2"/>
    </row>
    <row r="33" spans="1:609" x14ac:dyDescent="0.25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D33" s="67"/>
      <c r="EE33" s="67"/>
      <c r="EF33" s="67"/>
      <c r="EG33" s="67"/>
      <c r="EH33" s="67"/>
      <c r="EI33" s="67"/>
      <c r="EJ33" s="67"/>
      <c r="EK33" s="67"/>
      <c r="EL33" s="67"/>
      <c r="EM33" s="67"/>
      <c r="EN33" s="67"/>
      <c r="EO33" s="67"/>
      <c r="EP33" s="67"/>
      <c r="EQ33" s="67"/>
      <c r="ER33" s="67"/>
      <c r="ES33" s="67"/>
      <c r="ET33" s="67"/>
      <c r="EU33" s="67"/>
      <c r="EV33" s="67"/>
      <c r="EW33" s="67"/>
      <c r="EX33" s="67"/>
      <c r="EY33" s="67"/>
      <c r="EZ33" s="67"/>
      <c r="FA33" s="67"/>
      <c r="FB33" s="67"/>
      <c r="FC33" s="67"/>
      <c r="FD33" s="67"/>
      <c r="FE33" s="67"/>
      <c r="FF33" s="67"/>
      <c r="FG33" s="67"/>
      <c r="FH33" s="67"/>
      <c r="FI33" s="67"/>
      <c r="FJ33" s="67"/>
      <c r="FK33" s="67"/>
      <c r="FL33" s="67"/>
      <c r="FM33" s="67"/>
      <c r="FN33" s="67"/>
      <c r="FO33" s="67"/>
      <c r="FP33" s="67"/>
      <c r="FQ33" s="67"/>
      <c r="FR33" s="67"/>
      <c r="FS33" s="67"/>
      <c r="FT33" s="67"/>
      <c r="FU33" s="67"/>
      <c r="FV33" s="67"/>
      <c r="FW33" s="67"/>
      <c r="FX33" s="67"/>
      <c r="FY33" s="67"/>
      <c r="FZ33" s="67"/>
      <c r="GA33" s="67"/>
      <c r="GB33" s="67"/>
      <c r="GC33" s="67"/>
      <c r="GD33" s="67"/>
      <c r="GE33" s="67"/>
      <c r="GF33" s="67"/>
      <c r="GG33" s="67"/>
      <c r="GH33" s="67"/>
      <c r="GI33" s="67"/>
      <c r="GJ33" s="67"/>
      <c r="GK33" s="67"/>
      <c r="GL33" s="67"/>
      <c r="GM33" s="67"/>
      <c r="GN33" s="67"/>
      <c r="GO33" s="67"/>
      <c r="GP33" s="67"/>
      <c r="GQ33" s="67"/>
      <c r="GR33" s="67"/>
      <c r="GS33" s="67"/>
      <c r="GT33" s="67"/>
      <c r="GU33" s="67"/>
      <c r="GV33" s="67"/>
      <c r="GW33" s="67"/>
      <c r="GX33" s="67"/>
      <c r="GY33" s="67"/>
      <c r="GZ33" s="67"/>
      <c r="HA33" s="67"/>
      <c r="HB33" s="67"/>
      <c r="HC33" s="67"/>
      <c r="HD33" s="67"/>
      <c r="HE33" s="67"/>
      <c r="HF33" s="67"/>
      <c r="HG33" s="67"/>
      <c r="HH33" s="67"/>
      <c r="HI33" s="67"/>
      <c r="HJ33" s="67"/>
      <c r="HK33" s="67"/>
      <c r="HL33" s="67"/>
      <c r="HM33" s="67"/>
      <c r="HN33" s="67"/>
      <c r="HO33" s="67"/>
      <c r="HP33" s="67"/>
      <c r="HQ33" s="67"/>
      <c r="HR33" s="67"/>
      <c r="HS33" s="67"/>
      <c r="HT33" s="67"/>
      <c r="HU33" s="67"/>
      <c r="HV33" s="67"/>
      <c r="HW33" s="67"/>
      <c r="HX33" s="67"/>
      <c r="HY33" s="67"/>
      <c r="HZ33" s="67"/>
      <c r="IA33" s="67"/>
      <c r="IB33" s="67"/>
      <c r="IC33" s="67"/>
      <c r="ID33" s="67"/>
      <c r="IE33" s="67"/>
      <c r="IF33" s="67"/>
      <c r="IG33" s="67"/>
      <c r="IH33" s="67"/>
      <c r="II33" s="67"/>
      <c r="IJ33" s="67"/>
      <c r="IK33" s="67"/>
      <c r="IL33" s="67"/>
      <c r="IM33" s="67"/>
      <c r="IN33" s="67"/>
      <c r="IO33" s="67"/>
      <c r="IP33" s="67"/>
      <c r="IQ33" s="67"/>
      <c r="IR33" s="67"/>
      <c r="IS33" s="67"/>
      <c r="IT33" s="67"/>
      <c r="IU33" s="67"/>
      <c r="IV33" s="67"/>
      <c r="IW33" s="67"/>
      <c r="IX33" s="67"/>
      <c r="IY33" s="67"/>
      <c r="IZ33" s="67"/>
      <c r="JA33" s="67"/>
      <c r="JB33" s="67"/>
      <c r="JC33" s="67"/>
      <c r="JD33" s="67"/>
      <c r="JE33" s="67"/>
      <c r="JF33" s="67"/>
      <c r="JG33" s="67"/>
      <c r="JH33" s="67"/>
      <c r="JI33" s="67"/>
      <c r="JJ33" s="67"/>
      <c r="JK33" s="67"/>
      <c r="JL33" s="67"/>
      <c r="JM33" s="67"/>
      <c r="JN33" s="67"/>
      <c r="JO33" s="67"/>
      <c r="JP33" s="67"/>
      <c r="JQ33" s="67"/>
      <c r="JR33" s="67"/>
      <c r="JS33" s="67"/>
      <c r="JT33" s="67"/>
      <c r="JU33" s="67"/>
      <c r="JV33" s="67"/>
      <c r="JW33" s="67"/>
      <c r="JX33" s="67"/>
      <c r="JY33" s="67"/>
      <c r="JZ33" s="67"/>
      <c r="KA33" s="67"/>
      <c r="KB33" s="67"/>
      <c r="KC33" s="67"/>
      <c r="KD33" s="67"/>
      <c r="KE33" s="67"/>
      <c r="KF33" s="67"/>
      <c r="KG33" s="67"/>
      <c r="KH33" s="67"/>
      <c r="KI33" s="67"/>
      <c r="KJ33" s="67"/>
      <c r="KK33" s="67"/>
      <c r="KL33" s="67"/>
      <c r="KM33" s="67"/>
      <c r="KN33" s="67"/>
      <c r="KO33" s="67"/>
      <c r="KP33" s="67"/>
      <c r="KQ33" s="67"/>
      <c r="KR33" s="67"/>
      <c r="KS33" s="67"/>
      <c r="KT33" s="67"/>
      <c r="KU33" s="67"/>
      <c r="KV33" s="67"/>
      <c r="KW33" s="67"/>
      <c r="KX33" s="67"/>
      <c r="KY33" s="67"/>
      <c r="KZ33" s="67"/>
      <c r="LA33" s="67"/>
      <c r="LB33" s="67"/>
      <c r="LC33" s="67"/>
      <c r="LD33" s="67"/>
      <c r="LE33" s="67"/>
      <c r="LF33" s="67"/>
      <c r="LG33" s="67"/>
      <c r="LH33" s="67"/>
      <c r="LI33" s="67"/>
      <c r="LJ33" s="67"/>
      <c r="LK33" s="67"/>
      <c r="LL33" s="67"/>
      <c r="LM33" s="67"/>
      <c r="LN33" s="67"/>
      <c r="LO33" s="67"/>
      <c r="LP33" s="67"/>
      <c r="LQ33" s="67"/>
      <c r="LR33" s="67"/>
      <c r="LS33" s="67"/>
      <c r="LT33" s="67"/>
      <c r="LU33" s="67"/>
      <c r="LV33" s="67"/>
      <c r="LW33" s="67"/>
      <c r="LX33" s="67"/>
      <c r="LY33" s="67"/>
      <c r="LZ33" s="67"/>
      <c r="MA33" s="67"/>
      <c r="MB33" s="67"/>
      <c r="MC33" s="67"/>
      <c r="MD33" s="67"/>
      <c r="ME33" s="67"/>
      <c r="MF33" s="67"/>
      <c r="MG33" s="67"/>
      <c r="MH33" s="67"/>
      <c r="MI33" s="67"/>
      <c r="MJ33" s="67"/>
      <c r="MK33" s="67"/>
      <c r="ML33" s="67"/>
      <c r="MM33" s="67"/>
      <c r="MN33" s="67"/>
      <c r="MO33" s="67"/>
      <c r="MP33" s="67"/>
      <c r="MQ33" s="67"/>
      <c r="MR33" s="67"/>
      <c r="MS33" s="67"/>
      <c r="MT33" s="67"/>
      <c r="MU33" s="67"/>
      <c r="MV33" s="67"/>
      <c r="MW33" s="67"/>
      <c r="MX33" s="67"/>
      <c r="MY33" s="67"/>
      <c r="MZ33" s="67"/>
      <c r="NA33" s="67"/>
      <c r="NB33" s="67"/>
      <c r="NC33" s="67"/>
      <c r="ND33" s="67"/>
      <c r="NE33" s="67"/>
      <c r="NF33" s="67"/>
      <c r="NG33" s="67"/>
      <c r="NH33" s="67"/>
      <c r="NI33" s="67"/>
      <c r="NJ33" s="67"/>
      <c r="NK33" s="67"/>
      <c r="NL33" s="67"/>
      <c r="NM33" s="67"/>
      <c r="NN33" s="67"/>
      <c r="NO33" s="67"/>
      <c r="NP33" s="67"/>
      <c r="NQ33" s="67"/>
      <c r="NR33" s="67"/>
      <c r="NS33" s="67"/>
      <c r="NT33" s="67"/>
      <c r="NU33" s="67"/>
      <c r="NV33" s="67"/>
      <c r="NW33" s="67"/>
      <c r="NX33" s="67"/>
      <c r="NY33" s="67"/>
      <c r="NZ33" s="67"/>
      <c r="OA33" s="67"/>
      <c r="OB33" s="67"/>
      <c r="OC33" s="67"/>
      <c r="OD33" s="67"/>
      <c r="OE33" s="67"/>
      <c r="OF33" s="67"/>
      <c r="OG33" s="67"/>
      <c r="OH33" s="67"/>
      <c r="OI33" s="67"/>
      <c r="OJ33" s="67"/>
      <c r="OK33" s="67"/>
      <c r="OL33" s="67"/>
      <c r="OM33" s="67"/>
      <c r="ON33" s="67"/>
      <c r="OO33" s="67"/>
      <c r="OP33" s="67"/>
      <c r="OQ33" s="67"/>
      <c r="OR33" s="67"/>
      <c r="OS33" s="67"/>
      <c r="OT33" s="67"/>
      <c r="OU33" s="67"/>
      <c r="OV33" s="67"/>
      <c r="OW33" s="67"/>
      <c r="OX33" s="67"/>
      <c r="OY33" s="67"/>
      <c r="OZ33" s="67"/>
      <c r="PA33" s="67"/>
      <c r="PB33" s="67"/>
      <c r="PC33" s="67"/>
      <c r="PD33" s="67"/>
      <c r="PE33" s="67"/>
      <c r="PF33" s="67"/>
      <c r="PG33" s="67"/>
      <c r="PH33" s="67"/>
      <c r="PI33" s="67"/>
      <c r="PJ33" s="67"/>
      <c r="PK33" s="67"/>
      <c r="PL33" s="67"/>
      <c r="PM33" s="67"/>
      <c r="PN33" s="67"/>
      <c r="PO33" s="67"/>
      <c r="PP33" s="67"/>
      <c r="PQ33" s="67"/>
      <c r="PR33" s="67"/>
      <c r="PS33" s="67"/>
      <c r="PT33" s="67"/>
      <c r="PU33" s="67"/>
      <c r="PV33" s="67"/>
      <c r="PW33" s="67"/>
      <c r="PX33" s="67"/>
      <c r="PY33" s="67"/>
      <c r="PZ33" s="67"/>
      <c r="QA33" s="67"/>
      <c r="QB33" s="67"/>
      <c r="QC33" s="67"/>
      <c r="QD33" s="67"/>
      <c r="QE33" s="67"/>
      <c r="QF33" s="67"/>
      <c r="QG33" s="67"/>
      <c r="QH33" s="67"/>
      <c r="QI33" s="67"/>
      <c r="QJ33" s="67"/>
      <c r="QK33" s="67"/>
      <c r="QL33" s="67"/>
      <c r="QM33" s="67"/>
      <c r="QN33" s="67"/>
      <c r="QO33" s="67"/>
      <c r="QP33" s="67"/>
      <c r="QQ33" s="67"/>
      <c r="QR33" s="67"/>
      <c r="QS33" s="67"/>
      <c r="QT33" s="67"/>
      <c r="QU33" s="67"/>
      <c r="QV33" s="67"/>
      <c r="QW33" s="67"/>
      <c r="QX33" s="67"/>
      <c r="QY33" s="67"/>
      <c r="QZ33" s="67"/>
      <c r="RA33" s="67"/>
      <c r="RB33" s="67"/>
      <c r="RC33" s="67"/>
      <c r="RD33" s="67"/>
      <c r="RE33" s="67"/>
      <c r="RF33" s="67"/>
      <c r="RG33" s="67"/>
      <c r="RH33" s="67"/>
      <c r="RI33" s="67"/>
      <c r="RJ33" s="67"/>
      <c r="RK33" s="67"/>
      <c r="RL33" s="67"/>
      <c r="RM33" s="67"/>
      <c r="RN33" s="67"/>
      <c r="RO33" s="67"/>
      <c r="RP33" s="67"/>
      <c r="RQ33" s="67"/>
      <c r="RR33" s="67"/>
      <c r="RS33" s="67"/>
      <c r="RT33" s="67"/>
      <c r="RU33" s="67"/>
      <c r="RV33" s="67"/>
      <c r="RW33" s="67"/>
      <c r="RX33" s="67"/>
      <c r="RY33" s="67"/>
      <c r="RZ33" s="67"/>
      <c r="SA33" s="67"/>
      <c r="SB33" s="67"/>
      <c r="SC33" s="67"/>
      <c r="SD33" s="67"/>
      <c r="SE33" s="67"/>
      <c r="SF33" s="67"/>
      <c r="SG33" s="67"/>
      <c r="SH33" s="67"/>
      <c r="SI33" s="67"/>
      <c r="SJ33" s="67"/>
      <c r="SK33" s="67"/>
      <c r="SL33" s="67"/>
      <c r="SM33" s="67"/>
      <c r="SN33" s="67"/>
      <c r="SO33" s="67"/>
      <c r="SP33" s="67"/>
      <c r="SQ33" s="67"/>
      <c r="SR33" s="67"/>
      <c r="SS33" s="67"/>
      <c r="ST33" s="67"/>
      <c r="SU33" s="67"/>
      <c r="SV33" s="67"/>
      <c r="SW33" s="67"/>
      <c r="SX33" s="67"/>
      <c r="SY33" s="67"/>
      <c r="SZ33" s="67"/>
      <c r="TA33" s="67"/>
      <c r="TB33" s="67"/>
      <c r="TC33" s="67"/>
      <c r="TD33" s="67"/>
      <c r="TE33" s="67"/>
      <c r="TF33" s="67"/>
      <c r="TG33" s="67"/>
      <c r="TH33" s="67"/>
      <c r="TI33" s="67"/>
      <c r="TJ33" s="67"/>
      <c r="TK33" s="67"/>
      <c r="TL33" s="67"/>
      <c r="TM33" s="67"/>
      <c r="TN33" s="67"/>
      <c r="TO33" s="67"/>
      <c r="TP33" s="67"/>
      <c r="TQ33" s="67"/>
      <c r="TR33" s="67"/>
      <c r="TS33" s="67"/>
      <c r="TT33" s="67"/>
      <c r="TU33" s="67"/>
      <c r="TV33" s="67"/>
      <c r="TW33" s="67"/>
      <c r="TX33" s="67"/>
      <c r="TY33" s="67"/>
      <c r="TZ33" s="67"/>
      <c r="UA33" s="67"/>
      <c r="UB33" s="67"/>
      <c r="UC33" s="67"/>
      <c r="UD33" s="67"/>
      <c r="UE33" s="67"/>
      <c r="UF33" s="67"/>
      <c r="UG33" s="67"/>
      <c r="UH33" s="67"/>
      <c r="UI33" s="67"/>
      <c r="UJ33" s="67"/>
      <c r="UK33" s="67"/>
      <c r="UL33" s="67"/>
      <c r="UM33" s="67"/>
      <c r="UN33" s="67"/>
      <c r="UO33" s="67"/>
      <c r="UP33" s="67"/>
      <c r="UQ33" s="67"/>
      <c r="UR33" s="67"/>
      <c r="US33" s="67"/>
      <c r="UT33" s="67"/>
      <c r="UU33" s="67"/>
      <c r="UV33" s="67"/>
      <c r="UW33" s="67"/>
      <c r="UX33" s="67"/>
      <c r="UY33" s="67"/>
      <c r="UZ33" s="67"/>
      <c r="VA33" s="67"/>
      <c r="VB33" s="67"/>
      <c r="VC33" s="67"/>
      <c r="VD33" s="67"/>
      <c r="VE33" s="67"/>
      <c r="VF33" s="67"/>
      <c r="VG33" s="67"/>
      <c r="VH33" s="67"/>
      <c r="VI33" s="67"/>
      <c r="VJ33" s="67"/>
      <c r="VK33" s="67"/>
      <c r="VL33" s="67"/>
      <c r="VM33" s="67"/>
      <c r="VN33" s="67"/>
      <c r="VO33" s="67"/>
      <c r="VP33" s="67"/>
      <c r="VQ33" s="67"/>
      <c r="VR33" s="67"/>
      <c r="VS33" s="67"/>
      <c r="VT33" s="67"/>
      <c r="VU33" s="67"/>
      <c r="VV33" s="67"/>
      <c r="VW33" s="67"/>
      <c r="VX33" s="67"/>
      <c r="VY33" s="67"/>
      <c r="WA33" s="68"/>
      <c r="WB33" s="68"/>
      <c r="WC33" s="68"/>
      <c r="WD33" s="68"/>
      <c r="WE33" s="68"/>
      <c r="WF33" s="68"/>
      <c r="WG33" s="68"/>
      <c r="WH33" s="68"/>
      <c r="WI33" s="89"/>
      <c r="WJ33" s="2"/>
      <c r="WK33" s="2"/>
    </row>
    <row r="34" spans="1:609" x14ac:dyDescent="0.25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D34" s="67"/>
      <c r="EE34" s="67"/>
      <c r="EF34" s="67"/>
      <c r="EG34" s="67"/>
      <c r="EH34" s="67"/>
      <c r="EI34" s="67"/>
      <c r="EJ34" s="67"/>
      <c r="EK34" s="67"/>
      <c r="EL34" s="67"/>
      <c r="EM34" s="67"/>
      <c r="EN34" s="67"/>
      <c r="EO34" s="67"/>
      <c r="EP34" s="67"/>
      <c r="EQ34" s="67"/>
      <c r="ER34" s="67"/>
      <c r="ES34" s="67"/>
      <c r="ET34" s="67"/>
      <c r="EU34" s="67"/>
      <c r="EV34" s="67"/>
      <c r="EW34" s="67"/>
      <c r="EX34" s="67"/>
      <c r="EY34" s="67"/>
      <c r="EZ34" s="67"/>
      <c r="FA34" s="67"/>
      <c r="FB34" s="67"/>
      <c r="FC34" s="67"/>
      <c r="FD34" s="67"/>
      <c r="FE34" s="67"/>
      <c r="FF34" s="67"/>
      <c r="FG34" s="67"/>
      <c r="FH34" s="67"/>
      <c r="FI34" s="67"/>
      <c r="FJ34" s="67"/>
      <c r="FK34" s="67"/>
      <c r="FL34" s="67"/>
      <c r="FM34" s="67"/>
      <c r="FN34" s="67"/>
      <c r="FO34" s="67"/>
      <c r="FP34" s="67"/>
      <c r="FQ34" s="67"/>
      <c r="FR34" s="67"/>
      <c r="FS34" s="67"/>
      <c r="FT34" s="67"/>
      <c r="FU34" s="67"/>
      <c r="FV34" s="67"/>
      <c r="FW34" s="67"/>
      <c r="FX34" s="67"/>
      <c r="FY34" s="67"/>
      <c r="FZ34" s="67"/>
      <c r="GA34" s="67"/>
      <c r="GB34" s="67"/>
      <c r="GC34" s="67"/>
      <c r="GD34" s="67"/>
      <c r="GE34" s="67"/>
      <c r="GF34" s="67"/>
      <c r="GG34" s="67"/>
      <c r="GH34" s="67"/>
      <c r="GI34" s="67"/>
      <c r="GJ34" s="67"/>
      <c r="GK34" s="67"/>
      <c r="GL34" s="67"/>
      <c r="GM34" s="67"/>
      <c r="GN34" s="67"/>
      <c r="GO34" s="67"/>
      <c r="GP34" s="67"/>
      <c r="GQ34" s="67"/>
      <c r="GR34" s="67"/>
      <c r="GS34" s="67"/>
      <c r="GT34" s="67"/>
      <c r="GU34" s="67"/>
      <c r="GV34" s="67"/>
      <c r="GW34" s="67"/>
      <c r="GX34" s="67"/>
      <c r="GY34" s="67"/>
      <c r="GZ34" s="67"/>
      <c r="HA34" s="67"/>
      <c r="HB34" s="67"/>
      <c r="HC34" s="67"/>
      <c r="HD34" s="67"/>
      <c r="HE34" s="67"/>
      <c r="HF34" s="67"/>
      <c r="HG34" s="67"/>
      <c r="HH34" s="67"/>
      <c r="HI34" s="67"/>
      <c r="HJ34" s="67"/>
      <c r="HK34" s="67"/>
      <c r="HL34" s="67"/>
      <c r="HM34" s="67"/>
      <c r="HN34" s="67"/>
      <c r="HO34" s="67"/>
      <c r="HP34" s="67"/>
      <c r="HQ34" s="67"/>
      <c r="HR34" s="67"/>
      <c r="HS34" s="67"/>
      <c r="HT34" s="67"/>
      <c r="HU34" s="67"/>
      <c r="HV34" s="67"/>
      <c r="HW34" s="67"/>
      <c r="HX34" s="67"/>
      <c r="HY34" s="67"/>
      <c r="HZ34" s="67"/>
      <c r="IA34" s="67"/>
      <c r="IB34" s="67"/>
      <c r="IC34" s="67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  <c r="IX34" s="67"/>
      <c r="IY34" s="67"/>
      <c r="IZ34" s="67"/>
      <c r="JA34" s="67"/>
      <c r="JB34" s="67"/>
      <c r="JC34" s="67"/>
      <c r="JD34" s="67"/>
      <c r="JE34" s="67"/>
      <c r="JF34" s="67"/>
      <c r="JG34" s="67"/>
      <c r="JH34" s="67"/>
      <c r="JI34" s="67"/>
      <c r="JJ34" s="67"/>
      <c r="JK34" s="67"/>
      <c r="JL34" s="67"/>
      <c r="JM34" s="67"/>
      <c r="JN34" s="67"/>
      <c r="JO34" s="67"/>
      <c r="JP34" s="67"/>
      <c r="JQ34" s="67"/>
      <c r="JR34" s="67"/>
      <c r="JS34" s="67"/>
      <c r="JT34" s="67"/>
      <c r="JU34" s="67"/>
      <c r="JV34" s="67"/>
      <c r="JW34" s="67"/>
      <c r="JX34" s="67"/>
      <c r="JY34" s="67"/>
      <c r="JZ34" s="67"/>
      <c r="KA34" s="67"/>
      <c r="KB34" s="67"/>
      <c r="KC34" s="67"/>
      <c r="KD34" s="67"/>
      <c r="KE34" s="67"/>
      <c r="KF34" s="67"/>
      <c r="KG34" s="67"/>
      <c r="KH34" s="67"/>
      <c r="KI34" s="67"/>
      <c r="KJ34" s="67"/>
      <c r="KK34" s="67"/>
      <c r="KL34" s="67"/>
      <c r="KM34" s="67"/>
      <c r="KN34" s="67"/>
      <c r="KO34" s="67"/>
      <c r="KP34" s="67"/>
      <c r="KQ34" s="67"/>
      <c r="KR34" s="67"/>
      <c r="KS34" s="67"/>
      <c r="KT34" s="67"/>
      <c r="KU34" s="67"/>
      <c r="KV34" s="67"/>
      <c r="KW34" s="67"/>
      <c r="KX34" s="67"/>
      <c r="KY34" s="67"/>
      <c r="KZ34" s="67"/>
      <c r="LA34" s="67"/>
      <c r="LB34" s="67"/>
      <c r="LC34" s="67"/>
      <c r="LD34" s="67"/>
      <c r="LE34" s="67"/>
      <c r="LF34" s="67"/>
      <c r="LG34" s="67"/>
      <c r="LH34" s="67"/>
      <c r="LI34" s="67"/>
      <c r="LJ34" s="67"/>
      <c r="LK34" s="67"/>
      <c r="LL34" s="67"/>
      <c r="LM34" s="67"/>
      <c r="LN34" s="67"/>
      <c r="LO34" s="67"/>
      <c r="LP34" s="67"/>
      <c r="LQ34" s="67"/>
      <c r="LR34" s="67"/>
      <c r="LS34" s="67"/>
      <c r="LT34" s="67"/>
      <c r="LU34" s="67"/>
      <c r="LV34" s="67"/>
      <c r="LW34" s="67"/>
      <c r="LX34" s="67"/>
      <c r="LY34" s="67"/>
      <c r="LZ34" s="67"/>
      <c r="MA34" s="67"/>
      <c r="MB34" s="67"/>
      <c r="MC34" s="67"/>
      <c r="MD34" s="67"/>
      <c r="ME34" s="67"/>
      <c r="MF34" s="67"/>
      <c r="MG34" s="67"/>
      <c r="MH34" s="67"/>
      <c r="MI34" s="67"/>
      <c r="MJ34" s="67"/>
      <c r="MK34" s="67"/>
      <c r="ML34" s="67"/>
      <c r="MM34" s="67"/>
      <c r="MN34" s="67"/>
      <c r="MO34" s="67"/>
      <c r="MP34" s="67"/>
      <c r="MQ34" s="67"/>
      <c r="MR34" s="67"/>
      <c r="MS34" s="67"/>
      <c r="MT34" s="67"/>
      <c r="MU34" s="67"/>
      <c r="MV34" s="67"/>
      <c r="MW34" s="67"/>
      <c r="MX34" s="67"/>
      <c r="MY34" s="67"/>
      <c r="MZ34" s="67"/>
      <c r="NA34" s="67"/>
      <c r="NB34" s="67"/>
      <c r="NC34" s="67"/>
      <c r="ND34" s="67"/>
      <c r="NE34" s="67"/>
      <c r="NF34" s="67"/>
      <c r="NG34" s="67"/>
      <c r="NH34" s="67"/>
      <c r="NI34" s="67"/>
      <c r="NJ34" s="67"/>
      <c r="NK34" s="67"/>
      <c r="NL34" s="67"/>
      <c r="NM34" s="67"/>
      <c r="NN34" s="67"/>
      <c r="NO34" s="67"/>
      <c r="NP34" s="67"/>
      <c r="NQ34" s="67"/>
      <c r="NR34" s="67"/>
      <c r="NS34" s="67"/>
      <c r="NT34" s="67"/>
      <c r="NU34" s="67"/>
      <c r="NV34" s="67"/>
      <c r="NW34" s="67"/>
      <c r="NX34" s="67"/>
      <c r="NY34" s="67"/>
      <c r="NZ34" s="67"/>
      <c r="OA34" s="67"/>
      <c r="OB34" s="67"/>
      <c r="OC34" s="67"/>
      <c r="OD34" s="67"/>
      <c r="OE34" s="67"/>
      <c r="OF34" s="67"/>
      <c r="OG34" s="67"/>
      <c r="OH34" s="67"/>
      <c r="OI34" s="67"/>
      <c r="OJ34" s="67"/>
      <c r="OK34" s="67"/>
      <c r="OL34" s="67"/>
      <c r="OM34" s="67"/>
      <c r="ON34" s="67"/>
      <c r="OO34" s="67"/>
      <c r="OP34" s="67"/>
      <c r="OQ34" s="67"/>
      <c r="OR34" s="67"/>
      <c r="OS34" s="67"/>
      <c r="OT34" s="67"/>
      <c r="OU34" s="67"/>
      <c r="OV34" s="67"/>
      <c r="OW34" s="67"/>
      <c r="OX34" s="67"/>
      <c r="OY34" s="67"/>
      <c r="OZ34" s="67"/>
      <c r="PA34" s="67"/>
      <c r="PB34" s="67"/>
      <c r="PC34" s="67"/>
      <c r="PD34" s="67"/>
      <c r="PE34" s="67"/>
      <c r="PF34" s="67"/>
      <c r="PG34" s="67"/>
      <c r="PH34" s="67"/>
      <c r="PI34" s="67"/>
      <c r="PJ34" s="67"/>
      <c r="PK34" s="67"/>
      <c r="PL34" s="67"/>
      <c r="PM34" s="67"/>
      <c r="PN34" s="67"/>
      <c r="PO34" s="67"/>
      <c r="PP34" s="67"/>
      <c r="PQ34" s="67"/>
      <c r="PR34" s="67"/>
      <c r="PS34" s="67"/>
      <c r="PT34" s="67"/>
      <c r="PU34" s="67"/>
      <c r="PV34" s="67"/>
      <c r="PW34" s="67"/>
      <c r="PX34" s="67"/>
      <c r="PY34" s="67"/>
      <c r="PZ34" s="67"/>
      <c r="QA34" s="67"/>
      <c r="QB34" s="67"/>
      <c r="QC34" s="67"/>
      <c r="QD34" s="67"/>
      <c r="QE34" s="67"/>
      <c r="QF34" s="67"/>
      <c r="QG34" s="67"/>
      <c r="QH34" s="67"/>
      <c r="QI34" s="67"/>
      <c r="QJ34" s="67"/>
      <c r="QK34" s="67"/>
      <c r="QL34" s="67"/>
      <c r="QM34" s="67"/>
      <c r="QN34" s="67"/>
      <c r="QO34" s="67"/>
      <c r="QP34" s="67"/>
      <c r="QQ34" s="67"/>
      <c r="QR34" s="67"/>
      <c r="QS34" s="67"/>
      <c r="QT34" s="67"/>
      <c r="QU34" s="67"/>
      <c r="QV34" s="67"/>
      <c r="QW34" s="67"/>
      <c r="QX34" s="67"/>
      <c r="QY34" s="67"/>
      <c r="QZ34" s="67"/>
      <c r="RA34" s="67"/>
      <c r="RB34" s="67"/>
      <c r="RC34" s="67"/>
      <c r="RD34" s="67"/>
      <c r="RE34" s="67"/>
      <c r="RF34" s="67"/>
      <c r="RG34" s="67"/>
      <c r="RH34" s="67"/>
      <c r="RI34" s="67"/>
      <c r="RJ34" s="67"/>
      <c r="RK34" s="67"/>
      <c r="RL34" s="67"/>
      <c r="RM34" s="67"/>
      <c r="RN34" s="67"/>
      <c r="RO34" s="67"/>
      <c r="RP34" s="67"/>
      <c r="RQ34" s="67"/>
      <c r="RR34" s="67"/>
      <c r="RS34" s="67"/>
      <c r="RT34" s="67"/>
      <c r="RU34" s="67"/>
      <c r="RV34" s="67"/>
      <c r="RW34" s="67"/>
      <c r="RX34" s="67"/>
      <c r="RY34" s="67"/>
      <c r="RZ34" s="67"/>
      <c r="SA34" s="67"/>
      <c r="SB34" s="67"/>
      <c r="SC34" s="67"/>
      <c r="SD34" s="67"/>
      <c r="SE34" s="67"/>
      <c r="SF34" s="67"/>
      <c r="SG34" s="67"/>
      <c r="SH34" s="67"/>
      <c r="SI34" s="67"/>
      <c r="SJ34" s="67"/>
      <c r="SK34" s="67"/>
      <c r="SL34" s="67"/>
      <c r="SM34" s="67"/>
      <c r="SN34" s="67"/>
      <c r="SO34" s="67"/>
      <c r="SP34" s="67"/>
      <c r="SQ34" s="67"/>
      <c r="SR34" s="67"/>
      <c r="SS34" s="67"/>
      <c r="ST34" s="67"/>
      <c r="SU34" s="67"/>
      <c r="SV34" s="67"/>
      <c r="SW34" s="67"/>
      <c r="SX34" s="67"/>
      <c r="SY34" s="67"/>
      <c r="SZ34" s="67"/>
      <c r="TA34" s="67"/>
      <c r="TB34" s="67"/>
      <c r="TC34" s="67"/>
      <c r="TD34" s="67"/>
      <c r="TE34" s="67"/>
      <c r="TF34" s="67"/>
      <c r="TG34" s="67"/>
      <c r="TH34" s="67"/>
      <c r="TI34" s="67"/>
      <c r="TJ34" s="67"/>
      <c r="TK34" s="67"/>
      <c r="TL34" s="67"/>
      <c r="TM34" s="67"/>
      <c r="TN34" s="67"/>
      <c r="TO34" s="67"/>
      <c r="TP34" s="67"/>
      <c r="TQ34" s="67"/>
      <c r="TR34" s="67"/>
      <c r="TS34" s="67"/>
      <c r="TT34" s="67"/>
      <c r="TU34" s="67"/>
      <c r="TV34" s="67"/>
      <c r="TW34" s="67"/>
      <c r="TX34" s="67"/>
      <c r="TY34" s="67"/>
      <c r="TZ34" s="67"/>
      <c r="UA34" s="67"/>
      <c r="UB34" s="67"/>
      <c r="UC34" s="67"/>
      <c r="UD34" s="67"/>
      <c r="UE34" s="67"/>
      <c r="UF34" s="67"/>
      <c r="UG34" s="67"/>
      <c r="UH34" s="67"/>
      <c r="UI34" s="67"/>
      <c r="UJ34" s="67"/>
      <c r="UK34" s="67"/>
      <c r="UL34" s="67"/>
      <c r="UM34" s="67"/>
      <c r="UN34" s="67"/>
      <c r="UO34" s="67"/>
      <c r="UP34" s="67"/>
      <c r="UQ34" s="67"/>
      <c r="UR34" s="67"/>
      <c r="US34" s="67"/>
      <c r="UT34" s="67"/>
      <c r="UU34" s="67"/>
      <c r="UV34" s="67"/>
      <c r="UW34" s="67"/>
      <c r="UX34" s="67"/>
      <c r="UY34" s="67"/>
      <c r="UZ34" s="67"/>
      <c r="VA34" s="67"/>
      <c r="VB34" s="67"/>
      <c r="VC34" s="67"/>
      <c r="VD34" s="67"/>
      <c r="VE34" s="67"/>
      <c r="VF34" s="67"/>
      <c r="VG34" s="67"/>
      <c r="VH34" s="67"/>
      <c r="VI34" s="67"/>
      <c r="VJ34" s="67"/>
      <c r="VK34" s="67"/>
      <c r="VL34" s="67"/>
      <c r="VM34" s="67"/>
      <c r="VN34" s="67"/>
      <c r="VO34" s="67"/>
      <c r="VP34" s="67"/>
      <c r="VQ34" s="67"/>
      <c r="VR34" s="67"/>
      <c r="VS34" s="67"/>
      <c r="VT34" s="67"/>
      <c r="VU34" s="67"/>
      <c r="VV34" s="67"/>
      <c r="VW34" s="67"/>
      <c r="VX34" s="67"/>
      <c r="VY34" s="67"/>
      <c r="WA34" s="68"/>
      <c r="WB34" s="68"/>
      <c r="WC34" s="68"/>
      <c r="WD34" s="68"/>
      <c r="WE34" s="68"/>
      <c r="WF34" s="68"/>
      <c r="WG34" s="68"/>
      <c r="WH34" s="68"/>
      <c r="WI34" s="89"/>
      <c r="WJ34" s="2"/>
      <c r="WK34" s="2"/>
    </row>
    <row r="35" spans="1:609" x14ac:dyDescent="0.25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D35" s="67"/>
      <c r="EE35" s="67"/>
      <c r="EF35" s="67"/>
      <c r="EG35" s="67"/>
      <c r="EH35" s="67"/>
      <c r="EI35" s="67"/>
      <c r="EJ35" s="67"/>
      <c r="EK35" s="67"/>
      <c r="EL35" s="67"/>
      <c r="EM35" s="67"/>
      <c r="EN35" s="67"/>
      <c r="EO35" s="67"/>
      <c r="EP35" s="67"/>
      <c r="EQ35" s="67"/>
      <c r="ER35" s="67"/>
      <c r="ES35" s="67"/>
      <c r="ET35" s="67"/>
      <c r="EU35" s="67"/>
      <c r="EV35" s="67"/>
      <c r="EW35" s="67"/>
      <c r="EX35" s="67"/>
      <c r="EY35" s="67"/>
      <c r="EZ35" s="67"/>
      <c r="FA35" s="67"/>
      <c r="FB35" s="67"/>
      <c r="FC35" s="67"/>
      <c r="FD35" s="67"/>
      <c r="FE35" s="67"/>
      <c r="FF35" s="67"/>
      <c r="FG35" s="67"/>
      <c r="FH35" s="67"/>
      <c r="FI35" s="67"/>
      <c r="FJ35" s="67"/>
      <c r="FK35" s="67"/>
      <c r="FL35" s="67"/>
      <c r="FM35" s="67"/>
      <c r="FN35" s="67"/>
      <c r="FO35" s="67"/>
      <c r="FP35" s="67"/>
      <c r="FQ35" s="67"/>
      <c r="FR35" s="67"/>
      <c r="FS35" s="67"/>
      <c r="FT35" s="67"/>
      <c r="FU35" s="67"/>
      <c r="FV35" s="67"/>
      <c r="FW35" s="67"/>
      <c r="FX35" s="67"/>
      <c r="FY35" s="67"/>
      <c r="FZ35" s="67"/>
      <c r="GA35" s="67"/>
      <c r="GB35" s="67"/>
      <c r="GC35" s="67"/>
      <c r="GD35" s="67"/>
      <c r="GE35" s="67"/>
      <c r="GF35" s="67"/>
      <c r="GG35" s="67"/>
      <c r="GH35" s="67"/>
      <c r="GI35" s="67"/>
      <c r="GJ35" s="67"/>
      <c r="GK35" s="67"/>
      <c r="GL35" s="67"/>
      <c r="GM35" s="67"/>
      <c r="GN35" s="67"/>
      <c r="GO35" s="67"/>
      <c r="GP35" s="67"/>
      <c r="GQ35" s="67"/>
      <c r="GR35" s="67"/>
      <c r="GS35" s="67"/>
      <c r="GT35" s="67"/>
      <c r="GU35" s="67"/>
      <c r="GV35" s="67"/>
      <c r="GW35" s="67"/>
      <c r="GX35" s="67"/>
      <c r="GY35" s="67"/>
      <c r="GZ35" s="67"/>
      <c r="HA35" s="67"/>
      <c r="HB35" s="67"/>
      <c r="HC35" s="67"/>
      <c r="HD35" s="67"/>
      <c r="HE35" s="67"/>
      <c r="HF35" s="67"/>
      <c r="HG35" s="67"/>
      <c r="HH35" s="67"/>
      <c r="HI35" s="67"/>
      <c r="HJ35" s="67"/>
      <c r="HK35" s="67"/>
      <c r="HL35" s="67"/>
      <c r="HM35" s="67"/>
      <c r="HN35" s="67"/>
      <c r="HO35" s="67"/>
      <c r="HP35" s="67"/>
      <c r="HQ35" s="67"/>
      <c r="HR35" s="67"/>
      <c r="HS35" s="67"/>
      <c r="HT35" s="67"/>
      <c r="HU35" s="67"/>
      <c r="HV35" s="67"/>
      <c r="HW35" s="67"/>
      <c r="HX35" s="67"/>
      <c r="HY35" s="67"/>
      <c r="HZ35" s="67"/>
      <c r="IA35" s="67"/>
      <c r="IB35" s="67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  <c r="JD35" s="67"/>
      <c r="JE35" s="67"/>
      <c r="JF35" s="67"/>
      <c r="JG35" s="67"/>
      <c r="JH35" s="67"/>
      <c r="JI35" s="67"/>
      <c r="JJ35" s="67"/>
      <c r="JK35" s="67"/>
      <c r="JL35" s="67"/>
      <c r="JM35" s="67"/>
      <c r="JN35" s="67"/>
      <c r="JO35" s="67"/>
      <c r="JP35" s="67"/>
      <c r="JQ35" s="67"/>
      <c r="JR35" s="67"/>
      <c r="JS35" s="67"/>
      <c r="JT35" s="67"/>
      <c r="JU35" s="67"/>
      <c r="JV35" s="67"/>
      <c r="JW35" s="67"/>
      <c r="JX35" s="67"/>
      <c r="JY35" s="67"/>
      <c r="JZ35" s="67"/>
      <c r="KA35" s="67"/>
      <c r="KB35" s="67"/>
      <c r="KC35" s="67"/>
      <c r="KD35" s="67"/>
      <c r="KE35" s="67"/>
      <c r="KF35" s="67"/>
      <c r="KG35" s="67"/>
      <c r="KH35" s="67"/>
      <c r="KI35" s="67"/>
      <c r="KJ35" s="67"/>
      <c r="KK35" s="67"/>
      <c r="KL35" s="67"/>
      <c r="KM35" s="67"/>
      <c r="KN35" s="67"/>
      <c r="KO35" s="67"/>
      <c r="KP35" s="67"/>
      <c r="KQ35" s="67"/>
      <c r="KR35" s="67"/>
      <c r="KS35" s="67"/>
      <c r="KT35" s="67"/>
      <c r="KU35" s="67"/>
      <c r="KV35" s="67"/>
      <c r="KW35" s="67"/>
      <c r="KX35" s="67"/>
      <c r="KY35" s="67"/>
      <c r="KZ35" s="67"/>
      <c r="LA35" s="67"/>
      <c r="LB35" s="67"/>
      <c r="LC35" s="67"/>
      <c r="LD35" s="67"/>
      <c r="LE35" s="67"/>
      <c r="LF35" s="67"/>
      <c r="LG35" s="67"/>
      <c r="LH35" s="67"/>
      <c r="LI35" s="67"/>
      <c r="LJ35" s="67"/>
      <c r="LK35" s="67"/>
      <c r="LL35" s="67"/>
      <c r="LM35" s="67"/>
      <c r="LN35" s="67"/>
      <c r="LO35" s="67"/>
      <c r="LP35" s="67"/>
      <c r="LQ35" s="67"/>
      <c r="LR35" s="67"/>
      <c r="LS35" s="67"/>
      <c r="LT35" s="67"/>
      <c r="LU35" s="67"/>
      <c r="LV35" s="67"/>
      <c r="LW35" s="67"/>
      <c r="LX35" s="67"/>
      <c r="LY35" s="67"/>
      <c r="LZ35" s="67"/>
      <c r="MA35" s="67"/>
      <c r="MB35" s="67"/>
      <c r="MC35" s="67"/>
      <c r="MD35" s="67"/>
      <c r="ME35" s="67"/>
      <c r="MF35" s="67"/>
      <c r="MG35" s="67"/>
      <c r="MH35" s="67"/>
      <c r="MI35" s="67"/>
      <c r="MJ35" s="67"/>
      <c r="MK35" s="67"/>
      <c r="ML35" s="67"/>
      <c r="MM35" s="67"/>
      <c r="MN35" s="67"/>
      <c r="MO35" s="67"/>
      <c r="MP35" s="67"/>
      <c r="MQ35" s="67"/>
      <c r="MR35" s="67"/>
      <c r="MS35" s="67"/>
      <c r="MT35" s="67"/>
      <c r="MU35" s="67"/>
      <c r="MV35" s="67"/>
      <c r="MW35" s="67"/>
      <c r="MX35" s="67"/>
      <c r="MY35" s="67"/>
      <c r="MZ35" s="67"/>
      <c r="NA35" s="67"/>
      <c r="NB35" s="67"/>
      <c r="NC35" s="67"/>
      <c r="ND35" s="67"/>
      <c r="NE35" s="67"/>
      <c r="NF35" s="67"/>
      <c r="NG35" s="67"/>
      <c r="NH35" s="67"/>
      <c r="NI35" s="67"/>
      <c r="NJ35" s="67"/>
      <c r="NK35" s="67"/>
      <c r="NL35" s="67"/>
      <c r="NM35" s="67"/>
      <c r="NN35" s="67"/>
      <c r="NO35" s="67"/>
      <c r="NP35" s="67"/>
      <c r="NQ35" s="67"/>
      <c r="NR35" s="67"/>
      <c r="NS35" s="67"/>
      <c r="NT35" s="67"/>
      <c r="NU35" s="67"/>
      <c r="NV35" s="67"/>
      <c r="NW35" s="67"/>
      <c r="NX35" s="67"/>
      <c r="NY35" s="67"/>
      <c r="NZ35" s="67"/>
      <c r="OA35" s="67"/>
      <c r="OB35" s="67"/>
      <c r="OC35" s="67"/>
      <c r="OD35" s="67"/>
      <c r="OE35" s="67"/>
      <c r="OF35" s="67"/>
      <c r="OG35" s="67"/>
      <c r="OH35" s="67"/>
      <c r="OI35" s="67"/>
      <c r="OJ35" s="67"/>
      <c r="OK35" s="67"/>
      <c r="OL35" s="67"/>
      <c r="OM35" s="67"/>
      <c r="ON35" s="67"/>
      <c r="OO35" s="67"/>
      <c r="OP35" s="67"/>
      <c r="OQ35" s="67"/>
      <c r="OR35" s="67"/>
      <c r="OS35" s="67"/>
      <c r="OT35" s="67"/>
      <c r="OU35" s="67"/>
      <c r="OV35" s="67"/>
      <c r="OW35" s="67"/>
      <c r="OX35" s="67"/>
      <c r="OY35" s="67"/>
      <c r="OZ35" s="67"/>
      <c r="PA35" s="67"/>
      <c r="PB35" s="67"/>
      <c r="PC35" s="67"/>
      <c r="PD35" s="67"/>
      <c r="PE35" s="67"/>
      <c r="PF35" s="67"/>
      <c r="PG35" s="67"/>
      <c r="PH35" s="67"/>
      <c r="PI35" s="67"/>
      <c r="PJ35" s="67"/>
      <c r="PK35" s="67"/>
      <c r="PL35" s="67"/>
      <c r="PM35" s="67"/>
      <c r="PN35" s="67"/>
      <c r="PO35" s="67"/>
      <c r="PP35" s="67"/>
      <c r="PQ35" s="67"/>
      <c r="PR35" s="67"/>
      <c r="PS35" s="67"/>
      <c r="PT35" s="67"/>
      <c r="PU35" s="67"/>
      <c r="PV35" s="67"/>
      <c r="PW35" s="67"/>
      <c r="PX35" s="67"/>
      <c r="PY35" s="67"/>
      <c r="PZ35" s="67"/>
      <c r="QA35" s="67"/>
      <c r="QB35" s="67"/>
      <c r="QC35" s="67"/>
      <c r="QD35" s="67"/>
      <c r="QE35" s="67"/>
      <c r="QF35" s="67"/>
      <c r="QG35" s="67"/>
      <c r="QH35" s="67"/>
      <c r="QI35" s="67"/>
      <c r="QJ35" s="67"/>
      <c r="QK35" s="67"/>
      <c r="QL35" s="67"/>
      <c r="QM35" s="67"/>
      <c r="QN35" s="67"/>
      <c r="QO35" s="67"/>
      <c r="QP35" s="67"/>
      <c r="QQ35" s="67"/>
      <c r="QR35" s="67"/>
      <c r="QS35" s="67"/>
      <c r="QT35" s="67"/>
      <c r="QU35" s="67"/>
      <c r="QV35" s="67"/>
      <c r="QW35" s="67"/>
      <c r="QX35" s="67"/>
      <c r="QY35" s="67"/>
      <c r="QZ35" s="67"/>
      <c r="RA35" s="67"/>
      <c r="RB35" s="67"/>
      <c r="RC35" s="67"/>
      <c r="RD35" s="67"/>
      <c r="RE35" s="67"/>
      <c r="RF35" s="67"/>
      <c r="RG35" s="67"/>
      <c r="RH35" s="67"/>
      <c r="RI35" s="67"/>
      <c r="RJ35" s="67"/>
      <c r="RK35" s="67"/>
      <c r="RL35" s="67"/>
      <c r="RM35" s="67"/>
      <c r="RN35" s="67"/>
      <c r="RO35" s="67"/>
      <c r="RP35" s="67"/>
      <c r="RQ35" s="67"/>
      <c r="RR35" s="67"/>
      <c r="RS35" s="67"/>
      <c r="RT35" s="67"/>
      <c r="RU35" s="67"/>
      <c r="RV35" s="67"/>
      <c r="RW35" s="67"/>
      <c r="RX35" s="67"/>
      <c r="RY35" s="67"/>
      <c r="RZ35" s="67"/>
      <c r="SA35" s="67"/>
      <c r="SB35" s="67"/>
      <c r="SC35" s="67"/>
      <c r="SD35" s="67"/>
      <c r="SE35" s="67"/>
      <c r="SF35" s="67"/>
      <c r="SG35" s="67"/>
      <c r="SH35" s="67"/>
      <c r="SI35" s="67"/>
      <c r="SJ35" s="67"/>
      <c r="SK35" s="67"/>
      <c r="SL35" s="67"/>
      <c r="SM35" s="67"/>
      <c r="SN35" s="67"/>
      <c r="SO35" s="67"/>
      <c r="SP35" s="67"/>
      <c r="SQ35" s="67"/>
      <c r="SR35" s="67"/>
      <c r="SS35" s="67"/>
      <c r="ST35" s="67"/>
      <c r="SU35" s="67"/>
      <c r="SV35" s="67"/>
      <c r="SW35" s="67"/>
      <c r="SX35" s="67"/>
      <c r="SY35" s="67"/>
      <c r="SZ35" s="67"/>
      <c r="TA35" s="67"/>
      <c r="TB35" s="67"/>
      <c r="TC35" s="67"/>
      <c r="TD35" s="67"/>
      <c r="TE35" s="67"/>
      <c r="TF35" s="67"/>
      <c r="TG35" s="67"/>
      <c r="TH35" s="67"/>
      <c r="TI35" s="67"/>
      <c r="TJ35" s="67"/>
      <c r="TK35" s="67"/>
      <c r="TL35" s="67"/>
      <c r="TM35" s="67"/>
      <c r="TN35" s="67"/>
      <c r="TO35" s="67"/>
      <c r="TP35" s="67"/>
      <c r="TQ35" s="67"/>
      <c r="TR35" s="67"/>
      <c r="TS35" s="67"/>
      <c r="TT35" s="67"/>
      <c r="TU35" s="67"/>
      <c r="TV35" s="67"/>
      <c r="TW35" s="67"/>
      <c r="TX35" s="67"/>
      <c r="TY35" s="67"/>
      <c r="TZ35" s="67"/>
      <c r="UA35" s="67"/>
      <c r="UB35" s="67"/>
      <c r="UC35" s="67"/>
      <c r="UD35" s="67"/>
      <c r="UE35" s="67"/>
      <c r="UF35" s="67"/>
      <c r="UG35" s="67"/>
      <c r="UH35" s="67"/>
      <c r="UI35" s="67"/>
      <c r="UJ35" s="67"/>
      <c r="UK35" s="67"/>
      <c r="UL35" s="67"/>
      <c r="UM35" s="67"/>
      <c r="UN35" s="67"/>
      <c r="UO35" s="67"/>
      <c r="UP35" s="67"/>
      <c r="UQ35" s="67"/>
      <c r="UR35" s="67"/>
      <c r="US35" s="67"/>
      <c r="UT35" s="67"/>
      <c r="UU35" s="67"/>
      <c r="UV35" s="67"/>
      <c r="UW35" s="67"/>
      <c r="UX35" s="67"/>
      <c r="UY35" s="67"/>
      <c r="UZ35" s="67"/>
      <c r="VA35" s="67"/>
      <c r="VB35" s="67"/>
      <c r="VC35" s="67"/>
      <c r="VD35" s="67"/>
      <c r="VE35" s="67"/>
      <c r="VF35" s="67"/>
      <c r="VG35" s="67"/>
      <c r="VH35" s="67"/>
      <c r="VI35" s="67"/>
      <c r="VJ35" s="67"/>
      <c r="VK35" s="67"/>
      <c r="VL35" s="67"/>
      <c r="VM35" s="67"/>
      <c r="VN35" s="67"/>
      <c r="VO35" s="67"/>
      <c r="VP35" s="67"/>
      <c r="VQ35" s="67"/>
      <c r="VR35" s="67"/>
      <c r="VS35" s="67"/>
      <c r="VT35" s="67"/>
      <c r="VU35" s="67"/>
      <c r="VV35" s="67"/>
      <c r="VW35" s="67"/>
      <c r="VX35" s="67"/>
      <c r="VY35" s="67"/>
      <c r="WA35" s="68"/>
      <c r="WB35" s="68"/>
      <c r="WC35" s="68"/>
      <c r="WD35" s="68"/>
      <c r="WE35" s="68"/>
      <c r="WF35" s="68"/>
      <c r="WG35" s="68"/>
      <c r="WH35" s="68"/>
      <c r="WI35" s="89"/>
      <c r="WJ35" s="2"/>
      <c r="WK35" s="2"/>
    </row>
    <row r="36" spans="1:609" x14ac:dyDescent="0.25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D36" s="67"/>
      <c r="EE36" s="67"/>
      <c r="EF36" s="67"/>
      <c r="EG36" s="67"/>
      <c r="EH36" s="67"/>
      <c r="EI36" s="67"/>
      <c r="EJ36" s="67"/>
      <c r="EK36" s="67"/>
      <c r="EL36" s="67"/>
      <c r="EM36" s="67"/>
      <c r="EN36" s="67"/>
      <c r="EO36" s="67"/>
      <c r="EP36" s="67"/>
      <c r="EQ36" s="67"/>
      <c r="ER36" s="67"/>
      <c r="ES36" s="67"/>
      <c r="ET36" s="67"/>
      <c r="EU36" s="67"/>
      <c r="EV36" s="67"/>
      <c r="EW36" s="67"/>
      <c r="EX36" s="67"/>
      <c r="EY36" s="67"/>
      <c r="EZ36" s="67"/>
      <c r="FA36" s="67"/>
      <c r="FB36" s="67"/>
      <c r="FC36" s="67"/>
      <c r="FD36" s="67"/>
      <c r="FE36" s="67"/>
      <c r="FF36" s="67"/>
      <c r="FG36" s="67"/>
      <c r="FH36" s="67"/>
      <c r="FI36" s="67"/>
      <c r="FJ36" s="67"/>
      <c r="FK36" s="67"/>
      <c r="FL36" s="67"/>
      <c r="FM36" s="67"/>
      <c r="FN36" s="67"/>
      <c r="FO36" s="67"/>
      <c r="FP36" s="67"/>
      <c r="FQ36" s="67"/>
      <c r="FR36" s="67"/>
      <c r="FS36" s="67"/>
      <c r="FT36" s="67"/>
      <c r="FU36" s="67"/>
      <c r="FV36" s="67"/>
      <c r="FW36" s="67"/>
      <c r="FX36" s="67"/>
      <c r="FY36" s="67"/>
      <c r="FZ36" s="67"/>
      <c r="GA36" s="67"/>
      <c r="GB36" s="67"/>
      <c r="GC36" s="67"/>
      <c r="GD36" s="67"/>
      <c r="GE36" s="67"/>
      <c r="GF36" s="67"/>
      <c r="GG36" s="67"/>
      <c r="GH36" s="67"/>
      <c r="GI36" s="67"/>
      <c r="GJ36" s="67"/>
      <c r="GK36" s="67"/>
      <c r="GL36" s="67"/>
      <c r="GM36" s="67"/>
      <c r="GN36" s="67"/>
      <c r="GO36" s="67"/>
      <c r="GP36" s="67"/>
      <c r="GQ36" s="67"/>
      <c r="GR36" s="67"/>
      <c r="GS36" s="67"/>
      <c r="GT36" s="67"/>
      <c r="GU36" s="67"/>
      <c r="GV36" s="67"/>
      <c r="GW36" s="67"/>
      <c r="GX36" s="67"/>
      <c r="GY36" s="67"/>
      <c r="GZ36" s="67"/>
      <c r="HA36" s="67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  <c r="LG36" s="67"/>
      <c r="LH36" s="67"/>
      <c r="LI36" s="67"/>
      <c r="LJ36" s="67"/>
      <c r="LK36" s="67"/>
      <c r="LL36" s="67"/>
      <c r="LM36" s="67"/>
      <c r="LN36" s="67"/>
      <c r="LO36" s="67"/>
      <c r="LP36" s="67"/>
      <c r="LQ36" s="67"/>
      <c r="LR36" s="67"/>
      <c r="LS36" s="67"/>
      <c r="LT36" s="67"/>
      <c r="LU36" s="67"/>
      <c r="LV36" s="67"/>
      <c r="LW36" s="67"/>
      <c r="LX36" s="67"/>
      <c r="LY36" s="67"/>
      <c r="LZ36" s="67"/>
      <c r="MA36" s="67"/>
      <c r="MB36" s="67"/>
      <c r="MC36" s="67"/>
      <c r="MD36" s="67"/>
      <c r="ME36" s="67"/>
      <c r="MF36" s="67"/>
      <c r="MG36" s="67"/>
      <c r="MH36" s="67"/>
      <c r="MI36" s="67"/>
      <c r="MJ36" s="67"/>
      <c r="MK36" s="67"/>
      <c r="ML36" s="67"/>
      <c r="MM36" s="67"/>
      <c r="MN36" s="67"/>
      <c r="MO36" s="67"/>
      <c r="MP36" s="67"/>
      <c r="MQ36" s="67"/>
      <c r="MR36" s="67"/>
      <c r="MS36" s="67"/>
      <c r="MT36" s="67"/>
      <c r="MU36" s="67"/>
      <c r="MV36" s="67"/>
      <c r="MW36" s="67"/>
      <c r="MX36" s="67"/>
      <c r="MY36" s="67"/>
      <c r="MZ36" s="67"/>
      <c r="NA36" s="67"/>
      <c r="NB36" s="67"/>
      <c r="NC36" s="67"/>
      <c r="ND36" s="67"/>
      <c r="NE36" s="67"/>
      <c r="NF36" s="67"/>
      <c r="NG36" s="67"/>
      <c r="NH36" s="67"/>
      <c r="NI36" s="67"/>
      <c r="NJ36" s="67"/>
      <c r="NK36" s="67"/>
      <c r="NL36" s="67"/>
      <c r="NM36" s="67"/>
      <c r="NN36" s="67"/>
      <c r="NO36" s="67"/>
      <c r="NP36" s="67"/>
      <c r="NQ36" s="67"/>
      <c r="NR36" s="67"/>
      <c r="NS36" s="67"/>
      <c r="NT36" s="67"/>
      <c r="NU36" s="67"/>
      <c r="NV36" s="67"/>
      <c r="NW36" s="67"/>
      <c r="NX36" s="67"/>
      <c r="NY36" s="67"/>
      <c r="NZ36" s="67"/>
      <c r="OA36" s="67"/>
      <c r="OB36" s="67"/>
      <c r="OC36" s="67"/>
      <c r="OD36" s="67"/>
      <c r="OE36" s="67"/>
      <c r="OF36" s="67"/>
      <c r="OG36" s="67"/>
      <c r="OH36" s="67"/>
      <c r="OI36" s="67"/>
      <c r="OJ36" s="67"/>
      <c r="OK36" s="67"/>
      <c r="OL36" s="67"/>
      <c r="OM36" s="67"/>
      <c r="ON36" s="67"/>
      <c r="OO36" s="67"/>
      <c r="OP36" s="67"/>
      <c r="OQ36" s="67"/>
      <c r="OR36" s="67"/>
      <c r="OS36" s="67"/>
      <c r="OT36" s="67"/>
      <c r="OU36" s="67"/>
      <c r="OV36" s="67"/>
      <c r="OW36" s="67"/>
      <c r="OX36" s="67"/>
      <c r="OY36" s="67"/>
      <c r="OZ36" s="67"/>
      <c r="PA36" s="67"/>
      <c r="PB36" s="67"/>
      <c r="PC36" s="67"/>
      <c r="PD36" s="67"/>
      <c r="PE36" s="67"/>
      <c r="PF36" s="67"/>
      <c r="PG36" s="67"/>
      <c r="PH36" s="67"/>
      <c r="PI36" s="67"/>
      <c r="PJ36" s="67"/>
      <c r="PK36" s="67"/>
      <c r="PL36" s="67"/>
      <c r="PM36" s="67"/>
      <c r="PN36" s="67"/>
      <c r="PO36" s="67"/>
      <c r="PP36" s="67"/>
      <c r="PQ36" s="67"/>
      <c r="PR36" s="67"/>
      <c r="PS36" s="67"/>
      <c r="PT36" s="67"/>
      <c r="PU36" s="67"/>
      <c r="PV36" s="67"/>
      <c r="PW36" s="67"/>
      <c r="PX36" s="67"/>
      <c r="PY36" s="67"/>
      <c r="PZ36" s="67"/>
      <c r="QA36" s="67"/>
      <c r="QB36" s="67"/>
      <c r="QC36" s="67"/>
      <c r="QD36" s="67"/>
      <c r="QE36" s="67"/>
      <c r="QF36" s="67"/>
      <c r="QG36" s="67"/>
      <c r="QH36" s="67"/>
      <c r="QI36" s="67"/>
      <c r="QJ36" s="67"/>
      <c r="QK36" s="67"/>
      <c r="QL36" s="67"/>
      <c r="QM36" s="67"/>
      <c r="QN36" s="67"/>
      <c r="QO36" s="67"/>
      <c r="QP36" s="67"/>
      <c r="QQ36" s="67"/>
      <c r="QR36" s="67"/>
      <c r="QS36" s="67"/>
      <c r="QT36" s="67"/>
      <c r="QU36" s="67"/>
      <c r="QV36" s="67"/>
      <c r="QW36" s="67"/>
      <c r="QX36" s="67"/>
      <c r="QY36" s="67"/>
      <c r="QZ36" s="67"/>
      <c r="RA36" s="67"/>
      <c r="RB36" s="67"/>
      <c r="RC36" s="67"/>
      <c r="RD36" s="67"/>
      <c r="RE36" s="67"/>
      <c r="RF36" s="67"/>
      <c r="RG36" s="67"/>
      <c r="RH36" s="67"/>
      <c r="RI36" s="67"/>
      <c r="RJ36" s="67"/>
      <c r="RK36" s="67"/>
      <c r="RL36" s="67"/>
      <c r="RM36" s="67"/>
      <c r="RN36" s="67"/>
      <c r="RO36" s="67"/>
      <c r="RP36" s="67"/>
      <c r="RQ36" s="67"/>
      <c r="RR36" s="67"/>
      <c r="RS36" s="67"/>
      <c r="RT36" s="67"/>
      <c r="RU36" s="67"/>
      <c r="RV36" s="67"/>
      <c r="RW36" s="67"/>
      <c r="RX36" s="67"/>
      <c r="RY36" s="67"/>
      <c r="RZ36" s="67"/>
      <c r="SA36" s="67"/>
      <c r="SB36" s="67"/>
      <c r="SC36" s="67"/>
      <c r="SD36" s="67"/>
      <c r="SE36" s="67"/>
      <c r="SF36" s="67"/>
      <c r="SG36" s="67"/>
      <c r="SH36" s="67"/>
      <c r="SI36" s="67"/>
      <c r="SJ36" s="67"/>
      <c r="SK36" s="67"/>
      <c r="SL36" s="67"/>
      <c r="SM36" s="67"/>
      <c r="SN36" s="67"/>
      <c r="SO36" s="67"/>
      <c r="SP36" s="67"/>
      <c r="SQ36" s="67"/>
      <c r="SR36" s="67"/>
      <c r="SS36" s="67"/>
      <c r="ST36" s="67"/>
      <c r="SU36" s="67"/>
      <c r="SV36" s="67"/>
      <c r="SW36" s="67"/>
      <c r="SX36" s="67"/>
      <c r="SY36" s="67"/>
      <c r="SZ36" s="67"/>
      <c r="TA36" s="67"/>
      <c r="TB36" s="67"/>
      <c r="TC36" s="67"/>
      <c r="TD36" s="67"/>
      <c r="TE36" s="67"/>
      <c r="TF36" s="67"/>
      <c r="TG36" s="67"/>
      <c r="TH36" s="67"/>
      <c r="TI36" s="67"/>
      <c r="TJ36" s="67"/>
      <c r="TK36" s="67"/>
      <c r="TL36" s="67"/>
      <c r="TM36" s="67"/>
      <c r="TN36" s="67"/>
      <c r="TO36" s="67"/>
      <c r="TP36" s="67"/>
      <c r="TQ36" s="67"/>
      <c r="TR36" s="67"/>
      <c r="TS36" s="67"/>
      <c r="TT36" s="67"/>
      <c r="TU36" s="67"/>
      <c r="TV36" s="67"/>
      <c r="TW36" s="67"/>
      <c r="TX36" s="67"/>
      <c r="TY36" s="67"/>
      <c r="TZ36" s="67"/>
      <c r="UA36" s="67"/>
      <c r="UB36" s="67"/>
      <c r="UC36" s="67"/>
      <c r="UD36" s="67"/>
      <c r="UE36" s="67"/>
      <c r="UF36" s="67"/>
      <c r="UG36" s="67"/>
      <c r="UH36" s="67"/>
      <c r="UI36" s="67"/>
      <c r="UJ36" s="67"/>
      <c r="UK36" s="67"/>
      <c r="UL36" s="67"/>
      <c r="UM36" s="67"/>
      <c r="UN36" s="67"/>
      <c r="UO36" s="67"/>
      <c r="UP36" s="67"/>
      <c r="UQ36" s="67"/>
      <c r="UR36" s="67"/>
      <c r="US36" s="67"/>
      <c r="UT36" s="67"/>
      <c r="UU36" s="67"/>
      <c r="UV36" s="67"/>
      <c r="UW36" s="67"/>
      <c r="UX36" s="67"/>
      <c r="UY36" s="67"/>
      <c r="UZ36" s="67"/>
      <c r="VA36" s="67"/>
      <c r="VB36" s="67"/>
      <c r="VC36" s="67"/>
      <c r="VD36" s="67"/>
      <c r="VE36" s="67"/>
      <c r="VF36" s="67"/>
      <c r="VG36" s="67"/>
      <c r="VH36" s="67"/>
      <c r="VI36" s="67"/>
      <c r="VJ36" s="67"/>
      <c r="VK36" s="67"/>
      <c r="VL36" s="67"/>
      <c r="VM36" s="67"/>
      <c r="VN36" s="67"/>
      <c r="VO36" s="67"/>
      <c r="VP36" s="67"/>
      <c r="VQ36" s="67"/>
      <c r="VR36" s="67"/>
      <c r="VS36" s="67"/>
      <c r="VT36" s="67"/>
      <c r="VU36" s="67"/>
      <c r="VV36" s="67"/>
      <c r="VW36" s="67"/>
      <c r="VX36" s="67"/>
      <c r="VY36" s="67"/>
      <c r="WA36" s="68"/>
      <c r="WB36" s="68"/>
      <c r="WC36" s="68"/>
      <c r="WD36" s="68"/>
      <c r="WE36" s="68"/>
      <c r="WF36" s="68"/>
      <c r="WG36" s="68"/>
      <c r="WH36" s="68"/>
      <c r="WI36" s="89"/>
      <c r="WJ36" s="2"/>
      <c r="WK36" s="2"/>
    </row>
    <row r="37" spans="1:609" x14ac:dyDescent="0.25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  <c r="LG37" s="67"/>
      <c r="LH37" s="67"/>
      <c r="LI37" s="67"/>
      <c r="LJ37" s="67"/>
      <c r="LK37" s="67"/>
      <c r="LL37" s="67"/>
      <c r="LM37" s="67"/>
      <c r="LN37" s="67"/>
      <c r="LO37" s="67"/>
      <c r="LP37" s="67"/>
      <c r="LQ37" s="67"/>
      <c r="LR37" s="67"/>
      <c r="LS37" s="67"/>
      <c r="LT37" s="67"/>
      <c r="LU37" s="67"/>
      <c r="LV37" s="67"/>
      <c r="LW37" s="67"/>
      <c r="LX37" s="67"/>
      <c r="LY37" s="67"/>
      <c r="LZ37" s="67"/>
      <c r="MA37" s="67"/>
      <c r="MB37" s="67"/>
      <c r="MC37" s="67"/>
      <c r="MD37" s="67"/>
      <c r="ME37" s="67"/>
      <c r="MF37" s="67"/>
      <c r="MG37" s="67"/>
      <c r="MH37" s="67"/>
      <c r="MI37" s="67"/>
      <c r="MJ37" s="67"/>
      <c r="MK37" s="67"/>
      <c r="ML37" s="67"/>
      <c r="MM37" s="67"/>
      <c r="MN37" s="67"/>
      <c r="MO37" s="67"/>
      <c r="MP37" s="67"/>
      <c r="MQ37" s="67"/>
      <c r="MR37" s="67"/>
      <c r="MS37" s="67"/>
      <c r="MT37" s="67"/>
      <c r="MU37" s="67"/>
      <c r="MV37" s="67"/>
      <c r="MW37" s="67"/>
      <c r="MX37" s="67"/>
      <c r="MY37" s="67"/>
      <c r="MZ37" s="67"/>
      <c r="NA37" s="67"/>
      <c r="NB37" s="67"/>
      <c r="NC37" s="67"/>
      <c r="ND37" s="67"/>
      <c r="NE37" s="67"/>
      <c r="NF37" s="67"/>
      <c r="NG37" s="67"/>
      <c r="NH37" s="67"/>
      <c r="NI37" s="67"/>
      <c r="NJ37" s="67"/>
      <c r="NK37" s="67"/>
      <c r="NL37" s="67"/>
      <c r="NM37" s="67"/>
      <c r="NN37" s="67"/>
      <c r="NO37" s="67"/>
      <c r="NP37" s="67"/>
      <c r="NQ37" s="67"/>
      <c r="NR37" s="67"/>
      <c r="NS37" s="67"/>
      <c r="NT37" s="67"/>
      <c r="NU37" s="67"/>
      <c r="NV37" s="67"/>
      <c r="NW37" s="67"/>
      <c r="NX37" s="67"/>
      <c r="NY37" s="67"/>
      <c r="NZ37" s="67"/>
      <c r="OA37" s="67"/>
      <c r="OB37" s="67"/>
      <c r="OC37" s="67"/>
      <c r="OD37" s="67"/>
      <c r="OE37" s="67"/>
      <c r="OF37" s="67"/>
      <c r="OG37" s="67"/>
      <c r="OH37" s="67"/>
      <c r="OI37" s="67"/>
      <c r="OJ37" s="67"/>
      <c r="OK37" s="67"/>
      <c r="OL37" s="67"/>
      <c r="OM37" s="67"/>
      <c r="ON37" s="67"/>
      <c r="OO37" s="67"/>
      <c r="OP37" s="67"/>
      <c r="OQ37" s="67"/>
      <c r="OR37" s="67"/>
      <c r="OS37" s="67"/>
      <c r="OT37" s="67"/>
      <c r="OU37" s="67"/>
      <c r="OV37" s="67"/>
      <c r="OW37" s="67"/>
      <c r="OX37" s="67"/>
      <c r="OY37" s="67"/>
      <c r="OZ37" s="67"/>
      <c r="PA37" s="67"/>
      <c r="PB37" s="67"/>
      <c r="PC37" s="67"/>
      <c r="PD37" s="67"/>
      <c r="PE37" s="67"/>
      <c r="PF37" s="67"/>
      <c r="PG37" s="67"/>
      <c r="PH37" s="67"/>
      <c r="PI37" s="67"/>
      <c r="PJ37" s="67"/>
      <c r="PK37" s="67"/>
      <c r="PL37" s="67"/>
      <c r="PM37" s="67"/>
      <c r="PN37" s="67"/>
      <c r="PO37" s="67"/>
      <c r="PP37" s="67"/>
      <c r="PQ37" s="67"/>
      <c r="PR37" s="67"/>
      <c r="PS37" s="67"/>
      <c r="PT37" s="67"/>
      <c r="PU37" s="67"/>
      <c r="PV37" s="67"/>
      <c r="PW37" s="67"/>
      <c r="PX37" s="67"/>
      <c r="PY37" s="67"/>
      <c r="PZ37" s="67"/>
      <c r="QA37" s="67"/>
      <c r="QB37" s="67"/>
      <c r="QC37" s="67"/>
      <c r="QD37" s="67"/>
      <c r="QE37" s="67"/>
      <c r="QF37" s="67"/>
      <c r="QG37" s="67"/>
      <c r="QH37" s="67"/>
      <c r="QI37" s="67"/>
      <c r="QJ37" s="67"/>
      <c r="QK37" s="67"/>
      <c r="QL37" s="67"/>
      <c r="QM37" s="67"/>
      <c r="QN37" s="67"/>
      <c r="QO37" s="67"/>
      <c r="QP37" s="67"/>
      <c r="QQ37" s="67"/>
      <c r="QR37" s="67"/>
      <c r="QS37" s="67"/>
      <c r="QT37" s="67"/>
      <c r="QU37" s="67"/>
      <c r="QV37" s="67"/>
      <c r="QW37" s="67"/>
      <c r="QX37" s="67"/>
      <c r="QY37" s="67"/>
      <c r="QZ37" s="67"/>
      <c r="RA37" s="67"/>
      <c r="RB37" s="67"/>
      <c r="RC37" s="67"/>
      <c r="RD37" s="67"/>
      <c r="RE37" s="67"/>
      <c r="RF37" s="67"/>
      <c r="RG37" s="67"/>
      <c r="RH37" s="67"/>
      <c r="RI37" s="67"/>
      <c r="RJ37" s="67"/>
      <c r="RK37" s="67"/>
      <c r="RL37" s="67"/>
      <c r="RM37" s="67"/>
      <c r="RN37" s="67"/>
      <c r="RO37" s="67"/>
      <c r="RP37" s="67"/>
      <c r="RQ37" s="67"/>
      <c r="RR37" s="67"/>
      <c r="RS37" s="67"/>
      <c r="RT37" s="67"/>
      <c r="RU37" s="67"/>
      <c r="RV37" s="67"/>
      <c r="RW37" s="67"/>
      <c r="RX37" s="67"/>
      <c r="RY37" s="67"/>
      <c r="RZ37" s="67"/>
      <c r="SA37" s="67"/>
      <c r="SB37" s="67"/>
      <c r="SC37" s="67"/>
      <c r="SD37" s="67"/>
      <c r="SE37" s="67"/>
      <c r="SF37" s="67"/>
      <c r="SG37" s="67"/>
      <c r="SH37" s="67"/>
      <c r="SI37" s="67"/>
      <c r="SJ37" s="67"/>
      <c r="SK37" s="67"/>
      <c r="SL37" s="67"/>
      <c r="SM37" s="67"/>
      <c r="SN37" s="67"/>
      <c r="SO37" s="67"/>
      <c r="SP37" s="67"/>
      <c r="SQ37" s="67"/>
      <c r="SR37" s="67"/>
      <c r="SS37" s="67"/>
      <c r="ST37" s="67"/>
      <c r="SU37" s="67"/>
      <c r="SV37" s="67"/>
      <c r="SW37" s="67"/>
      <c r="SX37" s="67"/>
      <c r="SY37" s="67"/>
      <c r="SZ37" s="67"/>
      <c r="TA37" s="67"/>
      <c r="TB37" s="67"/>
      <c r="TC37" s="67"/>
      <c r="TD37" s="67"/>
      <c r="TE37" s="67"/>
      <c r="TF37" s="67"/>
      <c r="TG37" s="67"/>
      <c r="TH37" s="67"/>
      <c r="TI37" s="67"/>
      <c r="TJ37" s="67"/>
      <c r="TK37" s="67"/>
      <c r="TL37" s="67"/>
      <c r="TM37" s="67"/>
      <c r="TN37" s="67"/>
      <c r="TO37" s="67"/>
      <c r="TP37" s="67"/>
      <c r="TQ37" s="67"/>
      <c r="TR37" s="67"/>
      <c r="TS37" s="67"/>
      <c r="TT37" s="67"/>
      <c r="TU37" s="67"/>
      <c r="TV37" s="67"/>
      <c r="TW37" s="67"/>
      <c r="TX37" s="67"/>
      <c r="TY37" s="67"/>
      <c r="TZ37" s="67"/>
      <c r="UA37" s="67"/>
      <c r="UB37" s="67"/>
      <c r="UC37" s="67"/>
      <c r="UD37" s="67"/>
      <c r="UE37" s="67"/>
      <c r="UF37" s="67"/>
      <c r="UG37" s="67"/>
      <c r="UH37" s="67"/>
      <c r="UI37" s="67"/>
      <c r="UJ37" s="67"/>
      <c r="UK37" s="67"/>
      <c r="UL37" s="67"/>
      <c r="UM37" s="67"/>
      <c r="UN37" s="67"/>
      <c r="UO37" s="67"/>
      <c r="UP37" s="67"/>
      <c r="UQ37" s="67"/>
      <c r="UR37" s="67"/>
      <c r="US37" s="67"/>
      <c r="UT37" s="67"/>
      <c r="UU37" s="67"/>
      <c r="UV37" s="67"/>
      <c r="UW37" s="67"/>
      <c r="UX37" s="67"/>
      <c r="UY37" s="67"/>
      <c r="UZ37" s="67"/>
      <c r="VA37" s="67"/>
      <c r="VB37" s="67"/>
      <c r="VC37" s="67"/>
      <c r="VD37" s="67"/>
      <c r="VE37" s="67"/>
      <c r="VF37" s="67"/>
      <c r="VG37" s="67"/>
      <c r="VH37" s="67"/>
      <c r="VI37" s="67"/>
      <c r="VJ37" s="67"/>
      <c r="VK37" s="67"/>
      <c r="VL37" s="67"/>
      <c r="VM37" s="67"/>
      <c r="VN37" s="67"/>
      <c r="VO37" s="67"/>
      <c r="VP37" s="67"/>
      <c r="VQ37" s="67"/>
      <c r="VR37" s="67"/>
      <c r="VS37" s="67"/>
      <c r="VT37" s="67"/>
      <c r="VU37" s="67"/>
      <c r="VV37" s="67"/>
      <c r="VW37" s="67"/>
      <c r="VX37" s="67"/>
      <c r="VY37" s="67"/>
      <c r="WA37" s="68"/>
      <c r="WB37" s="68"/>
      <c r="WC37" s="68"/>
      <c r="WD37" s="68"/>
      <c r="WE37" s="68"/>
      <c r="WF37" s="68"/>
      <c r="WG37" s="68"/>
      <c r="WH37" s="68"/>
      <c r="WI37" s="89"/>
      <c r="WJ37" s="2"/>
      <c r="WK37" s="2"/>
    </row>
    <row r="38" spans="1:609" x14ac:dyDescent="0.25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  <c r="LG38" s="67"/>
      <c r="LH38" s="67"/>
      <c r="LI38" s="67"/>
      <c r="LJ38" s="67"/>
      <c r="LK38" s="67"/>
      <c r="LL38" s="67"/>
      <c r="LM38" s="67"/>
      <c r="LN38" s="67"/>
      <c r="LO38" s="67"/>
      <c r="LP38" s="67"/>
      <c r="LQ38" s="67"/>
      <c r="LR38" s="67"/>
      <c r="LS38" s="67"/>
      <c r="LT38" s="67"/>
      <c r="LU38" s="67"/>
      <c r="LV38" s="67"/>
      <c r="LW38" s="67"/>
      <c r="LX38" s="67"/>
      <c r="LY38" s="67"/>
      <c r="LZ38" s="67"/>
      <c r="MA38" s="67"/>
      <c r="MB38" s="67"/>
      <c r="MC38" s="67"/>
      <c r="MD38" s="67"/>
      <c r="ME38" s="67"/>
      <c r="MF38" s="67"/>
      <c r="MG38" s="67"/>
      <c r="MH38" s="67"/>
      <c r="MI38" s="67"/>
      <c r="MJ38" s="67"/>
      <c r="MK38" s="67"/>
      <c r="ML38" s="67"/>
      <c r="MM38" s="67"/>
      <c r="MN38" s="67"/>
      <c r="MO38" s="67"/>
      <c r="MP38" s="67"/>
      <c r="MQ38" s="67"/>
      <c r="MR38" s="67"/>
      <c r="MS38" s="67"/>
      <c r="MT38" s="67"/>
      <c r="MU38" s="67"/>
      <c r="MV38" s="67"/>
      <c r="MW38" s="67"/>
      <c r="MX38" s="67"/>
      <c r="MY38" s="67"/>
      <c r="MZ38" s="67"/>
      <c r="NA38" s="67"/>
      <c r="NB38" s="67"/>
      <c r="NC38" s="67"/>
      <c r="ND38" s="67"/>
      <c r="NE38" s="67"/>
      <c r="NF38" s="67"/>
      <c r="NG38" s="67"/>
      <c r="NH38" s="67"/>
      <c r="NI38" s="67"/>
      <c r="NJ38" s="67"/>
      <c r="NK38" s="67"/>
      <c r="NL38" s="67"/>
      <c r="NM38" s="67"/>
      <c r="NN38" s="67"/>
      <c r="NO38" s="67"/>
      <c r="NP38" s="67"/>
      <c r="NQ38" s="67"/>
      <c r="NR38" s="67"/>
      <c r="NS38" s="67"/>
      <c r="NT38" s="67"/>
      <c r="NU38" s="67"/>
      <c r="NV38" s="67"/>
      <c r="NW38" s="67"/>
      <c r="NX38" s="67"/>
      <c r="NY38" s="67"/>
      <c r="NZ38" s="67"/>
      <c r="OA38" s="67"/>
      <c r="OB38" s="67"/>
      <c r="OC38" s="67"/>
      <c r="OD38" s="67"/>
      <c r="OE38" s="67"/>
      <c r="OF38" s="67"/>
      <c r="OG38" s="67"/>
      <c r="OH38" s="67"/>
      <c r="OI38" s="67"/>
      <c r="OJ38" s="67"/>
      <c r="OK38" s="67"/>
      <c r="OL38" s="67"/>
      <c r="OM38" s="67"/>
      <c r="ON38" s="67"/>
      <c r="OO38" s="67"/>
      <c r="OP38" s="67"/>
      <c r="OQ38" s="67"/>
      <c r="OR38" s="67"/>
      <c r="OS38" s="67"/>
      <c r="OT38" s="67"/>
      <c r="OU38" s="67"/>
      <c r="OV38" s="67"/>
      <c r="OW38" s="67"/>
      <c r="OX38" s="67"/>
      <c r="OY38" s="67"/>
      <c r="OZ38" s="67"/>
      <c r="PA38" s="67"/>
      <c r="PB38" s="67"/>
      <c r="PC38" s="67"/>
      <c r="PD38" s="67"/>
      <c r="PE38" s="67"/>
      <c r="PF38" s="67"/>
      <c r="PG38" s="67"/>
      <c r="PH38" s="67"/>
      <c r="PI38" s="67"/>
      <c r="PJ38" s="67"/>
      <c r="PK38" s="67"/>
      <c r="PL38" s="67"/>
      <c r="PM38" s="67"/>
      <c r="PN38" s="67"/>
      <c r="PO38" s="67"/>
      <c r="PP38" s="67"/>
      <c r="PQ38" s="67"/>
      <c r="PR38" s="67"/>
      <c r="PS38" s="67"/>
      <c r="PT38" s="67"/>
      <c r="PU38" s="67"/>
      <c r="PV38" s="67"/>
      <c r="PW38" s="67"/>
      <c r="PX38" s="67"/>
      <c r="PY38" s="67"/>
      <c r="PZ38" s="67"/>
      <c r="QA38" s="67"/>
      <c r="QB38" s="67"/>
      <c r="QC38" s="67"/>
      <c r="QD38" s="67"/>
      <c r="QE38" s="67"/>
      <c r="QF38" s="67"/>
      <c r="QG38" s="67"/>
      <c r="QH38" s="67"/>
      <c r="QI38" s="67"/>
      <c r="QJ38" s="67"/>
      <c r="QK38" s="67"/>
      <c r="QL38" s="67"/>
      <c r="QM38" s="67"/>
      <c r="QN38" s="67"/>
      <c r="QO38" s="67"/>
      <c r="QP38" s="67"/>
      <c r="QQ38" s="67"/>
      <c r="QR38" s="67"/>
      <c r="QS38" s="67"/>
      <c r="QT38" s="67"/>
      <c r="QU38" s="67"/>
      <c r="QV38" s="67"/>
      <c r="QW38" s="67"/>
      <c r="QX38" s="67"/>
      <c r="QY38" s="67"/>
      <c r="QZ38" s="67"/>
      <c r="RA38" s="67"/>
      <c r="RB38" s="67"/>
      <c r="RC38" s="67"/>
      <c r="RD38" s="67"/>
      <c r="RE38" s="67"/>
      <c r="RF38" s="67"/>
      <c r="RG38" s="67"/>
      <c r="RH38" s="67"/>
      <c r="RI38" s="67"/>
      <c r="RJ38" s="67"/>
      <c r="RK38" s="67"/>
      <c r="RL38" s="67"/>
      <c r="RM38" s="67"/>
      <c r="RN38" s="67"/>
      <c r="RO38" s="67"/>
      <c r="RP38" s="67"/>
      <c r="RQ38" s="67"/>
      <c r="RR38" s="67"/>
      <c r="RS38" s="67"/>
      <c r="RT38" s="67"/>
      <c r="RU38" s="67"/>
      <c r="RV38" s="67"/>
      <c r="RW38" s="67"/>
      <c r="RX38" s="67"/>
      <c r="RY38" s="67"/>
      <c r="RZ38" s="67"/>
      <c r="SA38" s="67"/>
      <c r="SB38" s="67"/>
      <c r="SC38" s="67"/>
      <c r="SD38" s="67"/>
      <c r="SE38" s="67"/>
      <c r="SF38" s="67"/>
      <c r="SG38" s="67"/>
      <c r="SH38" s="67"/>
      <c r="SI38" s="67"/>
      <c r="SJ38" s="67"/>
      <c r="SK38" s="67"/>
      <c r="SL38" s="67"/>
      <c r="SM38" s="67"/>
      <c r="SN38" s="67"/>
      <c r="SO38" s="67"/>
      <c r="SP38" s="67"/>
      <c r="SQ38" s="67"/>
      <c r="SR38" s="67"/>
      <c r="SS38" s="67"/>
      <c r="ST38" s="67"/>
      <c r="SU38" s="67"/>
      <c r="SV38" s="67"/>
      <c r="SW38" s="67"/>
      <c r="SX38" s="67"/>
      <c r="SY38" s="67"/>
      <c r="SZ38" s="67"/>
      <c r="TA38" s="67"/>
      <c r="TB38" s="67"/>
      <c r="TC38" s="67"/>
      <c r="TD38" s="67"/>
      <c r="TE38" s="67"/>
      <c r="TF38" s="67"/>
      <c r="TG38" s="67"/>
      <c r="TH38" s="67"/>
      <c r="TI38" s="67"/>
      <c r="TJ38" s="67"/>
      <c r="TK38" s="67"/>
      <c r="TL38" s="67"/>
      <c r="TM38" s="67"/>
      <c r="TN38" s="67"/>
      <c r="TO38" s="67"/>
      <c r="TP38" s="67"/>
      <c r="TQ38" s="67"/>
      <c r="TR38" s="67"/>
      <c r="TS38" s="67"/>
      <c r="TT38" s="67"/>
      <c r="TU38" s="67"/>
      <c r="TV38" s="67"/>
      <c r="TW38" s="67"/>
      <c r="TX38" s="67"/>
      <c r="TY38" s="67"/>
      <c r="TZ38" s="67"/>
      <c r="UA38" s="67"/>
      <c r="UB38" s="67"/>
      <c r="UC38" s="67"/>
      <c r="UD38" s="67"/>
      <c r="UE38" s="67"/>
      <c r="UF38" s="67"/>
      <c r="UG38" s="67"/>
      <c r="UH38" s="67"/>
      <c r="UI38" s="67"/>
      <c r="UJ38" s="67"/>
      <c r="UK38" s="67"/>
      <c r="UL38" s="67"/>
      <c r="UM38" s="67"/>
      <c r="UN38" s="67"/>
      <c r="UO38" s="67"/>
      <c r="UP38" s="67"/>
      <c r="UQ38" s="67"/>
      <c r="UR38" s="67"/>
      <c r="US38" s="67"/>
      <c r="UT38" s="67"/>
      <c r="UU38" s="67"/>
      <c r="UV38" s="67"/>
      <c r="UW38" s="67"/>
      <c r="UX38" s="67"/>
      <c r="UY38" s="67"/>
      <c r="UZ38" s="67"/>
      <c r="VA38" s="67"/>
      <c r="VB38" s="67"/>
      <c r="VC38" s="67"/>
      <c r="VD38" s="67"/>
      <c r="VE38" s="67"/>
      <c r="VF38" s="67"/>
      <c r="VG38" s="67"/>
      <c r="VH38" s="67"/>
      <c r="VI38" s="67"/>
      <c r="VJ38" s="67"/>
      <c r="VK38" s="67"/>
      <c r="VL38" s="67"/>
      <c r="VM38" s="67"/>
      <c r="VN38" s="67"/>
      <c r="VO38" s="67"/>
      <c r="VP38" s="67"/>
      <c r="VQ38" s="67"/>
      <c r="VR38" s="67"/>
      <c r="VS38" s="67"/>
      <c r="VT38" s="67"/>
      <c r="VU38" s="67"/>
      <c r="VV38" s="67"/>
      <c r="VW38" s="67"/>
      <c r="VX38" s="67"/>
      <c r="VY38" s="67"/>
      <c r="WA38" s="68"/>
      <c r="WB38" s="68"/>
      <c r="WC38" s="68"/>
      <c r="WD38" s="68"/>
      <c r="WE38" s="68"/>
      <c r="WF38" s="68"/>
      <c r="WG38" s="68"/>
      <c r="WH38" s="68"/>
      <c r="WI38" s="84"/>
      <c r="WJ38" s="2"/>
      <c r="WK38" s="2"/>
    </row>
    <row r="39" spans="1:609" x14ac:dyDescent="0.25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  <c r="LH39" s="67"/>
      <c r="LI39" s="67"/>
      <c r="LJ39" s="67"/>
      <c r="LK39" s="67"/>
      <c r="LL39" s="67"/>
      <c r="LM39" s="67"/>
      <c r="LN39" s="67"/>
      <c r="LO39" s="67"/>
      <c r="LP39" s="67"/>
      <c r="LQ39" s="67"/>
      <c r="LR39" s="67"/>
      <c r="LS39" s="67"/>
      <c r="LT39" s="67"/>
      <c r="LU39" s="67"/>
      <c r="LV39" s="67"/>
      <c r="LW39" s="67"/>
      <c r="LX39" s="67"/>
      <c r="LY39" s="67"/>
      <c r="LZ39" s="67"/>
      <c r="MA39" s="67"/>
      <c r="MB39" s="67"/>
      <c r="MC39" s="67"/>
      <c r="MD39" s="67"/>
      <c r="ME39" s="67"/>
      <c r="MF39" s="67"/>
      <c r="MG39" s="67"/>
      <c r="MH39" s="67"/>
      <c r="MI39" s="67"/>
      <c r="MJ39" s="67"/>
      <c r="MK39" s="67"/>
      <c r="ML39" s="67"/>
      <c r="MM39" s="67"/>
      <c r="MN39" s="67"/>
      <c r="MO39" s="67"/>
      <c r="MP39" s="67"/>
      <c r="MQ39" s="67"/>
      <c r="MR39" s="67"/>
      <c r="MS39" s="67"/>
      <c r="MT39" s="67"/>
      <c r="MU39" s="67"/>
      <c r="MV39" s="67"/>
      <c r="MW39" s="67"/>
      <c r="MX39" s="67"/>
      <c r="MY39" s="67"/>
      <c r="MZ39" s="67"/>
      <c r="NA39" s="67"/>
      <c r="NB39" s="67"/>
      <c r="NC39" s="67"/>
      <c r="ND39" s="67"/>
      <c r="NE39" s="67"/>
      <c r="NF39" s="67"/>
      <c r="NG39" s="67"/>
      <c r="NH39" s="67"/>
      <c r="NI39" s="67"/>
      <c r="NJ39" s="67"/>
      <c r="NK39" s="67"/>
      <c r="NL39" s="67"/>
      <c r="NM39" s="67"/>
      <c r="NN39" s="67"/>
      <c r="NO39" s="67"/>
      <c r="NP39" s="67"/>
      <c r="NQ39" s="67"/>
      <c r="NR39" s="67"/>
      <c r="NS39" s="67"/>
      <c r="NT39" s="67"/>
      <c r="NU39" s="67"/>
      <c r="NV39" s="67"/>
      <c r="NW39" s="67"/>
      <c r="NX39" s="67"/>
      <c r="NY39" s="67"/>
      <c r="NZ39" s="67"/>
      <c r="OA39" s="67"/>
      <c r="OB39" s="67"/>
      <c r="OC39" s="67"/>
      <c r="OD39" s="67"/>
      <c r="OE39" s="67"/>
      <c r="OF39" s="67"/>
      <c r="OG39" s="67"/>
      <c r="OH39" s="67"/>
      <c r="OI39" s="67"/>
      <c r="OJ39" s="67"/>
      <c r="OK39" s="67"/>
      <c r="OL39" s="67"/>
      <c r="OM39" s="67"/>
      <c r="ON39" s="67"/>
      <c r="OO39" s="67"/>
      <c r="OP39" s="67"/>
      <c r="OQ39" s="67"/>
      <c r="OR39" s="67"/>
      <c r="OS39" s="67"/>
      <c r="OT39" s="67"/>
      <c r="OU39" s="67"/>
      <c r="OV39" s="67"/>
      <c r="OW39" s="67"/>
      <c r="OX39" s="67"/>
      <c r="OY39" s="67"/>
      <c r="OZ39" s="67"/>
      <c r="PA39" s="67"/>
      <c r="PB39" s="67"/>
      <c r="PC39" s="67"/>
      <c r="PD39" s="67"/>
      <c r="PE39" s="67"/>
      <c r="PF39" s="67"/>
      <c r="PG39" s="67"/>
      <c r="PH39" s="67"/>
      <c r="PI39" s="67"/>
      <c r="PJ39" s="67"/>
      <c r="PK39" s="67"/>
      <c r="PL39" s="67"/>
      <c r="PM39" s="67"/>
      <c r="PN39" s="67"/>
      <c r="PO39" s="67"/>
      <c r="PP39" s="67"/>
      <c r="PQ39" s="67"/>
      <c r="PR39" s="67"/>
      <c r="PS39" s="67"/>
      <c r="PT39" s="67"/>
      <c r="PU39" s="67"/>
      <c r="PV39" s="67"/>
      <c r="PW39" s="67"/>
      <c r="PX39" s="67"/>
      <c r="PY39" s="67"/>
      <c r="PZ39" s="67"/>
      <c r="QA39" s="67"/>
      <c r="QB39" s="67"/>
      <c r="QC39" s="67"/>
      <c r="QD39" s="67"/>
      <c r="QE39" s="67"/>
      <c r="QF39" s="67"/>
      <c r="QG39" s="67"/>
      <c r="QH39" s="67"/>
      <c r="QI39" s="67"/>
      <c r="QJ39" s="67"/>
      <c r="QK39" s="67"/>
      <c r="QL39" s="67"/>
      <c r="QM39" s="67"/>
      <c r="QN39" s="67"/>
      <c r="QO39" s="67"/>
      <c r="QP39" s="67"/>
      <c r="QQ39" s="67"/>
      <c r="QR39" s="67"/>
      <c r="QS39" s="67"/>
      <c r="QT39" s="67"/>
      <c r="QU39" s="67"/>
      <c r="QV39" s="67"/>
      <c r="QW39" s="67"/>
      <c r="QX39" s="67"/>
      <c r="QY39" s="67"/>
      <c r="QZ39" s="67"/>
      <c r="RA39" s="67"/>
      <c r="RB39" s="67"/>
      <c r="RC39" s="67"/>
      <c r="RD39" s="67"/>
      <c r="RE39" s="67"/>
      <c r="RF39" s="67"/>
      <c r="RG39" s="67"/>
      <c r="RH39" s="67"/>
      <c r="RI39" s="67"/>
      <c r="RJ39" s="67"/>
      <c r="RK39" s="67"/>
      <c r="RL39" s="67"/>
      <c r="RM39" s="67"/>
      <c r="RN39" s="67"/>
      <c r="RO39" s="67"/>
      <c r="RP39" s="67"/>
      <c r="RQ39" s="67"/>
      <c r="RR39" s="67"/>
      <c r="RS39" s="67"/>
      <c r="RT39" s="67"/>
      <c r="RU39" s="67"/>
      <c r="RV39" s="67"/>
      <c r="RW39" s="67"/>
      <c r="RX39" s="67"/>
      <c r="RY39" s="67"/>
      <c r="RZ39" s="67"/>
      <c r="SA39" s="67"/>
      <c r="SB39" s="67"/>
      <c r="SC39" s="67"/>
      <c r="SD39" s="67"/>
      <c r="SE39" s="67"/>
      <c r="SF39" s="67"/>
      <c r="SG39" s="67"/>
      <c r="SH39" s="67"/>
      <c r="SI39" s="67"/>
      <c r="SJ39" s="67"/>
      <c r="SK39" s="67"/>
      <c r="SL39" s="67"/>
      <c r="SM39" s="67"/>
      <c r="SN39" s="67"/>
      <c r="SO39" s="67"/>
      <c r="SP39" s="67"/>
      <c r="SQ39" s="67"/>
      <c r="SR39" s="67"/>
      <c r="SS39" s="67"/>
      <c r="ST39" s="67"/>
      <c r="SU39" s="67"/>
      <c r="SV39" s="67"/>
      <c r="SW39" s="67"/>
      <c r="SX39" s="67"/>
      <c r="SY39" s="67"/>
      <c r="SZ39" s="67"/>
      <c r="TA39" s="67"/>
      <c r="TB39" s="67"/>
      <c r="TC39" s="67"/>
      <c r="TD39" s="67"/>
      <c r="TE39" s="67"/>
      <c r="TF39" s="67"/>
      <c r="TG39" s="67"/>
      <c r="TH39" s="67"/>
      <c r="TI39" s="67"/>
      <c r="TJ39" s="67"/>
      <c r="TK39" s="67"/>
      <c r="TL39" s="67"/>
      <c r="TM39" s="67"/>
      <c r="TN39" s="67"/>
      <c r="TO39" s="67"/>
      <c r="TP39" s="67"/>
      <c r="TQ39" s="67"/>
      <c r="TR39" s="67"/>
      <c r="TS39" s="67"/>
      <c r="TT39" s="67"/>
      <c r="TU39" s="67"/>
      <c r="TV39" s="67"/>
      <c r="TW39" s="67"/>
      <c r="TX39" s="67"/>
      <c r="TY39" s="67"/>
      <c r="TZ39" s="67"/>
      <c r="UA39" s="67"/>
      <c r="UB39" s="67"/>
      <c r="UC39" s="67"/>
      <c r="UD39" s="67"/>
      <c r="UE39" s="67"/>
      <c r="UF39" s="67"/>
      <c r="UG39" s="67"/>
      <c r="UH39" s="67"/>
      <c r="UI39" s="67"/>
      <c r="UJ39" s="67"/>
      <c r="UK39" s="67"/>
      <c r="UL39" s="67"/>
      <c r="UM39" s="67"/>
      <c r="UN39" s="67"/>
      <c r="UO39" s="67"/>
      <c r="UP39" s="67"/>
      <c r="UQ39" s="67"/>
      <c r="UR39" s="67"/>
      <c r="US39" s="67"/>
      <c r="UT39" s="67"/>
      <c r="UU39" s="67"/>
      <c r="UV39" s="67"/>
      <c r="UW39" s="67"/>
      <c r="UX39" s="67"/>
      <c r="UY39" s="67"/>
      <c r="UZ39" s="67"/>
      <c r="VA39" s="67"/>
      <c r="VB39" s="67"/>
      <c r="VC39" s="67"/>
      <c r="VD39" s="67"/>
      <c r="VE39" s="67"/>
      <c r="VF39" s="67"/>
      <c r="VG39" s="67"/>
      <c r="VH39" s="67"/>
      <c r="VI39" s="67"/>
      <c r="VJ39" s="67"/>
      <c r="VK39" s="67"/>
      <c r="VL39" s="67"/>
      <c r="VM39" s="67"/>
      <c r="VN39" s="67"/>
      <c r="VO39" s="67"/>
      <c r="VP39" s="67"/>
      <c r="VQ39" s="67"/>
      <c r="VR39" s="67"/>
      <c r="VS39" s="67"/>
      <c r="VT39" s="67"/>
      <c r="VU39" s="67"/>
      <c r="VV39" s="67"/>
      <c r="VW39" s="67"/>
      <c r="VX39" s="67"/>
      <c r="VY39" s="67"/>
      <c r="WA39" s="68"/>
      <c r="WB39" s="68"/>
      <c r="WC39" s="68"/>
      <c r="WD39" s="68"/>
      <c r="WE39" s="68"/>
      <c r="WF39" s="68"/>
      <c r="WG39" s="68"/>
      <c r="WH39" s="68"/>
      <c r="WI39" s="84"/>
      <c r="WJ39" s="2"/>
      <c r="WK39" s="2"/>
    </row>
    <row r="40" spans="1:609" x14ac:dyDescent="0.25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67"/>
      <c r="GH40" s="67"/>
      <c r="GI40" s="67"/>
      <c r="GJ40" s="67"/>
      <c r="GK40" s="67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  <c r="HX40" s="67"/>
      <c r="HY40" s="67"/>
      <c r="HZ40" s="67"/>
      <c r="IA40" s="67"/>
      <c r="IB40" s="67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  <c r="LH40" s="67"/>
      <c r="LI40" s="67"/>
      <c r="LJ40" s="67"/>
      <c r="LK40" s="67"/>
      <c r="LL40" s="67"/>
      <c r="LM40" s="67"/>
      <c r="LN40" s="67"/>
      <c r="LO40" s="67"/>
      <c r="LP40" s="67"/>
      <c r="LQ40" s="67"/>
      <c r="LR40" s="67"/>
      <c r="LS40" s="67"/>
      <c r="LT40" s="67"/>
      <c r="LU40" s="67"/>
      <c r="LV40" s="67"/>
      <c r="LW40" s="67"/>
      <c r="LX40" s="67"/>
      <c r="LY40" s="67"/>
      <c r="LZ40" s="67"/>
      <c r="MA40" s="67"/>
      <c r="MB40" s="67"/>
      <c r="MC40" s="67"/>
      <c r="MD40" s="67"/>
      <c r="ME40" s="67"/>
      <c r="MF40" s="67"/>
      <c r="MG40" s="67"/>
      <c r="MH40" s="67"/>
      <c r="MI40" s="67"/>
      <c r="MJ40" s="67"/>
      <c r="MK40" s="67"/>
      <c r="ML40" s="67"/>
      <c r="MM40" s="67"/>
      <c r="MN40" s="67"/>
      <c r="MO40" s="67"/>
      <c r="MP40" s="67"/>
      <c r="MQ40" s="67"/>
      <c r="MR40" s="67"/>
      <c r="MS40" s="67"/>
      <c r="MT40" s="67"/>
      <c r="MU40" s="67"/>
      <c r="MV40" s="67"/>
      <c r="MW40" s="67"/>
      <c r="MX40" s="67"/>
      <c r="MY40" s="67"/>
      <c r="MZ40" s="67"/>
      <c r="NA40" s="67"/>
      <c r="NB40" s="67"/>
      <c r="NC40" s="67"/>
      <c r="ND40" s="67"/>
      <c r="NE40" s="67"/>
      <c r="NF40" s="67"/>
      <c r="NG40" s="67"/>
      <c r="NH40" s="67"/>
      <c r="NI40" s="67"/>
      <c r="NJ40" s="67"/>
      <c r="NK40" s="67"/>
      <c r="NL40" s="67"/>
      <c r="NM40" s="67"/>
      <c r="NN40" s="67"/>
      <c r="NO40" s="67"/>
      <c r="NP40" s="67"/>
      <c r="NQ40" s="67"/>
      <c r="NR40" s="67"/>
      <c r="NS40" s="67"/>
      <c r="NT40" s="67"/>
      <c r="NU40" s="67"/>
      <c r="NV40" s="67"/>
      <c r="NW40" s="67"/>
      <c r="NX40" s="67"/>
      <c r="NY40" s="67"/>
      <c r="NZ40" s="67"/>
      <c r="OA40" s="67"/>
      <c r="OB40" s="67"/>
      <c r="OC40" s="67"/>
      <c r="OD40" s="67"/>
      <c r="OE40" s="67"/>
      <c r="OF40" s="67"/>
      <c r="OG40" s="67"/>
      <c r="OH40" s="67"/>
      <c r="OI40" s="67"/>
      <c r="OJ40" s="67"/>
      <c r="OK40" s="67"/>
      <c r="OL40" s="67"/>
      <c r="OM40" s="67"/>
      <c r="ON40" s="67"/>
      <c r="OO40" s="67"/>
      <c r="OP40" s="67"/>
      <c r="OQ40" s="67"/>
      <c r="OR40" s="67"/>
      <c r="OS40" s="67"/>
      <c r="OT40" s="67"/>
      <c r="OU40" s="67"/>
      <c r="OV40" s="67"/>
      <c r="OW40" s="67"/>
      <c r="OX40" s="67"/>
      <c r="OY40" s="67"/>
      <c r="OZ40" s="67"/>
      <c r="PA40" s="67"/>
      <c r="PB40" s="67"/>
      <c r="PC40" s="67"/>
      <c r="PD40" s="67"/>
      <c r="PE40" s="67"/>
      <c r="PF40" s="67"/>
      <c r="PG40" s="67"/>
      <c r="PH40" s="67"/>
      <c r="PI40" s="67"/>
      <c r="PJ40" s="67"/>
      <c r="PK40" s="67"/>
      <c r="PL40" s="67"/>
      <c r="PM40" s="67"/>
      <c r="PN40" s="67"/>
      <c r="PO40" s="67"/>
      <c r="PP40" s="67"/>
      <c r="PQ40" s="67"/>
      <c r="PR40" s="67"/>
      <c r="PS40" s="67"/>
      <c r="PT40" s="67"/>
      <c r="PU40" s="67"/>
      <c r="PV40" s="67"/>
      <c r="PW40" s="67"/>
      <c r="PX40" s="67"/>
      <c r="PY40" s="67"/>
      <c r="PZ40" s="67"/>
      <c r="QA40" s="67"/>
      <c r="QB40" s="67"/>
      <c r="QC40" s="67"/>
      <c r="QD40" s="67"/>
      <c r="QE40" s="67"/>
      <c r="QF40" s="67"/>
      <c r="QG40" s="67"/>
      <c r="QH40" s="67"/>
      <c r="QI40" s="67"/>
      <c r="QJ40" s="67"/>
      <c r="QK40" s="67"/>
      <c r="QL40" s="67"/>
      <c r="QM40" s="67"/>
      <c r="QN40" s="67"/>
      <c r="QO40" s="67"/>
      <c r="QP40" s="67"/>
      <c r="QQ40" s="67"/>
      <c r="QR40" s="67"/>
      <c r="QS40" s="67"/>
      <c r="QT40" s="67"/>
      <c r="QU40" s="67"/>
      <c r="QV40" s="67"/>
      <c r="QW40" s="67"/>
      <c r="QX40" s="67"/>
      <c r="QY40" s="67"/>
      <c r="QZ40" s="67"/>
      <c r="RA40" s="67"/>
      <c r="RB40" s="67"/>
      <c r="RC40" s="67"/>
      <c r="RD40" s="67"/>
      <c r="RE40" s="67"/>
      <c r="RF40" s="67"/>
      <c r="RG40" s="67"/>
      <c r="RH40" s="67"/>
      <c r="RI40" s="67"/>
      <c r="RJ40" s="67"/>
      <c r="RK40" s="67"/>
      <c r="RL40" s="67"/>
      <c r="RM40" s="67"/>
      <c r="RN40" s="67"/>
      <c r="RO40" s="67"/>
      <c r="RP40" s="67"/>
      <c r="RQ40" s="67"/>
      <c r="RR40" s="67"/>
      <c r="RS40" s="67"/>
      <c r="RT40" s="67"/>
      <c r="RU40" s="67"/>
      <c r="RV40" s="67"/>
      <c r="RW40" s="67"/>
      <c r="RX40" s="67"/>
      <c r="RY40" s="67"/>
      <c r="RZ40" s="67"/>
      <c r="SA40" s="67"/>
      <c r="SB40" s="67"/>
      <c r="SC40" s="67"/>
      <c r="SD40" s="67"/>
      <c r="SE40" s="67"/>
      <c r="SF40" s="67"/>
      <c r="SG40" s="67"/>
      <c r="SH40" s="67"/>
      <c r="SI40" s="67"/>
      <c r="SJ40" s="67"/>
      <c r="SK40" s="67"/>
      <c r="SL40" s="67"/>
      <c r="SM40" s="67"/>
      <c r="SN40" s="67"/>
      <c r="SO40" s="67"/>
      <c r="SP40" s="67"/>
      <c r="SQ40" s="67"/>
      <c r="SR40" s="67"/>
      <c r="SS40" s="67"/>
      <c r="ST40" s="67"/>
      <c r="SU40" s="67"/>
      <c r="SV40" s="67"/>
      <c r="SW40" s="67"/>
      <c r="SX40" s="67"/>
      <c r="SY40" s="67"/>
      <c r="SZ40" s="67"/>
      <c r="TA40" s="67"/>
      <c r="TB40" s="67"/>
      <c r="TC40" s="67"/>
      <c r="TD40" s="67"/>
      <c r="TE40" s="67"/>
      <c r="TF40" s="67"/>
      <c r="TG40" s="67"/>
      <c r="TH40" s="67"/>
      <c r="TI40" s="67"/>
      <c r="TJ40" s="67"/>
      <c r="TK40" s="67"/>
      <c r="TL40" s="67"/>
      <c r="TM40" s="67"/>
      <c r="TN40" s="67"/>
      <c r="TO40" s="67"/>
      <c r="TP40" s="67"/>
      <c r="TQ40" s="67"/>
      <c r="TR40" s="67"/>
      <c r="TS40" s="67"/>
      <c r="TT40" s="67"/>
      <c r="TU40" s="67"/>
      <c r="TV40" s="67"/>
      <c r="TW40" s="67"/>
      <c r="TX40" s="67"/>
      <c r="TY40" s="67"/>
      <c r="TZ40" s="67"/>
      <c r="UA40" s="67"/>
      <c r="UB40" s="67"/>
      <c r="UC40" s="67"/>
      <c r="UD40" s="67"/>
      <c r="UE40" s="67"/>
      <c r="UF40" s="67"/>
      <c r="UG40" s="67"/>
      <c r="UH40" s="67"/>
      <c r="UI40" s="67"/>
      <c r="UJ40" s="67"/>
      <c r="UK40" s="67"/>
      <c r="UL40" s="67"/>
      <c r="UM40" s="67"/>
      <c r="UN40" s="67"/>
      <c r="UO40" s="67"/>
      <c r="UP40" s="67"/>
      <c r="UQ40" s="67"/>
      <c r="UR40" s="67"/>
      <c r="US40" s="67"/>
      <c r="UT40" s="67"/>
      <c r="UU40" s="67"/>
      <c r="UV40" s="67"/>
      <c r="UW40" s="67"/>
      <c r="UX40" s="67"/>
      <c r="UY40" s="67"/>
      <c r="UZ40" s="67"/>
      <c r="VA40" s="67"/>
      <c r="VB40" s="67"/>
      <c r="VC40" s="67"/>
      <c r="VD40" s="67"/>
      <c r="VE40" s="67"/>
      <c r="VF40" s="67"/>
      <c r="VG40" s="67"/>
      <c r="VH40" s="67"/>
      <c r="VI40" s="67"/>
      <c r="VJ40" s="67"/>
      <c r="VK40" s="67"/>
      <c r="VL40" s="67"/>
      <c r="VM40" s="67"/>
      <c r="VN40" s="67"/>
      <c r="VO40" s="67"/>
      <c r="VP40" s="67"/>
      <c r="VQ40" s="67"/>
      <c r="VR40" s="67"/>
      <c r="VS40" s="67"/>
      <c r="VT40" s="67"/>
      <c r="VU40" s="67"/>
      <c r="VV40" s="67"/>
      <c r="VW40" s="67"/>
      <c r="VX40" s="67"/>
      <c r="VY40" s="67"/>
      <c r="WA40" s="68"/>
      <c r="WB40" s="68"/>
      <c r="WC40" s="68"/>
      <c r="WD40" s="68"/>
      <c r="WE40" s="68"/>
      <c r="WF40" s="68"/>
      <c r="WG40" s="68"/>
      <c r="WH40" s="68"/>
      <c r="WI40" s="84"/>
      <c r="WJ40" s="2"/>
      <c r="WK40" s="2"/>
    </row>
    <row r="41" spans="1:609" x14ac:dyDescent="0.2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  <c r="LH41" s="67"/>
      <c r="LI41" s="67"/>
      <c r="LJ41" s="67"/>
      <c r="LK41" s="67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67"/>
      <c r="LW41" s="67"/>
      <c r="LX41" s="67"/>
      <c r="LY41" s="67"/>
      <c r="LZ41" s="67"/>
      <c r="MA41" s="67"/>
      <c r="MB41" s="67"/>
      <c r="MC41" s="67"/>
      <c r="MD41" s="67"/>
      <c r="ME41" s="67"/>
      <c r="MF41" s="67"/>
      <c r="MG41" s="67"/>
      <c r="MH41" s="67"/>
      <c r="MI41" s="67"/>
      <c r="MJ41" s="67"/>
      <c r="MK41" s="67"/>
      <c r="ML41" s="67"/>
      <c r="MM41" s="67"/>
      <c r="MN41" s="67"/>
      <c r="MO41" s="67"/>
      <c r="MP41" s="67"/>
      <c r="MQ41" s="67"/>
      <c r="MR41" s="67"/>
      <c r="MS41" s="67"/>
      <c r="MT41" s="67"/>
      <c r="MU41" s="67"/>
      <c r="MV41" s="67"/>
      <c r="MW41" s="67"/>
      <c r="MX41" s="67"/>
      <c r="MY41" s="67"/>
      <c r="MZ41" s="67"/>
      <c r="NA41" s="67"/>
      <c r="NB41" s="67"/>
      <c r="NC41" s="67"/>
      <c r="ND41" s="67"/>
      <c r="NE41" s="67"/>
      <c r="NF41" s="67"/>
      <c r="NG41" s="67"/>
      <c r="NH41" s="67"/>
      <c r="NI41" s="67"/>
      <c r="NJ41" s="67"/>
      <c r="NK41" s="67"/>
      <c r="NL41" s="67"/>
      <c r="NM41" s="67"/>
      <c r="NN41" s="67"/>
      <c r="NO41" s="67"/>
      <c r="NP41" s="67"/>
      <c r="NQ41" s="67"/>
      <c r="NR41" s="67"/>
      <c r="NS41" s="67"/>
      <c r="NT41" s="67"/>
      <c r="NU41" s="67"/>
      <c r="NV41" s="67"/>
      <c r="NW41" s="67"/>
      <c r="NX41" s="67"/>
      <c r="NY41" s="67"/>
      <c r="NZ41" s="67"/>
      <c r="OA41" s="67"/>
      <c r="OB41" s="67"/>
      <c r="OC41" s="67"/>
      <c r="OD41" s="67"/>
      <c r="OE41" s="67"/>
      <c r="OF41" s="67"/>
      <c r="OG41" s="67"/>
      <c r="OH41" s="67"/>
      <c r="OI41" s="67"/>
      <c r="OJ41" s="67"/>
      <c r="OK41" s="67"/>
      <c r="OL41" s="67"/>
      <c r="OM41" s="67"/>
      <c r="ON41" s="67"/>
      <c r="OO41" s="67"/>
      <c r="OP41" s="67"/>
      <c r="OQ41" s="67"/>
      <c r="OR41" s="67"/>
      <c r="OS41" s="67"/>
      <c r="OT41" s="67"/>
      <c r="OU41" s="67"/>
      <c r="OV41" s="67"/>
      <c r="OW41" s="67"/>
      <c r="OX41" s="67"/>
      <c r="OY41" s="67"/>
      <c r="OZ41" s="67"/>
      <c r="PA41" s="67"/>
      <c r="PB41" s="67"/>
      <c r="PC41" s="67"/>
      <c r="PD41" s="67"/>
      <c r="PE41" s="67"/>
      <c r="PF41" s="67"/>
      <c r="PG41" s="67"/>
      <c r="PH41" s="67"/>
      <c r="PI41" s="67"/>
      <c r="PJ41" s="67"/>
      <c r="PK41" s="67"/>
      <c r="PL41" s="67"/>
      <c r="PM41" s="67"/>
      <c r="PN41" s="67"/>
      <c r="PO41" s="67"/>
      <c r="PP41" s="67"/>
      <c r="PQ41" s="67"/>
      <c r="PR41" s="67"/>
      <c r="PS41" s="67"/>
      <c r="PT41" s="67"/>
      <c r="PU41" s="67"/>
      <c r="PV41" s="67"/>
      <c r="PW41" s="67"/>
      <c r="PX41" s="67"/>
      <c r="PY41" s="67"/>
      <c r="PZ41" s="67"/>
      <c r="QA41" s="67"/>
      <c r="QB41" s="67"/>
      <c r="QC41" s="67"/>
      <c r="QD41" s="67"/>
      <c r="QE41" s="67"/>
      <c r="QF41" s="67"/>
      <c r="QG41" s="67"/>
      <c r="QH41" s="67"/>
      <c r="QI41" s="67"/>
      <c r="QJ41" s="67"/>
      <c r="QK41" s="67"/>
      <c r="QL41" s="67"/>
      <c r="QM41" s="67"/>
      <c r="QN41" s="67"/>
      <c r="QO41" s="67"/>
      <c r="QP41" s="67"/>
      <c r="QQ41" s="67"/>
      <c r="QR41" s="67"/>
      <c r="QS41" s="67"/>
      <c r="QT41" s="67"/>
      <c r="QU41" s="67"/>
      <c r="QV41" s="67"/>
      <c r="QW41" s="67"/>
      <c r="QX41" s="67"/>
      <c r="QY41" s="67"/>
      <c r="QZ41" s="67"/>
      <c r="RA41" s="67"/>
      <c r="RB41" s="67"/>
      <c r="RC41" s="67"/>
      <c r="RD41" s="67"/>
      <c r="RE41" s="67"/>
      <c r="RF41" s="67"/>
      <c r="RG41" s="67"/>
      <c r="RH41" s="67"/>
      <c r="RI41" s="67"/>
      <c r="RJ41" s="67"/>
      <c r="RK41" s="67"/>
      <c r="RL41" s="67"/>
      <c r="RM41" s="67"/>
      <c r="RN41" s="67"/>
      <c r="RO41" s="67"/>
      <c r="RP41" s="67"/>
      <c r="RQ41" s="67"/>
      <c r="RR41" s="67"/>
      <c r="RS41" s="67"/>
      <c r="RT41" s="67"/>
      <c r="RU41" s="67"/>
      <c r="RV41" s="67"/>
      <c r="RW41" s="67"/>
      <c r="RX41" s="67"/>
      <c r="RY41" s="67"/>
      <c r="RZ41" s="67"/>
      <c r="SA41" s="67"/>
      <c r="SB41" s="67"/>
      <c r="SC41" s="67"/>
      <c r="SD41" s="67"/>
      <c r="SE41" s="67"/>
      <c r="SF41" s="67"/>
      <c r="SG41" s="67"/>
      <c r="SH41" s="67"/>
      <c r="SI41" s="67"/>
      <c r="SJ41" s="67"/>
      <c r="SK41" s="67"/>
      <c r="SL41" s="67"/>
      <c r="SM41" s="67"/>
      <c r="SN41" s="67"/>
      <c r="SO41" s="67"/>
      <c r="SP41" s="67"/>
      <c r="SQ41" s="67"/>
      <c r="SR41" s="67"/>
      <c r="SS41" s="67"/>
      <c r="ST41" s="67"/>
      <c r="SU41" s="67"/>
      <c r="SV41" s="67"/>
      <c r="SW41" s="67"/>
      <c r="SX41" s="67"/>
      <c r="SY41" s="67"/>
      <c r="SZ41" s="67"/>
      <c r="TA41" s="67"/>
      <c r="TB41" s="67"/>
      <c r="TC41" s="67"/>
      <c r="TD41" s="67"/>
      <c r="TE41" s="67"/>
      <c r="TF41" s="67"/>
      <c r="TG41" s="67"/>
      <c r="TH41" s="67"/>
      <c r="TI41" s="67"/>
      <c r="TJ41" s="67"/>
      <c r="TK41" s="67"/>
      <c r="TL41" s="67"/>
      <c r="TM41" s="67"/>
      <c r="TN41" s="67"/>
      <c r="TO41" s="67"/>
      <c r="TP41" s="67"/>
      <c r="TQ41" s="67"/>
      <c r="TR41" s="67"/>
      <c r="TS41" s="67"/>
      <c r="TT41" s="67"/>
      <c r="TU41" s="67"/>
      <c r="TV41" s="67"/>
      <c r="TW41" s="67"/>
      <c r="TX41" s="67"/>
      <c r="TY41" s="67"/>
      <c r="TZ41" s="67"/>
      <c r="UA41" s="67"/>
      <c r="UB41" s="67"/>
      <c r="UC41" s="67"/>
      <c r="UD41" s="67"/>
      <c r="UE41" s="67"/>
      <c r="UF41" s="67"/>
      <c r="UG41" s="67"/>
      <c r="UH41" s="67"/>
      <c r="UI41" s="67"/>
      <c r="UJ41" s="67"/>
      <c r="UK41" s="67"/>
      <c r="UL41" s="67"/>
      <c r="UM41" s="67"/>
      <c r="UN41" s="67"/>
      <c r="UO41" s="67"/>
      <c r="UP41" s="67"/>
      <c r="UQ41" s="67"/>
      <c r="UR41" s="67"/>
      <c r="US41" s="67"/>
      <c r="UT41" s="67"/>
      <c r="UU41" s="67"/>
      <c r="UV41" s="67"/>
      <c r="UW41" s="67"/>
      <c r="UX41" s="67"/>
      <c r="UY41" s="67"/>
      <c r="UZ41" s="67"/>
      <c r="VA41" s="67"/>
      <c r="VB41" s="67"/>
      <c r="VC41" s="67"/>
      <c r="VD41" s="67"/>
      <c r="VE41" s="67"/>
      <c r="VF41" s="67"/>
      <c r="VG41" s="67"/>
      <c r="VH41" s="67"/>
      <c r="VI41" s="67"/>
      <c r="VJ41" s="67"/>
      <c r="VK41" s="67"/>
      <c r="VL41" s="67"/>
      <c r="VM41" s="67"/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WA41" s="68"/>
      <c r="WB41" s="68"/>
      <c r="WC41" s="68"/>
      <c r="WD41" s="68"/>
      <c r="WE41" s="68"/>
      <c r="WF41" s="68"/>
      <c r="WG41" s="68"/>
      <c r="WH41" s="68"/>
      <c r="WI41" s="84"/>
      <c r="WJ41" s="2"/>
      <c r="WK41" s="2"/>
    </row>
    <row r="42" spans="1:609" x14ac:dyDescent="0.25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  <c r="DQ42" s="67"/>
      <c r="DR42" s="67"/>
      <c r="DS42" s="67"/>
      <c r="DT42" s="67"/>
      <c r="DU42" s="67"/>
      <c r="DV42" s="67"/>
      <c r="DW42" s="67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  <c r="LG42" s="67"/>
      <c r="LH42" s="67"/>
      <c r="LI42" s="67"/>
      <c r="LJ42" s="67"/>
      <c r="LK42" s="67"/>
      <c r="LL42" s="67"/>
      <c r="LM42" s="67"/>
      <c r="LN42" s="67"/>
      <c r="LO42" s="67"/>
      <c r="LP42" s="67"/>
      <c r="LQ42" s="67"/>
      <c r="LR42" s="67"/>
      <c r="LS42" s="67"/>
      <c r="LT42" s="67"/>
      <c r="LU42" s="67"/>
      <c r="LV42" s="67"/>
      <c r="LW42" s="67"/>
      <c r="LX42" s="67"/>
      <c r="LY42" s="67"/>
      <c r="LZ42" s="67"/>
      <c r="MA42" s="67"/>
      <c r="MB42" s="67"/>
      <c r="MC42" s="67"/>
      <c r="MD42" s="67"/>
      <c r="ME42" s="67"/>
      <c r="MF42" s="67"/>
      <c r="MG42" s="67"/>
      <c r="MH42" s="67"/>
      <c r="MI42" s="67"/>
      <c r="MJ42" s="67"/>
      <c r="MK42" s="67"/>
      <c r="ML42" s="67"/>
      <c r="MM42" s="67"/>
      <c r="MN42" s="67"/>
      <c r="MO42" s="67"/>
      <c r="MP42" s="67"/>
      <c r="MQ42" s="67"/>
      <c r="MR42" s="67"/>
      <c r="MS42" s="67"/>
      <c r="MT42" s="67"/>
      <c r="MU42" s="67"/>
      <c r="MV42" s="67"/>
      <c r="MW42" s="67"/>
      <c r="MX42" s="67"/>
      <c r="MY42" s="67"/>
      <c r="MZ42" s="67"/>
      <c r="NA42" s="67"/>
      <c r="NB42" s="67"/>
      <c r="NC42" s="67"/>
      <c r="ND42" s="67"/>
      <c r="NE42" s="67"/>
      <c r="NF42" s="67"/>
      <c r="NG42" s="67"/>
      <c r="NH42" s="67"/>
      <c r="NI42" s="67"/>
      <c r="NJ42" s="67"/>
      <c r="NK42" s="67"/>
      <c r="NL42" s="67"/>
      <c r="NM42" s="67"/>
      <c r="NN42" s="67"/>
      <c r="NO42" s="67"/>
      <c r="NP42" s="67"/>
      <c r="NQ42" s="67"/>
      <c r="NR42" s="67"/>
      <c r="NS42" s="67"/>
      <c r="NT42" s="67"/>
      <c r="NU42" s="67"/>
      <c r="NV42" s="67"/>
      <c r="NW42" s="67"/>
      <c r="NX42" s="67"/>
      <c r="NY42" s="67"/>
      <c r="NZ42" s="67"/>
      <c r="OA42" s="67"/>
      <c r="OB42" s="67"/>
      <c r="OC42" s="67"/>
      <c r="OD42" s="67"/>
      <c r="OE42" s="67"/>
      <c r="OF42" s="67"/>
      <c r="OG42" s="67"/>
      <c r="OH42" s="67"/>
      <c r="OI42" s="67"/>
      <c r="OJ42" s="67"/>
      <c r="OK42" s="67"/>
      <c r="OL42" s="67"/>
      <c r="OM42" s="67"/>
      <c r="ON42" s="67"/>
      <c r="OO42" s="67"/>
      <c r="OP42" s="67"/>
      <c r="OQ42" s="67"/>
      <c r="OR42" s="67"/>
      <c r="OS42" s="67"/>
      <c r="OT42" s="67"/>
      <c r="OU42" s="67"/>
      <c r="OV42" s="67"/>
      <c r="OW42" s="67"/>
      <c r="OX42" s="67"/>
      <c r="OY42" s="67"/>
      <c r="OZ42" s="67"/>
      <c r="PA42" s="67"/>
      <c r="PB42" s="67"/>
      <c r="PC42" s="67"/>
      <c r="PD42" s="67"/>
      <c r="PE42" s="67"/>
      <c r="PF42" s="67"/>
      <c r="PG42" s="67"/>
      <c r="PH42" s="67"/>
      <c r="PI42" s="67"/>
      <c r="PJ42" s="67"/>
      <c r="PK42" s="67"/>
      <c r="PL42" s="67"/>
      <c r="PM42" s="67"/>
      <c r="PN42" s="67"/>
      <c r="PO42" s="67"/>
      <c r="PP42" s="67"/>
      <c r="PQ42" s="67"/>
      <c r="PR42" s="67"/>
      <c r="PS42" s="67"/>
      <c r="PT42" s="67"/>
      <c r="PU42" s="67"/>
      <c r="PV42" s="67"/>
      <c r="PW42" s="67"/>
      <c r="PX42" s="67"/>
      <c r="PY42" s="67"/>
      <c r="PZ42" s="67"/>
      <c r="QA42" s="67"/>
      <c r="QB42" s="67"/>
      <c r="QC42" s="67"/>
      <c r="QD42" s="67"/>
      <c r="QE42" s="67"/>
      <c r="QF42" s="67"/>
      <c r="QG42" s="67"/>
      <c r="QH42" s="67"/>
      <c r="QI42" s="67"/>
      <c r="QJ42" s="67"/>
      <c r="QK42" s="67"/>
      <c r="QL42" s="67"/>
      <c r="QM42" s="67"/>
      <c r="QN42" s="67"/>
      <c r="QO42" s="67"/>
      <c r="QP42" s="67"/>
      <c r="QQ42" s="67"/>
      <c r="QR42" s="67"/>
      <c r="QS42" s="67"/>
      <c r="QT42" s="67"/>
      <c r="QU42" s="67"/>
      <c r="QV42" s="67"/>
      <c r="QW42" s="67"/>
      <c r="QX42" s="67"/>
      <c r="QY42" s="67"/>
      <c r="QZ42" s="67"/>
      <c r="RA42" s="67"/>
      <c r="RB42" s="67"/>
      <c r="RC42" s="67"/>
      <c r="RD42" s="67"/>
      <c r="RE42" s="67"/>
      <c r="RF42" s="67"/>
      <c r="RG42" s="67"/>
      <c r="RH42" s="67"/>
      <c r="RI42" s="67"/>
      <c r="RJ42" s="67"/>
      <c r="RK42" s="67"/>
      <c r="RL42" s="67"/>
      <c r="RM42" s="67"/>
      <c r="RN42" s="67"/>
      <c r="RO42" s="67"/>
      <c r="RP42" s="67"/>
      <c r="RQ42" s="67"/>
      <c r="RR42" s="67"/>
      <c r="RS42" s="67"/>
      <c r="RT42" s="67"/>
      <c r="RU42" s="67"/>
      <c r="RV42" s="67"/>
      <c r="RW42" s="67"/>
      <c r="RX42" s="67"/>
      <c r="RY42" s="67"/>
      <c r="RZ42" s="67"/>
      <c r="SA42" s="67"/>
      <c r="SB42" s="67"/>
      <c r="SC42" s="67"/>
      <c r="SD42" s="67"/>
      <c r="SE42" s="67"/>
      <c r="SF42" s="67"/>
      <c r="SG42" s="67"/>
      <c r="SH42" s="67"/>
      <c r="SI42" s="67"/>
      <c r="SJ42" s="67"/>
      <c r="SK42" s="67"/>
      <c r="SL42" s="67"/>
      <c r="SM42" s="67"/>
      <c r="SN42" s="67"/>
      <c r="SO42" s="67"/>
      <c r="SP42" s="67"/>
      <c r="SQ42" s="67"/>
      <c r="SR42" s="67"/>
      <c r="SS42" s="67"/>
      <c r="ST42" s="67"/>
      <c r="SU42" s="67"/>
      <c r="SV42" s="67"/>
      <c r="SW42" s="67"/>
      <c r="SX42" s="67"/>
      <c r="SY42" s="67"/>
      <c r="SZ42" s="67"/>
      <c r="TA42" s="67"/>
      <c r="TB42" s="67"/>
      <c r="TC42" s="67"/>
      <c r="TD42" s="67"/>
      <c r="TE42" s="67"/>
      <c r="TF42" s="67"/>
      <c r="TG42" s="67"/>
      <c r="TH42" s="67"/>
      <c r="TI42" s="67"/>
      <c r="TJ42" s="67"/>
      <c r="TK42" s="67"/>
      <c r="TL42" s="67"/>
      <c r="TM42" s="67"/>
      <c r="TN42" s="67"/>
      <c r="TO42" s="67"/>
      <c r="TP42" s="67"/>
      <c r="TQ42" s="67"/>
      <c r="TR42" s="67"/>
      <c r="TS42" s="67"/>
      <c r="TT42" s="67"/>
      <c r="TU42" s="67"/>
      <c r="TV42" s="67"/>
      <c r="TW42" s="67"/>
      <c r="TX42" s="67"/>
      <c r="TY42" s="67"/>
      <c r="TZ42" s="67"/>
      <c r="UA42" s="67"/>
      <c r="UB42" s="67"/>
      <c r="UC42" s="67"/>
      <c r="UD42" s="67"/>
      <c r="UE42" s="67"/>
      <c r="UF42" s="67"/>
      <c r="UG42" s="67"/>
      <c r="UH42" s="67"/>
      <c r="UI42" s="67"/>
      <c r="UJ42" s="67"/>
      <c r="UK42" s="67"/>
      <c r="UL42" s="67"/>
      <c r="UM42" s="67"/>
      <c r="UN42" s="67"/>
      <c r="UO42" s="67"/>
      <c r="UP42" s="67"/>
      <c r="UQ42" s="67"/>
      <c r="UR42" s="67"/>
      <c r="US42" s="67"/>
      <c r="UT42" s="67"/>
      <c r="UU42" s="67"/>
      <c r="UV42" s="67"/>
      <c r="UW42" s="67"/>
      <c r="UX42" s="67"/>
      <c r="UY42" s="67"/>
      <c r="UZ42" s="67"/>
      <c r="VA42" s="67"/>
      <c r="VB42" s="67"/>
      <c r="VC42" s="67"/>
      <c r="VD42" s="67"/>
      <c r="VE42" s="67"/>
      <c r="VF42" s="67"/>
      <c r="VG42" s="67"/>
      <c r="VH42" s="67"/>
      <c r="VI42" s="67"/>
      <c r="VJ42" s="67"/>
      <c r="VK42" s="67"/>
      <c r="VL42" s="67"/>
      <c r="VM42" s="67"/>
      <c r="VN42" s="67"/>
      <c r="VO42" s="67"/>
      <c r="VP42" s="67"/>
      <c r="VQ42" s="67"/>
      <c r="VR42" s="67"/>
      <c r="VS42" s="67"/>
      <c r="VT42" s="67"/>
      <c r="VU42" s="67"/>
      <c r="VV42" s="67"/>
      <c r="VW42" s="67"/>
      <c r="VX42" s="67"/>
      <c r="VY42" s="67"/>
      <c r="WA42" s="68"/>
      <c r="WB42" s="68"/>
      <c r="WC42" s="68"/>
      <c r="WD42" s="68"/>
      <c r="WE42" s="68"/>
      <c r="WF42" s="68"/>
      <c r="WG42" s="68"/>
      <c r="WH42" s="68"/>
      <c r="WI42" s="84"/>
      <c r="WJ42" s="2"/>
      <c r="WK42" s="2"/>
    </row>
    <row r="43" spans="1:609" x14ac:dyDescent="0.25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7"/>
      <c r="LP43" s="67"/>
      <c r="LQ43" s="67"/>
      <c r="LR43" s="67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7"/>
      <c r="MF43" s="67"/>
      <c r="MG43" s="67"/>
      <c r="MH43" s="67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7"/>
      <c r="MV43" s="67"/>
      <c r="MW43" s="67"/>
      <c r="MX43" s="67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7"/>
      <c r="NL43" s="67"/>
      <c r="NM43" s="67"/>
      <c r="NN43" s="67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7"/>
      <c r="OB43" s="67"/>
      <c r="OC43" s="67"/>
      <c r="OD43" s="67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7"/>
      <c r="OR43" s="67"/>
      <c r="OS43" s="67"/>
      <c r="OT43" s="67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7"/>
      <c r="PH43" s="67"/>
      <c r="PI43" s="67"/>
      <c r="PJ43" s="67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7"/>
      <c r="PX43" s="67"/>
      <c r="PY43" s="67"/>
      <c r="PZ43" s="67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7"/>
      <c r="QN43" s="67"/>
      <c r="QO43" s="67"/>
      <c r="QP43" s="67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7"/>
      <c r="RD43" s="67"/>
      <c r="RE43" s="67"/>
      <c r="RF43" s="67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7"/>
      <c r="RT43" s="67"/>
      <c r="RU43" s="67"/>
      <c r="RV43" s="67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7"/>
      <c r="SJ43" s="67"/>
      <c r="SK43" s="67"/>
      <c r="SL43" s="67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7"/>
      <c r="SZ43" s="67"/>
      <c r="TA43" s="67"/>
      <c r="TB43" s="67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7"/>
      <c r="TP43" s="67"/>
      <c r="TQ43" s="67"/>
      <c r="TR43" s="67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7"/>
      <c r="UF43" s="67"/>
      <c r="UG43" s="67"/>
      <c r="UH43" s="67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7"/>
      <c r="UV43" s="67"/>
      <c r="UW43" s="67"/>
      <c r="UX43" s="67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7"/>
      <c r="VL43" s="67"/>
      <c r="VM43" s="67"/>
      <c r="VN43" s="67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WA43" s="68"/>
      <c r="WB43" s="68"/>
      <c r="WC43" s="68"/>
      <c r="WD43" s="68"/>
      <c r="WE43" s="68"/>
      <c r="WF43" s="68"/>
      <c r="WG43" s="68"/>
      <c r="WH43" s="68"/>
      <c r="WI43" s="84"/>
      <c r="WJ43" s="2"/>
      <c r="WK43" s="2"/>
    </row>
    <row r="44" spans="1:609" x14ac:dyDescent="0.25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7"/>
      <c r="LP44" s="67"/>
      <c r="LQ44" s="67"/>
      <c r="LR44" s="67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7"/>
      <c r="MF44" s="67"/>
      <c r="MG44" s="67"/>
      <c r="MH44" s="67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7"/>
      <c r="MV44" s="67"/>
      <c r="MW44" s="67"/>
      <c r="MX44" s="67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7"/>
      <c r="NL44" s="67"/>
      <c r="NM44" s="67"/>
      <c r="NN44" s="67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7"/>
      <c r="OB44" s="67"/>
      <c r="OC44" s="67"/>
      <c r="OD44" s="67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7"/>
      <c r="OR44" s="67"/>
      <c r="OS44" s="67"/>
      <c r="OT44" s="67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7"/>
      <c r="PH44" s="67"/>
      <c r="PI44" s="67"/>
      <c r="PJ44" s="67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7"/>
      <c r="PX44" s="67"/>
      <c r="PY44" s="67"/>
      <c r="PZ44" s="67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7"/>
      <c r="QN44" s="67"/>
      <c r="QO44" s="67"/>
      <c r="QP44" s="67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7"/>
      <c r="RD44" s="67"/>
      <c r="RE44" s="67"/>
      <c r="RF44" s="67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7"/>
      <c r="RT44" s="67"/>
      <c r="RU44" s="67"/>
      <c r="RV44" s="67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7"/>
      <c r="SJ44" s="67"/>
      <c r="SK44" s="67"/>
      <c r="SL44" s="67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7"/>
      <c r="SZ44" s="67"/>
      <c r="TA44" s="67"/>
      <c r="TB44" s="67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7"/>
      <c r="TP44" s="67"/>
      <c r="TQ44" s="67"/>
      <c r="TR44" s="67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7"/>
      <c r="UF44" s="67"/>
      <c r="UG44" s="67"/>
      <c r="UH44" s="67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7"/>
      <c r="UV44" s="67"/>
      <c r="UW44" s="67"/>
      <c r="UX44" s="67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7"/>
      <c r="VL44" s="67"/>
      <c r="VM44" s="67"/>
      <c r="VN44" s="67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WA44" s="68"/>
      <c r="WB44" s="68"/>
      <c r="WC44" s="68"/>
      <c r="WD44" s="68"/>
      <c r="WE44" s="68"/>
      <c r="WF44" s="68"/>
      <c r="WG44" s="68"/>
      <c r="WH44" s="68"/>
      <c r="WI44" s="84"/>
      <c r="WJ44" s="2"/>
      <c r="WK44" s="2"/>
    </row>
    <row r="45" spans="1:609" x14ac:dyDescent="0.25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  <c r="LH45" s="67"/>
      <c r="LI45" s="67"/>
      <c r="LJ45" s="67"/>
      <c r="LK45" s="67"/>
      <c r="LL45" s="67"/>
      <c r="LM45" s="67"/>
      <c r="LN45" s="67"/>
      <c r="LO45" s="67"/>
      <c r="LP45" s="67"/>
      <c r="LQ45" s="67"/>
      <c r="LR45" s="67"/>
      <c r="LS45" s="67"/>
      <c r="LT45" s="67"/>
      <c r="LU45" s="67"/>
      <c r="LV45" s="67"/>
      <c r="LW45" s="67"/>
      <c r="LX45" s="67"/>
      <c r="LY45" s="67"/>
      <c r="LZ45" s="67"/>
      <c r="MA45" s="67"/>
      <c r="MB45" s="67"/>
      <c r="MC45" s="67"/>
      <c r="MD45" s="67"/>
      <c r="ME45" s="67"/>
      <c r="MF45" s="67"/>
      <c r="MG45" s="67"/>
      <c r="MH45" s="67"/>
      <c r="MI45" s="67"/>
      <c r="MJ45" s="67"/>
      <c r="MK45" s="67"/>
      <c r="ML45" s="67"/>
      <c r="MM45" s="67"/>
      <c r="MN45" s="67"/>
      <c r="MO45" s="67"/>
      <c r="MP45" s="67"/>
      <c r="MQ45" s="67"/>
      <c r="MR45" s="67"/>
      <c r="MS45" s="67"/>
      <c r="MT45" s="67"/>
      <c r="MU45" s="67"/>
      <c r="MV45" s="67"/>
      <c r="MW45" s="67"/>
      <c r="MX45" s="67"/>
      <c r="MY45" s="67"/>
      <c r="MZ45" s="67"/>
      <c r="NA45" s="67"/>
      <c r="NB45" s="67"/>
      <c r="NC45" s="67"/>
      <c r="ND45" s="67"/>
      <c r="NE45" s="67"/>
      <c r="NF45" s="67"/>
      <c r="NG45" s="67"/>
      <c r="NH45" s="67"/>
      <c r="NI45" s="67"/>
      <c r="NJ45" s="67"/>
      <c r="NK45" s="67"/>
      <c r="NL45" s="67"/>
      <c r="NM45" s="67"/>
      <c r="NN45" s="67"/>
      <c r="NO45" s="67"/>
      <c r="NP45" s="67"/>
      <c r="NQ45" s="67"/>
      <c r="NR45" s="67"/>
      <c r="NS45" s="67"/>
      <c r="NT45" s="67"/>
      <c r="NU45" s="67"/>
      <c r="NV45" s="67"/>
      <c r="NW45" s="67"/>
      <c r="NX45" s="67"/>
      <c r="NY45" s="67"/>
      <c r="NZ45" s="67"/>
      <c r="OA45" s="67"/>
      <c r="OB45" s="67"/>
      <c r="OC45" s="67"/>
      <c r="OD45" s="67"/>
      <c r="OE45" s="67"/>
      <c r="OF45" s="67"/>
      <c r="OG45" s="67"/>
      <c r="OH45" s="67"/>
      <c r="OI45" s="67"/>
      <c r="OJ45" s="67"/>
      <c r="OK45" s="67"/>
      <c r="OL45" s="67"/>
      <c r="OM45" s="67"/>
      <c r="ON45" s="67"/>
      <c r="OO45" s="67"/>
      <c r="OP45" s="67"/>
      <c r="OQ45" s="67"/>
      <c r="OR45" s="67"/>
      <c r="OS45" s="67"/>
      <c r="OT45" s="67"/>
      <c r="OU45" s="67"/>
      <c r="OV45" s="67"/>
      <c r="OW45" s="67"/>
      <c r="OX45" s="67"/>
      <c r="OY45" s="67"/>
      <c r="OZ45" s="67"/>
      <c r="PA45" s="67"/>
      <c r="PB45" s="67"/>
      <c r="PC45" s="67"/>
      <c r="PD45" s="67"/>
      <c r="PE45" s="67"/>
      <c r="PF45" s="67"/>
      <c r="PG45" s="67"/>
      <c r="PH45" s="67"/>
      <c r="PI45" s="67"/>
      <c r="PJ45" s="67"/>
      <c r="PK45" s="67"/>
      <c r="PL45" s="67"/>
      <c r="PM45" s="67"/>
      <c r="PN45" s="67"/>
      <c r="PO45" s="67"/>
      <c r="PP45" s="67"/>
      <c r="PQ45" s="67"/>
      <c r="PR45" s="67"/>
      <c r="PS45" s="67"/>
      <c r="PT45" s="67"/>
      <c r="PU45" s="67"/>
      <c r="PV45" s="67"/>
      <c r="PW45" s="67"/>
      <c r="PX45" s="67"/>
      <c r="PY45" s="67"/>
      <c r="PZ45" s="67"/>
      <c r="QA45" s="67"/>
      <c r="QB45" s="67"/>
      <c r="QC45" s="67"/>
      <c r="QD45" s="67"/>
      <c r="QE45" s="67"/>
      <c r="QF45" s="67"/>
      <c r="QG45" s="67"/>
      <c r="QH45" s="67"/>
      <c r="QI45" s="67"/>
      <c r="QJ45" s="67"/>
      <c r="QK45" s="67"/>
      <c r="QL45" s="67"/>
      <c r="QM45" s="67"/>
      <c r="QN45" s="67"/>
      <c r="QO45" s="67"/>
      <c r="QP45" s="67"/>
      <c r="QQ45" s="67"/>
      <c r="QR45" s="67"/>
      <c r="QS45" s="67"/>
      <c r="QT45" s="67"/>
      <c r="QU45" s="67"/>
      <c r="QV45" s="67"/>
      <c r="QW45" s="67"/>
      <c r="QX45" s="67"/>
      <c r="QY45" s="67"/>
      <c r="QZ45" s="67"/>
      <c r="RA45" s="67"/>
      <c r="RB45" s="67"/>
      <c r="RC45" s="67"/>
      <c r="RD45" s="67"/>
      <c r="RE45" s="67"/>
      <c r="RF45" s="67"/>
      <c r="RG45" s="67"/>
      <c r="RH45" s="67"/>
      <c r="RI45" s="67"/>
      <c r="RJ45" s="67"/>
      <c r="RK45" s="67"/>
      <c r="RL45" s="67"/>
      <c r="RM45" s="67"/>
      <c r="RN45" s="67"/>
      <c r="RO45" s="67"/>
      <c r="RP45" s="67"/>
      <c r="RQ45" s="67"/>
      <c r="RR45" s="67"/>
      <c r="RS45" s="67"/>
      <c r="RT45" s="67"/>
      <c r="RU45" s="67"/>
      <c r="RV45" s="67"/>
      <c r="RW45" s="67"/>
      <c r="RX45" s="67"/>
      <c r="RY45" s="67"/>
      <c r="RZ45" s="67"/>
      <c r="SA45" s="67"/>
      <c r="SB45" s="67"/>
      <c r="SC45" s="67"/>
      <c r="SD45" s="67"/>
      <c r="SE45" s="67"/>
      <c r="SF45" s="67"/>
      <c r="SG45" s="67"/>
      <c r="SH45" s="67"/>
      <c r="SI45" s="67"/>
      <c r="SJ45" s="67"/>
      <c r="SK45" s="67"/>
      <c r="SL45" s="67"/>
      <c r="SM45" s="67"/>
      <c r="SN45" s="67"/>
      <c r="SO45" s="67"/>
      <c r="SP45" s="67"/>
      <c r="SQ45" s="67"/>
      <c r="SR45" s="67"/>
      <c r="SS45" s="67"/>
      <c r="ST45" s="67"/>
      <c r="SU45" s="67"/>
      <c r="SV45" s="67"/>
      <c r="SW45" s="67"/>
      <c r="SX45" s="67"/>
      <c r="SY45" s="67"/>
      <c r="SZ45" s="67"/>
      <c r="TA45" s="67"/>
      <c r="TB45" s="67"/>
      <c r="TC45" s="67"/>
      <c r="TD45" s="67"/>
      <c r="TE45" s="67"/>
      <c r="TF45" s="67"/>
      <c r="TG45" s="67"/>
      <c r="TH45" s="67"/>
      <c r="TI45" s="67"/>
      <c r="TJ45" s="67"/>
      <c r="TK45" s="67"/>
      <c r="TL45" s="67"/>
      <c r="TM45" s="67"/>
      <c r="TN45" s="67"/>
      <c r="TO45" s="67"/>
      <c r="TP45" s="67"/>
      <c r="TQ45" s="67"/>
      <c r="TR45" s="67"/>
      <c r="TS45" s="67"/>
      <c r="TT45" s="67"/>
      <c r="TU45" s="67"/>
      <c r="TV45" s="67"/>
      <c r="TW45" s="67"/>
      <c r="TX45" s="67"/>
      <c r="TY45" s="67"/>
      <c r="TZ45" s="67"/>
      <c r="UA45" s="67"/>
      <c r="UB45" s="67"/>
      <c r="UC45" s="67"/>
      <c r="UD45" s="67"/>
      <c r="UE45" s="67"/>
      <c r="UF45" s="67"/>
      <c r="UG45" s="67"/>
      <c r="UH45" s="67"/>
      <c r="UI45" s="67"/>
      <c r="UJ45" s="67"/>
      <c r="UK45" s="67"/>
      <c r="UL45" s="67"/>
      <c r="UM45" s="67"/>
      <c r="UN45" s="67"/>
      <c r="UO45" s="67"/>
      <c r="UP45" s="67"/>
      <c r="UQ45" s="67"/>
      <c r="UR45" s="67"/>
      <c r="US45" s="67"/>
      <c r="UT45" s="67"/>
      <c r="UU45" s="67"/>
      <c r="UV45" s="67"/>
      <c r="UW45" s="67"/>
      <c r="UX45" s="67"/>
      <c r="UY45" s="67"/>
      <c r="UZ45" s="67"/>
      <c r="VA45" s="67"/>
      <c r="VB45" s="67"/>
      <c r="VC45" s="67"/>
      <c r="VD45" s="67"/>
      <c r="VE45" s="67"/>
      <c r="VF45" s="67"/>
      <c r="VG45" s="67"/>
      <c r="VH45" s="67"/>
      <c r="VI45" s="67"/>
      <c r="VJ45" s="67"/>
      <c r="VK45" s="67"/>
      <c r="VL45" s="67"/>
      <c r="VM45" s="67"/>
      <c r="VN45" s="67"/>
      <c r="VO45" s="67"/>
      <c r="VP45" s="67"/>
      <c r="VQ45" s="67"/>
      <c r="VR45" s="67"/>
      <c r="VS45" s="67"/>
      <c r="VT45" s="67"/>
      <c r="VU45" s="67"/>
      <c r="VV45" s="67"/>
      <c r="VW45" s="67"/>
      <c r="VX45" s="67"/>
      <c r="VY45" s="67"/>
      <c r="WA45" s="68"/>
      <c r="WB45" s="68"/>
      <c r="WC45" s="68"/>
      <c r="WD45" s="68"/>
      <c r="WE45" s="68"/>
      <c r="WF45" s="68"/>
      <c r="WG45" s="68"/>
      <c r="WH45" s="68"/>
      <c r="WI45" s="84"/>
      <c r="WJ45" s="2"/>
      <c r="WK45" s="2"/>
    </row>
    <row r="46" spans="1:609" x14ac:dyDescent="0.25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7"/>
      <c r="KH46" s="67"/>
      <c r="KI46" s="67"/>
      <c r="KJ46" s="67"/>
      <c r="KK46" s="67"/>
      <c r="KL46" s="67"/>
      <c r="KM46" s="67"/>
      <c r="KN46" s="67"/>
      <c r="KO46" s="67"/>
      <c r="KP46" s="67"/>
      <c r="KQ46" s="67"/>
      <c r="KR46" s="67"/>
      <c r="KS46" s="67"/>
      <c r="KT46" s="67"/>
      <c r="KU46" s="67"/>
      <c r="KV46" s="67"/>
      <c r="KW46" s="67"/>
      <c r="KX46" s="67"/>
      <c r="KY46" s="67"/>
      <c r="KZ46" s="67"/>
      <c r="LA46" s="67"/>
      <c r="LB46" s="67"/>
      <c r="LC46" s="67"/>
      <c r="LD46" s="67"/>
      <c r="LE46" s="67"/>
      <c r="LF46" s="67"/>
      <c r="LG46" s="67"/>
      <c r="LH46" s="67"/>
      <c r="LI46" s="67"/>
      <c r="LJ46" s="67"/>
      <c r="LK46" s="67"/>
      <c r="LL46" s="67"/>
      <c r="LM46" s="67"/>
      <c r="LN46" s="67"/>
      <c r="LO46" s="67"/>
      <c r="LP46" s="67"/>
      <c r="LQ46" s="67"/>
      <c r="LR46" s="67"/>
      <c r="LS46" s="67"/>
      <c r="LT46" s="67"/>
      <c r="LU46" s="67"/>
      <c r="LV46" s="67"/>
      <c r="LW46" s="67"/>
      <c r="LX46" s="67"/>
      <c r="LY46" s="67"/>
      <c r="LZ46" s="67"/>
      <c r="MA46" s="67"/>
      <c r="MB46" s="67"/>
      <c r="MC46" s="67"/>
      <c r="MD46" s="67"/>
      <c r="ME46" s="67"/>
      <c r="MF46" s="67"/>
      <c r="MG46" s="67"/>
      <c r="MH46" s="67"/>
      <c r="MI46" s="67"/>
      <c r="MJ46" s="67"/>
      <c r="MK46" s="67"/>
      <c r="ML46" s="67"/>
      <c r="MM46" s="67"/>
      <c r="MN46" s="67"/>
      <c r="MO46" s="67"/>
      <c r="MP46" s="67"/>
      <c r="MQ46" s="67"/>
      <c r="MR46" s="67"/>
      <c r="MS46" s="67"/>
      <c r="MT46" s="67"/>
      <c r="MU46" s="67"/>
      <c r="MV46" s="67"/>
      <c r="MW46" s="67"/>
      <c r="MX46" s="67"/>
      <c r="MY46" s="67"/>
      <c r="MZ46" s="67"/>
      <c r="NA46" s="67"/>
      <c r="NB46" s="67"/>
      <c r="NC46" s="67"/>
      <c r="ND46" s="67"/>
      <c r="NE46" s="67"/>
      <c r="NF46" s="67"/>
      <c r="NG46" s="67"/>
      <c r="NH46" s="67"/>
      <c r="NI46" s="67"/>
      <c r="NJ46" s="67"/>
      <c r="NK46" s="67"/>
      <c r="NL46" s="67"/>
      <c r="NM46" s="67"/>
      <c r="NN46" s="67"/>
      <c r="NO46" s="67"/>
      <c r="NP46" s="67"/>
      <c r="NQ46" s="67"/>
      <c r="NR46" s="67"/>
      <c r="NS46" s="67"/>
      <c r="NT46" s="67"/>
      <c r="NU46" s="67"/>
      <c r="NV46" s="67"/>
      <c r="NW46" s="67"/>
      <c r="NX46" s="67"/>
      <c r="NY46" s="67"/>
      <c r="NZ46" s="67"/>
      <c r="OA46" s="67"/>
      <c r="OB46" s="67"/>
      <c r="OC46" s="67"/>
      <c r="OD46" s="67"/>
      <c r="OE46" s="67"/>
      <c r="OF46" s="67"/>
      <c r="OG46" s="67"/>
      <c r="OH46" s="67"/>
      <c r="OI46" s="67"/>
      <c r="OJ46" s="67"/>
      <c r="OK46" s="67"/>
      <c r="OL46" s="67"/>
      <c r="OM46" s="67"/>
      <c r="ON46" s="67"/>
      <c r="OO46" s="67"/>
      <c r="OP46" s="67"/>
      <c r="OQ46" s="67"/>
      <c r="OR46" s="67"/>
      <c r="OS46" s="67"/>
      <c r="OT46" s="67"/>
      <c r="OU46" s="67"/>
      <c r="OV46" s="67"/>
      <c r="OW46" s="67"/>
      <c r="OX46" s="67"/>
      <c r="OY46" s="67"/>
      <c r="OZ46" s="67"/>
      <c r="PA46" s="67"/>
      <c r="PB46" s="67"/>
      <c r="PC46" s="67"/>
      <c r="PD46" s="67"/>
      <c r="PE46" s="67"/>
      <c r="PF46" s="67"/>
      <c r="PG46" s="67"/>
      <c r="PH46" s="67"/>
      <c r="PI46" s="67"/>
      <c r="PJ46" s="67"/>
      <c r="PK46" s="67"/>
      <c r="PL46" s="67"/>
      <c r="PM46" s="67"/>
      <c r="PN46" s="67"/>
      <c r="PO46" s="67"/>
      <c r="PP46" s="67"/>
      <c r="PQ46" s="67"/>
      <c r="PR46" s="67"/>
      <c r="PS46" s="67"/>
      <c r="PT46" s="67"/>
      <c r="PU46" s="67"/>
      <c r="PV46" s="67"/>
      <c r="PW46" s="67"/>
      <c r="PX46" s="67"/>
      <c r="PY46" s="67"/>
      <c r="PZ46" s="67"/>
      <c r="QA46" s="67"/>
      <c r="QB46" s="67"/>
      <c r="QC46" s="67"/>
      <c r="QD46" s="67"/>
      <c r="QE46" s="67"/>
      <c r="QF46" s="67"/>
      <c r="QG46" s="67"/>
      <c r="QH46" s="67"/>
      <c r="QI46" s="67"/>
      <c r="QJ46" s="67"/>
      <c r="QK46" s="67"/>
      <c r="QL46" s="67"/>
      <c r="QM46" s="67"/>
      <c r="QN46" s="67"/>
      <c r="QO46" s="67"/>
      <c r="QP46" s="67"/>
      <c r="QQ46" s="67"/>
      <c r="QR46" s="67"/>
      <c r="QS46" s="67"/>
      <c r="QT46" s="67"/>
      <c r="QU46" s="67"/>
      <c r="QV46" s="67"/>
      <c r="QW46" s="67"/>
      <c r="QX46" s="67"/>
      <c r="QY46" s="67"/>
      <c r="QZ46" s="67"/>
      <c r="RA46" s="67"/>
      <c r="RB46" s="67"/>
      <c r="RC46" s="67"/>
      <c r="RD46" s="67"/>
      <c r="RE46" s="67"/>
      <c r="RF46" s="67"/>
      <c r="RG46" s="67"/>
      <c r="RH46" s="67"/>
      <c r="RI46" s="67"/>
      <c r="RJ46" s="67"/>
      <c r="RK46" s="67"/>
      <c r="RL46" s="67"/>
      <c r="RM46" s="67"/>
      <c r="RN46" s="67"/>
      <c r="RO46" s="67"/>
      <c r="RP46" s="67"/>
      <c r="RQ46" s="67"/>
      <c r="RR46" s="67"/>
      <c r="RS46" s="67"/>
      <c r="RT46" s="67"/>
      <c r="RU46" s="67"/>
      <c r="RV46" s="67"/>
      <c r="RW46" s="67"/>
      <c r="RX46" s="67"/>
      <c r="RY46" s="67"/>
      <c r="RZ46" s="67"/>
      <c r="SA46" s="67"/>
      <c r="SB46" s="67"/>
      <c r="SC46" s="67"/>
      <c r="SD46" s="67"/>
      <c r="SE46" s="67"/>
      <c r="SF46" s="67"/>
      <c r="SG46" s="67"/>
      <c r="SH46" s="67"/>
      <c r="SI46" s="67"/>
      <c r="SJ46" s="67"/>
      <c r="SK46" s="67"/>
      <c r="SL46" s="67"/>
      <c r="SM46" s="67"/>
      <c r="SN46" s="67"/>
      <c r="SO46" s="67"/>
      <c r="SP46" s="67"/>
      <c r="SQ46" s="67"/>
      <c r="SR46" s="67"/>
      <c r="SS46" s="67"/>
      <c r="ST46" s="67"/>
      <c r="SU46" s="67"/>
      <c r="SV46" s="67"/>
      <c r="SW46" s="67"/>
      <c r="SX46" s="67"/>
      <c r="SY46" s="67"/>
      <c r="SZ46" s="67"/>
      <c r="TA46" s="67"/>
      <c r="TB46" s="67"/>
      <c r="TC46" s="67"/>
      <c r="TD46" s="67"/>
      <c r="TE46" s="67"/>
      <c r="TF46" s="67"/>
      <c r="TG46" s="67"/>
      <c r="TH46" s="67"/>
      <c r="TI46" s="67"/>
      <c r="TJ46" s="67"/>
      <c r="TK46" s="67"/>
      <c r="TL46" s="67"/>
      <c r="TM46" s="67"/>
      <c r="TN46" s="67"/>
      <c r="TO46" s="67"/>
      <c r="TP46" s="67"/>
      <c r="TQ46" s="67"/>
      <c r="TR46" s="67"/>
      <c r="TS46" s="67"/>
      <c r="TT46" s="67"/>
      <c r="TU46" s="67"/>
      <c r="TV46" s="67"/>
      <c r="TW46" s="67"/>
      <c r="TX46" s="67"/>
      <c r="TY46" s="67"/>
      <c r="TZ46" s="67"/>
      <c r="UA46" s="67"/>
      <c r="UB46" s="67"/>
      <c r="UC46" s="67"/>
      <c r="UD46" s="67"/>
      <c r="UE46" s="67"/>
      <c r="UF46" s="67"/>
      <c r="UG46" s="67"/>
      <c r="UH46" s="67"/>
      <c r="UI46" s="67"/>
      <c r="UJ46" s="67"/>
      <c r="UK46" s="67"/>
      <c r="UL46" s="67"/>
      <c r="UM46" s="67"/>
      <c r="UN46" s="67"/>
      <c r="UO46" s="67"/>
      <c r="UP46" s="67"/>
      <c r="UQ46" s="67"/>
      <c r="UR46" s="67"/>
      <c r="US46" s="67"/>
      <c r="UT46" s="67"/>
      <c r="UU46" s="67"/>
      <c r="UV46" s="67"/>
      <c r="UW46" s="67"/>
      <c r="UX46" s="67"/>
      <c r="UY46" s="67"/>
      <c r="UZ46" s="67"/>
      <c r="VA46" s="67"/>
      <c r="VB46" s="67"/>
      <c r="VC46" s="67"/>
      <c r="VD46" s="67"/>
      <c r="VE46" s="67"/>
      <c r="VF46" s="67"/>
      <c r="VG46" s="67"/>
      <c r="VH46" s="67"/>
      <c r="VI46" s="67"/>
      <c r="VJ46" s="67"/>
      <c r="VK46" s="67"/>
      <c r="VL46" s="67"/>
      <c r="VM46" s="67"/>
      <c r="VN46" s="67"/>
      <c r="VO46" s="67"/>
      <c r="VP46" s="67"/>
      <c r="VQ46" s="67"/>
      <c r="VR46" s="67"/>
      <c r="VS46" s="67"/>
      <c r="VT46" s="67"/>
      <c r="VU46" s="67"/>
      <c r="VV46" s="67"/>
      <c r="VW46" s="67"/>
      <c r="VX46" s="67"/>
      <c r="VY46" s="67"/>
      <c r="WA46" s="68"/>
      <c r="WB46" s="68"/>
      <c r="WC46" s="68"/>
      <c r="WD46" s="68"/>
      <c r="WE46" s="68"/>
      <c r="WF46" s="68"/>
      <c r="WG46" s="68"/>
      <c r="WH46" s="68"/>
      <c r="WI46" s="84"/>
      <c r="WJ46" s="2"/>
      <c r="WK46" s="2"/>
    </row>
    <row r="47" spans="1:609" x14ac:dyDescent="0.25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  <c r="FG47" s="67"/>
      <c r="FH47" s="67"/>
      <c r="FI47" s="67"/>
      <c r="FJ47" s="67"/>
      <c r="FK47" s="67"/>
      <c r="FL47" s="67"/>
      <c r="FM47" s="67"/>
      <c r="FN47" s="67"/>
      <c r="FO47" s="67"/>
      <c r="FP47" s="67"/>
      <c r="FQ47" s="67"/>
      <c r="FR47" s="67"/>
      <c r="FS47" s="67"/>
      <c r="FT47" s="67"/>
      <c r="FU47" s="67"/>
      <c r="FV47" s="67"/>
      <c r="FW47" s="67"/>
      <c r="FX47" s="67"/>
      <c r="FY47" s="67"/>
      <c r="FZ47" s="67"/>
      <c r="GA47" s="67"/>
      <c r="GB47" s="67"/>
      <c r="GC47" s="67"/>
      <c r="GD47" s="67"/>
      <c r="GE47" s="67"/>
      <c r="GF47" s="67"/>
      <c r="GG47" s="67"/>
      <c r="GH47" s="67"/>
      <c r="GI47" s="67"/>
      <c r="GJ47" s="67"/>
      <c r="GK47" s="67"/>
      <c r="GL47" s="67"/>
      <c r="GM47" s="67"/>
      <c r="GN47" s="67"/>
      <c r="GO47" s="67"/>
      <c r="GP47" s="67"/>
      <c r="GQ47" s="67"/>
      <c r="GR47" s="67"/>
      <c r="GS47" s="67"/>
      <c r="GT47" s="67"/>
      <c r="GU47" s="67"/>
      <c r="GV47" s="67"/>
      <c r="GW47" s="67"/>
      <c r="GX47" s="67"/>
      <c r="GY47" s="67"/>
      <c r="GZ47" s="67"/>
      <c r="HA47" s="67"/>
      <c r="HB47" s="67"/>
      <c r="HC47" s="67"/>
      <c r="HD47" s="67"/>
      <c r="HE47" s="67"/>
      <c r="HF47" s="67"/>
      <c r="HG47" s="67"/>
      <c r="HH47" s="67"/>
      <c r="HI47" s="67"/>
      <c r="HJ47" s="67"/>
      <c r="HK47" s="67"/>
      <c r="HL47" s="67"/>
      <c r="HM47" s="67"/>
      <c r="HN47" s="67"/>
      <c r="HO47" s="67"/>
      <c r="HP47" s="67"/>
      <c r="HQ47" s="67"/>
      <c r="HR47" s="67"/>
      <c r="HS47" s="67"/>
      <c r="HT47" s="67"/>
      <c r="HU47" s="67"/>
      <c r="HV47" s="67"/>
      <c r="HW47" s="67"/>
      <c r="HX47" s="67"/>
      <c r="HY47" s="67"/>
      <c r="HZ47" s="67"/>
      <c r="IA47" s="67"/>
      <c r="IB47" s="67"/>
      <c r="IC47" s="67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  <c r="JD47" s="67"/>
      <c r="JE47" s="67"/>
      <c r="JF47" s="67"/>
      <c r="JG47" s="67"/>
      <c r="JH47" s="67"/>
      <c r="JI47" s="67"/>
      <c r="JJ47" s="67"/>
      <c r="JK47" s="67"/>
      <c r="JL47" s="67"/>
      <c r="JM47" s="67"/>
      <c r="JN47" s="67"/>
      <c r="JO47" s="67"/>
      <c r="JP47" s="67"/>
      <c r="JQ47" s="67"/>
      <c r="JR47" s="67"/>
      <c r="JS47" s="67"/>
      <c r="JT47" s="67"/>
      <c r="JU47" s="67"/>
      <c r="JV47" s="67"/>
      <c r="JW47" s="67"/>
      <c r="JX47" s="67"/>
      <c r="JY47" s="67"/>
      <c r="JZ47" s="67"/>
      <c r="KA47" s="67"/>
      <c r="KB47" s="67"/>
      <c r="KC47" s="67"/>
      <c r="KD47" s="67"/>
      <c r="KE47" s="67"/>
      <c r="KF47" s="67"/>
      <c r="KG47" s="67"/>
      <c r="KH47" s="67"/>
      <c r="KI47" s="67"/>
      <c r="KJ47" s="67"/>
      <c r="KK47" s="67"/>
      <c r="KL47" s="67"/>
      <c r="KM47" s="67"/>
      <c r="KN47" s="67"/>
      <c r="KO47" s="67"/>
      <c r="KP47" s="67"/>
      <c r="KQ47" s="67"/>
      <c r="KR47" s="67"/>
      <c r="KS47" s="67"/>
      <c r="KT47" s="67"/>
      <c r="KU47" s="67"/>
      <c r="KV47" s="67"/>
      <c r="KW47" s="67"/>
      <c r="KX47" s="67"/>
      <c r="KY47" s="67"/>
      <c r="KZ47" s="67"/>
      <c r="LA47" s="67"/>
      <c r="LB47" s="67"/>
      <c r="LC47" s="67"/>
      <c r="LD47" s="67"/>
      <c r="LE47" s="67"/>
      <c r="LF47" s="67"/>
      <c r="LG47" s="67"/>
      <c r="LH47" s="67"/>
      <c r="LI47" s="67"/>
      <c r="LJ47" s="67"/>
      <c r="LK47" s="67"/>
      <c r="LL47" s="67"/>
      <c r="LM47" s="67"/>
      <c r="LN47" s="67"/>
      <c r="LO47" s="67"/>
      <c r="LP47" s="67"/>
      <c r="LQ47" s="67"/>
      <c r="LR47" s="67"/>
      <c r="LS47" s="67"/>
      <c r="LT47" s="67"/>
      <c r="LU47" s="67"/>
      <c r="LV47" s="67"/>
      <c r="LW47" s="67"/>
      <c r="LX47" s="67"/>
      <c r="LY47" s="67"/>
      <c r="LZ47" s="67"/>
      <c r="MA47" s="67"/>
      <c r="MB47" s="67"/>
      <c r="MC47" s="67"/>
      <c r="MD47" s="67"/>
      <c r="ME47" s="67"/>
      <c r="MF47" s="67"/>
      <c r="MG47" s="67"/>
      <c r="MH47" s="67"/>
      <c r="MI47" s="67"/>
      <c r="MJ47" s="67"/>
      <c r="MK47" s="67"/>
      <c r="ML47" s="67"/>
      <c r="MM47" s="67"/>
      <c r="MN47" s="67"/>
      <c r="MO47" s="67"/>
      <c r="MP47" s="67"/>
      <c r="MQ47" s="67"/>
      <c r="MR47" s="67"/>
      <c r="MS47" s="67"/>
      <c r="MT47" s="67"/>
      <c r="MU47" s="67"/>
      <c r="MV47" s="67"/>
      <c r="MW47" s="67"/>
      <c r="MX47" s="67"/>
      <c r="MY47" s="67"/>
      <c r="MZ47" s="67"/>
      <c r="NA47" s="67"/>
      <c r="NB47" s="67"/>
      <c r="NC47" s="67"/>
      <c r="ND47" s="67"/>
      <c r="NE47" s="67"/>
      <c r="NF47" s="67"/>
      <c r="NG47" s="67"/>
      <c r="NH47" s="67"/>
      <c r="NI47" s="67"/>
      <c r="NJ47" s="67"/>
      <c r="NK47" s="67"/>
      <c r="NL47" s="67"/>
      <c r="NM47" s="67"/>
      <c r="NN47" s="67"/>
      <c r="NO47" s="67"/>
      <c r="NP47" s="67"/>
      <c r="NQ47" s="67"/>
      <c r="NR47" s="67"/>
      <c r="NS47" s="67"/>
      <c r="NT47" s="67"/>
      <c r="NU47" s="67"/>
      <c r="NV47" s="67"/>
      <c r="NW47" s="67"/>
      <c r="NX47" s="67"/>
      <c r="NY47" s="67"/>
      <c r="NZ47" s="67"/>
      <c r="OA47" s="67"/>
      <c r="OB47" s="67"/>
      <c r="OC47" s="67"/>
      <c r="OD47" s="67"/>
      <c r="OE47" s="67"/>
      <c r="OF47" s="67"/>
      <c r="OG47" s="67"/>
      <c r="OH47" s="67"/>
      <c r="OI47" s="67"/>
      <c r="OJ47" s="67"/>
      <c r="OK47" s="67"/>
      <c r="OL47" s="67"/>
      <c r="OM47" s="67"/>
      <c r="ON47" s="67"/>
      <c r="OO47" s="67"/>
      <c r="OP47" s="67"/>
      <c r="OQ47" s="67"/>
      <c r="OR47" s="67"/>
      <c r="OS47" s="67"/>
      <c r="OT47" s="67"/>
      <c r="OU47" s="67"/>
      <c r="OV47" s="67"/>
      <c r="OW47" s="67"/>
      <c r="OX47" s="67"/>
      <c r="OY47" s="67"/>
      <c r="OZ47" s="67"/>
      <c r="PA47" s="67"/>
      <c r="PB47" s="67"/>
      <c r="PC47" s="67"/>
      <c r="PD47" s="67"/>
      <c r="PE47" s="67"/>
      <c r="PF47" s="67"/>
      <c r="PG47" s="67"/>
      <c r="PH47" s="67"/>
      <c r="PI47" s="67"/>
      <c r="PJ47" s="67"/>
      <c r="PK47" s="67"/>
      <c r="PL47" s="67"/>
      <c r="PM47" s="67"/>
      <c r="PN47" s="67"/>
      <c r="PO47" s="67"/>
      <c r="PP47" s="67"/>
      <c r="PQ47" s="67"/>
      <c r="PR47" s="67"/>
      <c r="PS47" s="67"/>
      <c r="PT47" s="67"/>
      <c r="PU47" s="67"/>
      <c r="PV47" s="67"/>
      <c r="PW47" s="67"/>
      <c r="PX47" s="67"/>
      <c r="PY47" s="67"/>
      <c r="PZ47" s="67"/>
      <c r="QA47" s="67"/>
      <c r="QB47" s="67"/>
      <c r="QC47" s="67"/>
      <c r="QD47" s="67"/>
      <c r="QE47" s="67"/>
      <c r="QF47" s="67"/>
      <c r="QG47" s="67"/>
      <c r="QH47" s="67"/>
      <c r="QI47" s="67"/>
      <c r="QJ47" s="67"/>
      <c r="QK47" s="67"/>
      <c r="QL47" s="67"/>
      <c r="QM47" s="67"/>
      <c r="QN47" s="67"/>
      <c r="QO47" s="67"/>
      <c r="QP47" s="67"/>
      <c r="QQ47" s="67"/>
      <c r="QR47" s="67"/>
      <c r="QS47" s="67"/>
      <c r="QT47" s="67"/>
      <c r="QU47" s="67"/>
      <c r="QV47" s="67"/>
      <c r="QW47" s="67"/>
      <c r="QX47" s="67"/>
      <c r="QY47" s="67"/>
      <c r="QZ47" s="67"/>
      <c r="RA47" s="67"/>
      <c r="RB47" s="67"/>
      <c r="RC47" s="67"/>
      <c r="RD47" s="67"/>
      <c r="RE47" s="67"/>
      <c r="RF47" s="67"/>
      <c r="RG47" s="67"/>
      <c r="RH47" s="67"/>
      <c r="RI47" s="67"/>
      <c r="RJ47" s="67"/>
      <c r="RK47" s="67"/>
      <c r="RL47" s="67"/>
      <c r="RM47" s="67"/>
      <c r="RN47" s="67"/>
      <c r="RO47" s="67"/>
      <c r="RP47" s="67"/>
      <c r="RQ47" s="67"/>
      <c r="RR47" s="67"/>
      <c r="RS47" s="67"/>
      <c r="RT47" s="67"/>
      <c r="RU47" s="67"/>
      <c r="RV47" s="67"/>
      <c r="RW47" s="67"/>
      <c r="RX47" s="67"/>
      <c r="RY47" s="67"/>
      <c r="RZ47" s="67"/>
      <c r="SA47" s="67"/>
      <c r="SB47" s="67"/>
      <c r="SC47" s="67"/>
      <c r="SD47" s="67"/>
      <c r="SE47" s="67"/>
      <c r="SF47" s="67"/>
      <c r="SG47" s="67"/>
      <c r="SH47" s="67"/>
      <c r="SI47" s="67"/>
      <c r="SJ47" s="67"/>
      <c r="SK47" s="67"/>
      <c r="SL47" s="67"/>
      <c r="SM47" s="67"/>
      <c r="SN47" s="67"/>
      <c r="SO47" s="67"/>
      <c r="SP47" s="67"/>
      <c r="SQ47" s="67"/>
      <c r="SR47" s="67"/>
      <c r="SS47" s="67"/>
      <c r="ST47" s="67"/>
      <c r="SU47" s="67"/>
      <c r="SV47" s="67"/>
      <c r="SW47" s="67"/>
      <c r="SX47" s="67"/>
      <c r="SY47" s="67"/>
      <c r="SZ47" s="67"/>
      <c r="TA47" s="67"/>
      <c r="TB47" s="67"/>
      <c r="TC47" s="67"/>
      <c r="TD47" s="67"/>
      <c r="TE47" s="67"/>
      <c r="TF47" s="67"/>
      <c r="TG47" s="67"/>
      <c r="TH47" s="67"/>
      <c r="TI47" s="67"/>
      <c r="TJ47" s="67"/>
      <c r="TK47" s="67"/>
      <c r="TL47" s="67"/>
      <c r="TM47" s="67"/>
      <c r="TN47" s="67"/>
      <c r="TO47" s="67"/>
      <c r="TP47" s="67"/>
      <c r="TQ47" s="67"/>
      <c r="TR47" s="67"/>
      <c r="TS47" s="67"/>
      <c r="TT47" s="67"/>
      <c r="TU47" s="67"/>
      <c r="TV47" s="67"/>
      <c r="TW47" s="67"/>
      <c r="TX47" s="67"/>
      <c r="TY47" s="67"/>
      <c r="TZ47" s="67"/>
      <c r="UA47" s="67"/>
      <c r="UB47" s="67"/>
      <c r="UC47" s="67"/>
      <c r="UD47" s="67"/>
      <c r="UE47" s="67"/>
      <c r="UF47" s="67"/>
      <c r="UG47" s="67"/>
      <c r="UH47" s="67"/>
      <c r="UI47" s="67"/>
      <c r="UJ47" s="67"/>
      <c r="UK47" s="67"/>
      <c r="UL47" s="67"/>
      <c r="UM47" s="67"/>
      <c r="UN47" s="67"/>
      <c r="UO47" s="67"/>
      <c r="UP47" s="67"/>
      <c r="UQ47" s="67"/>
      <c r="UR47" s="67"/>
      <c r="US47" s="67"/>
      <c r="UT47" s="67"/>
      <c r="UU47" s="67"/>
      <c r="UV47" s="67"/>
      <c r="UW47" s="67"/>
      <c r="UX47" s="67"/>
      <c r="UY47" s="67"/>
      <c r="UZ47" s="67"/>
      <c r="VA47" s="67"/>
      <c r="VB47" s="67"/>
      <c r="VC47" s="67"/>
      <c r="VD47" s="67"/>
      <c r="VE47" s="67"/>
      <c r="VF47" s="67"/>
      <c r="VG47" s="67"/>
      <c r="VH47" s="67"/>
      <c r="VI47" s="67"/>
      <c r="VJ47" s="67"/>
      <c r="VK47" s="67"/>
      <c r="VL47" s="67"/>
      <c r="VM47" s="67"/>
      <c r="VN47" s="67"/>
      <c r="VO47" s="67"/>
      <c r="VP47" s="67"/>
      <c r="VQ47" s="67"/>
      <c r="VR47" s="67"/>
      <c r="VS47" s="67"/>
      <c r="VT47" s="67"/>
      <c r="VU47" s="67"/>
      <c r="VV47" s="67"/>
      <c r="VW47" s="67"/>
      <c r="VX47" s="67"/>
      <c r="VY47" s="67"/>
      <c r="WA47" s="68"/>
      <c r="WB47" s="68"/>
      <c r="WC47" s="68"/>
      <c r="WD47" s="68"/>
      <c r="WE47" s="68"/>
      <c r="WF47" s="68"/>
      <c r="WG47" s="68"/>
      <c r="WH47" s="68"/>
      <c r="WI47" s="84"/>
      <c r="WJ47" s="2"/>
      <c r="WK47" s="2"/>
    </row>
    <row r="48" spans="1:609" x14ac:dyDescent="0.25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  <c r="FG48" s="67"/>
      <c r="FH48" s="67"/>
      <c r="FI48" s="67"/>
      <c r="FJ48" s="67"/>
      <c r="FK48" s="67"/>
      <c r="FL48" s="67"/>
      <c r="FM48" s="67"/>
      <c r="FN48" s="67"/>
      <c r="FO48" s="67"/>
      <c r="FP48" s="67"/>
      <c r="FQ48" s="67"/>
      <c r="FR48" s="67"/>
      <c r="FS48" s="67"/>
      <c r="FT48" s="67"/>
      <c r="FU48" s="67"/>
      <c r="FV48" s="67"/>
      <c r="FW48" s="67"/>
      <c r="FX48" s="67"/>
      <c r="FY48" s="67"/>
      <c r="FZ48" s="67"/>
      <c r="GA48" s="67"/>
      <c r="GB48" s="67"/>
      <c r="GC48" s="67"/>
      <c r="GD48" s="67"/>
      <c r="GE48" s="67"/>
      <c r="GF48" s="67"/>
      <c r="GG48" s="67"/>
      <c r="GH48" s="67"/>
      <c r="GI48" s="67"/>
      <c r="GJ48" s="67"/>
      <c r="GK48" s="67"/>
      <c r="GL48" s="67"/>
      <c r="GM48" s="67"/>
      <c r="GN48" s="67"/>
      <c r="GO48" s="67"/>
      <c r="GP48" s="67"/>
      <c r="GQ48" s="67"/>
      <c r="GR48" s="67"/>
      <c r="GS48" s="67"/>
      <c r="GT48" s="67"/>
      <c r="GU48" s="67"/>
      <c r="GV48" s="67"/>
      <c r="GW48" s="67"/>
      <c r="GX48" s="67"/>
      <c r="GY48" s="67"/>
      <c r="GZ48" s="67"/>
      <c r="HA48" s="67"/>
      <c r="HB48" s="67"/>
      <c r="HC48" s="67"/>
      <c r="HD48" s="67"/>
      <c r="HE48" s="67"/>
      <c r="HF48" s="67"/>
      <c r="HG48" s="67"/>
      <c r="HH48" s="67"/>
      <c r="HI48" s="67"/>
      <c r="HJ48" s="67"/>
      <c r="HK48" s="67"/>
      <c r="HL48" s="67"/>
      <c r="HM48" s="67"/>
      <c r="HN48" s="67"/>
      <c r="HO48" s="67"/>
      <c r="HP48" s="67"/>
      <c r="HQ48" s="67"/>
      <c r="HR48" s="67"/>
      <c r="HS48" s="67"/>
      <c r="HT48" s="67"/>
      <c r="HU48" s="67"/>
      <c r="HV48" s="67"/>
      <c r="HW48" s="67"/>
      <c r="HX48" s="67"/>
      <c r="HY48" s="67"/>
      <c r="HZ48" s="67"/>
      <c r="IA48" s="67"/>
      <c r="IB48" s="67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  <c r="LG48" s="67"/>
      <c r="LH48" s="67"/>
      <c r="LI48" s="67"/>
      <c r="LJ48" s="67"/>
      <c r="LK48" s="67"/>
      <c r="LL48" s="67"/>
      <c r="LM48" s="67"/>
      <c r="LN48" s="67"/>
      <c r="LO48" s="67"/>
      <c r="LP48" s="67"/>
      <c r="LQ48" s="67"/>
      <c r="LR48" s="67"/>
      <c r="LS48" s="67"/>
      <c r="LT48" s="67"/>
      <c r="LU48" s="67"/>
      <c r="LV48" s="67"/>
      <c r="LW48" s="67"/>
      <c r="LX48" s="67"/>
      <c r="LY48" s="67"/>
      <c r="LZ48" s="67"/>
      <c r="MA48" s="67"/>
      <c r="MB48" s="67"/>
      <c r="MC48" s="67"/>
      <c r="MD48" s="67"/>
      <c r="ME48" s="67"/>
      <c r="MF48" s="67"/>
      <c r="MG48" s="67"/>
      <c r="MH48" s="67"/>
      <c r="MI48" s="67"/>
      <c r="MJ48" s="67"/>
      <c r="MK48" s="67"/>
      <c r="ML48" s="67"/>
      <c r="MM48" s="67"/>
      <c r="MN48" s="67"/>
      <c r="MO48" s="67"/>
      <c r="MP48" s="67"/>
      <c r="MQ48" s="67"/>
      <c r="MR48" s="67"/>
      <c r="MS48" s="67"/>
      <c r="MT48" s="67"/>
      <c r="MU48" s="67"/>
      <c r="MV48" s="67"/>
      <c r="MW48" s="67"/>
      <c r="MX48" s="67"/>
      <c r="MY48" s="67"/>
      <c r="MZ48" s="67"/>
      <c r="NA48" s="67"/>
      <c r="NB48" s="67"/>
      <c r="NC48" s="67"/>
      <c r="ND48" s="67"/>
      <c r="NE48" s="67"/>
      <c r="NF48" s="67"/>
      <c r="NG48" s="67"/>
      <c r="NH48" s="67"/>
      <c r="NI48" s="67"/>
      <c r="NJ48" s="67"/>
      <c r="NK48" s="67"/>
      <c r="NL48" s="67"/>
      <c r="NM48" s="67"/>
      <c r="NN48" s="67"/>
      <c r="NO48" s="67"/>
      <c r="NP48" s="67"/>
      <c r="NQ48" s="67"/>
      <c r="NR48" s="67"/>
      <c r="NS48" s="67"/>
      <c r="NT48" s="67"/>
      <c r="NU48" s="67"/>
      <c r="NV48" s="67"/>
      <c r="NW48" s="67"/>
      <c r="NX48" s="67"/>
      <c r="NY48" s="67"/>
      <c r="NZ48" s="67"/>
      <c r="OA48" s="67"/>
      <c r="OB48" s="67"/>
      <c r="OC48" s="67"/>
      <c r="OD48" s="67"/>
      <c r="OE48" s="67"/>
      <c r="OF48" s="67"/>
      <c r="OG48" s="67"/>
      <c r="OH48" s="67"/>
      <c r="OI48" s="67"/>
      <c r="OJ48" s="67"/>
      <c r="OK48" s="67"/>
      <c r="OL48" s="67"/>
      <c r="OM48" s="67"/>
      <c r="ON48" s="67"/>
      <c r="OO48" s="67"/>
      <c r="OP48" s="67"/>
      <c r="OQ48" s="67"/>
      <c r="OR48" s="67"/>
      <c r="OS48" s="67"/>
      <c r="OT48" s="67"/>
      <c r="OU48" s="67"/>
      <c r="OV48" s="67"/>
      <c r="OW48" s="67"/>
      <c r="OX48" s="67"/>
      <c r="OY48" s="67"/>
      <c r="OZ48" s="67"/>
      <c r="PA48" s="67"/>
      <c r="PB48" s="67"/>
      <c r="PC48" s="67"/>
      <c r="PD48" s="67"/>
      <c r="PE48" s="67"/>
      <c r="PF48" s="67"/>
      <c r="PG48" s="67"/>
      <c r="PH48" s="67"/>
      <c r="PI48" s="67"/>
      <c r="PJ48" s="67"/>
      <c r="PK48" s="67"/>
      <c r="PL48" s="67"/>
      <c r="PM48" s="67"/>
      <c r="PN48" s="67"/>
      <c r="PO48" s="67"/>
      <c r="PP48" s="67"/>
      <c r="PQ48" s="67"/>
      <c r="PR48" s="67"/>
      <c r="PS48" s="67"/>
      <c r="PT48" s="67"/>
      <c r="PU48" s="67"/>
      <c r="PV48" s="67"/>
      <c r="PW48" s="67"/>
      <c r="PX48" s="67"/>
      <c r="PY48" s="67"/>
      <c r="PZ48" s="67"/>
      <c r="QA48" s="67"/>
      <c r="QB48" s="67"/>
      <c r="QC48" s="67"/>
      <c r="QD48" s="67"/>
      <c r="QE48" s="67"/>
      <c r="QF48" s="67"/>
      <c r="QG48" s="67"/>
      <c r="QH48" s="67"/>
      <c r="QI48" s="67"/>
      <c r="QJ48" s="67"/>
      <c r="QK48" s="67"/>
      <c r="QL48" s="67"/>
      <c r="QM48" s="67"/>
      <c r="QN48" s="67"/>
      <c r="QO48" s="67"/>
      <c r="QP48" s="67"/>
      <c r="QQ48" s="67"/>
      <c r="QR48" s="67"/>
      <c r="QS48" s="67"/>
      <c r="QT48" s="67"/>
      <c r="QU48" s="67"/>
      <c r="QV48" s="67"/>
      <c r="QW48" s="67"/>
      <c r="QX48" s="67"/>
      <c r="QY48" s="67"/>
      <c r="QZ48" s="67"/>
      <c r="RA48" s="67"/>
      <c r="RB48" s="67"/>
      <c r="RC48" s="67"/>
      <c r="RD48" s="67"/>
      <c r="RE48" s="67"/>
      <c r="RF48" s="67"/>
      <c r="RG48" s="67"/>
      <c r="RH48" s="67"/>
      <c r="RI48" s="67"/>
      <c r="RJ48" s="67"/>
      <c r="RK48" s="67"/>
      <c r="RL48" s="67"/>
      <c r="RM48" s="67"/>
      <c r="RN48" s="67"/>
      <c r="RO48" s="67"/>
      <c r="RP48" s="67"/>
      <c r="RQ48" s="67"/>
      <c r="RR48" s="67"/>
      <c r="RS48" s="67"/>
      <c r="RT48" s="67"/>
      <c r="RU48" s="67"/>
      <c r="RV48" s="67"/>
      <c r="RW48" s="67"/>
      <c r="RX48" s="67"/>
      <c r="RY48" s="67"/>
      <c r="RZ48" s="67"/>
      <c r="SA48" s="67"/>
      <c r="SB48" s="67"/>
      <c r="SC48" s="67"/>
      <c r="SD48" s="67"/>
      <c r="SE48" s="67"/>
      <c r="SF48" s="67"/>
      <c r="SG48" s="67"/>
      <c r="SH48" s="67"/>
      <c r="SI48" s="67"/>
      <c r="SJ48" s="67"/>
      <c r="SK48" s="67"/>
      <c r="SL48" s="67"/>
      <c r="SM48" s="67"/>
      <c r="SN48" s="67"/>
      <c r="SO48" s="67"/>
      <c r="SP48" s="67"/>
      <c r="SQ48" s="67"/>
      <c r="SR48" s="67"/>
      <c r="SS48" s="67"/>
      <c r="ST48" s="67"/>
      <c r="SU48" s="67"/>
      <c r="SV48" s="67"/>
      <c r="SW48" s="67"/>
      <c r="SX48" s="67"/>
      <c r="SY48" s="67"/>
      <c r="SZ48" s="67"/>
      <c r="TA48" s="67"/>
      <c r="TB48" s="67"/>
      <c r="TC48" s="67"/>
      <c r="TD48" s="67"/>
      <c r="TE48" s="67"/>
      <c r="TF48" s="67"/>
      <c r="TG48" s="67"/>
      <c r="TH48" s="67"/>
      <c r="TI48" s="67"/>
      <c r="TJ48" s="67"/>
      <c r="TK48" s="67"/>
      <c r="TL48" s="67"/>
      <c r="TM48" s="67"/>
      <c r="TN48" s="67"/>
      <c r="TO48" s="67"/>
      <c r="TP48" s="67"/>
      <c r="TQ48" s="67"/>
      <c r="TR48" s="67"/>
      <c r="TS48" s="67"/>
      <c r="TT48" s="67"/>
      <c r="TU48" s="67"/>
      <c r="TV48" s="67"/>
      <c r="TW48" s="67"/>
      <c r="TX48" s="67"/>
      <c r="TY48" s="67"/>
      <c r="TZ48" s="67"/>
      <c r="UA48" s="67"/>
      <c r="UB48" s="67"/>
      <c r="UC48" s="67"/>
      <c r="UD48" s="67"/>
      <c r="UE48" s="67"/>
      <c r="UF48" s="67"/>
      <c r="UG48" s="67"/>
      <c r="UH48" s="67"/>
      <c r="UI48" s="67"/>
      <c r="UJ48" s="67"/>
      <c r="UK48" s="67"/>
      <c r="UL48" s="67"/>
      <c r="UM48" s="67"/>
      <c r="UN48" s="67"/>
      <c r="UO48" s="67"/>
      <c r="UP48" s="67"/>
      <c r="UQ48" s="67"/>
      <c r="UR48" s="67"/>
      <c r="US48" s="67"/>
      <c r="UT48" s="67"/>
      <c r="UU48" s="67"/>
      <c r="UV48" s="67"/>
      <c r="UW48" s="67"/>
      <c r="UX48" s="67"/>
      <c r="UY48" s="67"/>
      <c r="UZ48" s="67"/>
      <c r="VA48" s="67"/>
      <c r="VB48" s="67"/>
      <c r="VC48" s="67"/>
      <c r="VD48" s="67"/>
      <c r="VE48" s="67"/>
      <c r="VF48" s="67"/>
      <c r="VG48" s="67"/>
      <c r="VH48" s="67"/>
      <c r="VI48" s="67"/>
      <c r="VJ48" s="67"/>
      <c r="VK48" s="67"/>
      <c r="VL48" s="67"/>
      <c r="VM48" s="67"/>
      <c r="VN48" s="67"/>
      <c r="VO48" s="67"/>
      <c r="VP48" s="67"/>
      <c r="VQ48" s="67"/>
      <c r="VR48" s="67"/>
      <c r="VS48" s="67"/>
      <c r="VT48" s="67"/>
      <c r="VU48" s="67"/>
      <c r="VV48" s="67"/>
      <c r="VW48" s="67"/>
      <c r="VX48" s="67"/>
      <c r="VY48" s="67"/>
      <c r="WA48" s="68"/>
      <c r="WB48" s="68"/>
      <c r="WC48" s="68"/>
      <c r="WD48" s="68"/>
      <c r="WE48" s="68"/>
      <c r="WF48" s="68"/>
      <c r="WG48" s="68"/>
      <c r="WH48" s="68"/>
      <c r="WI48" s="84"/>
      <c r="WJ48" s="2"/>
      <c r="WK48" s="2"/>
    </row>
    <row r="49" spans="1:609" x14ac:dyDescent="0.25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  <c r="EO49" s="67"/>
      <c r="EP49" s="67"/>
      <c r="EQ49" s="67"/>
      <c r="ER49" s="67"/>
      <c r="ES49" s="67"/>
      <c r="ET49" s="67"/>
      <c r="EU49" s="67"/>
      <c r="EV49" s="67"/>
      <c r="EW49" s="67"/>
      <c r="EX49" s="67"/>
      <c r="EY49" s="67"/>
      <c r="EZ49" s="67"/>
      <c r="FA49" s="67"/>
      <c r="FB49" s="67"/>
      <c r="FC49" s="67"/>
      <c r="FD49" s="67"/>
      <c r="FE49" s="67"/>
      <c r="FF49" s="67"/>
      <c r="FG49" s="67"/>
      <c r="FH49" s="67"/>
      <c r="FI49" s="67"/>
      <c r="FJ49" s="67"/>
      <c r="FK49" s="67"/>
      <c r="FL49" s="67"/>
      <c r="FM49" s="67"/>
      <c r="FN49" s="67"/>
      <c r="FO49" s="67"/>
      <c r="FP49" s="67"/>
      <c r="FQ49" s="67"/>
      <c r="FR49" s="67"/>
      <c r="FS49" s="67"/>
      <c r="FT49" s="67"/>
      <c r="FU49" s="67"/>
      <c r="FV49" s="67"/>
      <c r="FW49" s="67"/>
      <c r="FX49" s="67"/>
      <c r="FY49" s="67"/>
      <c r="FZ49" s="67"/>
      <c r="GA49" s="67"/>
      <c r="GB49" s="67"/>
      <c r="GC49" s="67"/>
      <c r="GD49" s="67"/>
      <c r="GE49" s="67"/>
      <c r="GF49" s="67"/>
      <c r="GG49" s="67"/>
      <c r="GH49" s="67"/>
      <c r="GI49" s="67"/>
      <c r="GJ49" s="67"/>
      <c r="GK49" s="67"/>
      <c r="GL49" s="67"/>
      <c r="GM49" s="67"/>
      <c r="GN49" s="67"/>
      <c r="GO49" s="67"/>
      <c r="GP49" s="67"/>
      <c r="GQ49" s="67"/>
      <c r="GR49" s="67"/>
      <c r="GS49" s="67"/>
      <c r="GT49" s="67"/>
      <c r="GU49" s="67"/>
      <c r="GV49" s="67"/>
      <c r="GW49" s="67"/>
      <c r="GX49" s="67"/>
      <c r="GY49" s="67"/>
      <c r="GZ49" s="67"/>
      <c r="HA49" s="67"/>
      <c r="HB49" s="67"/>
      <c r="HC49" s="67"/>
      <c r="HD49" s="67"/>
      <c r="HE49" s="67"/>
      <c r="HF49" s="67"/>
      <c r="HG49" s="67"/>
      <c r="HH49" s="67"/>
      <c r="HI49" s="67"/>
      <c r="HJ49" s="67"/>
      <c r="HK49" s="67"/>
      <c r="HL49" s="67"/>
      <c r="HM49" s="67"/>
      <c r="HN49" s="67"/>
      <c r="HO49" s="67"/>
      <c r="HP49" s="67"/>
      <c r="HQ49" s="67"/>
      <c r="HR49" s="67"/>
      <c r="HS49" s="67"/>
      <c r="HT49" s="67"/>
      <c r="HU49" s="67"/>
      <c r="HV49" s="67"/>
      <c r="HW49" s="67"/>
      <c r="HX49" s="67"/>
      <c r="HY49" s="67"/>
      <c r="HZ49" s="67"/>
      <c r="IA49" s="67"/>
      <c r="IB49" s="67"/>
      <c r="IC49" s="67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  <c r="LG49" s="67"/>
      <c r="LH49" s="67"/>
      <c r="LI49" s="67"/>
      <c r="LJ49" s="67"/>
      <c r="LK49" s="67"/>
      <c r="LL49" s="67"/>
      <c r="LM49" s="67"/>
      <c r="LN49" s="67"/>
      <c r="LO49" s="67"/>
      <c r="LP49" s="67"/>
      <c r="LQ49" s="67"/>
      <c r="LR49" s="67"/>
      <c r="LS49" s="67"/>
      <c r="LT49" s="67"/>
      <c r="LU49" s="67"/>
      <c r="LV49" s="67"/>
      <c r="LW49" s="67"/>
      <c r="LX49" s="67"/>
      <c r="LY49" s="67"/>
      <c r="LZ49" s="67"/>
      <c r="MA49" s="67"/>
      <c r="MB49" s="67"/>
      <c r="MC49" s="67"/>
      <c r="MD49" s="67"/>
      <c r="ME49" s="67"/>
      <c r="MF49" s="67"/>
      <c r="MG49" s="67"/>
      <c r="MH49" s="67"/>
      <c r="MI49" s="67"/>
      <c r="MJ49" s="67"/>
      <c r="MK49" s="67"/>
      <c r="ML49" s="67"/>
      <c r="MM49" s="67"/>
      <c r="MN49" s="67"/>
      <c r="MO49" s="67"/>
      <c r="MP49" s="67"/>
      <c r="MQ49" s="67"/>
      <c r="MR49" s="67"/>
      <c r="MS49" s="67"/>
      <c r="MT49" s="67"/>
      <c r="MU49" s="67"/>
      <c r="MV49" s="67"/>
      <c r="MW49" s="67"/>
      <c r="MX49" s="67"/>
      <c r="MY49" s="67"/>
      <c r="MZ49" s="67"/>
      <c r="NA49" s="67"/>
      <c r="NB49" s="67"/>
      <c r="NC49" s="67"/>
      <c r="ND49" s="67"/>
      <c r="NE49" s="67"/>
      <c r="NF49" s="67"/>
      <c r="NG49" s="67"/>
      <c r="NH49" s="67"/>
      <c r="NI49" s="67"/>
      <c r="NJ49" s="67"/>
      <c r="NK49" s="67"/>
      <c r="NL49" s="67"/>
      <c r="NM49" s="67"/>
      <c r="NN49" s="67"/>
      <c r="NO49" s="67"/>
      <c r="NP49" s="67"/>
      <c r="NQ49" s="67"/>
      <c r="NR49" s="67"/>
      <c r="NS49" s="67"/>
      <c r="NT49" s="67"/>
      <c r="NU49" s="67"/>
      <c r="NV49" s="67"/>
      <c r="NW49" s="67"/>
      <c r="NX49" s="67"/>
      <c r="NY49" s="67"/>
      <c r="NZ49" s="67"/>
      <c r="OA49" s="67"/>
      <c r="OB49" s="67"/>
      <c r="OC49" s="67"/>
      <c r="OD49" s="67"/>
      <c r="OE49" s="67"/>
      <c r="OF49" s="67"/>
      <c r="OG49" s="67"/>
      <c r="OH49" s="67"/>
      <c r="OI49" s="67"/>
      <c r="OJ49" s="67"/>
      <c r="OK49" s="67"/>
      <c r="OL49" s="67"/>
      <c r="OM49" s="67"/>
      <c r="ON49" s="67"/>
      <c r="OO49" s="67"/>
      <c r="OP49" s="67"/>
      <c r="OQ49" s="67"/>
      <c r="OR49" s="67"/>
      <c r="OS49" s="67"/>
      <c r="OT49" s="67"/>
      <c r="OU49" s="67"/>
      <c r="OV49" s="67"/>
      <c r="OW49" s="67"/>
      <c r="OX49" s="67"/>
      <c r="OY49" s="67"/>
      <c r="OZ49" s="67"/>
      <c r="PA49" s="67"/>
      <c r="PB49" s="67"/>
      <c r="PC49" s="67"/>
      <c r="PD49" s="67"/>
      <c r="PE49" s="67"/>
      <c r="PF49" s="67"/>
      <c r="PG49" s="67"/>
      <c r="PH49" s="67"/>
      <c r="PI49" s="67"/>
      <c r="PJ49" s="67"/>
      <c r="PK49" s="67"/>
      <c r="PL49" s="67"/>
      <c r="PM49" s="67"/>
      <c r="PN49" s="67"/>
      <c r="PO49" s="67"/>
      <c r="PP49" s="67"/>
      <c r="PQ49" s="67"/>
      <c r="PR49" s="67"/>
      <c r="PS49" s="67"/>
      <c r="PT49" s="67"/>
      <c r="PU49" s="67"/>
      <c r="PV49" s="67"/>
      <c r="PW49" s="67"/>
      <c r="PX49" s="67"/>
      <c r="PY49" s="67"/>
      <c r="PZ49" s="67"/>
      <c r="QA49" s="67"/>
      <c r="QB49" s="67"/>
      <c r="QC49" s="67"/>
      <c r="QD49" s="67"/>
      <c r="QE49" s="67"/>
      <c r="QF49" s="67"/>
      <c r="QG49" s="67"/>
      <c r="QH49" s="67"/>
      <c r="QI49" s="67"/>
      <c r="QJ49" s="67"/>
      <c r="QK49" s="67"/>
      <c r="QL49" s="67"/>
      <c r="QM49" s="67"/>
      <c r="QN49" s="67"/>
      <c r="QO49" s="67"/>
      <c r="QP49" s="67"/>
      <c r="QQ49" s="67"/>
      <c r="QR49" s="67"/>
      <c r="QS49" s="67"/>
      <c r="QT49" s="67"/>
      <c r="QU49" s="67"/>
      <c r="QV49" s="67"/>
      <c r="QW49" s="67"/>
      <c r="QX49" s="67"/>
      <c r="QY49" s="67"/>
      <c r="QZ49" s="67"/>
      <c r="RA49" s="67"/>
      <c r="RB49" s="67"/>
      <c r="RC49" s="67"/>
      <c r="RD49" s="67"/>
      <c r="RE49" s="67"/>
      <c r="RF49" s="67"/>
      <c r="RG49" s="67"/>
      <c r="RH49" s="67"/>
      <c r="RI49" s="67"/>
      <c r="RJ49" s="67"/>
      <c r="RK49" s="67"/>
      <c r="RL49" s="67"/>
      <c r="RM49" s="67"/>
      <c r="RN49" s="67"/>
      <c r="RO49" s="67"/>
      <c r="RP49" s="67"/>
      <c r="RQ49" s="67"/>
      <c r="RR49" s="67"/>
      <c r="RS49" s="67"/>
      <c r="RT49" s="67"/>
      <c r="RU49" s="67"/>
      <c r="RV49" s="67"/>
      <c r="RW49" s="67"/>
      <c r="RX49" s="67"/>
      <c r="RY49" s="67"/>
      <c r="RZ49" s="67"/>
      <c r="SA49" s="67"/>
      <c r="SB49" s="67"/>
      <c r="SC49" s="67"/>
      <c r="SD49" s="67"/>
      <c r="SE49" s="67"/>
      <c r="SF49" s="67"/>
      <c r="SG49" s="67"/>
      <c r="SH49" s="67"/>
      <c r="SI49" s="67"/>
      <c r="SJ49" s="67"/>
      <c r="SK49" s="67"/>
      <c r="SL49" s="67"/>
      <c r="SM49" s="67"/>
      <c r="SN49" s="67"/>
      <c r="SO49" s="67"/>
      <c r="SP49" s="67"/>
      <c r="SQ49" s="67"/>
      <c r="SR49" s="67"/>
      <c r="SS49" s="67"/>
      <c r="ST49" s="67"/>
      <c r="SU49" s="67"/>
      <c r="SV49" s="67"/>
      <c r="SW49" s="67"/>
      <c r="SX49" s="67"/>
      <c r="SY49" s="67"/>
      <c r="SZ49" s="67"/>
      <c r="TA49" s="67"/>
      <c r="TB49" s="67"/>
      <c r="TC49" s="67"/>
      <c r="TD49" s="67"/>
      <c r="TE49" s="67"/>
      <c r="TF49" s="67"/>
      <c r="TG49" s="67"/>
      <c r="TH49" s="67"/>
      <c r="TI49" s="67"/>
      <c r="TJ49" s="67"/>
      <c r="TK49" s="67"/>
      <c r="TL49" s="67"/>
      <c r="TM49" s="67"/>
      <c r="TN49" s="67"/>
      <c r="TO49" s="67"/>
      <c r="TP49" s="67"/>
      <c r="TQ49" s="67"/>
      <c r="TR49" s="67"/>
      <c r="TS49" s="67"/>
      <c r="TT49" s="67"/>
      <c r="TU49" s="67"/>
      <c r="TV49" s="67"/>
      <c r="TW49" s="67"/>
      <c r="TX49" s="67"/>
      <c r="TY49" s="67"/>
      <c r="TZ49" s="67"/>
      <c r="UA49" s="67"/>
      <c r="UB49" s="67"/>
      <c r="UC49" s="67"/>
      <c r="UD49" s="67"/>
      <c r="UE49" s="67"/>
      <c r="UF49" s="67"/>
      <c r="UG49" s="67"/>
      <c r="UH49" s="67"/>
      <c r="UI49" s="67"/>
      <c r="UJ49" s="67"/>
      <c r="UK49" s="67"/>
      <c r="UL49" s="67"/>
      <c r="UM49" s="67"/>
      <c r="UN49" s="67"/>
      <c r="UO49" s="67"/>
      <c r="UP49" s="67"/>
      <c r="UQ49" s="67"/>
      <c r="UR49" s="67"/>
      <c r="US49" s="67"/>
      <c r="UT49" s="67"/>
      <c r="UU49" s="67"/>
      <c r="UV49" s="67"/>
      <c r="UW49" s="67"/>
      <c r="UX49" s="67"/>
      <c r="UY49" s="67"/>
      <c r="UZ49" s="67"/>
      <c r="VA49" s="67"/>
      <c r="VB49" s="67"/>
      <c r="VC49" s="67"/>
      <c r="VD49" s="67"/>
      <c r="VE49" s="67"/>
      <c r="VF49" s="67"/>
      <c r="VG49" s="67"/>
      <c r="VH49" s="67"/>
      <c r="VI49" s="67"/>
      <c r="VJ49" s="67"/>
      <c r="VK49" s="67"/>
      <c r="VL49" s="67"/>
      <c r="VM49" s="67"/>
      <c r="VN49" s="67"/>
      <c r="VO49" s="67"/>
      <c r="VP49" s="67"/>
      <c r="VQ49" s="67"/>
      <c r="VR49" s="67"/>
      <c r="VS49" s="67"/>
      <c r="VT49" s="67"/>
      <c r="VU49" s="67"/>
      <c r="VV49" s="67"/>
      <c r="VW49" s="67"/>
      <c r="VX49" s="67"/>
      <c r="VY49" s="67"/>
      <c r="WA49" s="68"/>
      <c r="WB49" s="68"/>
      <c r="WC49" s="68"/>
      <c r="WD49" s="68"/>
      <c r="WE49" s="68"/>
      <c r="WF49" s="68"/>
      <c r="WG49" s="68"/>
      <c r="WH49" s="68"/>
      <c r="WI49" s="84"/>
      <c r="WJ49" s="2"/>
      <c r="WK49" s="2"/>
    </row>
    <row r="50" spans="1:609" x14ac:dyDescent="0.25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  <c r="EO50" s="67"/>
      <c r="EP50" s="67"/>
      <c r="EQ50" s="67"/>
      <c r="ER50" s="67"/>
      <c r="ES50" s="67"/>
      <c r="ET50" s="67"/>
      <c r="EU50" s="67"/>
      <c r="EV50" s="67"/>
      <c r="EW50" s="67"/>
      <c r="EX50" s="67"/>
      <c r="EY50" s="67"/>
      <c r="EZ50" s="67"/>
      <c r="FA50" s="67"/>
      <c r="FB50" s="67"/>
      <c r="FC50" s="67"/>
      <c r="FD50" s="67"/>
      <c r="FE50" s="67"/>
      <c r="FF50" s="67"/>
      <c r="FG50" s="67"/>
      <c r="FH50" s="67"/>
      <c r="FI50" s="67"/>
      <c r="FJ50" s="67"/>
      <c r="FK50" s="67"/>
      <c r="FL50" s="67"/>
      <c r="FM50" s="67"/>
      <c r="FN50" s="67"/>
      <c r="FO50" s="67"/>
      <c r="FP50" s="67"/>
      <c r="FQ50" s="67"/>
      <c r="FR50" s="67"/>
      <c r="FS50" s="67"/>
      <c r="FT50" s="67"/>
      <c r="FU50" s="67"/>
      <c r="FV50" s="67"/>
      <c r="FW50" s="67"/>
      <c r="FX50" s="67"/>
      <c r="FY50" s="67"/>
      <c r="FZ50" s="67"/>
      <c r="GA50" s="67"/>
      <c r="GB50" s="67"/>
      <c r="GC50" s="67"/>
      <c r="GD50" s="67"/>
      <c r="GE50" s="67"/>
      <c r="GF50" s="67"/>
      <c r="GG50" s="67"/>
      <c r="GH50" s="67"/>
      <c r="GI50" s="67"/>
      <c r="GJ50" s="67"/>
      <c r="GK50" s="67"/>
      <c r="GL50" s="67"/>
      <c r="GM50" s="67"/>
      <c r="GN50" s="67"/>
      <c r="GO50" s="67"/>
      <c r="GP50" s="67"/>
      <c r="GQ50" s="67"/>
      <c r="GR50" s="67"/>
      <c r="GS50" s="67"/>
      <c r="GT50" s="67"/>
      <c r="GU50" s="67"/>
      <c r="GV50" s="67"/>
      <c r="GW50" s="67"/>
      <c r="GX50" s="67"/>
      <c r="GY50" s="67"/>
      <c r="GZ50" s="67"/>
      <c r="HA50" s="67"/>
      <c r="HB50" s="67"/>
      <c r="HC50" s="67"/>
      <c r="HD50" s="67"/>
      <c r="HE50" s="67"/>
      <c r="HF50" s="67"/>
      <c r="HG50" s="67"/>
      <c r="HH50" s="67"/>
      <c r="HI50" s="67"/>
      <c r="HJ50" s="67"/>
      <c r="HK50" s="67"/>
      <c r="HL50" s="67"/>
      <c r="HM50" s="67"/>
      <c r="HN50" s="67"/>
      <c r="HO50" s="67"/>
      <c r="HP50" s="67"/>
      <c r="HQ50" s="67"/>
      <c r="HR50" s="67"/>
      <c r="HS50" s="67"/>
      <c r="HT50" s="67"/>
      <c r="HU50" s="67"/>
      <c r="HV50" s="67"/>
      <c r="HW50" s="67"/>
      <c r="HX50" s="67"/>
      <c r="HY50" s="67"/>
      <c r="HZ50" s="67"/>
      <c r="IA50" s="67"/>
      <c r="IB50" s="67"/>
      <c r="IC50" s="67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  <c r="JD50" s="67"/>
      <c r="JE50" s="67"/>
      <c r="JF50" s="67"/>
      <c r="JG50" s="67"/>
      <c r="JH50" s="67"/>
      <c r="JI50" s="67"/>
      <c r="JJ50" s="67"/>
      <c r="JK50" s="67"/>
      <c r="JL50" s="67"/>
      <c r="JM50" s="67"/>
      <c r="JN50" s="67"/>
      <c r="JO50" s="67"/>
      <c r="JP50" s="67"/>
      <c r="JQ50" s="67"/>
      <c r="JR50" s="67"/>
      <c r="JS50" s="67"/>
      <c r="JT50" s="67"/>
      <c r="JU50" s="67"/>
      <c r="JV50" s="67"/>
      <c r="JW50" s="67"/>
      <c r="JX50" s="67"/>
      <c r="JY50" s="67"/>
      <c r="JZ50" s="67"/>
      <c r="KA50" s="67"/>
      <c r="KB50" s="67"/>
      <c r="KC50" s="67"/>
      <c r="KD50" s="67"/>
      <c r="KE50" s="67"/>
      <c r="KF50" s="67"/>
      <c r="KG50" s="67"/>
      <c r="KH50" s="67"/>
      <c r="KI50" s="67"/>
      <c r="KJ50" s="67"/>
      <c r="KK50" s="67"/>
      <c r="KL50" s="67"/>
      <c r="KM50" s="67"/>
      <c r="KN50" s="67"/>
      <c r="KO50" s="67"/>
      <c r="KP50" s="67"/>
      <c r="KQ50" s="67"/>
      <c r="KR50" s="67"/>
      <c r="KS50" s="67"/>
      <c r="KT50" s="67"/>
      <c r="KU50" s="67"/>
      <c r="KV50" s="67"/>
      <c r="KW50" s="67"/>
      <c r="KX50" s="67"/>
      <c r="KY50" s="67"/>
      <c r="KZ50" s="67"/>
      <c r="LA50" s="67"/>
      <c r="LB50" s="67"/>
      <c r="LC50" s="67"/>
      <c r="LD50" s="67"/>
      <c r="LE50" s="67"/>
      <c r="LF50" s="67"/>
      <c r="LG50" s="67"/>
      <c r="LH50" s="67"/>
      <c r="LI50" s="67"/>
      <c r="LJ50" s="67"/>
      <c r="LK50" s="67"/>
      <c r="LL50" s="67"/>
      <c r="LM50" s="67"/>
      <c r="LN50" s="67"/>
      <c r="LO50" s="67"/>
      <c r="LP50" s="67"/>
      <c r="LQ50" s="67"/>
      <c r="LR50" s="67"/>
      <c r="LS50" s="67"/>
      <c r="LT50" s="67"/>
      <c r="LU50" s="67"/>
      <c r="LV50" s="67"/>
      <c r="LW50" s="67"/>
      <c r="LX50" s="67"/>
      <c r="LY50" s="67"/>
      <c r="LZ50" s="67"/>
      <c r="MA50" s="67"/>
      <c r="MB50" s="67"/>
      <c r="MC50" s="67"/>
      <c r="MD50" s="67"/>
      <c r="ME50" s="67"/>
      <c r="MF50" s="67"/>
      <c r="MG50" s="67"/>
      <c r="MH50" s="67"/>
      <c r="MI50" s="67"/>
      <c r="MJ50" s="67"/>
      <c r="MK50" s="67"/>
      <c r="ML50" s="67"/>
      <c r="MM50" s="67"/>
      <c r="MN50" s="67"/>
      <c r="MO50" s="67"/>
      <c r="MP50" s="67"/>
      <c r="MQ50" s="67"/>
      <c r="MR50" s="67"/>
      <c r="MS50" s="67"/>
      <c r="MT50" s="67"/>
      <c r="MU50" s="67"/>
      <c r="MV50" s="67"/>
      <c r="MW50" s="67"/>
      <c r="MX50" s="67"/>
      <c r="MY50" s="67"/>
      <c r="MZ50" s="67"/>
      <c r="NA50" s="67"/>
      <c r="NB50" s="67"/>
      <c r="NC50" s="67"/>
      <c r="ND50" s="67"/>
      <c r="NE50" s="67"/>
      <c r="NF50" s="67"/>
      <c r="NG50" s="67"/>
      <c r="NH50" s="67"/>
      <c r="NI50" s="67"/>
      <c r="NJ50" s="67"/>
      <c r="NK50" s="67"/>
      <c r="NL50" s="67"/>
      <c r="NM50" s="67"/>
      <c r="NN50" s="67"/>
      <c r="NO50" s="67"/>
      <c r="NP50" s="67"/>
      <c r="NQ50" s="67"/>
      <c r="NR50" s="67"/>
      <c r="NS50" s="67"/>
      <c r="NT50" s="67"/>
      <c r="NU50" s="67"/>
      <c r="NV50" s="67"/>
      <c r="NW50" s="67"/>
      <c r="NX50" s="67"/>
      <c r="NY50" s="67"/>
      <c r="NZ50" s="67"/>
      <c r="OA50" s="67"/>
      <c r="OB50" s="67"/>
      <c r="OC50" s="67"/>
      <c r="OD50" s="67"/>
      <c r="OE50" s="67"/>
      <c r="OF50" s="67"/>
      <c r="OG50" s="67"/>
      <c r="OH50" s="67"/>
      <c r="OI50" s="67"/>
      <c r="OJ50" s="67"/>
      <c r="OK50" s="67"/>
      <c r="OL50" s="67"/>
      <c r="OM50" s="67"/>
      <c r="ON50" s="67"/>
      <c r="OO50" s="67"/>
      <c r="OP50" s="67"/>
      <c r="OQ50" s="67"/>
      <c r="OR50" s="67"/>
      <c r="OS50" s="67"/>
      <c r="OT50" s="67"/>
      <c r="OU50" s="67"/>
      <c r="OV50" s="67"/>
      <c r="OW50" s="67"/>
      <c r="OX50" s="67"/>
      <c r="OY50" s="67"/>
      <c r="OZ50" s="67"/>
      <c r="PA50" s="67"/>
      <c r="PB50" s="67"/>
      <c r="PC50" s="67"/>
      <c r="PD50" s="67"/>
      <c r="PE50" s="67"/>
      <c r="PF50" s="67"/>
      <c r="PG50" s="67"/>
      <c r="PH50" s="67"/>
      <c r="PI50" s="67"/>
      <c r="PJ50" s="67"/>
      <c r="PK50" s="67"/>
      <c r="PL50" s="67"/>
      <c r="PM50" s="67"/>
      <c r="PN50" s="67"/>
      <c r="PO50" s="67"/>
      <c r="PP50" s="67"/>
      <c r="PQ50" s="67"/>
      <c r="PR50" s="67"/>
      <c r="PS50" s="67"/>
      <c r="PT50" s="67"/>
      <c r="PU50" s="67"/>
      <c r="PV50" s="67"/>
      <c r="PW50" s="67"/>
      <c r="PX50" s="67"/>
      <c r="PY50" s="67"/>
      <c r="PZ50" s="67"/>
      <c r="QA50" s="67"/>
      <c r="QB50" s="67"/>
      <c r="QC50" s="67"/>
      <c r="QD50" s="67"/>
      <c r="QE50" s="67"/>
      <c r="QF50" s="67"/>
      <c r="QG50" s="67"/>
      <c r="QH50" s="67"/>
      <c r="QI50" s="67"/>
      <c r="QJ50" s="67"/>
      <c r="QK50" s="67"/>
      <c r="QL50" s="67"/>
      <c r="QM50" s="67"/>
      <c r="QN50" s="67"/>
      <c r="QO50" s="67"/>
      <c r="QP50" s="67"/>
      <c r="QQ50" s="67"/>
      <c r="QR50" s="67"/>
      <c r="QS50" s="67"/>
      <c r="QT50" s="67"/>
      <c r="QU50" s="67"/>
      <c r="QV50" s="67"/>
      <c r="QW50" s="67"/>
      <c r="QX50" s="67"/>
      <c r="QY50" s="67"/>
      <c r="QZ50" s="67"/>
      <c r="RA50" s="67"/>
      <c r="RB50" s="67"/>
      <c r="RC50" s="67"/>
      <c r="RD50" s="67"/>
      <c r="RE50" s="67"/>
      <c r="RF50" s="67"/>
      <c r="RG50" s="67"/>
      <c r="RH50" s="67"/>
      <c r="RI50" s="67"/>
      <c r="RJ50" s="67"/>
      <c r="RK50" s="67"/>
      <c r="RL50" s="67"/>
      <c r="RM50" s="67"/>
      <c r="RN50" s="67"/>
      <c r="RO50" s="67"/>
      <c r="RP50" s="67"/>
      <c r="RQ50" s="67"/>
      <c r="RR50" s="67"/>
      <c r="RS50" s="67"/>
      <c r="RT50" s="67"/>
      <c r="RU50" s="67"/>
      <c r="RV50" s="67"/>
      <c r="RW50" s="67"/>
      <c r="RX50" s="67"/>
      <c r="RY50" s="67"/>
      <c r="RZ50" s="67"/>
      <c r="SA50" s="67"/>
      <c r="SB50" s="67"/>
      <c r="SC50" s="67"/>
      <c r="SD50" s="67"/>
      <c r="SE50" s="67"/>
      <c r="SF50" s="67"/>
      <c r="SG50" s="67"/>
      <c r="SH50" s="67"/>
      <c r="SI50" s="67"/>
      <c r="SJ50" s="67"/>
      <c r="SK50" s="67"/>
      <c r="SL50" s="67"/>
      <c r="SM50" s="67"/>
      <c r="SN50" s="67"/>
      <c r="SO50" s="67"/>
      <c r="SP50" s="67"/>
      <c r="SQ50" s="67"/>
      <c r="SR50" s="67"/>
      <c r="SS50" s="67"/>
      <c r="ST50" s="67"/>
      <c r="SU50" s="67"/>
      <c r="SV50" s="67"/>
      <c r="SW50" s="67"/>
      <c r="SX50" s="67"/>
      <c r="SY50" s="67"/>
      <c r="SZ50" s="67"/>
      <c r="TA50" s="67"/>
      <c r="TB50" s="67"/>
      <c r="TC50" s="67"/>
      <c r="TD50" s="67"/>
      <c r="TE50" s="67"/>
      <c r="TF50" s="67"/>
      <c r="TG50" s="67"/>
      <c r="TH50" s="67"/>
      <c r="TI50" s="67"/>
      <c r="TJ50" s="67"/>
      <c r="TK50" s="67"/>
      <c r="TL50" s="67"/>
      <c r="TM50" s="67"/>
      <c r="TN50" s="67"/>
      <c r="TO50" s="67"/>
      <c r="TP50" s="67"/>
      <c r="TQ50" s="67"/>
      <c r="TR50" s="67"/>
      <c r="TS50" s="67"/>
      <c r="TT50" s="67"/>
      <c r="TU50" s="67"/>
      <c r="TV50" s="67"/>
      <c r="TW50" s="67"/>
      <c r="TX50" s="67"/>
      <c r="TY50" s="67"/>
      <c r="TZ50" s="67"/>
      <c r="UA50" s="67"/>
      <c r="UB50" s="67"/>
      <c r="UC50" s="67"/>
      <c r="UD50" s="67"/>
      <c r="UE50" s="67"/>
      <c r="UF50" s="67"/>
      <c r="UG50" s="67"/>
      <c r="UH50" s="67"/>
      <c r="UI50" s="67"/>
      <c r="UJ50" s="67"/>
      <c r="UK50" s="67"/>
      <c r="UL50" s="67"/>
      <c r="UM50" s="67"/>
      <c r="UN50" s="67"/>
      <c r="UO50" s="67"/>
      <c r="UP50" s="67"/>
      <c r="UQ50" s="67"/>
      <c r="UR50" s="67"/>
      <c r="US50" s="67"/>
      <c r="UT50" s="67"/>
      <c r="UU50" s="67"/>
      <c r="UV50" s="67"/>
      <c r="UW50" s="67"/>
      <c r="UX50" s="67"/>
      <c r="UY50" s="67"/>
      <c r="UZ50" s="67"/>
      <c r="VA50" s="67"/>
      <c r="VB50" s="67"/>
      <c r="VC50" s="67"/>
      <c r="VD50" s="67"/>
      <c r="VE50" s="67"/>
      <c r="VF50" s="67"/>
      <c r="VG50" s="67"/>
      <c r="VH50" s="67"/>
      <c r="VI50" s="67"/>
      <c r="VJ50" s="67"/>
      <c r="VK50" s="67"/>
      <c r="VL50" s="67"/>
      <c r="VM50" s="67"/>
      <c r="VN50" s="67"/>
      <c r="VO50" s="67"/>
      <c r="VP50" s="67"/>
      <c r="VQ50" s="67"/>
      <c r="VR50" s="67"/>
      <c r="VS50" s="67"/>
      <c r="VT50" s="67"/>
      <c r="VU50" s="67"/>
      <c r="VV50" s="67"/>
      <c r="VW50" s="67"/>
      <c r="VX50" s="67"/>
      <c r="VY50" s="67"/>
      <c r="WA50" s="68"/>
      <c r="WB50" s="68"/>
      <c r="WC50" s="68"/>
      <c r="WD50" s="68"/>
      <c r="WE50" s="68"/>
      <c r="WF50" s="68"/>
      <c r="WG50" s="68"/>
      <c r="WH50" s="68"/>
      <c r="WI50" s="84"/>
      <c r="WJ50" s="2"/>
      <c r="WK50" s="2"/>
    </row>
    <row r="51" spans="1:609" x14ac:dyDescent="0.25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67"/>
      <c r="FU51" s="67"/>
      <c r="FV51" s="67"/>
      <c r="FW51" s="67"/>
      <c r="FX51" s="67"/>
      <c r="FY51" s="67"/>
      <c r="FZ51" s="67"/>
      <c r="GA51" s="67"/>
      <c r="GB51" s="67"/>
      <c r="GC51" s="67"/>
      <c r="GD51" s="67"/>
      <c r="GE51" s="67"/>
      <c r="GF51" s="67"/>
      <c r="GG51" s="67"/>
      <c r="GH51" s="67"/>
      <c r="GI51" s="67"/>
      <c r="GJ51" s="67"/>
      <c r="GK51" s="67"/>
      <c r="GL51" s="67"/>
      <c r="GM51" s="67"/>
      <c r="GN51" s="67"/>
      <c r="GO51" s="67"/>
      <c r="GP51" s="67"/>
      <c r="GQ51" s="67"/>
      <c r="GR51" s="67"/>
      <c r="GS51" s="67"/>
      <c r="GT51" s="67"/>
      <c r="GU51" s="67"/>
      <c r="GV51" s="67"/>
      <c r="GW51" s="67"/>
      <c r="GX51" s="67"/>
      <c r="GY51" s="67"/>
      <c r="GZ51" s="67"/>
      <c r="HA51" s="67"/>
      <c r="HB51" s="67"/>
      <c r="HC51" s="67"/>
      <c r="HD51" s="67"/>
      <c r="HE51" s="67"/>
      <c r="HF51" s="67"/>
      <c r="HG51" s="67"/>
      <c r="HH51" s="67"/>
      <c r="HI51" s="67"/>
      <c r="HJ51" s="67"/>
      <c r="HK51" s="67"/>
      <c r="HL51" s="67"/>
      <c r="HM51" s="67"/>
      <c r="HN51" s="67"/>
      <c r="HO51" s="67"/>
      <c r="HP51" s="67"/>
      <c r="HQ51" s="67"/>
      <c r="HR51" s="67"/>
      <c r="HS51" s="67"/>
      <c r="HT51" s="67"/>
      <c r="HU51" s="67"/>
      <c r="HV51" s="67"/>
      <c r="HW51" s="67"/>
      <c r="HX51" s="67"/>
      <c r="HY51" s="67"/>
      <c r="HZ51" s="67"/>
      <c r="IA51" s="67"/>
      <c r="IB51" s="67"/>
      <c r="IC51" s="67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  <c r="LG51" s="67"/>
      <c r="LH51" s="67"/>
      <c r="LI51" s="67"/>
      <c r="LJ51" s="67"/>
      <c r="LK51" s="67"/>
      <c r="LL51" s="67"/>
      <c r="LM51" s="67"/>
      <c r="LN51" s="67"/>
      <c r="LO51" s="67"/>
      <c r="LP51" s="67"/>
      <c r="LQ51" s="67"/>
      <c r="LR51" s="67"/>
      <c r="LS51" s="67"/>
      <c r="LT51" s="67"/>
      <c r="LU51" s="67"/>
      <c r="LV51" s="67"/>
      <c r="LW51" s="67"/>
      <c r="LX51" s="67"/>
      <c r="LY51" s="67"/>
      <c r="LZ51" s="67"/>
      <c r="MA51" s="67"/>
      <c r="MB51" s="67"/>
      <c r="MC51" s="67"/>
      <c r="MD51" s="67"/>
      <c r="ME51" s="67"/>
      <c r="MF51" s="67"/>
      <c r="MG51" s="67"/>
      <c r="MH51" s="67"/>
      <c r="MI51" s="67"/>
      <c r="MJ51" s="67"/>
      <c r="MK51" s="67"/>
      <c r="ML51" s="67"/>
      <c r="MM51" s="67"/>
      <c r="MN51" s="67"/>
      <c r="MO51" s="67"/>
      <c r="MP51" s="67"/>
      <c r="MQ51" s="67"/>
      <c r="MR51" s="67"/>
      <c r="MS51" s="67"/>
      <c r="MT51" s="67"/>
      <c r="MU51" s="67"/>
      <c r="MV51" s="67"/>
      <c r="MW51" s="67"/>
      <c r="MX51" s="67"/>
      <c r="MY51" s="67"/>
      <c r="MZ51" s="67"/>
      <c r="NA51" s="67"/>
      <c r="NB51" s="67"/>
      <c r="NC51" s="67"/>
      <c r="ND51" s="67"/>
      <c r="NE51" s="67"/>
      <c r="NF51" s="67"/>
      <c r="NG51" s="67"/>
      <c r="NH51" s="67"/>
      <c r="NI51" s="67"/>
      <c r="NJ51" s="67"/>
      <c r="NK51" s="67"/>
      <c r="NL51" s="67"/>
      <c r="NM51" s="67"/>
      <c r="NN51" s="67"/>
      <c r="NO51" s="67"/>
      <c r="NP51" s="67"/>
      <c r="NQ51" s="67"/>
      <c r="NR51" s="67"/>
      <c r="NS51" s="67"/>
      <c r="NT51" s="67"/>
      <c r="NU51" s="67"/>
      <c r="NV51" s="67"/>
      <c r="NW51" s="67"/>
      <c r="NX51" s="67"/>
      <c r="NY51" s="67"/>
      <c r="NZ51" s="67"/>
      <c r="OA51" s="67"/>
      <c r="OB51" s="67"/>
      <c r="OC51" s="67"/>
      <c r="OD51" s="67"/>
      <c r="OE51" s="67"/>
      <c r="OF51" s="67"/>
      <c r="OG51" s="67"/>
      <c r="OH51" s="67"/>
      <c r="OI51" s="67"/>
      <c r="OJ51" s="67"/>
      <c r="OK51" s="67"/>
      <c r="OL51" s="67"/>
      <c r="OM51" s="67"/>
      <c r="ON51" s="67"/>
      <c r="OO51" s="67"/>
      <c r="OP51" s="67"/>
      <c r="OQ51" s="67"/>
      <c r="OR51" s="67"/>
      <c r="OS51" s="67"/>
      <c r="OT51" s="67"/>
      <c r="OU51" s="67"/>
      <c r="OV51" s="67"/>
      <c r="OW51" s="67"/>
      <c r="OX51" s="67"/>
      <c r="OY51" s="67"/>
      <c r="OZ51" s="67"/>
      <c r="PA51" s="67"/>
      <c r="PB51" s="67"/>
      <c r="PC51" s="67"/>
      <c r="PD51" s="67"/>
      <c r="PE51" s="67"/>
      <c r="PF51" s="67"/>
      <c r="PG51" s="67"/>
      <c r="PH51" s="67"/>
      <c r="PI51" s="67"/>
      <c r="PJ51" s="67"/>
      <c r="PK51" s="67"/>
      <c r="PL51" s="67"/>
      <c r="PM51" s="67"/>
      <c r="PN51" s="67"/>
      <c r="PO51" s="67"/>
      <c r="PP51" s="67"/>
      <c r="PQ51" s="67"/>
      <c r="PR51" s="67"/>
      <c r="PS51" s="67"/>
      <c r="PT51" s="67"/>
      <c r="PU51" s="67"/>
      <c r="PV51" s="67"/>
      <c r="PW51" s="67"/>
      <c r="PX51" s="67"/>
      <c r="PY51" s="67"/>
      <c r="PZ51" s="67"/>
      <c r="QA51" s="67"/>
      <c r="QB51" s="67"/>
      <c r="QC51" s="67"/>
      <c r="QD51" s="67"/>
      <c r="QE51" s="67"/>
      <c r="QF51" s="67"/>
      <c r="QG51" s="67"/>
      <c r="QH51" s="67"/>
      <c r="QI51" s="67"/>
      <c r="QJ51" s="67"/>
      <c r="QK51" s="67"/>
      <c r="QL51" s="67"/>
      <c r="QM51" s="67"/>
      <c r="QN51" s="67"/>
      <c r="QO51" s="67"/>
      <c r="QP51" s="67"/>
      <c r="QQ51" s="67"/>
      <c r="QR51" s="67"/>
      <c r="QS51" s="67"/>
      <c r="QT51" s="67"/>
      <c r="QU51" s="67"/>
      <c r="QV51" s="67"/>
      <c r="QW51" s="67"/>
      <c r="QX51" s="67"/>
      <c r="QY51" s="67"/>
      <c r="QZ51" s="67"/>
      <c r="RA51" s="67"/>
      <c r="RB51" s="67"/>
      <c r="RC51" s="67"/>
      <c r="RD51" s="67"/>
      <c r="RE51" s="67"/>
      <c r="RF51" s="67"/>
      <c r="RG51" s="67"/>
      <c r="RH51" s="67"/>
      <c r="RI51" s="67"/>
      <c r="RJ51" s="67"/>
      <c r="RK51" s="67"/>
      <c r="RL51" s="67"/>
      <c r="RM51" s="67"/>
      <c r="RN51" s="67"/>
      <c r="RO51" s="67"/>
      <c r="RP51" s="67"/>
      <c r="RQ51" s="67"/>
      <c r="RR51" s="67"/>
      <c r="RS51" s="67"/>
      <c r="RT51" s="67"/>
      <c r="RU51" s="67"/>
      <c r="RV51" s="67"/>
      <c r="RW51" s="67"/>
      <c r="RX51" s="67"/>
      <c r="RY51" s="67"/>
      <c r="RZ51" s="67"/>
      <c r="SA51" s="67"/>
      <c r="SB51" s="67"/>
      <c r="SC51" s="67"/>
      <c r="SD51" s="67"/>
      <c r="SE51" s="67"/>
      <c r="SF51" s="67"/>
      <c r="SG51" s="67"/>
      <c r="SH51" s="67"/>
      <c r="SI51" s="67"/>
      <c r="SJ51" s="67"/>
      <c r="SK51" s="67"/>
      <c r="SL51" s="67"/>
      <c r="SM51" s="67"/>
      <c r="SN51" s="67"/>
      <c r="SO51" s="67"/>
      <c r="SP51" s="67"/>
      <c r="SQ51" s="67"/>
      <c r="SR51" s="67"/>
      <c r="SS51" s="67"/>
      <c r="ST51" s="67"/>
      <c r="SU51" s="67"/>
      <c r="SV51" s="67"/>
      <c r="SW51" s="67"/>
      <c r="SX51" s="67"/>
      <c r="SY51" s="67"/>
      <c r="SZ51" s="67"/>
      <c r="TA51" s="67"/>
      <c r="TB51" s="67"/>
      <c r="TC51" s="67"/>
      <c r="TD51" s="67"/>
      <c r="TE51" s="67"/>
      <c r="TF51" s="67"/>
      <c r="TG51" s="67"/>
      <c r="TH51" s="67"/>
      <c r="TI51" s="67"/>
      <c r="TJ51" s="67"/>
      <c r="TK51" s="67"/>
      <c r="TL51" s="67"/>
      <c r="TM51" s="67"/>
      <c r="TN51" s="67"/>
      <c r="TO51" s="67"/>
      <c r="TP51" s="67"/>
      <c r="TQ51" s="67"/>
      <c r="TR51" s="67"/>
      <c r="TS51" s="67"/>
      <c r="TT51" s="67"/>
      <c r="TU51" s="67"/>
      <c r="TV51" s="67"/>
      <c r="TW51" s="67"/>
      <c r="TX51" s="67"/>
      <c r="TY51" s="67"/>
      <c r="TZ51" s="67"/>
      <c r="UA51" s="67"/>
      <c r="UB51" s="67"/>
      <c r="UC51" s="67"/>
      <c r="UD51" s="67"/>
      <c r="UE51" s="67"/>
      <c r="UF51" s="67"/>
      <c r="UG51" s="67"/>
      <c r="UH51" s="67"/>
      <c r="UI51" s="67"/>
      <c r="UJ51" s="67"/>
      <c r="UK51" s="67"/>
      <c r="UL51" s="67"/>
      <c r="UM51" s="67"/>
      <c r="UN51" s="67"/>
      <c r="UO51" s="67"/>
      <c r="UP51" s="67"/>
      <c r="UQ51" s="67"/>
      <c r="UR51" s="67"/>
      <c r="US51" s="67"/>
      <c r="UT51" s="67"/>
      <c r="UU51" s="67"/>
      <c r="UV51" s="67"/>
      <c r="UW51" s="67"/>
      <c r="UX51" s="67"/>
      <c r="UY51" s="67"/>
      <c r="UZ51" s="67"/>
      <c r="VA51" s="67"/>
      <c r="VB51" s="67"/>
      <c r="VC51" s="67"/>
      <c r="VD51" s="67"/>
      <c r="VE51" s="67"/>
      <c r="VF51" s="67"/>
      <c r="VG51" s="67"/>
      <c r="VH51" s="67"/>
      <c r="VI51" s="67"/>
      <c r="VJ51" s="67"/>
      <c r="VK51" s="67"/>
      <c r="VL51" s="67"/>
      <c r="VM51" s="67"/>
      <c r="VN51" s="67"/>
      <c r="VO51" s="67"/>
      <c r="VP51" s="67"/>
      <c r="VQ51" s="67"/>
      <c r="VR51" s="67"/>
      <c r="VS51" s="67"/>
      <c r="VT51" s="67"/>
      <c r="VU51" s="67"/>
      <c r="VV51" s="67"/>
      <c r="VW51" s="67"/>
      <c r="VX51" s="67"/>
      <c r="VY51" s="67"/>
      <c r="WA51" s="68"/>
      <c r="WB51" s="68"/>
      <c r="WC51" s="68"/>
      <c r="WD51" s="68"/>
      <c r="WE51" s="68"/>
      <c r="WF51" s="68"/>
      <c r="WG51" s="68"/>
      <c r="WH51" s="68"/>
      <c r="WI51" s="84"/>
      <c r="WJ51" s="2"/>
      <c r="WK51" s="2"/>
    </row>
    <row r="52" spans="1:609" x14ac:dyDescent="0.25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67"/>
      <c r="FU52" s="67"/>
      <c r="FV52" s="67"/>
      <c r="FW52" s="67"/>
      <c r="FX52" s="67"/>
      <c r="FY52" s="67"/>
      <c r="FZ52" s="67"/>
      <c r="GA52" s="67"/>
      <c r="GB52" s="67"/>
      <c r="GC52" s="67"/>
      <c r="GD52" s="67"/>
      <c r="GE52" s="67"/>
      <c r="GF52" s="67"/>
      <c r="GG52" s="67"/>
      <c r="GH52" s="67"/>
      <c r="GI52" s="67"/>
      <c r="GJ52" s="67"/>
      <c r="GK52" s="67"/>
      <c r="GL52" s="67"/>
      <c r="GM52" s="67"/>
      <c r="GN52" s="67"/>
      <c r="GO52" s="67"/>
      <c r="GP52" s="67"/>
      <c r="GQ52" s="67"/>
      <c r="GR52" s="67"/>
      <c r="GS52" s="67"/>
      <c r="GT52" s="67"/>
      <c r="GU52" s="67"/>
      <c r="GV52" s="67"/>
      <c r="GW52" s="67"/>
      <c r="GX52" s="67"/>
      <c r="GY52" s="67"/>
      <c r="GZ52" s="67"/>
      <c r="HA52" s="67"/>
      <c r="HB52" s="67"/>
      <c r="HC52" s="67"/>
      <c r="HD52" s="67"/>
      <c r="HE52" s="67"/>
      <c r="HF52" s="67"/>
      <c r="HG52" s="67"/>
      <c r="HH52" s="67"/>
      <c r="HI52" s="67"/>
      <c r="HJ52" s="67"/>
      <c r="HK52" s="67"/>
      <c r="HL52" s="67"/>
      <c r="HM52" s="67"/>
      <c r="HN52" s="67"/>
      <c r="HO52" s="67"/>
      <c r="HP52" s="67"/>
      <c r="HQ52" s="67"/>
      <c r="HR52" s="67"/>
      <c r="HS52" s="67"/>
      <c r="HT52" s="67"/>
      <c r="HU52" s="67"/>
      <c r="HV52" s="67"/>
      <c r="HW52" s="67"/>
      <c r="HX52" s="67"/>
      <c r="HY52" s="67"/>
      <c r="HZ52" s="67"/>
      <c r="IA52" s="67"/>
      <c r="IB52" s="67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  <c r="JD52" s="67"/>
      <c r="JE52" s="67"/>
      <c r="JF52" s="67"/>
      <c r="JG52" s="67"/>
      <c r="JH52" s="67"/>
      <c r="JI52" s="67"/>
      <c r="JJ52" s="67"/>
      <c r="JK52" s="67"/>
      <c r="JL52" s="67"/>
      <c r="JM52" s="67"/>
      <c r="JN52" s="67"/>
      <c r="JO52" s="67"/>
      <c r="JP52" s="67"/>
      <c r="JQ52" s="67"/>
      <c r="JR52" s="67"/>
      <c r="JS52" s="67"/>
      <c r="JT52" s="67"/>
      <c r="JU52" s="67"/>
      <c r="JV52" s="67"/>
      <c r="JW52" s="67"/>
      <c r="JX52" s="67"/>
      <c r="JY52" s="67"/>
      <c r="JZ52" s="67"/>
      <c r="KA52" s="67"/>
      <c r="KB52" s="67"/>
      <c r="KC52" s="67"/>
      <c r="KD52" s="67"/>
      <c r="KE52" s="67"/>
      <c r="KF52" s="67"/>
      <c r="KG52" s="67"/>
      <c r="KH52" s="67"/>
      <c r="KI52" s="67"/>
      <c r="KJ52" s="67"/>
      <c r="KK52" s="67"/>
      <c r="KL52" s="67"/>
      <c r="KM52" s="67"/>
      <c r="KN52" s="67"/>
      <c r="KO52" s="67"/>
      <c r="KP52" s="67"/>
      <c r="KQ52" s="67"/>
      <c r="KR52" s="67"/>
      <c r="KS52" s="67"/>
      <c r="KT52" s="67"/>
      <c r="KU52" s="67"/>
      <c r="KV52" s="67"/>
      <c r="KW52" s="67"/>
      <c r="KX52" s="67"/>
      <c r="KY52" s="67"/>
      <c r="KZ52" s="67"/>
      <c r="LA52" s="67"/>
      <c r="LB52" s="67"/>
      <c r="LC52" s="67"/>
      <c r="LD52" s="67"/>
      <c r="LE52" s="67"/>
      <c r="LF52" s="67"/>
      <c r="LG52" s="67"/>
      <c r="LH52" s="67"/>
      <c r="LI52" s="67"/>
      <c r="LJ52" s="67"/>
      <c r="LK52" s="67"/>
      <c r="LL52" s="67"/>
      <c r="LM52" s="67"/>
      <c r="LN52" s="67"/>
      <c r="LO52" s="67"/>
      <c r="LP52" s="67"/>
      <c r="LQ52" s="67"/>
      <c r="LR52" s="67"/>
      <c r="LS52" s="67"/>
      <c r="LT52" s="67"/>
      <c r="LU52" s="67"/>
      <c r="LV52" s="67"/>
      <c r="LW52" s="67"/>
      <c r="LX52" s="67"/>
      <c r="LY52" s="67"/>
      <c r="LZ52" s="67"/>
      <c r="MA52" s="67"/>
      <c r="MB52" s="67"/>
      <c r="MC52" s="67"/>
      <c r="MD52" s="67"/>
      <c r="ME52" s="67"/>
      <c r="MF52" s="67"/>
      <c r="MG52" s="67"/>
      <c r="MH52" s="67"/>
      <c r="MI52" s="67"/>
      <c r="MJ52" s="67"/>
      <c r="MK52" s="67"/>
      <c r="ML52" s="67"/>
      <c r="MM52" s="67"/>
      <c r="MN52" s="67"/>
      <c r="MO52" s="67"/>
      <c r="MP52" s="67"/>
      <c r="MQ52" s="67"/>
      <c r="MR52" s="67"/>
      <c r="MS52" s="67"/>
      <c r="MT52" s="67"/>
      <c r="MU52" s="67"/>
      <c r="MV52" s="67"/>
      <c r="MW52" s="67"/>
      <c r="MX52" s="67"/>
      <c r="MY52" s="67"/>
      <c r="MZ52" s="67"/>
      <c r="NA52" s="67"/>
      <c r="NB52" s="67"/>
      <c r="NC52" s="67"/>
      <c r="ND52" s="67"/>
      <c r="NE52" s="67"/>
      <c r="NF52" s="67"/>
      <c r="NG52" s="67"/>
      <c r="NH52" s="67"/>
      <c r="NI52" s="67"/>
      <c r="NJ52" s="67"/>
      <c r="NK52" s="67"/>
      <c r="NL52" s="67"/>
      <c r="NM52" s="67"/>
      <c r="NN52" s="67"/>
      <c r="NO52" s="67"/>
      <c r="NP52" s="67"/>
      <c r="NQ52" s="67"/>
      <c r="NR52" s="67"/>
      <c r="NS52" s="67"/>
      <c r="NT52" s="67"/>
      <c r="NU52" s="67"/>
      <c r="NV52" s="67"/>
      <c r="NW52" s="67"/>
      <c r="NX52" s="67"/>
      <c r="NY52" s="67"/>
      <c r="NZ52" s="67"/>
      <c r="OA52" s="67"/>
      <c r="OB52" s="67"/>
      <c r="OC52" s="67"/>
      <c r="OD52" s="67"/>
      <c r="OE52" s="67"/>
      <c r="OF52" s="67"/>
      <c r="OG52" s="67"/>
      <c r="OH52" s="67"/>
      <c r="OI52" s="67"/>
      <c r="OJ52" s="67"/>
      <c r="OK52" s="67"/>
      <c r="OL52" s="67"/>
      <c r="OM52" s="67"/>
      <c r="ON52" s="67"/>
      <c r="OO52" s="67"/>
      <c r="OP52" s="67"/>
      <c r="OQ52" s="67"/>
      <c r="OR52" s="67"/>
      <c r="OS52" s="67"/>
      <c r="OT52" s="67"/>
      <c r="OU52" s="67"/>
      <c r="OV52" s="67"/>
      <c r="OW52" s="67"/>
      <c r="OX52" s="67"/>
      <c r="OY52" s="67"/>
      <c r="OZ52" s="67"/>
      <c r="PA52" s="67"/>
      <c r="PB52" s="67"/>
      <c r="PC52" s="67"/>
      <c r="PD52" s="67"/>
      <c r="PE52" s="67"/>
      <c r="PF52" s="67"/>
      <c r="PG52" s="67"/>
      <c r="PH52" s="67"/>
      <c r="PI52" s="67"/>
      <c r="PJ52" s="67"/>
      <c r="PK52" s="67"/>
      <c r="PL52" s="67"/>
      <c r="PM52" s="67"/>
      <c r="PN52" s="67"/>
      <c r="PO52" s="67"/>
      <c r="PP52" s="67"/>
      <c r="PQ52" s="67"/>
      <c r="PR52" s="67"/>
      <c r="PS52" s="67"/>
      <c r="PT52" s="67"/>
      <c r="PU52" s="67"/>
      <c r="PV52" s="67"/>
      <c r="PW52" s="67"/>
      <c r="PX52" s="67"/>
      <c r="PY52" s="67"/>
      <c r="PZ52" s="67"/>
      <c r="QA52" s="67"/>
      <c r="QB52" s="67"/>
      <c r="QC52" s="67"/>
      <c r="QD52" s="67"/>
      <c r="QE52" s="67"/>
      <c r="QF52" s="67"/>
      <c r="QG52" s="67"/>
      <c r="QH52" s="67"/>
      <c r="QI52" s="67"/>
      <c r="QJ52" s="67"/>
      <c r="QK52" s="67"/>
      <c r="QL52" s="67"/>
      <c r="QM52" s="67"/>
      <c r="QN52" s="67"/>
      <c r="QO52" s="67"/>
      <c r="QP52" s="67"/>
      <c r="QQ52" s="67"/>
      <c r="QR52" s="67"/>
      <c r="QS52" s="67"/>
      <c r="QT52" s="67"/>
      <c r="QU52" s="67"/>
      <c r="QV52" s="67"/>
      <c r="QW52" s="67"/>
      <c r="QX52" s="67"/>
      <c r="QY52" s="67"/>
      <c r="QZ52" s="67"/>
      <c r="RA52" s="67"/>
      <c r="RB52" s="67"/>
      <c r="RC52" s="67"/>
      <c r="RD52" s="67"/>
      <c r="RE52" s="67"/>
      <c r="RF52" s="67"/>
      <c r="RG52" s="67"/>
      <c r="RH52" s="67"/>
      <c r="RI52" s="67"/>
      <c r="RJ52" s="67"/>
      <c r="RK52" s="67"/>
      <c r="RL52" s="67"/>
      <c r="RM52" s="67"/>
      <c r="RN52" s="67"/>
      <c r="RO52" s="67"/>
      <c r="RP52" s="67"/>
      <c r="RQ52" s="67"/>
      <c r="RR52" s="67"/>
      <c r="RS52" s="67"/>
      <c r="RT52" s="67"/>
      <c r="RU52" s="67"/>
      <c r="RV52" s="67"/>
      <c r="RW52" s="67"/>
      <c r="RX52" s="67"/>
      <c r="RY52" s="67"/>
      <c r="RZ52" s="67"/>
      <c r="SA52" s="67"/>
      <c r="SB52" s="67"/>
      <c r="SC52" s="67"/>
      <c r="SD52" s="67"/>
      <c r="SE52" s="67"/>
      <c r="SF52" s="67"/>
      <c r="SG52" s="67"/>
      <c r="SH52" s="67"/>
      <c r="SI52" s="67"/>
      <c r="SJ52" s="67"/>
      <c r="SK52" s="67"/>
      <c r="SL52" s="67"/>
      <c r="SM52" s="67"/>
      <c r="SN52" s="67"/>
      <c r="SO52" s="67"/>
      <c r="SP52" s="67"/>
      <c r="SQ52" s="67"/>
      <c r="SR52" s="67"/>
      <c r="SS52" s="67"/>
      <c r="ST52" s="67"/>
      <c r="SU52" s="67"/>
      <c r="SV52" s="67"/>
      <c r="SW52" s="67"/>
      <c r="SX52" s="67"/>
      <c r="SY52" s="67"/>
      <c r="SZ52" s="67"/>
      <c r="TA52" s="67"/>
      <c r="TB52" s="67"/>
      <c r="TC52" s="67"/>
      <c r="TD52" s="67"/>
      <c r="TE52" s="67"/>
      <c r="TF52" s="67"/>
      <c r="TG52" s="67"/>
      <c r="TH52" s="67"/>
      <c r="TI52" s="67"/>
      <c r="TJ52" s="67"/>
      <c r="TK52" s="67"/>
      <c r="TL52" s="67"/>
      <c r="TM52" s="67"/>
      <c r="TN52" s="67"/>
      <c r="TO52" s="67"/>
      <c r="TP52" s="67"/>
      <c r="TQ52" s="67"/>
      <c r="TR52" s="67"/>
      <c r="TS52" s="67"/>
      <c r="TT52" s="67"/>
      <c r="TU52" s="67"/>
      <c r="TV52" s="67"/>
      <c r="TW52" s="67"/>
      <c r="TX52" s="67"/>
      <c r="TY52" s="67"/>
      <c r="TZ52" s="67"/>
      <c r="UA52" s="67"/>
      <c r="UB52" s="67"/>
      <c r="UC52" s="67"/>
      <c r="UD52" s="67"/>
      <c r="UE52" s="67"/>
      <c r="UF52" s="67"/>
      <c r="UG52" s="67"/>
      <c r="UH52" s="67"/>
      <c r="UI52" s="67"/>
      <c r="UJ52" s="67"/>
      <c r="UK52" s="67"/>
      <c r="UL52" s="67"/>
      <c r="UM52" s="67"/>
      <c r="UN52" s="67"/>
      <c r="UO52" s="67"/>
      <c r="UP52" s="67"/>
      <c r="UQ52" s="67"/>
      <c r="UR52" s="67"/>
      <c r="US52" s="67"/>
      <c r="UT52" s="67"/>
      <c r="UU52" s="67"/>
      <c r="UV52" s="67"/>
      <c r="UW52" s="67"/>
      <c r="UX52" s="67"/>
      <c r="UY52" s="67"/>
      <c r="UZ52" s="67"/>
      <c r="VA52" s="67"/>
      <c r="VB52" s="67"/>
      <c r="VC52" s="67"/>
      <c r="VD52" s="67"/>
      <c r="VE52" s="67"/>
      <c r="VF52" s="67"/>
      <c r="VG52" s="67"/>
      <c r="VH52" s="67"/>
      <c r="VI52" s="67"/>
      <c r="VJ52" s="67"/>
      <c r="VK52" s="67"/>
      <c r="VL52" s="67"/>
      <c r="VM52" s="67"/>
      <c r="VN52" s="67"/>
      <c r="VO52" s="67"/>
      <c r="VP52" s="67"/>
      <c r="VQ52" s="67"/>
      <c r="VR52" s="67"/>
      <c r="VS52" s="67"/>
      <c r="VT52" s="67"/>
      <c r="VU52" s="67"/>
      <c r="VV52" s="67"/>
      <c r="VW52" s="67"/>
      <c r="VX52" s="67"/>
      <c r="VY52" s="67"/>
      <c r="WA52" s="68"/>
      <c r="WB52" s="68"/>
      <c r="WC52" s="68"/>
      <c r="WD52" s="68"/>
      <c r="WE52" s="68"/>
      <c r="WF52" s="68"/>
      <c r="WG52" s="68"/>
      <c r="WH52" s="68"/>
      <c r="WI52" s="84"/>
      <c r="WJ52" s="2"/>
      <c r="WK52" s="2"/>
    </row>
    <row r="53" spans="1:609" x14ac:dyDescent="0.25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  <c r="EO53" s="67"/>
      <c r="EP53" s="67"/>
      <c r="EQ53" s="67"/>
      <c r="ER53" s="67"/>
      <c r="ES53" s="67"/>
      <c r="ET53" s="67"/>
      <c r="EU53" s="67"/>
      <c r="EV53" s="67"/>
      <c r="EW53" s="67"/>
      <c r="EX53" s="67"/>
      <c r="EY53" s="67"/>
      <c r="EZ53" s="67"/>
      <c r="FA53" s="67"/>
      <c r="FB53" s="67"/>
      <c r="FC53" s="67"/>
      <c r="FD53" s="67"/>
      <c r="FE53" s="67"/>
      <c r="FF53" s="67"/>
      <c r="FG53" s="67"/>
      <c r="FH53" s="67"/>
      <c r="FI53" s="67"/>
      <c r="FJ53" s="67"/>
      <c r="FK53" s="67"/>
      <c r="FL53" s="67"/>
      <c r="FM53" s="67"/>
      <c r="FN53" s="67"/>
      <c r="FO53" s="67"/>
      <c r="FP53" s="67"/>
      <c r="FQ53" s="67"/>
      <c r="FR53" s="67"/>
      <c r="FS53" s="67"/>
      <c r="FT53" s="67"/>
      <c r="FU53" s="67"/>
      <c r="FV53" s="67"/>
      <c r="FW53" s="67"/>
      <c r="FX53" s="67"/>
      <c r="FY53" s="67"/>
      <c r="FZ53" s="67"/>
      <c r="GA53" s="67"/>
      <c r="GB53" s="67"/>
      <c r="GC53" s="67"/>
      <c r="GD53" s="67"/>
      <c r="GE53" s="67"/>
      <c r="GF53" s="67"/>
      <c r="GG53" s="67"/>
      <c r="GH53" s="67"/>
      <c r="GI53" s="67"/>
      <c r="GJ53" s="67"/>
      <c r="GK53" s="67"/>
      <c r="GL53" s="67"/>
      <c r="GM53" s="67"/>
      <c r="GN53" s="67"/>
      <c r="GO53" s="67"/>
      <c r="GP53" s="67"/>
      <c r="GQ53" s="67"/>
      <c r="GR53" s="67"/>
      <c r="GS53" s="67"/>
      <c r="GT53" s="67"/>
      <c r="GU53" s="67"/>
      <c r="GV53" s="67"/>
      <c r="GW53" s="67"/>
      <c r="GX53" s="67"/>
      <c r="GY53" s="67"/>
      <c r="GZ53" s="67"/>
      <c r="HA53" s="67"/>
      <c r="HB53" s="67"/>
      <c r="HC53" s="67"/>
      <c r="HD53" s="67"/>
      <c r="HE53" s="67"/>
      <c r="HF53" s="67"/>
      <c r="HG53" s="67"/>
      <c r="HH53" s="67"/>
      <c r="HI53" s="67"/>
      <c r="HJ53" s="67"/>
      <c r="HK53" s="67"/>
      <c r="HL53" s="67"/>
      <c r="HM53" s="67"/>
      <c r="HN53" s="67"/>
      <c r="HO53" s="67"/>
      <c r="HP53" s="67"/>
      <c r="HQ53" s="67"/>
      <c r="HR53" s="67"/>
      <c r="HS53" s="67"/>
      <c r="HT53" s="67"/>
      <c r="HU53" s="67"/>
      <c r="HV53" s="67"/>
      <c r="HW53" s="67"/>
      <c r="HX53" s="67"/>
      <c r="HY53" s="67"/>
      <c r="HZ53" s="67"/>
      <c r="IA53" s="67"/>
      <c r="IB53" s="67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  <c r="LG53" s="67"/>
      <c r="LH53" s="67"/>
      <c r="LI53" s="67"/>
      <c r="LJ53" s="67"/>
      <c r="LK53" s="67"/>
      <c r="LL53" s="67"/>
      <c r="LM53" s="67"/>
      <c r="LN53" s="67"/>
      <c r="LO53" s="67"/>
      <c r="LP53" s="67"/>
      <c r="LQ53" s="67"/>
      <c r="LR53" s="67"/>
      <c r="LS53" s="67"/>
      <c r="LT53" s="67"/>
      <c r="LU53" s="67"/>
      <c r="LV53" s="67"/>
      <c r="LW53" s="67"/>
      <c r="LX53" s="67"/>
      <c r="LY53" s="67"/>
      <c r="LZ53" s="67"/>
      <c r="MA53" s="67"/>
      <c r="MB53" s="67"/>
      <c r="MC53" s="67"/>
      <c r="MD53" s="67"/>
      <c r="ME53" s="67"/>
      <c r="MF53" s="67"/>
      <c r="MG53" s="67"/>
      <c r="MH53" s="67"/>
      <c r="MI53" s="67"/>
      <c r="MJ53" s="67"/>
      <c r="MK53" s="67"/>
      <c r="ML53" s="67"/>
      <c r="MM53" s="67"/>
      <c r="MN53" s="67"/>
      <c r="MO53" s="67"/>
      <c r="MP53" s="67"/>
      <c r="MQ53" s="67"/>
      <c r="MR53" s="67"/>
      <c r="MS53" s="67"/>
      <c r="MT53" s="67"/>
      <c r="MU53" s="67"/>
      <c r="MV53" s="67"/>
      <c r="MW53" s="67"/>
      <c r="MX53" s="67"/>
      <c r="MY53" s="67"/>
      <c r="MZ53" s="67"/>
      <c r="NA53" s="67"/>
      <c r="NB53" s="67"/>
      <c r="NC53" s="67"/>
      <c r="ND53" s="67"/>
      <c r="NE53" s="67"/>
      <c r="NF53" s="67"/>
      <c r="NG53" s="67"/>
      <c r="NH53" s="67"/>
      <c r="NI53" s="67"/>
      <c r="NJ53" s="67"/>
      <c r="NK53" s="67"/>
      <c r="NL53" s="67"/>
      <c r="NM53" s="67"/>
      <c r="NN53" s="67"/>
      <c r="NO53" s="67"/>
      <c r="NP53" s="67"/>
      <c r="NQ53" s="67"/>
      <c r="NR53" s="67"/>
      <c r="NS53" s="67"/>
      <c r="NT53" s="67"/>
      <c r="NU53" s="67"/>
      <c r="NV53" s="67"/>
      <c r="NW53" s="67"/>
      <c r="NX53" s="67"/>
      <c r="NY53" s="67"/>
      <c r="NZ53" s="67"/>
      <c r="OA53" s="67"/>
      <c r="OB53" s="67"/>
      <c r="OC53" s="67"/>
      <c r="OD53" s="67"/>
      <c r="OE53" s="67"/>
      <c r="OF53" s="67"/>
      <c r="OG53" s="67"/>
      <c r="OH53" s="67"/>
      <c r="OI53" s="67"/>
      <c r="OJ53" s="67"/>
      <c r="OK53" s="67"/>
      <c r="OL53" s="67"/>
      <c r="OM53" s="67"/>
      <c r="ON53" s="67"/>
      <c r="OO53" s="67"/>
      <c r="OP53" s="67"/>
      <c r="OQ53" s="67"/>
      <c r="OR53" s="67"/>
      <c r="OS53" s="67"/>
      <c r="OT53" s="67"/>
      <c r="OU53" s="67"/>
      <c r="OV53" s="67"/>
      <c r="OW53" s="67"/>
      <c r="OX53" s="67"/>
      <c r="OY53" s="67"/>
      <c r="OZ53" s="67"/>
      <c r="PA53" s="67"/>
      <c r="PB53" s="67"/>
      <c r="PC53" s="67"/>
      <c r="PD53" s="67"/>
      <c r="PE53" s="67"/>
      <c r="PF53" s="67"/>
      <c r="PG53" s="67"/>
      <c r="PH53" s="67"/>
      <c r="PI53" s="67"/>
      <c r="PJ53" s="67"/>
      <c r="PK53" s="67"/>
      <c r="PL53" s="67"/>
      <c r="PM53" s="67"/>
      <c r="PN53" s="67"/>
      <c r="PO53" s="67"/>
      <c r="PP53" s="67"/>
      <c r="PQ53" s="67"/>
      <c r="PR53" s="67"/>
      <c r="PS53" s="67"/>
      <c r="PT53" s="67"/>
      <c r="PU53" s="67"/>
      <c r="PV53" s="67"/>
      <c r="PW53" s="67"/>
      <c r="PX53" s="67"/>
      <c r="PY53" s="67"/>
      <c r="PZ53" s="67"/>
      <c r="QA53" s="67"/>
      <c r="QB53" s="67"/>
      <c r="QC53" s="67"/>
      <c r="QD53" s="67"/>
      <c r="QE53" s="67"/>
      <c r="QF53" s="67"/>
      <c r="QG53" s="67"/>
      <c r="QH53" s="67"/>
      <c r="QI53" s="67"/>
      <c r="QJ53" s="67"/>
      <c r="QK53" s="67"/>
      <c r="QL53" s="67"/>
      <c r="QM53" s="67"/>
      <c r="QN53" s="67"/>
      <c r="QO53" s="67"/>
      <c r="QP53" s="67"/>
      <c r="QQ53" s="67"/>
      <c r="QR53" s="67"/>
      <c r="QS53" s="67"/>
      <c r="QT53" s="67"/>
      <c r="QU53" s="67"/>
      <c r="QV53" s="67"/>
      <c r="QW53" s="67"/>
      <c r="QX53" s="67"/>
      <c r="QY53" s="67"/>
      <c r="QZ53" s="67"/>
      <c r="RA53" s="67"/>
      <c r="RB53" s="67"/>
      <c r="RC53" s="67"/>
      <c r="RD53" s="67"/>
      <c r="RE53" s="67"/>
      <c r="RF53" s="67"/>
      <c r="RG53" s="67"/>
      <c r="RH53" s="67"/>
      <c r="RI53" s="67"/>
      <c r="RJ53" s="67"/>
      <c r="RK53" s="67"/>
      <c r="RL53" s="67"/>
      <c r="RM53" s="67"/>
      <c r="RN53" s="67"/>
      <c r="RO53" s="67"/>
      <c r="RP53" s="67"/>
      <c r="RQ53" s="67"/>
      <c r="RR53" s="67"/>
      <c r="RS53" s="67"/>
      <c r="RT53" s="67"/>
      <c r="RU53" s="67"/>
      <c r="RV53" s="67"/>
      <c r="RW53" s="67"/>
      <c r="RX53" s="67"/>
      <c r="RY53" s="67"/>
      <c r="RZ53" s="67"/>
      <c r="SA53" s="67"/>
      <c r="SB53" s="67"/>
      <c r="SC53" s="67"/>
      <c r="SD53" s="67"/>
      <c r="SE53" s="67"/>
      <c r="SF53" s="67"/>
      <c r="SG53" s="67"/>
      <c r="SH53" s="67"/>
      <c r="SI53" s="67"/>
      <c r="SJ53" s="67"/>
      <c r="SK53" s="67"/>
      <c r="SL53" s="67"/>
      <c r="SM53" s="67"/>
      <c r="SN53" s="67"/>
      <c r="SO53" s="67"/>
      <c r="SP53" s="67"/>
      <c r="SQ53" s="67"/>
      <c r="SR53" s="67"/>
      <c r="SS53" s="67"/>
      <c r="ST53" s="67"/>
      <c r="SU53" s="67"/>
      <c r="SV53" s="67"/>
      <c r="SW53" s="67"/>
      <c r="SX53" s="67"/>
      <c r="SY53" s="67"/>
      <c r="SZ53" s="67"/>
      <c r="TA53" s="67"/>
      <c r="TB53" s="67"/>
      <c r="TC53" s="67"/>
      <c r="TD53" s="67"/>
      <c r="TE53" s="67"/>
      <c r="TF53" s="67"/>
      <c r="TG53" s="67"/>
      <c r="TH53" s="67"/>
      <c r="TI53" s="67"/>
      <c r="TJ53" s="67"/>
      <c r="TK53" s="67"/>
      <c r="TL53" s="67"/>
      <c r="TM53" s="67"/>
      <c r="TN53" s="67"/>
      <c r="TO53" s="67"/>
      <c r="TP53" s="67"/>
      <c r="TQ53" s="67"/>
      <c r="TR53" s="67"/>
      <c r="TS53" s="67"/>
      <c r="TT53" s="67"/>
      <c r="TU53" s="67"/>
      <c r="TV53" s="67"/>
      <c r="TW53" s="67"/>
      <c r="TX53" s="67"/>
      <c r="TY53" s="67"/>
      <c r="TZ53" s="67"/>
      <c r="UA53" s="67"/>
      <c r="UB53" s="67"/>
      <c r="UC53" s="67"/>
      <c r="UD53" s="67"/>
      <c r="UE53" s="67"/>
      <c r="UF53" s="67"/>
      <c r="UG53" s="67"/>
      <c r="UH53" s="67"/>
      <c r="UI53" s="67"/>
      <c r="UJ53" s="67"/>
      <c r="UK53" s="67"/>
      <c r="UL53" s="67"/>
      <c r="UM53" s="67"/>
      <c r="UN53" s="67"/>
      <c r="UO53" s="67"/>
      <c r="UP53" s="67"/>
      <c r="UQ53" s="67"/>
      <c r="UR53" s="67"/>
      <c r="US53" s="67"/>
      <c r="UT53" s="67"/>
      <c r="UU53" s="67"/>
      <c r="UV53" s="67"/>
      <c r="UW53" s="67"/>
      <c r="UX53" s="67"/>
      <c r="UY53" s="67"/>
      <c r="UZ53" s="67"/>
      <c r="VA53" s="67"/>
      <c r="VB53" s="67"/>
      <c r="VC53" s="67"/>
      <c r="VD53" s="67"/>
      <c r="VE53" s="67"/>
      <c r="VF53" s="67"/>
      <c r="VG53" s="67"/>
      <c r="VH53" s="67"/>
      <c r="VI53" s="67"/>
      <c r="VJ53" s="67"/>
      <c r="VK53" s="67"/>
      <c r="VL53" s="67"/>
      <c r="VM53" s="67"/>
      <c r="VN53" s="67"/>
      <c r="VO53" s="67"/>
      <c r="VP53" s="67"/>
      <c r="VQ53" s="67"/>
      <c r="VR53" s="67"/>
      <c r="VS53" s="67"/>
      <c r="VT53" s="67"/>
      <c r="VU53" s="67"/>
      <c r="VV53" s="67"/>
      <c r="VW53" s="67"/>
      <c r="VX53" s="67"/>
      <c r="VY53" s="67"/>
      <c r="WA53" s="68"/>
      <c r="WB53" s="68"/>
      <c r="WC53" s="68"/>
      <c r="WD53" s="68"/>
      <c r="WE53" s="68"/>
      <c r="WF53" s="68"/>
      <c r="WG53" s="68"/>
      <c r="WH53" s="68"/>
      <c r="WI53" s="84"/>
      <c r="WJ53" s="2"/>
      <c r="WK53" s="2"/>
    </row>
    <row r="54" spans="1:609" x14ac:dyDescent="0.25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67"/>
      <c r="GH54" s="67"/>
      <c r="GI54" s="67"/>
      <c r="GJ54" s="67"/>
      <c r="GK54" s="67"/>
      <c r="GL54" s="67"/>
      <c r="GM54" s="67"/>
      <c r="GN54" s="67"/>
      <c r="GO54" s="67"/>
      <c r="GP54" s="67"/>
      <c r="GQ54" s="67"/>
      <c r="GR54" s="67"/>
      <c r="GS54" s="67"/>
      <c r="GT54" s="67"/>
      <c r="GU54" s="67"/>
      <c r="GV54" s="67"/>
      <c r="GW54" s="67"/>
      <c r="GX54" s="67"/>
      <c r="GY54" s="67"/>
      <c r="GZ54" s="67"/>
      <c r="HA54" s="67"/>
      <c r="HB54" s="67"/>
      <c r="HC54" s="67"/>
      <c r="HD54" s="67"/>
      <c r="HE54" s="67"/>
      <c r="HF54" s="67"/>
      <c r="HG54" s="67"/>
      <c r="HH54" s="67"/>
      <c r="HI54" s="67"/>
      <c r="HJ54" s="67"/>
      <c r="HK54" s="67"/>
      <c r="HL54" s="67"/>
      <c r="HM54" s="67"/>
      <c r="HN54" s="67"/>
      <c r="HO54" s="67"/>
      <c r="HP54" s="67"/>
      <c r="HQ54" s="67"/>
      <c r="HR54" s="67"/>
      <c r="HS54" s="67"/>
      <c r="HT54" s="67"/>
      <c r="HU54" s="67"/>
      <c r="HV54" s="67"/>
      <c r="HW54" s="67"/>
      <c r="HX54" s="67"/>
      <c r="HY54" s="67"/>
      <c r="HZ54" s="67"/>
      <c r="IA54" s="67"/>
      <c r="IB54" s="67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  <c r="LG54" s="67"/>
      <c r="LH54" s="67"/>
      <c r="LI54" s="67"/>
      <c r="LJ54" s="67"/>
      <c r="LK54" s="67"/>
      <c r="LL54" s="67"/>
      <c r="LM54" s="67"/>
      <c r="LN54" s="67"/>
      <c r="LO54" s="67"/>
      <c r="LP54" s="67"/>
      <c r="LQ54" s="67"/>
      <c r="LR54" s="67"/>
      <c r="LS54" s="67"/>
      <c r="LT54" s="67"/>
      <c r="LU54" s="67"/>
      <c r="LV54" s="67"/>
      <c r="LW54" s="67"/>
      <c r="LX54" s="67"/>
      <c r="LY54" s="67"/>
      <c r="LZ54" s="67"/>
      <c r="MA54" s="67"/>
      <c r="MB54" s="67"/>
      <c r="MC54" s="67"/>
      <c r="MD54" s="67"/>
      <c r="ME54" s="67"/>
      <c r="MF54" s="67"/>
      <c r="MG54" s="67"/>
      <c r="MH54" s="67"/>
      <c r="MI54" s="67"/>
      <c r="MJ54" s="67"/>
      <c r="MK54" s="67"/>
      <c r="ML54" s="67"/>
      <c r="MM54" s="67"/>
      <c r="MN54" s="67"/>
      <c r="MO54" s="67"/>
      <c r="MP54" s="67"/>
      <c r="MQ54" s="67"/>
      <c r="MR54" s="67"/>
      <c r="MS54" s="67"/>
      <c r="MT54" s="67"/>
      <c r="MU54" s="67"/>
      <c r="MV54" s="67"/>
      <c r="MW54" s="67"/>
      <c r="MX54" s="67"/>
      <c r="MY54" s="67"/>
      <c r="MZ54" s="67"/>
      <c r="NA54" s="67"/>
      <c r="NB54" s="67"/>
      <c r="NC54" s="67"/>
      <c r="ND54" s="67"/>
      <c r="NE54" s="67"/>
      <c r="NF54" s="67"/>
      <c r="NG54" s="67"/>
      <c r="NH54" s="67"/>
      <c r="NI54" s="67"/>
      <c r="NJ54" s="67"/>
      <c r="NK54" s="67"/>
      <c r="NL54" s="67"/>
      <c r="NM54" s="67"/>
      <c r="NN54" s="67"/>
      <c r="NO54" s="67"/>
      <c r="NP54" s="67"/>
      <c r="NQ54" s="67"/>
      <c r="NR54" s="67"/>
      <c r="NS54" s="67"/>
      <c r="NT54" s="67"/>
      <c r="NU54" s="67"/>
      <c r="NV54" s="67"/>
      <c r="NW54" s="67"/>
      <c r="NX54" s="67"/>
      <c r="NY54" s="67"/>
      <c r="NZ54" s="67"/>
      <c r="OA54" s="67"/>
      <c r="OB54" s="67"/>
      <c r="OC54" s="67"/>
      <c r="OD54" s="67"/>
      <c r="OE54" s="67"/>
      <c r="OF54" s="67"/>
      <c r="OG54" s="67"/>
      <c r="OH54" s="67"/>
      <c r="OI54" s="67"/>
      <c r="OJ54" s="67"/>
      <c r="OK54" s="67"/>
      <c r="OL54" s="67"/>
      <c r="OM54" s="67"/>
      <c r="ON54" s="67"/>
      <c r="OO54" s="67"/>
      <c r="OP54" s="67"/>
      <c r="OQ54" s="67"/>
      <c r="OR54" s="67"/>
      <c r="OS54" s="67"/>
      <c r="OT54" s="67"/>
      <c r="OU54" s="67"/>
      <c r="OV54" s="67"/>
      <c r="OW54" s="67"/>
      <c r="OX54" s="67"/>
      <c r="OY54" s="67"/>
      <c r="OZ54" s="67"/>
      <c r="PA54" s="67"/>
      <c r="PB54" s="67"/>
      <c r="PC54" s="67"/>
      <c r="PD54" s="67"/>
      <c r="PE54" s="67"/>
      <c r="PF54" s="67"/>
      <c r="PG54" s="67"/>
      <c r="PH54" s="67"/>
      <c r="PI54" s="67"/>
      <c r="PJ54" s="67"/>
      <c r="PK54" s="67"/>
      <c r="PL54" s="67"/>
      <c r="PM54" s="67"/>
      <c r="PN54" s="67"/>
      <c r="PO54" s="67"/>
      <c r="PP54" s="67"/>
      <c r="PQ54" s="67"/>
      <c r="PR54" s="67"/>
      <c r="PS54" s="67"/>
      <c r="PT54" s="67"/>
      <c r="PU54" s="67"/>
      <c r="PV54" s="67"/>
      <c r="PW54" s="67"/>
      <c r="PX54" s="67"/>
      <c r="PY54" s="67"/>
      <c r="PZ54" s="67"/>
      <c r="QA54" s="67"/>
      <c r="QB54" s="67"/>
      <c r="QC54" s="67"/>
      <c r="QD54" s="67"/>
      <c r="QE54" s="67"/>
      <c r="QF54" s="67"/>
      <c r="QG54" s="67"/>
      <c r="QH54" s="67"/>
      <c r="QI54" s="67"/>
      <c r="QJ54" s="67"/>
      <c r="QK54" s="67"/>
      <c r="QL54" s="67"/>
      <c r="QM54" s="67"/>
      <c r="QN54" s="67"/>
      <c r="QO54" s="67"/>
      <c r="QP54" s="67"/>
      <c r="QQ54" s="67"/>
      <c r="QR54" s="67"/>
      <c r="QS54" s="67"/>
      <c r="QT54" s="67"/>
      <c r="QU54" s="67"/>
      <c r="QV54" s="67"/>
      <c r="QW54" s="67"/>
      <c r="QX54" s="67"/>
      <c r="QY54" s="67"/>
      <c r="QZ54" s="67"/>
      <c r="RA54" s="67"/>
      <c r="RB54" s="67"/>
      <c r="RC54" s="67"/>
      <c r="RD54" s="67"/>
      <c r="RE54" s="67"/>
      <c r="RF54" s="67"/>
      <c r="RG54" s="67"/>
      <c r="RH54" s="67"/>
      <c r="RI54" s="67"/>
      <c r="RJ54" s="67"/>
      <c r="RK54" s="67"/>
      <c r="RL54" s="67"/>
      <c r="RM54" s="67"/>
      <c r="RN54" s="67"/>
      <c r="RO54" s="67"/>
      <c r="RP54" s="67"/>
      <c r="RQ54" s="67"/>
      <c r="RR54" s="67"/>
      <c r="RS54" s="67"/>
      <c r="RT54" s="67"/>
      <c r="RU54" s="67"/>
      <c r="RV54" s="67"/>
      <c r="RW54" s="67"/>
      <c r="RX54" s="67"/>
      <c r="RY54" s="67"/>
      <c r="RZ54" s="67"/>
      <c r="SA54" s="67"/>
      <c r="SB54" s="67"/>
      <c r="SC54" s="67"/>
      <c r="SD54" s="67"/>
      <c r="SE54" s="67"/>
      <c r="SF54" s="67"/>
      <c r="SG54" s="67"/>
      <c r="SH54" s="67"/>
      <c r="SI54" s="67"/>
      <c r="SJ54" s="67"/>
      <c r="SK54" s="67"/>
      <c r="SL54" s="67"/>
      <c r="SM54" s="67"/>
      <c r="SN54" s="67"/>
      <c r="SO54" s="67"/>
      <c r="SP54" s="67"/>
      <c r="SQ54" s="67"/>
      <c r="SR54" s="67"/>
      <c r="SS54" s="67"/>
      <c r="ST54" s="67"/>
      <c r="SU54" s="67"/>
      <c r="SV54" s="67"/>
      <c r="SW54" s="67"/>
      <c r="SX54" s="67"/>
      <c r="SY54" s="67"/>
      <c r="SZ54" s="67"/>
      <c r="TA54" s="67"/>
      <c r="TB54" s="67"/>
      <c r="TC54" s="67"/>
      <c r="TD54" s="67"/>
      <c r="TE54" s="67"/>
      <c r="TF54" s="67"/>
      <c r="TG54" s="67"/>
      <c r="TH54" s="67"/>
      <c r="TI54" s="67"/>
      <c r="TJ54" s="67"/>
      <c r="TK54" s="67"/>
      <c r="TL54" s="67"/>
      <c r="TM54" s="67"/>
      <c r="TN54" s="67"/>
      <c r="TO54" s="67"/>
      <c r="TP54" s="67"/>
      <c r="TQ54" s="67"/>
      <c r="TR54" s="67"/>
      <c r="TS54" s="67"/>
      <c r="TT54" s="67"/>
      <c r="TU54" s="67"/>
      <c r="TV54" s="67"/>
      <c r="TW54" s="67"/>
      <c r="TX54" s="67"/>
      <c r="TY54" s="67"/>
      <c r="TZ54" s="67"/>
      <c r="UA54" s="67"/>
      <c r="UB54" s="67"/>
      <c r="UC54" s="67"/>
      <c r="UD54" s="67"/>
      <c r="UE54" s="67"/>
      <c r="UF54" s="67"/>
      <c r="UG54" s="67"/>
      <c r="UH54" s="67"/>
      <c r="UI54" s="67"/>
      <c r="UJ54" s="67"/>
      <c r="UK54" s="67"/>
      <c r="UL54" s="67"/>
      <c r="UM54" s="67"/>
      <c r="UN54" s="67"/>
      <c r="UO54" s="67"/>
      <c r="UP54" s="67"/>
      <c r="UQ54" s="67"/>
      <c r="UR54" s="67"/>
      <c r="US54" s="67"/>
      <c r="UT54" s="67"/>
      <c r="UU54" s="67"/>
      <c r="UV54" s="67"/>
      <c r="UW54" s="67"/>
      <c r="UX54" s="67"/>
      <c r="UY54" s="67"/>
      <c r="UZ54" s="67"/>
      <c r="VA54" s="67"/>
      <c r="VB54" s="67"/>
      <c r="VC54" s="67"/>
      <c r="VD54" s="67"/>
      <c r="VE54" s="67"/>
      <c r="VF54" s="67"/>
      <c r="VG54" s="67"/>
      <c r="VH54" s="67"/>
      <c r="VI54" s="67"/>
      <c r="VJ54" s="67"/>
      <c r="VK54" s="67"/>
      <c r="VL54" s="67"/>
      <c r="VM54" s="67"/>
      <c r="VN54" s="67"/>
      <c r="VO54" s="67"/>
      <c r="VP54" s="67"/>
      <c r="VQ54" s="67"/>
      <c r="VR54" s="67"/>
      <c r="VS54" s="67"/>
      <c r="VT54" s="67"/>
      <c r="VU54" s="67"/>
      <c r="VV54" s="67"/>
      <c r="VW54" s="67"/>
      <c r="VX54" s="67"/>
      <c r="VY54" s="67"/>
      <c r="WA54" s="68"/>
      <c r="WB54" s="68"/>
      <c r="WC54" s="68"/>
      <c r="WD54" s="68"/>
      <c r="WE54" s="68"/>
      <c r="WF54" s="68"/>
      <c r="WG54" s="68"/>
      <c r="WH54" s="68"/>
      <c r="WI54" s="84"/>
      <c r="WJ54" s="2"/>
      <c r="WK54" s="2"/>
    </row>
    <row r="55" spans="1:609" x14ac:dyDescent="0.25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  <c r="EO55" s="67"/>
      <c r="EP55" s="67"/>
      <c r="EQ55" s="67"/>
      <c r="ER55" s="67"/>
      <c r="ES55" s="67"/>
      <c r="ET55" s="67"/>
      <c r="EU55" s="67"/>
      <c r="EV55" s="67"/>
      <c r="EW55" s="67"/>
      <c r="EX55" s="67"/>
      <c r="EY55" s="67"/>
      <c r="EZ55" s="67"/>
      <c r="FA55" s="67"/>
      <c r="FB55" s="67"/>
      <c r="FC55" s="67"/>
      <c r="FD55" s="67"/>
      <c r="FE55" s="67"/>
      <c r="FF55" s="67"/>
      <c r="FG55" s="67"/>
      <c r="FH55" s="67"/>
      <c r="FI55" s="67"/>
      <c r="FJ55" s="67"/>
      <c r="FK55" s="67"/>
      <c r="FL55" s="67"/>
      <c r="FM55" s="67"/>
      <c r="FN55" s="67"/>
      <c r="FO55" s="67"/>
      <c r="FP55" s="67"/>
      <c r="FQ55" s="67"/>
      <c r="FR55" s="67"/>
      <c r="FS55" s="67"/>
      <c r="FT55" s="67"/>
      <c r="FU55" s="67"/>
      <c r="FV55" s="67"/>
      <c r="FW55" s="67"/>
      <c r="FX55" s="67"/>
      <c r="FY55" s="67"/>
      <c r="FZ55" s="67"/>
      <c r="GA55" s="67"/>
      <c r="GB55" s="67"/>
      <c r="GC55" s="67"/>
      <c r="GD55" s="67"/>
      <c r="GE55" s="67"/>
      <c r="GF55" s="67"/>
      <c r="GG55" s="67"/>
      <c r="GH55" s="67"/>
      <c r="GI55" s="67"/>
      <c r="GJ55" s="67"/>
      <c r="GK55" s="67"/>
      <c r="GL55" s="67"/>
      <c r="GM55" s="67"/>
      <c r="GN55" s="67"/>
      <c r="GO55" s="67"/>
      <c r="GP55" s="67"/>
      <c r="GQ55" s="67"/>
      <c r="GR55" s="67"/>
      <c r="GS55" s="67"/>
      <c r="GT55" s="67"/>
      <c r="GU55" s="67"/>
      <c r="GV55" s="67"/>
      <c r="GW55" s="67"/>
      <c r="GX55" s="67"/>
      <c r="GY55" s="67"/>
      <c r="GZ55" s="67"/>
      <c r="HA55" s="67"/>
      <c r="HB55" s="67"/>
      <c r="HC55" s="67"/>
      <c r="HD55" s="67"/>
      <c r="HE55" s="67"/>
      <c r="HF55" s="67"/>
      <c r="HG55" s="67"/>
      <c r="HH55" s="67"/>
      <c r="HI55" s="67"/>
      <c r="HJ55" s="67"/>
      <c r="HK55" s="67"/>
      <c r="HL55" s="67"/>
      <c r="HM55" s="67"/>
      <c r="HN55" s="67"/>
      <c r="HO55" s="67"/>
      <c r="HP55" s="67"/>
      <c r="HQ55" s="67"/>
      <c r="HR55" s="67"/>
      <c r="HS55" s="67"/>
      <c r="HT55" s="67"/>
      <c r="HU55" s="67"/>
      <c r="HV55" s="67"/>
      <c r="HW55" s="67"/>
      <c r="HX55" s="67"/>
      <c r="HY55" s="67"/>
      <c r="HZ55" s="67"/>
      <c r="IA55" s="67"/>
      <c r="IB55" s="67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  <c r="LG55" s="67"/>
      <c r="LH55" s="67"/>
      <c r="LI55" s="67"/>
      <c r="LJ55" s="67"/>
      <c r="LK55" s="67"/>
      <c r="LL55" s="67"/>
      <c r="LM55" s="67"/>
      <c r="LN55" s="67"/>
      <c r="LO55" s="67"/>
      <c r="LP55" s="67"/>
      <c r="LQ55" s="67"/>
      <c r="LR55" s="67"/>
      <c r="LS55" s="67"/>
      <c r="LT55" s="67"/>
      <c r="LU55" s="67"/>
      <c r="LV55" s="67"/>
      <c r="LW55" s="67"/>
      <c r="LX55" s="67"/>
      <c r="LY55" s="67"/>
      <c r="LZ55" s="67"/>
      <c r="MA55" s="67"/>
      <c r="MB55" s="67"/>
      <c r="MC55" s="67"/>
      <c r="MD55" s="67"/>
      <c r="ME55" s="67"/>
      <c r="MF55" s="67"/>
      <c r="MG55" s="67"/>
      <c r="MH55" s="67"/>
      <c r="MI55" s="67"/>
      <c r="MJ55" s="67"/>
      <c r="MK55" s="67"/>
      <c r="ML55" s="67"/>
      <c r="MM55" s="67"/>
      <c r="MN55" s="67"/>
      <c r="MO55" s="67"/>
      <c r="MP55" s="67"/>
      <c r="MQ55" s="67"/>
      <c r="MR55" s="67"/>
      <c r="MS55" s="67"/>
      <c r="MT55" s="67"/>
      <c r="MU55" s="67"/>
      <c r="MV55" s="67"/>
      <c r="MW55" s="67"/>
      <c r="MX55" s="67"/>
      <c r="MY55" s="67"/>
      <c r="MZ55" s="67"/>
      <c r="NA55" s="67"/>
      <c r="NB55" s="67"/>
      <c r="NC55" s="67"/>
      <c r="ND55" s="67"/>
      <c r="NE55" s="67"/>
      <c r="NF55" s="67"/>
      <c r="NG55" s="67"/>
      <c r="NH55" s="67"/>
      <c r="NI55" s="67"/>
      <c r="NJ55" s="67"/>
      <c r="NK55" s="67"/>
      <c r="NL55" s="67"/>
      <c r="NM55" s="67"/>
      <c r="NN55" s="67"/>
      <c r="NO55" s="67"/>
      <c r="NP55" s="67"/>
      <c r="NQ55" s="67"/>
      <c r="NR55" s="67"/>
      <c r="NS55" s="67"/>
      <c r="NT55" s="67"/>
      <c r="NU55" s="67"/>
      <c r="NV55" s="67"/>
      <c r="NW55" s="67"/>
      <c r="NX55" s="67"/>
      <c r="NY55" s="67"/>
      <c r="NZ55" s="67"/>
      <c r="OA55" s="67"/>
      <c r="OB55" s="67"/>
      <c r="OC55" s="67"/>
      <c r="OD55" s="67"/>
      <c r="OE55" s="67"/>
      <c r="OF55" s="67"/>
      <c r="OG55" s="67"/>
      <c r="OH55" s="67"/>
      <c r="OI55" s="67"/>
      <c r="OJ55" s="67"/>
      <c r="OK55" s="67"/>
      <c r="OL55" s="67"/>
      <c r="OM55" s="67"/>
      <c r="ON55" s="67"/>
      <c r="OO55" s="67"/>
      <c r="OP55" s="67"/>
      <c r="OQ55" s="67"/>
      <c r="OR55" s="67"/>
      <c r="OS55" s="67"/>
      <c r="OT55" s="67"/>
      <c r="OU55" s="67"/>
      <c r="OV55" s="67"/>
      <c r="OW55" s="67"/>
      <c r="OX55" s="67"/>
      <c r="OY55" s="67"/>
      <c r="OZ55" s="67"/>
      <c r="PA55" s="67"/>
      <c r="PB55" s="67"/>
      <c r="PC55" s="67"/>
      <c r="PD55" s="67"/>
      <c r="PE55" s="67"/>
      <c r="PF55" s="67"/>
      <c r="PG55" s="67"/>
      <c r="PH55" s="67"/>
      <c r="PI55" s="67"/>
      <c r="PJ55" s="67"/>
      <c r="PK55" s="67"/>
      <c r="PL55" s="67"/>
      <c r="PM55" s="67"/>
      <c r="PN55" s="67"/>
      <c r="PO55" s="67"/>
      <c r="PP55" s="67"/>
      <c r="PQ55" s="67"/>
      <c r="PR55" s="67"/>
      <c r="PS55" s="67"/>
      <c r="PT55" s="67"/>
      <c r="PU55" s="67"/>
      <c r="PV55" s="67"/>
      <c r="PW55" s="67"/>
      <c r="PX55" s="67"/>
      <c r="PY55" s="67"/>
      <c r="PZ55" s="67"/>
      <c r="QA55" s="67"/>
      <c r="QB55" s="67"/>
      <c r="QC55" s="67"/>
      <c r="QD55" s="67"/>
      <c r="QE55" s="67"/>
      <c r="QF55" s="67"/>
      <c r="QG55" s="67"/>
      <c r="QH55" s="67"/>
      <c r="QI55" s="67"/>
      <c r="QJ55" s="67"/>
      <c r="QK55" s="67"/>
      <c r="QL55" s="67"/>
      <c r="QM55" s="67"/>
      <c r="QN55" s="67"/>
      <c r="QO55" s="67"/>
      <c r="QP55" s="67"/>
      <c r="QQ55" s="67"/>
      <c r="QR55" s="67"/>
      <c r="QS55" s="67"/>
      <c r="QT55" s="67"/>
      <c r="QU55" s="67"/>
      <c r="QV55" s="67"/>
      <c r="QW55" s="67"/>
      <c r="QX55" s="67"/>
      <c r="QY55" s="67"/>
      <c r="QZ55" s="67"/>
      <c r="RA55" s="67"/>
      <c r="RB55" s="67"/>
      <c r="RC55" s="67"/>
      <c r="RD55" s="67"/>
      <c r="RE55" s="67"/>
      <c r="RF55" s="67"/>
      <c r="RG55" s="67"/>
      <c r="RH55" s="67"/>
      <c r="RI55" s="67"/>
      <c r="RJ55" s="67"/>
      <c r="RK55" s="67"/>
      <c r="RL55" s="67"/>
      <c r="RM55" s="67"/>
      <c r="RN55" s="67"/>
      <c r="RO55" s="67"/>
      <c r="RP55" s="67"/>
      <c r="RQ55" s="67"/>
      <c r="RR55" s="67"/>
      <c r="RS55" s="67"/>
      <c r="RT55" s="67"/>
      <c r="RU55" s="67"/>
      <c r="RV55" s="67"/>
      <c r="RW55" s="67"/>
      <c r="RX55" s="67"/>
      <c r="RY55" s="67"/>
      <c r="RZ55" s="67"/>
      <c r="SA55" s="67"/>
      <c r="SB55" s="67"/>
      <c r="SC55" s="67"/>
      <c r="SD55" s="67"/>
      <c r="SE55" s="67"/>
      <c r="SF55" s="67"/>
      <c r="SG55" s="67"/>
      <c r="SH55" s="67"/>
      <c r="SI55" s="67"/>
      <c r="SJ55" s="67"/>
      <c r="SK55" s="67"/>
      <c r="SL55" s="67"/>
      <c r="SM55" s="67"/>
      <c r="SN55" s="67"/>
      <c r="SO55" s="67"/>
      <c r="SP55" s="67"/>
      <c r="SQ55" s="67"/>
      <c r="SR55" s="67"/>
      <c r="SS55" s="67"/>
      <c r="ST55" s="67"/>
      <c r="SU55" s="67"/>
      <c r="SV55" s="67"/>
      <c r="SW55" s="67"/>
      <c r="SX55" s="67"/>
      <c r="SY55" s="67"/>
      <c r="SZ55" s="67"/>
      <c r="TA55" s="67"/>
      <c r="TB55" s="67"/>
      <c r="TC55" s="67"/>
      <c r="TD55" s="67"/>
      <c r="TE55" s="67"/>
      <c r="TF55" s="67"/>
      <c r="TG55" s="67"/>
      <c r="TH55" s="67"/>
      <c r="TI55" s="67"/>
      <c r="TJ55" s="67"/>
      <c r="TK55" s="67"/>
      <c r="TL55" s="67"/>
      <c r="TM55" s="67"/>
      <c r="TN55" s="67"/>
      <c r="TO55" s="67"/>
      <c r="TP55" s="67"/>
      <c r="TQ55" s="67"/>
      <c r="TR55" s="67"/>
      <c r="TS55" s="67"/>
      <c r="TT55" s="67"/>
      <c r="TU55" s="67"/>
      <c r="TV55" s="67"/>
      <c r="TW55" s="67"/>
      <c r="TX55" s="67"/>
      <c r="TY55" s="67"/>
      <c r="TZ55" s="67"/>
      <c r="UA55" s="67"/>
      <c r="UB55" s="67"/>
      <c r="UC55" s="67"/>
      <c r="UD55" s="67"/>
      <c r="UE55" s="67"/>
      <c r="UF55" s="67"/>
      <c r="UG55" s="67"/>
      <c r="UH55" s="67"/>
      <c r="UI55" s="67"/>
      <c r="UJ55" s="67"/>
      <c r="UK55" s="67"/>
      <c r="UL55" s="67"/>
      <c r="UM55" s="67"/>
      <c r="UN55" s="67"/>
      <c r="UO55" s="67"/>
      <c r="UP55" s="67"/>
      <c r="UQ55" s="67"/>
      <c r="UR55" s="67"/>
      <c r="US55" s="67"/>
      <c r="UT55" s="67"/>
      <c r="UU55" s="67"/>
      <c r="UV55" s="67"/>
      <c r="UW55" s="67"/>
      <c r="UX55" s="67"/>
      <c r="UY55" s="67"/>
      <c r="UZ55" s="67"/>
      <c r="VA55" s="67"/>
      <c r="VB55" s="67"/>
      <c r="VC55" s="67"/>
      <c r="VD55" s="67"/>
      <c r="VE55" s="67"/>
      <c r="VF55" s="67"/>
      <c r="VG55" s="67"/>
      <c r="VH55" s="67"/>
      <c r="VI55" s="67"/>
      <c r="VJ55" s="67"/>
      <c r="VK55" s="67"/>
      <c r="VL55" s="67"/>
      <c r="VM55" s="67"/>
      <c r="VN55" s="67"/>
      <c r="VO55" s="67"/>
      <c r="VP55" s="67"/>
      <c r="VQ55" s="67"/>
      <c r="VR55" s="67"/>
      <c r="VS55" s="67"/>
      <c r="VT55" s="67"/>
      <c r="VU55" s="67"/>
      <c r="VV55" s="67"/>
      <c r="VW55" s="67"/>
      <c r="VX55" s="67"/>
      <c r="VY55" s="67"/>
      <c r="WA55" s="68"/>
      <c r="WB55" s="68"/>
      <c r="WC55" s="68"/>
      <c r="WD55" s="68"/>
      <c r="WE55" s="68"/>
      <c r="WF55" s="68"/>
      <c r="WG55" s="68"/>
      <c r="WH55" s="68"/>
      <c r="WI55" s="84"/>
      <c r="WJ55" s="2"/>
      <c r="WK55" s="2"/>
    </row>
    <row r="56" spans="1:609" x14ac:dyDescent="0.25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7"/>
      <c r="MF56" s="67"/>
      <c r="MG56" s="67"/>
      <c r="MH56" s="67"/>
      <c r="MI56" s="67"/>
      <c r="MJ56" s="67"/>
      <c r="MK56" s="67"/>
      <c r="ML56" s="67"/>
      <c r="MM56" s="67"/>
      <c r="MN56" s="67"/>
      <c r="MO56" s="67"/>
      <c r="MP56" s="67"/>
      <c r="MQ56" s="67"/>
      <c r="MR56" s="67"/>
      <c r="MS56" s="67"/>
      <c r="MT56" s="67"/>
      <c r="MU56" s="67"/>
      <c r="MV56" s="67"/>
      <c r="MW56" s="67"/>
      <c r="MX56" s="67"/>
      <c r="MY56" s="67"/>
      <c r="MZ56" s="67"/>
      <c r="NA56" s="67"/>
      <c r="NB56" s="67"/>
      <c r="NC56" s="67"/>
      <c r="ND56" s="67"/>
      <c r="NE56" s="67"/>
      <c r="NF56" s="67"/>
      <c r="NG56" s="67"/>
      <c r="NH56" s="67"/>
      <c r="NI56" s="67"/>
      <c r="NJ56" s="67"/>
      <c r="NK56" s="67"/>
      <c r="NL56" s="67"/>
      <c r="NM56" s="67"/>
      <c r="NN56" s="67"/>
      <c r="NO56" s="67"/>
      <c r="NP56" s="67"/>
      <c r="NQ56" s="67"/>
      <c r="NR56" s="67"/>
      <c r="NS56" s="67"/>
      <c r="NT56" s="67"/>
      <c r="NU56" s="67"/>
      <c r="NV56" s="67"/>
      <c r="NW56" s="67"/>
      <c r="NX56" s="67"/>
      <c r="NY56" s="67"/>
      <c r="NZ56" s="67"/>
      <c r="OA56" s="67"/>
      <c r="OB56" s="67"/>
      <c r="OC56" s="67"/>
      <c r="OD56" s="67"/>
      <c r="OE56" s="67"/>
      <c r="OF56" s="67"/>
      <c r="OG56" s="67"/>
      <c r="OH56" s="67"/>
      <c r="OI56" s="67"/>
      <c r="OJ56" s="67"/>
      <c r="OK56" s="67"/>
      <c r="OL56" s="67"/>
      <c r="OM56" s="67"/>
      <c r="ON56" s="67"/>
      <c r="OO56" s="67"/>
      <c r="OP56" s="67"/>
      <c r="OQ56" s="67"/>
      <c r="OR56" s="67"/>
      <c r="OS56" s="67"/>
      <c r="OT56" s="67"/>
      <c r="OU56" s="67"/>
      <c r="OV56" s="67"/>
      <c r="OW56" s="67"/>
      <c r="OX56" s="67"/>
      <c r="OY56" s="67"/>
      <c r="OZ56" s="67"/>
      <c r="PA56" s="67"/>
      <c r="PB56" s="67"/>
      <c r="PC56" s="67"/>
      <c r="PD56" s="67"/>
      <c r="PE56" s="67"/>
      <c r="PF56" s="67"/>
      <c r="PG56" s="67"/>
      <c r="PH56" s="67"/>
      <c r="PI56" s="67"/>
      <c r="PJ56" s="67"/>
      <c r="PK56" s="67"/>
      <c r="PL56" s="67"/>
      <c r="PM56" s="67"/>
      <c r="PN56" s="67"/>
      <c r="PO56" s="67"/>
      <c r="PP56" s="67"/>
      <c r="PQ56" s="67"/>
      <c r="PR56" s="67"/>
      <c r="PS56" s="67"/>
      <c r="PT56" s="67"/>
      <c r="PU56" s="67"/>
      <c r="PV56" s="67"/>
      <c r="PW56" s="67"/>
      <c r="PX56" s="67"/>
      <c r="PY56" s="67"/>
      <c r="PZ56" s="67"/>
      <c r="QA56" s="67"/>
      <c r="QB56" s="67"/>
      <c r="QC56" s="67"/>
      <c r="QD56" s="67"/>
      <c r="QE56" s="67"/>
      <c r="QF56" s="67"/>
      <c r="QG56" s="67"/>
      <c r="QH56" s="67"/>
      <c r="QI56" s="67"/>
      <c r="QJ56" s="67"/>
      <c r="QK56" s="67"/>
      <c r="QL56" s="67"/>
      <c r="QM56" s="67"/>
      <c r="QN56" s="67"/>
      <c r="QO56" s="67"/>
      <c r="QP56" s="67"/>
      <c r="QQ56" s="67"/>
      <c r="QR56" s="67"/>
      <c r="QS56" s="67"/>
      <c r="QT56" s="67"/>
      <c r="QU56" s="67"/>
      <c r="QV56" s="67"/>
      <c r="QW56" s="67"/>
      <c r="QX56" s="67"/>
      <c r="QY56" s="67"/>
      <c r="QZ56" s="67"/>
      <c r="RA56" s="67"/>
      <c r="RB56" s="67"/>
      <c r="RC56" s="67"/>
      <c r="RD56" s="67"/>
      <c r="RE56" s="67"/>
      <c r="RF56" s="67"/>
      <c r="RG56" s="67"/>
      <c r="RH56" s="67"/>
      <c r="RI56" s="67"/>
      <c r="RJ56" s="67"/>
      <c r="RK56" s="67"/>
      <c r="RL56" s="67"/>
      <c r="RM56" s="67"/>
      <c r="RN56" s="67"/>
      <c r="RO56" s="67"/>
      <c r="RP56" s="67"/>
      <c r="RQ56" s="67"/>
      <c r="RR56" s="67"/>
      <c r="RS56" s="67"/>
      <c r="RT56" s="67"/>
      <c r="RU56" s="67"/>
      <c r="RV56" s="67"/>
      <c r="RW56" s="67"/>
      <c r="RX56" s="67"/>
      <c r="RY56" s="67"/>
      <c r="RZ56" s="67"/>
      <c r="SA56" s="67"/>
      <c r="SB56" s="67"/>
      <c r="SC56" s="67"/>
      <c r="SD56" s="67"/>
      <c r="SE56" s="67"/>
      <c r="SF56" s="67"/>
      <c r="SG56" s="67"/>
      <c r="SH56" s="67"/>
      <c r="SI56" s="67"/>
      <c r="SJ56" s="67"/>
      <c r="SK56" s="67"/>
      <c r="SL56" s="67"/>
      <c r="SM56" s="67"/>
      <c r="SN56" s="67"/>
      <c r="SO56" s="67"/>
      <c r="SP56" s="67"/>
      <c r="SQ56" s="67"/>
      <c r="SR56" s="67"/>
      <c r="SS56" s="67"/>
      <c r="ST56" s="67"/>
      <c r="SU56" s="67"/>
      <c r="SV56" s="67"/>
      <c r="SW56" s="67"/>
      <c r="SX56" s="67"/>
      <c r="SY56" s="67"/>
      <c r="SZ56" s="67"/>
      <c r="TA56" s="67"/>
      <c r="TB56" s="67"/>
      <c r="TC56" s="67"/>
      <c r="TD56" s="67"/>
      <c r="TE56" s="67"/>
      <c r="TF56" s="67"/>
      <c r="TG56" s="67"/>
      <c r="TH56" s="67"/>
      <c r="TI56" s="67"/>
      <c r="TJ56" s="67"/>
      <c r="TK56" s="67"/>
      <c r="TL56" s="67"/>
      <c r="TM56" s="67"/>
      <c r="TN56" s="67"/>
      <c r="TO56" s="67"/>
      <c r="TP56" s="67"/>
      <c r="TQ56" s="67"/>
      <c r="TR56" s="67"/>
      <c r="TS56" s="67"/>
      <c r="TT56" s="67"/>
      <c r="TU56" s="67"/>
      <c r="TV56" s="67"/>
      <c r="TW56" s="67"/>
      <c r="TX56" s="67"/>
      <c r="TY56" s="67"/>
      <c r="TZ56" s="67"/>
      <c r="UA56" s="67"/>
      <c r="UB56" s="67"/>
      <c r="UC56" s="67"/>
      <c r="UD56" s="67"/>
      <c r="UE56" s="67"/>
      <c r="UF56" s="67"/>
      <c r="UG56" s="67"/>
      <c r="UH56" s="67"/>
      <c r="UI56" s="67"/>
      <c r="UJ56" s="67"/>
      <c r="UK56" s="67"/>
      <c r="UL56" s="67"/>
      <c r="UM56" s="67"/>
      <c r="UN56" s="67"/>
      <c r="UO56" s="67"/>
      <c r="UP56" s="67"/>
      <c r="UQ56" s="67"/>
      <c r="UR56" s="67"/>
      <c r="US56" s="67"/>
      <c r="UT56" s="67"/>
      <c r="UU56" s="67"/>
      <c r="UV56" s="67"/>
      <c r="UW56" s="67"/>
      <c r="UX56" s="67"/>
      <c r="UY56" s="67"/>
      <c r="UZ56" s="67"/>
      <c r="VA56" s="67"/>
      <c r="VB56" s="67"/>
      <c r="VC56" s="67"/>
      <c r="VD56" s="67"/>
      <c r="VE56" s="67"/>
      <c r="VF56" s="67"/>
      <c r="VG56" s="67"/>
      <c r="VH56" s="67"/>
      <c r="VI56" s="67"/>
      <c r="VJ56" s="67"/>
      <c r="VK56" s="67"/>
      <c r="VL56" s="67"/>
      <c r="VM56" s="67"/>
      <c r="VN56" s="67"/>
      <c r="VO56" s="67"/>
      <c r="VP56" s="67"/>
      <c r="VQ56" s="67"/>
      <c r="VR56" s="67"/>
      <c r="VS56" s="67"/>
      <c r="VT56" s="67"/>
      <c r="VU56" s="67"/>
      <c r="VV56" s="67"/>
      <c r="VW56" s="67"/>
      <c r="VX56" s="67"/>
      <c r="VY56" s="67"/>
      <c r="WA56" s="68"/>
      <c r="WB56" s="68"/>
      <c r="WC56" s="68"/>
      <c r="WD56" s="68"/>
      <c r="WE56" s="68"/>
      <c r="WF56" s="68"/>
      <c r="WG56" s="68"/>
      <c r="WH56" s="68"/>
      <c r="WI56" s="84"/>
      <c r="WJ56" s="2"/>
      <c r="WK56" s="2"/>
    </row>
    <row r="57" spans="1:609" x14ac:dyDescent="0.25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  <c r="EO57" s="67"/>
      <c r="EP57" s="67"/>
      <c r="EQ57" s="67"/>
      <c r="ER57" s="67"/>
      <c r="ES57" s="67"/>
      <c r="ET57" s="67"/>
      <c r="EU57" s="67"/>
      <c r="EV57" s="67"/>
      <c r="EW57" s="67"/>
      <c r="EX57" s="67"/>
      <c r="EY57" s="67"/>
      <c r="EZ57" s="67"/>
      <c r="FA57" s="67"/>
      <c r="FB57" s="67"/>
      <c r="FC57" s="67"/>
      <c r="FD57" s="67"/>
      <c r="FE57" s="67"/>
      <c r="FF57" s="67"/>
      <c r="FG57" s="67"/>
      <c r="FH57" s="67"/>
      <c r="FI57" s="67"/>
      <c r="FJ57" s="67"/>
      <c r="FK57" s="67"/>
      <c r="FL57" s="67"/>
      <c r="FM57" s="67"/>
      <c r="FN57" s="67"/>
      <c r="FO57" s="67"/>
      <c r="FP57" s="67"/>
      <c r="FQ57" s="67"/>
      <c r="FR57" s="67"/>
      <c r="FS57" s="67"/>
      <c r="FT57" s="67"/>
      <c r="FU57" s="67"/>
      <c r="FV57" s="67"/>
      <c r="FW57" s="67"/>
      <c r="FX57" s="67"/>
      <c r="FY57" s="67"/>
      <c r="FZ57" s="67"/>
      <c r="GA57" s="67"/>
      <c r="GB57" s="67"/>
      <c r="GC57" s="67"/>
      <c r="GD57" s="67"/>
      <c r="GE57" s="67"/>
      <c r="GF57" s="67"/>
      <c r="GG57" s="67"/>
      <c r="GH57" s="67"/>
      <c r="GI57" s="67"/>
      <c r="GJ57" s="67"/>
      <c r="GK57" s="67"/>
      <c r="GL57" s="67"/>
      <c r="GM57" s="67"/>
      <c r="GN57" s="67"/>
      <c r="GO57" s="67"/>
      <c r="GP57" s="67"/>
      <c r="GQ57" s="67"/>
      <c r="GR57" s="67"/>
      <c r="GS57" s="67"/>
      <c r="GT57" s="67"/>
      <c r="GU57" s="67"/>
      <c r="GV57" s="67"/>
      <c r="GW57" s="67"/>
      <c r="GX57" s="67"/>
      <c r="GY57" s="67"/>
      <c r="GZ57" s="67"/>
      <c r="HA57" s="67"/>
      <c r="HB57" s="67"/>
      <c r="HC57" s="67"/>
      <c r="HD57" s="67"/>
      <c r="HE57" s="67"/>
      <c r="HF57" s="67"/>
      <c r="HG57" s="67"/>
      <c r="HH57" s="67"/>
      <c r="HI57" s="67"/>
      <c r="HJ57" s="67"/>
      <c r="HK57" s="67"/>
      <c r="HL57" s="67"/>
      <c r="HM57" s="67"/>
      <c r="HN57" s="67"/>
      <c r="HO57" s="67"/>
      <c r="HP57" s="67"/>
      <c r="HQ57" s="67"/>
      <c r="HR57" s="67"/>
      <c r="HS57" s="67"/>
      <c r="HT57" s="67"/>
      <c r="HU57" s="67"/>
      <c r="HV57" s="67"/>
      <c r="HW57" s="67"/>
      <c r="HX57" s="67"/>
      <c r="HY57" s="67"/>
      <c r="HZ57" s="67"/>
      <c r="IA57" s="67"/>
      <c r="IB57" s="67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  <c r="LG57" s="67"/>
      <c r="LH57" s="67"/>
      <c r="LI57" s="67"/>
      <c r="LJ57" s="67"/>
      <c r="LK57" s="67"/>
      <c r="LL57" s="67"/>
      <c r="LM57" s="67"/>
      <c r="LN57" s="67"/>
      <c r="LO57" s="67"/>
      <c r="LP57" s="67"/>
      <c r="LQ57" s="67"/>
      <c r="LR57" s="67"/>
      <c r="LS57" s="67"/>
      <c r="LT57" s="67"/>
      <c r="LU57" s="67"/>
      <c r="LV57" s="67"/>
      <c r="LW57" s="67"/>
      <c r="LX57" s="67"/>
      <c r="LY57" s="67"/>
      <c r="LZ57" s="67"/>
      <c r="MA57" s="67"/>
      <c r="MB57" s="67"/>
      <c r="MC57" s="67"/>
      <c r="MD57" s="67"/>
      <c r="ME57" s="67"/>
      <c r="MF57" s="67"/>
      <c r="MG57" s="67"/>
      <c r="MH57" s="67"/>
      <c r="MI57" s="67"/>
      <c r="MJ57" s="67"/>
      <c r="MK57" s="67"/>
      <c r="ML57" s="67"/>
      <c r="MM57" s="67"/>
      <c r="MN57" s="67"/>
      <c r="MO57" s="67"/>
      <c r="MP57" s="67"/>
      <c r="MQ57" s="67"/>
      <c r="MR57" s="67"/>
      <c r="MS57" s="67"/>
      <c r="MT57" s="67"/>
      <c r="MU57" s="67"/>
      <c r="MV57" s="67"/>
      <c r="MW57" s="67"/>
      <c r="MX57" s="67"/>
      <c r="MY57" s="67"/>
      <c r="MZ57" s="67"/>
      <c r="NA57" s="67"/>
      <c r="NB57" s="67"/>
      <c r="NC57" s="67"/>
      <c r="ND57" s="67"/>
      <c r="NE57" s="67"/>
      <c r="NF57" s="67"/>
      <c r="NG57" s="67"/>
      <c r="NH57" s="67"/>
      <c r="NI57" s="67"/>
      <c r="NJ57" s="67"/>
      <c r="NK57" s="67"/>
      <c r="NL57" s="67"/>
      <c r="NM57" s="67"/>
      <c r="NN57" s="67"/>
      <c r="NO57" s="67"/>
      <c r="NP57" s="67"/>
      <c r="NQ57" s="67"/>
      <c r="NR57" s="67"/>
      <c r="NS57" s="67"/>
      <c r="NT57" s="67"/>
      <c r="NU57" s="67"/>
      <c r="NV57" s="67"/>
      <c r="NW57" s="67"/>
      <c r="NX57" s="67"/>
      <c r="NY57" s="67"/>
      <c r="NZ57" s="67"/>
      <c r="OA57" s="67"/>
      <c r="OB57" s="67"/>
      <c r="OC57" s="67"/>
      <c r="OD57" s="67"/>
      <c r="OE57" s="67"/>
      <c r="OF57" s="67"/>
      <c r="OG57" s="67"/>
      <c r="OH57" s="67"/>
      <c r="OI57" s="67"/>
      <c r="OJ57" s="67"/>
      <c r="OK57" s="67"/>
      <c r="OL57" s="67"/>
      <c r="OM57" s="67"/>
      <c r="ON57" s="67"/>
      <c r="OO57" s="67"/>
      <c r="OP57" s="67"/>
      <c r="OQ57" s="67"/>
      <c r="OR57" s="67"/>
      <c r="OS57" s="67"/>
      <c r="OT57" s="67"/>
      <c r="OU57" s="67"/>
      <c r="OV57" s="67"/>
      <c r="OW57" s="67"/>
      <c r="OX57" s="67"/>
      <c r="OY57" s="67"/>
      <c r="OZ57" s="67"/>
      <c r="PA57" s="67"/>
      <c r="PB57" s="67"/>
      <c r="PC57" s="67"/>
      <c r="PD57" s="67"/>
      <c r="PE57" s="67"/>
      <c r="PF57" s="67"/>
      <c r="PG57" s="67"/>
      <c r="PH57" s="67"/>
      <c r="PI57" s="67"/>
      <c r="PJ57" s="67"/>
      <c r="PK57" s="67"/>
      <c r="PL57" s="67"/>
      <c r="PM57" s="67"/>
      <c r="PN57" s="67"/>
      <c r="PO57" s="67"/>
      <c r="PP57" s="67"/>
      <c r="PQ57" s="67"/>
      <c r="PR57" s="67"/>
      <c r="PS57" s="67"/>
      <c r="PT57" s="67"/>
      <c r="PU57" s="67"/>
      <c r="PV57" s="67"/>
      <c r="PW57" s="67"/>
      <c r="PX57" s="67"/>
      <c r="PY57" s="67"/>
      <c r="PZ57" s="67"/>
      <c r="QA57" s="67"/>
      <c r="QB57" s="67"/>
      <c r="QC57" s="67"/>
      <c r="QD57" s="67"/>
      <c r="QE57" s="67"/>
      <c r="QF57" s="67"/>
      <c r="QG57" s="67"/>
      <c r="QH57" s="67"/>
      <c r="QI57" s="67"/>
      <c r="QJ57" s="67"/>
      <c r="QK57" s="67"/>
      <c r="QL57" s="67"/>
      <c r="QM57" s="67"/>
      <c r="QN57" s="67"/>
      <c r="QO57" s="67"/>
      <c r="QP57" s="67"/>
      <c r="QQ57" s="67"/>
      <c r="QR57" s="67"/>
      <c r="QS57" s="67"/>
      <c r="QT57" s="67"/>
      <c r="QU57" s="67"/>
      <c r="QV57" s="67"/>
      <c r="QW57" s="67"/>
      <c r="QX57" s="67"/>
      <c r="QY57" s="67"/>
      <c r="QZ57" s="67"/>
      <c r="RA57" s="67"/>
      <c r="RB57" s="67"/>
      <c r="RC57" s="67"/>
      <c r="RD57" s="67"/>
      <c r="RE57" s="67"/>
      <c r="RF57" s="67"/>
      <c r="RG57" s="67"/>
      <c r="RH57" s="67"/>
      <c r="RI57" s="67"/>
      <c r="RJ57" s="67"/>
      <c r="RK57" s="67"/>
      <c r="RL57" s="67"/>
      <c r="RM57" s="67"/>
      <c r="RN57" s="67"/>
      <c r="RO57" s="67"/>
      <c r="RP57" s="67"/>
      <c r="RQ57" s="67"/>
      <c r="RR57" s="67"/>
      <c r="RS57" s="67"/>
      <c r="RT57" s="67"/>
      <c r="RU57" s="67"/>
      <c r="RV57" s="67"/>
      <c r="RW57" s="67"/>
      <c r="RX57" s="67"/>
      <c r="RY57" s="67"/>
      <c r="RZ57" s="67"/>
      <c r="SA57" s="67"/>
      <c r="SB57" s="67"/>
      <c r="SC57" s="67"/>
      <c r="SD57" s="67"/>
      <c r="SE57" s="67"/>
      <c r="SF57" s="67"/>
      <c r="SG57" s="67"/>
      <c r="SH57" s="67"/>
      <c r="SI57" s="67"/>
      <c r="SJ57" s="67"/>
      <c r="SK57" s="67"/>
      <c r="SL57" s="67"/>
      <c r="SM57" s="67"/>
      <c r="SN57" s="67"/>
      <c r="SO57" s="67"/>
      <c r="SP57" s="67"/>
      <c r="SQ57" s="67"/>
      <c r="SR57" s="67"/>
      <c r="SS57" s="67"/>
      <c r="ST57" s="67"/>
      <c r="SU57" s="67"/>
      <c r="SV57" s="67"/>
      <c r="SW57" s="67"/>
      <c r="SX57" s="67"/>
      <c r="SY57" s="67"/>
      <c r="SZ57" s="67"/>
      <c r="TA57" s="67"/>
      <c r="TB57" s="67"/>
      <c r="TC57" s="67"/>
      <c r="TD57" s="67"/>
      <c r="TE57" s="67"/>
      <c r="TF57" s="67"/>
      <c r="TG57" s="67"/>
      <c r="TH57" s="67"/>
      <c r="TI57" s="67"/>
      <c r="TJ57" s="67"/>
      <c r="TK57" s="67"/>
      <c r="TL57" s="67"/>
      <c r="TM57" s="67"/>
      <c r="TN57" s="67"/>
      <c r="TO57" s="67"/>
      <c r="TP57" s="67"/>
      <c r="TQ57" s="67"/>
      <c r="TR57" s="67"/>
      <c r="TS57" s="67"/>
      <c r="TT57" s="67"/>
      <c r="TU57" s="67"/>
      <c r="TV57" s="67"/>
      <c r="TW57" s="67"/>
      <c r="TX57" s="67"/>
      <c r="TY57" s="67"/>
      <c r="TZ57" s="67"/>
      <c r="UA57" s="67"/>
      <c r="UB57" s="67"/>
      <c r="UC57" s="67"/>
      <c r="UD57" s="67"/>
      <c r="UE57" s="67"/>
      <c r="UF57" s="67"/>
      <c r="UG57" s="67"/>
      <c r="UH57" s="67"/>
      <c r="UI57" s="67"/>
      <c r="UJ57" s="67"/>
      <c r="UK57" s="67"/>
      <c r="UL57" s="67"/>
      <c r="UM57" s="67"/>
      <c r="UN57" s="67"/>
      <c r="UO57" s="67"/>
      <c r="UP57" s="67"/>
      <c r="UQ57" s="67"/>
      <c r="UR57" s="67"/>
      <c r="US57" s="67"/>
      <c r="UT57" s="67"/>
      <c r="UU57" s="67"/>
      <c r="UV57" s="67"/>
      <c r="UW57" s="67"/>
      <c r="UX57" s="67"/>
      <c r="UY57" s="67"/>
      <c r="UZ57" s="67"/>
      <c r="VA57" s="67"/>
      <c r="VB57" s="67"/>
      <c r="VC57" s="67"/>
      <c r="VD57" s="67"/>
      <c r="VE57" s="67"/>
      <c r="VF57" s="67"/>
      <c r="VG57" s="67"/>
      <c r="VH57" s="67"/>
      <c r="VI57" s="67"/>
      <c r="VJ57" s="67"/>
      <c r="VK57" s="67"/>
      <c r="VL57" s="67"/>
      <c r="VM57" s="67"/>
      <c r="VN57" s="67"/>
      <c r="VO57" s="67"/>
      <c r="VP57" s="67"/>
      <c r="VQ57" s="67"/>
      <c r="VR57" s="67"/>
      <c r="VS57" s="67"/>
      <c r="VT57" s="67"/>
      <c r="VU57" s="67"/>
      <c r="VV57" s="67"/>
      <c r="VW57" s="67"/>
      <c r="VX57" s="67"/>
      <c r="VY57" s="67"/>
      <c r="WA57" s="68"/>
      <c r="WB57" s="68"/>
      <c r="WC57" s="68"/>
      <c r="WD57" s="68"/>
      <c r="WE57" s="68"/>
      <c r="WF57" s="68"/>
      <c r="WG57" s="68"/>
      <c r="WH57" s="68"/>
      <c r="WI57" s="84"/>
      <c r="WJ57" s="2"/>
      <c r="WK57" s="2"/>
    </row>
    <row r="58" spans="1:609" x14ac:dyDescent="0.25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  <c r="DK58" s="67"/>
      <c r="DL58" s="67"/>
      <c r="DM58" s="67"/>
      <c r="DN58" s="67"/>
      <c r="DO58" s="67"/>
      <c r="DP58" s="67"/>
      <c r="DQ58" s="67"/>
      <c r="DR58" s="67"/>
      <c r="DS58" s="67"/>
      <c r="DT58" s="67"/>
      <c r="DU58" s="67"/>
      <c r="DV58" s="67"/>
      <c r="DW58" s="67"/>
      <c r="DX58" s="67"/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  <c r="JI58" s="67"/>
      <c r="JJ58" s="67"/>
      <c r="JK58" s="67"/>
      <c r="JL58" s="67"/>
      <c r="JM58" s="67"/>
      <c r="JN58" s="67"/>
      <c r="JO58" s="67"/>
      <c r="JP58" s="67"/>
      <c r="JQ58" s="67"/>
      <c r="JR58" s="67"/>
      <c r="JS58" s="67"/>
      <c r="JT58" s="67"/>
      <c r="JU58" s="67"/>
      <c r="JV58" s="67"/>
      <c r="JW58" s="67"/>
      <c r="JX58" s="67"/>
      <c r="JY58" s="67"/>
      <c r="JZ58" s="67"/>
      <c r="KA58" s="67"/>
      <c r="KB58" s="67"/>
      <c r="KC58" s="67"/>
      <c r="KD58" s="67"/>
      <c r="KE58" s="67"/>
      <c r="KF58" s="67"/>
      <c r="KG58" s="67"/>
      <c r="KH58" s="67"/>
      <c r="KI58" s="67"/>
      <c r="KJ58" s="67"/>
      <c r="KK58" s="67"/>
      <c r="KL58" s="67"/>
      <c r="KM58" s="67"/>
      <c r="KN58" s="67"/>
      <c r="KO58" s="67"/>
      <c r="KP58" s="67"/>
      <c r="KQ58" s="67"/>
      <c r="KR58" s="67"/>
      <c r="KS58" s="67"/>
      <c r="KT58" s="67"/>
      <c r="KU58" s="67"/>
      <c r="KV58" s="67"/>
      <c r="KW58" s="67"/>
      <c r="KX58" s="67"/>
      <c r="KY58" s="67"/>
      <c r="KZ58" s="67"/>
      <c r="LA58" s="67"/>
      <c r="LB58" s="67"/>
      <c r="LC58" s="67"/>
      <c r="LD58" s="67"/>
      <c r="LE58" s="67"/>
      <c r="LF58" s="67"/>
      <c r="LG58" s="67"/>
      <c r="LH58" s="67"/>
      <c r="LI58" s="67"/>
      <c r="LJ58" s="67"/>
      <c r="LK58" s="67"/>
      <c r="LL58" s="67"/>
      <c r="LM58" s="67"/>
      <c r="LN58" s="67"/>
      <c r="LO58" s="67"/>
      <c r="LP58" s="67"/>
      <c r="LQ58" s="67"/>
      <c r="LR58" s="67"/>
      <c r="LS58" s="67"/>
      <c r="LT58" s="67"/>
      <c r="LU58" s="67"/>
      <c r="LV58" s="67"/>
      <c r="LW58" s="67"/>
      <c r="LX58" s="67"/>
      <c r="LY58" s="67"/>
      <c r="LZ58" s="67"/>
      <c r="MA58" s="67"/>
      <c r="MB58" s="67"/>
      <c r="MC58" s="67"/>
      <c r="MD58" s="67"/>
      <c r="ME58" s="67"/>
      <c r="MF58" s="67"/>
      <c r="MG58" s="67"/>
      <c r="MH58" s="67"/>
      <c r="MI58" s="67"/>
      <c r="MJ58" s="67"/>
      <c r="MK58" s="67"/>
      <c r="ML58" s="67"/>
      <c r="MM58" s="67"/>
      <c r="MN58" s="67"/>
      <c r="MO58" s="67"/>
      <c r="MP58" s="67"/>
      <c r="MQ58" s="67"/>
      <c r="MR58" s="67"/>
      <c r="MS58" s="67"/>
      <c r="MT58" s="67"/>
      <c r="MU58" s="67"/>
      <c r="MV58" s="67"/>
      <c r="MW58" s="67"/>
      <c r="MX58" s="67"/>
      <c r="MY58" s="67"/>
      <c r="MZ58" s="67"/>
      <c r="NA58" s="67"/>
      <c r="NB58" s="67"/>
      <c r="NC58" s="67"/>
      <c r="ND58" s="67"/>
      <c r="NE58" s="67"/>
      <c r="NF58" s="67"/>
      <c r="NG58" s="67"/>
      <c r="NH58" s="67"/>
      <c r="NI58" s="67"/>
      <c r="NJ58" s="67"/>
      <c r="NK58" s="67"/>
      <c r="NL58" s="67"/>
      <c r="NM58" s="67"/>
      <c r="NN58" s="67"/>
      <c r="NO58" s="67"/>
      <c r="NP58" s="67"/>
      <c r="NQ58" s="67"/>
      <c r="NR58" s="67"/>
      <c r="NS58" s="67"/>
      <c r="NT58" s="67"/>
      <c r="NU58" s="67"/>
      <c r="NV58" s="67"/>
      <c r="NW58" s="67"/>
      <c r="NX58" s="67"/>
      <c r="NY58" s="67"/>
      <c r="NZ58" s="67"/>
      <c r="OA58" s="67"/>
      <c r="OB58" s="67"/>
      <c r="OC58" s="67"/>
      <c r="OD58" s="67"/>
      <c r="OE58" s="67"/>
      <c r="OF58" s="67"/>
      <c r="OG58" s="67"/>
      <c r="OH58" s="67"/>
      <c r="OI58" s="67"/>
      <c r="OJ58" s="67"/>
      <c r="OK58" s="67"/>
      <c r="OL58" s="67"/>
      <c r="OM58" s="67"/>
      <c r="ON58" s="67"/>
      <c r="OO58" s="67"/>
      <c r="OP58" s="67"/>
      <c r="OQ58" s="67"/>
      <c r="OR58" s="67"/>
      <c r="OS58" s="67"/>
      <c r="OT58" s="67"/>
      <c r="OU58" s="67"/>
      <c r="OV58" s="67"/>
      <c r="OW58" s="67"/>
      <c r="OX58" s="67"/>
      <c r="OY58" s="67"/>
      <c r="OZ58" s="67"/>
      <c r="PA58" s="67"/>
      <c r="PB58" s="67"/>
      <c r="PC58" s="67"/>
      <c r="PD58" s="67"/>
      <c r="PE58" s="67"/>
      <c r="PF58" s="67"/>
      <c r="PG58" s="67"/>
      <c r="PH58" s="67"/>
      <c r="PI58" s="67"/>
      <c r="PJ58" s="67"/>
      <c r="PK58" s="67"/>
      <c r="PL58" s="67"/>
      <c r="PM58" s="67"/>
      <c r="PN58" s="67"/>
      <c r="PO58" s="67"/>
      <c r="PP58" s="67"/>
      <c r="PQ58" s="67"/>
      <c r="PR58" s="67"/>
      <c r="PS58" s="67"/>
      <c r="PT58" s="67"/>
      <c r="PU58" s="67"/>
      <c r="PV58" s="67"/>
      <c r="PW58" s="67"/>
      <c r="PX58" s="67"/>
      <c r="PY58" s="67"/>
      <c r="PZ58" s="67"/>
      <c r="QA58" s="67"/>
      <c r="QB58" s="67"/>
      <c r="QC58" s="67"/>
      <c r="QD58" s="67"/>
      <c r="QE58" s="67"/>
      <c r="QF58" s="67"/>
      <c r="QG58" s="67"/>
      <c r="QH58" s="67"/>
      <c r="QI58" s="67"/>
      <c r="QJ58" s="67"/>
      <c r="QK58" s="67"/>
      <c r="QL58" s="67"/>
      <c r="QM58" s="67"/>
      <c r="QN58" s="67"/>
      <c r="QO58" s="67"/>
      <c r="QP58" s="67"/>
      <c r="QQ58" s="67"/>
      <c r="QR58" s="67"/>
      <c r="QS58" s="67"/>
      <c r="QT58" s="67"/>
      <c r="QU58" s="67"/>
      <c r="QV58" s="67"/>
      <c r="QW58" s="67"/>
      <c r="QX58" s="67"/>
      <c r="QY58" s="67"/>
      <c r="QZ58" s="67"/>
      <c r="RA58" s="67"/>
      <c r="RB58" s="67"/>
      <c r="RC58" s="67"/>
      <c r="RD58" s="67"/>
      <c r="RE58" s="67"/>
      <c r="RF58" s="67"/>
      <c r="RG58" s="67"/>
      <c r="RH58" s="67"/>
      <c r="RI58" s="67"/>
      <c r="RJ58" s="67"/>
      <c r="RK58" s="67"/>
      <c r="RL58" s="67"/>
      <c r="RM58" s="67"/>
      <c r="RN58" s="67"/>
      <c r="RO58" s="67"/>
      <c r="RP58" s="67"/>
      <c r="RQ58" s="67"/>
      <c r="RR58" s="67"/>
      <c r="RS58" s="67"/>
      <c r="RT58" s="67"/>
      <c r="RU58" s="67"/>
      <c r="RV58" s="67"/>
      <c r="RW58" s="67"/>
      <c r="RX58" s="67"/>
      <c r="RY58" s="67"/>
      <c r="RZ58" s="67"/>
      <c r="SA58" s="67"/>
      <c r="SB58" s="67"/>
      <c r="SC58" s="67"/>
      <c r="SD58" s="67"/>
      <c r="SE58" s="67"/>
      <c r="SF58" s="67"/>
      <c r="SG58" s="67"/>
      <c r="SH58" s="67"/>
      <c r="SI58" s="67"/>
      <c r="SJ58" s="67"/>
      <c r="SK58" s="67"/>
      <c r="SL58" s="67"/>
      <c r="SM58" s="67"/>
      <c r="SN58" s="67"/>
      <c r="SO58" s="67"/>
      <c r="SP58" s="67"/>
      <c r="SQ58" s="67"/>
      <c r="SR58" s="67"/>
      <c r="SS58" s="67"/>
      <c r="ST58" s="67"/>
      <c r="SU58" s="67"/>
      <c r="SV58" s="67"/>
      <c r="SW58" s="67"/>
      <c r="SX58" s="67"/>
      <c r="SY58" s="67"/>
      <c r="SZ58" s="67"/>
      <c r="TA58" s="67"/>
      <c r="TB58" s="67"/>
      <c r="TC58" s="67"/>
      <c r="TD58" s="67"/>
      <c r="TE58" s="67"/>
      <c r="TF58" s="67"/>
      <c r="TG58" s="67"/>
      <c r="TH58" s="67"/>
      <c r="TI58" s="67"/>
      <c r="TJ58" s="67"/>
      <c r="TK58" s="67"/>
      <c r="TL58" s="67"/>
      <c r="TM58" s="67"/>
      <c r="TN58" s="67"/>
      <c r="TO58" s="67"/>
      <c r="TP58" s="67"/>
      <c r="TQ58" s="67"/>
      <c r="TR58" s="67"/>
      <c r="TS58" s="67"/>
      <c r="TT58" s="67"/>
      <c r="TU58" s="67"/>
      <c r="TV58" s="67"/>
      <c r="TW58" s="67"/>
      <c r="TX58" s="67"/>
      <c r="TY58" s="67"/>
      <c r="TZ58" s="67"/>
      <c r="UA58" s="67"/>
      <c r="UB58" s="67"/>
      <c r="UC58" s="67"/>
      <c r="UD58" s="67"/>
      <c r="UE58" s="67"/>
      <c r="UF58" s="67"/>
      <c r="UG58" s="67"/>
      <c r="UH58" s="67"/>
      <c r="UI58" s="67"/>
      <c r="UJ58" s="67"/>
      <c r="UK58" s="67"/>
      <c r="UL58" s="67"/>
      <c r="UM58" s="67"/>
      <c r="UN58" s="67"/>
      <c r="UO58" s="67"/>
      <c r="UP58" s="67"/>
      <c r="UQ58" s="67"/>
      <c r="UR58" s="67"/>
      <c r="US58" s="67"/>
      <c r="UT58" s="67"/>
      <c r="UU58" s="67"/>
      <c r="UV58" s="67"/>
      <c r="UW58" s="67"/>
      <c r="UX58" s="67"/>
      <c r="UY58" s="67"/>
      <c r="UZ58" s="67"/>
      <c r="VA58" s="67"/>
      <c r="VB58" s="67"/>
      <c r="VC58" s="67"/>
      <c r="VD58" s="67"/>
      <c r="VE58" s="67"/>
      <c r="VF58" s="67"/>
      <c r="VG58" s="67"/>
      <c r="VH58" s="67"/>
      <c r="VI58" s="67"/>
      <c r="VJ58" s="67"/>
      <c r="VK58" s="67"/>
      <c r="VL58" s="67"/>
      <c r="VM58" s="67"/>
      <c r="VN58" s="67"/>
      <c r="VO58" s="67"/>
      <c r="VP58" s="67"/>
      <c r="VQ58" s="67"/>
      <c r="VR58" s="67"/>
      <c r="VS58" s="67"/>
      <c r="VT58" s="67"/>
      <c r="VU58" s="67"/>
      <c r="VV58" s="67"/>
      <c r="VW58" s="67"/>
      <c r="VX58" s="67"/>
      <c r="VY58" s="67"/>
      <c r="WA58" s="68"/>
      <c r="WB58" s="68"/>
      <c r="WC58" s="68"/>
      <c r="WD58" s="68"/>
      <c r="WE58" s="68"/>
      <c r="WF58" s="68"/>
      <c r="WG58" s="68"/>
      <c r="WH58" s="68"/>
      <c r="WI58" s="84"/>
      <c r="WJ58" s="2"/>
      <c r="WK58" s="2"/>
    </row>
    <row r="59" spans="1:609" x14ac:dyDescent="0.25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  <c r="LG59" s="67"/>
      <c r="LH59" s="67"/>
      <c r="LI59" s="67"/>
      <c r="LJ59" s="67"/>
      <c r="LK59" s="67"/>
      <c r="LL59" s="67"/>
      <c r="LM59" s="67"/>
      <c r="LN59" s="67"/>
      <c r="LO59" s="67"/>
      <c r="LP59" s="67"/>
      <c r="LQ59" s="67"/>
      <c r="LR59" s="67"/>
      <c r="LS59" s="67"/>
      <c r="LT59" s="67"/>
      <c r="LU59" s="67"/>
      <c r="LV59" s="67"/>
      <c r="LW59" s="67"/>
      <c r="LX59" s="67"/>
      <c r="LY59" s="67"/>
      <c r="LZ59" s="67"/>
      <c r="MA59" s="67"/>
      <c r="MB59" s="67"/>
      <c r="MC59" s="67"/>
      <c r="MD59" s="67"/>
      <c r="ME59" s="67"/>
      <c r="MF59" s="67"/>
      <c r="MG59" s="67"/>
      <c r="MH59" s="67"/>
      <c r="MI59" s="67"/>
      <c r="MJ59" s="67"/>
      <c r="MK59" s="67"/>
      <c r="ML59" s="67"/>
      <c r="MM59" s="67"/>
      <c r="MN59" s="67"/>
      <c r="MO59" s="67"/>
      <c r="MP59" s="67"/>
      <c r="MQ59" s="67"/>
      <c r="MR59" s="67"/>
      <c r="MS59" s="67"/>
      <c r="MT59" s="67"/>
      <c r="MU59" s="67"/>
      <c r="MV59" s="67"/>
      <c r="MW59" s="67"/>
      <c r="MX59" s="67"/>
      <c r="MY59" s="67"/>
      <c r="MZ59" s="67"/>
      <c r="NA59" s="67"/>
      <c r="NB59" s="67"/>
      <c r="NC59" s="67"/>
      <c r="ND59" s="67"/>
      <c r="NE59" s="67"/>
      <c r="NF59" s="67"/>
      <c r="NG59" s="67"/>
      <c r="NH59" s="67"/>
      <c r="NI59" s="67"/>
      <c r="NJ59" s="67"/>
      <c r="NK59" s="67"/>
      <c r="NL59" s="67"/>
      <c r="NM59" s="67"/>
      <c r="NN59" s="67"/>
      <c r="NO59" s="67"/>
      <c r="NP59" s="67"/>
      <c r="NQ59" s="67"/>
      <c r="NR59" s="67"/>
      <c r="NS59" s="67"/>
      <c r="NT59" s="67"/>
      <c r="NU59" s="67"/>
      <c r="NV59" s="67"/>
      <c r="NW59" s="67"/>
      <c r="NX59" s="67"/>
      <c r="NY59" s="67"/>
      <c r="NZ59" s="67"/>
      <c r="OA59" s="67"/>
      <c r="OB59" s="67"/>
      <c r="OC59" s="67"/>
      <c r="OD59" s="67"/>
      <c r="OE59" s="67"/>
      <c r="OF59" s="67"/>
      <c r="OG59" s="67"/>
      <c r="OH59" s="67"/>
      <c r="OI59" s="67"/>
      <c r="OJ59" s="67"/>
      <c r="OK59" s="67"/>
      <c r="OL59" s="67"/>
      <c r="OM59" s="67"/>
      <c r="ON59" s="67"/>
      <c r="OO59" s="67"/>
      <c r="OP59" s="67"/>
      <c r="OQ59" s="67"/>
      <c r="OR59" s="67"/>
      <c r="OS59" s="67"/>
      <c r="OT59" s="67"/>
      <c r="OU59" s="67"/>
      <c r="OV59" s="67"/>
      <c r="OW59" s="67"/>
      <c r="OX59" s="67"/>
      <c r="OY59" s="67"/>
      <c r="OZ59" s="67"/>
      <c r="PA59" s="67"/>
      <c r="PB59" s="67"/>
      <c r="PC59" s="67"/>
      <c r="PD59" s="67"/>
      <c r="PE59" s="67"/>
      <c r="PF59" s="67"/>
      <c r="PG59" s="67"/>
      <c r="PH59" s="67"/>
      <c r="PI59" s="67"/>
      <c r="PJ59" s="67"/>
      <c r="PK59" s="67"/>
      <c r="PL59" s="67"/>
      <c r="PM59" s="67"/>
      <c r="PN59" s="67"/>
      <c r="PO59" s="67"/>
      <c r="PP59" s="67"/>
      <c r="PQ59" s="67"/>
      <c r="PR59" s="67"/>
      <c r="PS59" s="67"/>
      <c r="PT59" s="67"/>
      <c r="PU59" s="67"/>
      <c r="PV59" s="67"/>
      <c r="PW59" s="67"/>
      <c r="PX59" s="67"/>
      <c r="PY59" s="67"/>
      <c r="PZ59" s="67"/>
      <c r="QA59" s="67"/>
      <c r="QB59" s="67"/>
      <c r="QC59" s="67"/>
      <c r="QD59" s="67"/>
      <c r="QE59" s="67"/>
      <c r="QF59" s="67"/>
      <c r="QG59" s="67"/>
      <c r="QH59" s="67"/>
      <c r="QI59" s="67"/>
      <c r="QJ59" s="67"/>
      <c r="QK59" s="67"/>
      <c r="QL59" s="67"/>
      <c r="QM59" s="67"/>
      <c r="QN59" s="67"/>
      <c r="QO59" s="67"/>
      <c r="QP59" s="67"/>
      <c r="QQ59" s="67"/>
      <c r="QR59" s="67"/>
      <c r="QS59" s="67"/>
      <c r="QT59" s="67"/>
      <c r="QU59" s="67"/>
      <c r="QV59" s="67"/>
      <c r="QW59" s="67"/>
      <c r="QX59" s="67"/>
      <c r="QY59" s="67"/>
      <c r="QZ59" s="67"/>
      <c r="RA59" s="67"/>
      <c r="RB59" s="67"/>
      <c r="RC59" s="67"/>
      <c r="RD59" s="67"/>
      <c r="RE59" s="67"/>
      <c r="RF59" s="67"/>
      <c r="RG59" s="67"/>
      <c r="RH59" s="67"/>
      <c r="RI59" s="67"/>
      <c r="RJ59" s="67"/>
      <c r="RK59" s="67"/>
      <c r="RL59" s="67"/>
      <c r="RM59" s="67"/>
      <c r="RN59" s="67"/>
      <c r="RO59" s="67"/>
      <c r="RP59" s="67"/>
      <c r="RQ59" s="67"/>
      <c r="RR59" s="67"/>
      <c r="RS59" s="67"/>
      <c r="RT59" s="67"/>
      <c r="RU59" s="67"/>
      <c r="RV59" s="67"/>
      <c r="RW59" s="67"/>
      <c r="RX59" s="67"/>
      <c r="RY59" s="67"/>
      <c r="RZ59" s="67"/>
      <c r="SA59" s="67"/>
      <c r="SB59" s="67"/>
      <c r="SC59" s="67"/>
      <c r="SD59" s="67"/>
      <c r="SE59" s="67"/>
      <c r="SF59" s="67"/>
      <c r="SG59" s="67"/>
      <c r="SH59" s="67"/>
      <c r="SI59" s="67"/>
      <c r="SJ59" s="67"/>
      <c r="SK59" s="67"/>
      <c r="SL59" s="67"/>
      <c r="SM59" s="67"/>
      <c r="SN59" s="67"/>
      <c r="SO59" s="67"/>
      <c r="SP59" s="67"/>
      <c r="SQ59" s="67"/>
      <c r="SR59" s="67"/>
      <c r="SS59" s="67"/>
      <c r="ST59" s="67"/>
      <c r="SU59" s="67"/>
      <c r="SV59" s="67"/>
      <c r="SW59" s="67"/>
      <c r="SX59" s="67"/>
      <c r="SY59" s="67"/>
      <c r="SZ59" s="67"/>
      <c r="TA59" s="67"/>
      <c r="TB59" s="67"/>
      <c r="TC59" s="67"/>
      <c r="TD59" s="67"/>
      <c r="TE59" s="67"/>
      <c r="TF59" s="67"/>
      <c r="TG59" s="67"/>
      <c r="TH59" s="67"/>
      <c r="TI59" s="67"/>
      <c r="TJ59" s="67"/>
      <c r="TK59" s="67"/>
      <c r="TL59" s="67"/>
      <c r="TM59" s="67"/>
      <c r="TN59" s="67"/>
      <c r="TO59" s="67"/>
      <c r="TP59" s="67"/>
      <c r="TQ59" s="67"/>
      <c r="TR59" s="67"/>
      <c r="TS59" s="67"/>
      <c r="TT59" s="67"/>
      <c r="TU59" s="67"/>
      <c r="TV59" s="67"/>
      <c r="TW59" s="67"/>
      <c r="TX59" s="67"/>
      <c r="TY59" s="67"/>
      <c r="TZ59" s="67"/>
      <c r="UA59" s="67"/>
      <c r="UB59" s="67"/>
      <c r="UC59" s="67"/>
      <c r="UD59" s="67"/>
      <c r="UE59" s="67"/>
      <c r="UF59" s="67"/>
      <c r="UG59" s="67"/>
      <c r="UH59" s="67"/>
      <c r="UI59" s="67"/>
      <c r="UJ59" s="67"/>
      <c r="UK59" s="67"/>
      <c r="UL59" s="67"/>
      <c r="UM59" s="67"/>
      <c r="UN59" s="67"/>
      <c r="UO59" s="67"/>
      <c r="UP59" s="67"/>
      <c r="UQ59" s="67"/>
      <c r="UR59" s="67"/>
      <c r="US59" s="67"/>
      <c r="UT59" s="67"/>
      <c r="UU59" s="67"/>
      <c r="UV59" s="67"/>
      <c r="UW59" s="67"/>
      <c r="UX59" s="67"/>
      <c r="UY59" s="67"/>
      <c r="UZ59" s="67"/>
      <c r="VA59" s="67"/>
      <c r="VB59" s="67"/>
      <c r="VC59" s="67"/>
      <c r="VD59" s="67"/>
      <c r="VE59" s="67"/>
      <c r="VF59" s="67"/>
      <c r="VG59" s="67"/>
      <c r="VH59" s="67"/>
      <c r="VI59" s="67"/>
      <c r="VJ59" s="67"/>
      <c r="VK59" s="67"/>
      <c r="VL59" s="67"/>
      <c r="VM59" s="67"/>
      <c r="VN59" s="67"/>
      <c r="VO59" s="67"/>
      <c r="VP59" s="67"/>
      <c r="VQ59" s="67"/>
      <c r="VR59" s="67"/>
      <c r="VS59" s="67"/>
      <c r="VT59" s="67"/>
      <c r="VU59" s="67"/>
      <c r="VV59" s="67"/>
      <c r="VW59" s="67"/>
      <c r="VX59" s="67"/>
      <c r="VY59" s="67"/>
      <c r="WA59" s="68"/>
      <c r="WB59" s="68"/>
      <c r="WC59" s="68"/>
      <c r="WD59" s="68"/>
      <c r="WE59" s="68"/>
      <c r="WF59" s="68"/>
      <c r="WG59" s="68"/>
      <c r="WH59" s="68"/>
      <c r="WI59" s="84"/>
      <c r="WJ59" s="2"/>
      <c r="WK59" s="2"/>
    </row>
    <row r="60" spans="1:609" x14ac:dyDescent="0.25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  <c r="JI60" s="67"/>
      <c r="JJ60" s="67"/>
      <c r="JK60" s="67"/>
      <c r="JL60" s="67"/>
      <c r="JM60" s="67"/>
      <c r="JN60" s="67"/>
      <c r="JO60" s="67"/>
      <c r="JP60" s="67"/>
      <c r="JQ60" s="67"/>
      <c r="JR60" s="67"/>
      <c r="JS60" s="67"/>
      <c r="JT60" s="67"/>
      <c r="JU60" s="67"/>
      <c r="JV60" s="67"/>
      <c r="JW60" s="67"/>
      <c r="JX60" s="67"/>
      <c r="JY60" s="67"/>
      <c r="JZ60" s="67"/>
      <c r="KA60" s="67"/>
      <c r="KB60" s="67"/>
      <c r="KC60" s="67"/>
      <c r="KD60" s="67"/>
      <c r="KE60" s="67"/>
      <c r="KF60" s="67"/>
      <c r="KG60" s="67"/>
      <c r="KH60" s="67"/>
      <c r="KI60" s="67"/>
      <c r="KJ60" s="67"/>
      <c r="KK60" s="67"/>
      <c r="KL60" s="67"/>
      <c r="KM60" s="67"/>
      <c r="KN60" s="67"/>
      <c r="KO60" s="67"/>
      <c r="KP60" s="67"/>
      <c r="KQ60" s="67"/>
      <c r="KR60" s="67"/>
      <c r="KS60" s="67"/>
      <c r="KT60" s="67"/>
      <c r="KU60" s="67"/>
      <c r="KV60" s="67"/>
      <c r="KW60" s="67"/>
      <c r="KX60" s="67"/>
      <c r="KY60" s="67"/>
      <c r="KZ60" s="67"/>
      <c r="LA60" s="67"/>
      <c r="LB60" s="67"/>
      <c r="LC60" s="67"/>
      <c r="LD60" s="67"/>
      <c r="LE60" s="67"/>
      <c r="LF60" s="67"/>
      <c r="LG60" s="67"/>
      <c r="LH60" s="67"/>
      <c r="LI60" s="67"/>
      <c r="LJ60" s="67"/>
      <c r="LK60" s="67"/>
      <c r="LL60" s="67"/>
      <c r="LM60" s="67"/>
      <c r="LN60" s="67"/>
      <c r="LO60" s="67"/>
      <c r="LP60" s="67"/>
      <c r="LQ60" s="67"/>
      <c r="LR60" s="67"/>
      <c r="LS60" s="67"/>
      <c r="LT60" s="67"/>
      <c r="LU60" s="67"/>
      <c r="LV60" s="67"/>
      <c r="LW60" s="67"/>
      <c r="LX60" s="67"/>
      <c r="LY60" s="67"/>
      <c r="LZ60" s="67"/>
      <c r="MA60" s="67"/>
      <c r="MB60" s="67"/>
      <c r="MC60" s="67"/>
      <c r="MD60" s="67"/>
      <c r="ME60" s="67"/>
      <c r="MF60" s="67"/>
      <c r="MG60" s="67"/>
      <c r="MH60" s="67"/>
      <c r="MI60" s="67"/>
      <c r="MJ60" s="67"/>
      <c r="MK60" s="67"/>
      <c r="ML60" s="67"/>
      <c r="MM60" s="67"/>
      <c r="MN60" s="67"/>
      <c r="MO60" s="67"/>
      <c r="MP60" s="67"/>
      <c r="MQ60" s="67"/>
      <c r="MR60" s="67"/>
      <c r="MS60" s="67"/>
      <c r="MT60" s="67"/>
      <c r="MU60" s="67"/>
      <c r="MV60" s="67"/>
      <c r="MW60" s="67"/>
      <c r="MX60" s="67"/>
      <c r="MY60" s="67"/>
      <c r="MZ60" s="67"/>
      <c r="NA60" s="67"/>
      <c r="NB60" s="67"/>
      <c r="NC60" s="67"/>
      <c r="ND60" s="67"/>
      <c r="NE60" s="67"/>
      <c r="NF60" s="67"/>
      <c r="NG60" s="67"/>
      <c r="NH60" s="67"/>
      <c r="NI60" s="67"/>
      <c r="NJ60" s="67"/>
      <c r="NK60" s="67"/>
      <c r="NL60" s="67"/>
      <c r="NM60" s="67"/>
      <c r="NN60" s="67"/>
      <c r="NO60" s="67"/>
      <c r="NP60" s="67"/>
      <c r="NQ60" s="67"/>
      <c r="NR60" s="67"/>
      <c r="NS60" s="67"/>
      <c r="NT60" s="67"/>
      <c r="NU60" s="67"/>
      <c r="NV60" s="67"/>
      <c r="NW60" s="67"/>
      <c r="NX60" s="67"/>
      <c r="NY60" s="67"/>
      <c r="NZ60" s="67"/>
      <c r="OA60" s="67"/>
      <c r="OB60" s="67"/>
      <c r="OC60" s="67"/>
      <c r="OD60" s="67"/>
      <c r="OE60" s="67"/>
      <c r="OF60" s="67"/>
      <c r="OG60" s="67"/>
      <c r="OH60" s="67"/>
      <c r="OI60" s="67"/>
      <c r="OJ60" s="67"/>
      <c r="OK60" s="67"/>
      <c r="OL60" s="67"/>
      <c r="OM60" s="67"/>
      <c r="ON60" s="67"/>
      <c r="OO60" s="67"/>
      <c r="OP60" s="67"/>
      <c r="OQ60" s="67"/>
      <c r="OR60" s="67"/>
      <c r="OS60" s="67"/>
      <c r="OT60" s="67"/>
      <c r="OU60" s="67"/>
      <c r="OV60" s="67"/>
      <c r="OW60" s="67"/>
      <c r="OX60" s="67"/>
      <c r="OY60" s="67"/>
      <c r="OZ60" s="67"/>
      <c r="PA60" s="67"/>
      <c r="PB60" s="67"/>
      <c r="PC60" s="67"/>
      <c r="PD60" s="67"/>
      <c r="PE60" s="67"/>
      <c r="PF60" s="67"/>
      <c r="PG60" s="67"/>
      <c r="PH60" s="67"/>
      <c r="PI60" s="67"/>
      <c r="PJ60" s="67"/>
      <c r="PK60" s="67"/>
      <c r="PL60" s="67"/>
      <c r="PM60" s="67"/>
      <c r="PN60" s="67"/>
      <c r="PO60" s="67"/>
      <c r="PP60" s="67"/>
      <c r="PQ60" s="67"/>
      <c r="PR60" s="67"/>
      <c r="PS60" s="67"/>
      <c r="PT60" s="67"/>
      <c r="PU60" s="67"/>
      <c r="PV60" s="67"/>
      <c r="PW60" s="67"/>
      <c r="PX60" s="67"/>
      <c r="PY60" s="67"/>
      <c r="PZ60" s="67"/>
      <c r="QA60" s="67"/>
      <c r="QB60" s="67"/>
      <c r="QC60" s="67"/>
      <c r="QD60" s="67"/>
      <c r="QE60" s="67"/>
      <c r="QF60" s="67"/>
      <c r="QG60" s="67"/>
      <c r="QH60" s="67"/>
      <c r="QI60" s="67"/>
      <c r="QJ60" s="67"/>
      <c r="QK60" s="67"/>
      <c r="QL60" s="67"/>
      <c r="QM60" s="67"/>
      <c r="QN60" s="67"/>
      <c r="QO60" s="67"/>
      <c r="QP60" s="67"/>
      <c r="QQ60" s="67"/>
      <c r="QR60" s="67"/>
      <c r="QS60" s="67"/>
      <c r="QT60" s="67"/>
      <c r="QU60" s="67"/>
      <c r="QV60" s="67"/>
      <c r="QW60" s="67"/>
      <c r="QX60" s="67"/>
      <c r="QY60" s="67"/>
      <c r="QZ60" s="67"/>
      <c r="RA60" s="67"/>
      <c r="RB60" s="67"/>
      <c r="RC60" s="67"/>
      <c r="RD60" s="67"/>
      <c r="RE60" s="67"/>
      <c r="RF60" s="67"/>
      <c r="RG60" s="67"/>
      <c r="RH60" s="67"/>
      <c r="RI60" s="67"/>
      <c r="RJ60" s="67"/>
      <c r="RK60" s="67"/>
      <c r="RL60" s="67"/>
      <c r="RM60" s="67"/>
      <c r="RN60" s="67"/>
      <c r="RO60" s="67"/>
      <c r="RP60" s="67"/>
      <c r="RQ60" s="67"/>
      <c r="RR60" s="67"/>
      <c r="RS60" s="67"/>
      <c r="RT60" s="67"/>
      <c r="RU60" s="67"/>
      <c r="RV60" s="67"/>
      <c r="RW60" s="67"/>
      <c r="RX60" s="67"/>
      <c r="RY60" s="67"/>
      <c r="RZ60" s="67"/>
      <c r="SA60" s="67"/>
      <c r="SB60" s="67"/>
      <c r="SC60" s="67"/>
      <c r="SD60" s="67"/>
      <c r="SE60" s="67"/>
      <c r="SF60" s="67"/>
      <c r="SG60" s="67"/>
      <c r="SH60" s="67"/>
      <c r="SI60" s="67"/>
      <c r="SJ60" s="67"/>
      <c r="SK60" s="67"/>
      <c r="SL60" s="67"/>
      <c r="SM60" s="67"/>
      <c r="SN60" s="67"/>
      <c r="SO60" s="67"/>
      <c r="SP60" s="67"/>
      <c r="SQ60" s="67"/>
      <c r="SR60" s="67"/>
      <c r="SS60" s="67"/>
      <c r="ST60" s="67"/>
      <c r="SU60" s="67"/>
      <c r="SV60" s="67"/>
      <c r="SW60" s="67"/>
      <c r="SX60" s="67"/>
      <c r="SY60" s="67"/>
      <c r="SZ60" s="67"/>
      <c r="TA60" s="67"/>
      <c r="TB60" s="67"/>
      <c r="TC60" s="67"/>
      <c r="TD60" s="67"/>
      <c r="TE60" s="67"/>
      <c r="TF60" s="67"/>
      <c r="TG60" s="67"/>
      <c r="TH60" s="67"/>
      <c r="TI60" s="67"/>
      <c r="TJ60" s="67"/>
      <c r="TK60" s="67"/>
      <c r="TL60" s="67"/>
      <c r="TM60" s="67"/>
      <c r="TN60" s="67"/>
      <c r="TO60" s="67"/>
      <c r="TP60" s="67"/>
      <c r="TQ60" s="67"/>
      <c r="TR60" s="67"/>
      <c r="TS60" s="67"/>
      <c r="TT60" s="67"/>
      <c r="TU60" s="67"/>
      <c r="TV60" s="67"/>
      <c r="TW60" s="67"/>
      <c r="TX60" s="67"/>
      <c r="TY60" s="67"/>
      <c r="TZ60" s="67"/>
      <c r="UA60" s="67"/>
      <c r="UB60" s="67"/>
      <c r="UC60" s="67"/>
      <c r="UD60" s="67"/>
      <c r="UE60" s="67"/>
      <c r="UF60" s="67"/>
      <c r="UG60" s="67"/>
      <c r="UH60" s="67"/>
      <c r="UI60" s="67"/>
      <c r="UJ60" s="67"/>
      <c r="UK60" s="67"/>
      <c r="UL60" s="67"/>
      <c r="UM60" s="67"/>
      <c r="UN60" s="67"/>
      <c r="UO60" s="67"/>
      <c r="UP60" s="67"/>
      <c r="UQ60" s="67"/>
      <c r="UR60" s="67"/>
      <c r="US60" s="67"/>
      <c r="UT60" s="67"/>
      <c r="UU60" s="67"/>
      <c r="UV60" s="67"/>
      <c r="UW60" s="67"/>
      <c r="UX60" s="67"/>
      <c r="UY60" s="67"/>
      <c r="UZ60" s="67"/>
      <c r="VA60" s="67"/>
      <c r="VB60" s="67"/>
      <c r="VC60" s="67"/>
      <c r="VD60" s="67"/>
      <c r="VE60" s="67"/>
      <c r="VF60" s="67"/>
      <c r="VG60" s="67"/>
      <c r="VH60" s="67"/>
      <c r="VI60" s="67"/>
      <c r="VJ60" s="67"/>
      <c r="VK60" s="67"/>
      <c r="VL60" s="67"/>
      <c r="VM60" s="67"/>
      <c r="VN60" s="67"/>
      <c r="VO60" s="67"/>
      <c r="VP60" s="67"/>
      <c r="VQ60" s="67"/>
      <c r="VR60" s="67"/>
      <c r="VS60" s="67"/>
      <c r="VT60" s="67"/>
      <c r="VU60" s="67"/>
      <c r="VV60" s="67"/>
      <c r="VW60" s="67"/>
      <c r="VX60" s="67"/>
      <c r="VY60" s="67"/>
      <c r="WA60" s="68"/>
      <c r="WB60" s="68"/>
      <c r="WC60" s="68"/>
      <c r="WD60" s="68"/>
      <c r="WE60" s="68"/>
      <c r="WF60" s="68"/>
      <c r="WG60" s="68"/>
      <c r="WH60" s="68"/>
      <c r="WI60" s="84"/>
      <c r="WJ60" s="2"/>
      <c r="WK60" s="2"/>
    </row>
    <row r="61" spans="1:609" x14ac:dyDescent="0.25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  <c r="LG61" s="67"/>
      <c r="LH61" s="67"/>
      <c r="LI61" s="67"/>
      <c r="LJ61" s="67"/>
      <c r="LK61" s="67"/>
      <c r="LL61" s="67"/>
      <c r="LM61" s="67"/>
      <c r="LN61" s="67"/>
      <c r="LO61" s="67"/>
      <c r="LP61" s="67"/>
      <c r="LQ61" s="67"/>
      <c r="LR61" s="67"/>
      <c r="LS61" s="67"/>
      <c r="LT61" s="67"/>
      <c r="LU61" s="67"/>
      <c r="LV61" s="67"/>
      <c r="LW61" s="67"/>
      <c r="LX61" s="67"/>
      <c r="LY61" s="67"/>
      <c r="LZ61" s="67"/>
      <c r="MA61" s="67"/>
      <c r="MB61" s="67"/>
      <c r="MC61" s="67"/>
      <c r="MD61" s="67"/>
      <c r="ME61" s="67"/>
      <c r="MF61" s="67"/>
      <c r="MG61" s="67"/>
      <c r="MH61" s="67"/>
      <c r="MI61" s="67"/>
      <c r="MJ61" s="67"/>
      <c r="MK61" s="67"/>
      <c r="ML61" s="67"/>
      <c r="MM61" s="67"/>
      <c r="MN61" s="67"/>
      <c r="MO61" s="67"/>
      <c r="MP61" s="67"/>
      <c r="MQ61" s="67"/>
      <c r="MR61" s="67"/>
      <c r="MS61" s="67"/>
      <c r="MT61" s="67"/>
      <c r="MU61" s="67"/>
      <c r="MV61" s="67"/>
      <c r="MW61" s="67"/>
      <c r="MX61" s="67"/>
      <c r="MY61" s="67"/>
      <c r="MZ61" s="67"/>
      <c r="NA61" s="67"/>
      <c r="NB61" s="67"/>
      <c r="NC61" s="67"/>
      <c r="ND61" s="67"/>
      <c r="NE61" s="67"/>
      <c r="NF61" s="67"/>
      <c r="NG61" s="67"/>
      <c r="NH61" s="67"/>
      <c r="NI61" s="67"/>
      <c r="NJ61" s="67"/>
      <c r="NK61" s="67"/>
      <c r="NL61" s="67"/>
      <c r="NM61" s="67"/>
      <c r="NN61" s="67"/>
      <c r="NO61" s="67"/>
      <c r="NP61" s="67"/>
      <c r="NQ61" s="67"/>
      <c r="NR61" s="67"/>
      <c r="NS61" s="67"/>
      <c r="NT61" s="67"/>
      <c r="NU61" s="67"/>
      <c r="NV61" s="67"/>
      <c r="NW61" s="67"/>
      <c r="NX61" s="67"/>
      <c r="NY61" s="67"/>
      <c r="NZ61" s="67"/>
      <c r="OA61" s="67"/>
      <c r="OB61" s="67"/>
      <c r="OC61" s="67"/>
      <c r="OD61" s="67"/>
      <c r="OE61" s="67"/>
      <c r="OF61" s="67"/>
      <c r="OG61" s="67"/>
      <c r="OH61" s="67"/>
      <c r="OI61" s="67"/>
      <c r="OJ61" s="67"/>
      <c r="OK61" s="67"/>
      <c r="OL61" s="67"/>
      <c r="OM61" s="67"/>
      <c r="ON61" s="67"/>
      <c r="OO61" s="67"/>
      <c r="OP61" s="67"/>
      <c r="OQ61" s="67"/>
      <c r="OR61" s="67"/>
      <c r="OS61" s="67"/>
      <c r="OT61" s="67"/>
      <c r="OU61" s="67"/>
      <c r="OV61" s="67"/>
      <c r="OW61" s="67"/>
      <c r="OX61" s="67"/>
      <c r="OY61" s="67"/>
      <c r="OZ61" s="67"/>
      <c r="PA61" s="67"/>
      <c r="PB61" s="67"/>
      <c r="PC61" s="67"/>
      <c r="PD61" s="67"/>
      <c r="PE61" s="67"/>
      <c r="PF61" s="67"/>
      <c r="PG61" s="67"/>
      <c r="PH61" s="67"/>
      <c r="PI61" s="67"/>
      <c r="PJ61" s="67"/>
      <c r="PK61" s="67"/>
      <c r="PL61" s="67"/>
      <c r="PM61" s="67"/>
      <c r="PN61" s="67"/>
      <c r="PO61" s="67"/>
      <c r="PP61" s="67"/>
      <c r="PQ61" s="67"/>
      <c r="PR61" s="67"/>
      <c r="PS61" s="67"/>
      <c r="PT61" s="67"/>
      <c r="PU61" s="67"/>
      <c r="PV61" s="67"/>
      <c r="PW61" s="67"/>
      <c r="PX61" s="67"/>
      <c r="PY61" s="67"/>
      <c r="PZ61" s="67"/>
      <c r="QA61" s="67"/>
      <c r="QB61" s="67"/>
      <c r="QC61" s="67"/>
      <c r="QD61" s="67"/>
      <c r="QE61" s="67"/>
      <c r="QF61" s="67"/>
      <c r="QG61" s="67"/>
      <c r="QH61" s="67"/>
      <c r="QI61" s="67"/>
      <c r="QJ61" s="67"/>
      <c r="QK61" s="67"/>
      <c r="QL61" s="67"/>
      <c r="QM61" s="67"/>
      <c r="QN61" s="67"/>
      <c r="QO61" s="67"/>
      <c r="QP61" s="67"/>
      <c r="QQ61" s="67"/>
      <c r="QR61" s="67"/>
      <c r="QS61" s="67"/>
      <c r="QT61" s="67"/>
      <c r="QU61" s="67"/>
      <c r="QV61" s="67"/>
      <c r="QW61" s="67"/>
      <c r="QX61" s="67"/>
      <c r="QY61" s="67"/>
      <c r="QZ61" s="67"/>
      <c r="RA61" s="67"/>
      <c r="RB61" s="67"/>
      <c r="RC61" s="67"/>
      <c r="RD61" s="67"/>
      <c r="RE61" s="67"/>
      <c r="RF61" s="67"/>
      <c r="RG61" s="67"/>
      <c r="RH61" s="67"/>
      <c r="RI61" s="67"/>
      <c r="RJ61" s="67"/>
      <c r="RK61" s="67"/>
      <c r="RL61" s="67"/>
      <c r="RM61" s="67"/>
      <c r="RN61" s="67"/>
      <c r="RO61" s="67"/>
      <c r="RP61" s="67"/>
      <c r="RQ61" s="67"/>
      <c r="RR61" s="67"/>
      <c r="RS61" s="67"/>
      <c r="RT61" s="67"/>
      <c r="RU61" s="67"/>
      <c r="RV61" s="67"/>
      <c r="RW61" s="67"/>
      <c r="RX61" s="67"/>
      <c r="RY61" s="67"/>
      <c r="RZ61" s="67"/>
      <c r="SA61" s="67"/>
      <c r="SB61" s="67"/>
      <c r="SC61" s="67"/>
      <c r="SD61" s="67"/>
      <c r="SE61" s="67"/>
      <c r="SF61" s="67"/>
      <c r="SG61" s="67"/>
      <c r="SH61" s="67"/>
      <c r="SI61" s="67"/>
      <c r="SJ61" s="67"/>
      <c r="SK61" s="67"/>
      <c r="SL61" s="67"/>
      <c r="SM61" s="67"/>
      <c r="SN61" s="67"/>
      <c r="SO61" s="67"/>
      <c r="SP61" s="67"/>
      <c r="SQ61" s="67"/>
      <c r="SR61" s="67"/>
      <c r="SS61" s="67"/>
      <c r="ST61" s="67"/>
      <c r="SU61" s="67"/>
      <c r="SV61" s="67"/>
      <c r="SW61" s="67"/>
      <c r="SX61" s="67"/>
      <c r="SY61" s="67"/>
      <c r="SZ61" s="67"/>
      <c r="TA61" s="67"/>
      <c r="TB61" s="67"/>
      <c r="TC61" s="67"/>
      <c r="TD61" s="67"/>
      <c r="TE61" s="67"/>
      <c r="TF61" s="67"/>
      <c r="TG61" s="67"/>
      <c r="TH61" s="67"/>
      <c r="TI61" s="67"/>
      <c r="TJ61" s="67"/>
      <c r="TK61" s="67"/>
      <c r="TL61" s="67"/>
      <c r="TM61" s="67"/>
      <c r="TN61" s="67"/>
      <c r="TO61" s="67"/>
      <c r="TP61" s="67"/>
      <c r="TQ61" s="67"/>
      <c r="TR61" s="67"/>
      <c r="TS61" s="67"/>
      <c r="TT61" s="67"/>
      <c r="TU61" s="67"/>
      <c r="TV61" s="67"/>
      <c r="TW61" s="67"/>
      <c r="TX61" s="67"/>
      <c r="TY61" s="67"/>
      <c r="TZ61" s="67"/>
      <c r="UA61" s="67"/>
      <c r="UB61" s="67"/>
      <c r="UC61" s="67"/>
      <c r="UD61" s="67"/>
      <c r="UE61" s="67"/>
      <c r="UF61" s="67"/>
      <c r="UG61" s="67"/>
      <c r="UH61" s="67"/>
      <c r="UI61" s="67"/>
      <c r="UJ61" s="67"/>
      <c r="UK61" s="67"/>
      <c r="UL61" s="67"/>
      <c r="UM61" s="67"/>
      <c r="UN61" s="67"/>
      <c r="UO61" s="67"/>
      <c r="UP61" s="67"/>
      <c r="UQ61" s="67"/>
      <c r="UR61" s="67"/>
      <c r="US61" s="67"/>
      <c r="UT61" s="67"/>
      <c r="UU61" s="67"/>
      <c r="UV61" s="67"/>
      <c r="UW61" s="67"/>
      <c r="UX61" s="67"/>
      <c r="UY61" s="67"/>
      <c r="UZ61" s="67"/>
      <c r="VA61" s="67"/>
      <c r="VB61" s="67"/>
      <c r="VC61" s="67"/>
      <c r="VD61" s="67"/>
      <c r="VE61" s="67"/>
      <c r="VF61" s="67"/>
      <c r="VG61" s="67"/>
      <c r="VH61" s="67"/>
      <c r="VI61" s="67"/>
      <c r="VJ61" s="67"/>
      <c r="VK61" s="67"/>
      <c r="VL61" s="67"/>
      <c r="VM61" s="67"/>
      <c r="VN61" s="67"/>
      <c r="VO61" s="67"/>
      <c r="VP61" s="67"/>
      <c r="VQ61" s="67"/>
      <c r="VR61" s="67"/>
      <c r="VS61" s="67"/>
      <c r="VT61" s="67"/>
      <c r="VU61" s="67"/>
      <c r="VV61" s="67"/>
      <c r="VW61" s="67"/>
      <c r="VX61" s="67"/>
      <c r="VY61" s="67"/>
      <c r="WA61" s="68"/>
      <c r="WB61" s="68"/>
      <c r="WC61" s="68"/>
      <c r="WD61" s="68"/>
      <c r="WE61" s="68"/>
      <c r="WF61" s="68"/>
      <c r="WG61" s="68"/>
      <c r="WH61" s="68"/>
      <c r="WI61" s="84"/>
      <c r="WJ61" s="2"/>
      <c r="WK61" s="2"/>
    </row>
    <row r="62" spans="1:609" x14ac:dyDescent="0.25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CZ62" s="67"/>
      <c r="DA62" s="67"/>
      <c r="DB62" s="67"/>
      <c r="DC62" s="67"/>
      <c r="DD62" s="67"/>
      <c r="DE62" s="67"/>
      <c r="DF62" s="67"/>
      <c r="DG62" s="67"/>
      <c r="DH62" s="67"/>
      <c r="DI62" s="67"/>
      <c r="DJ62" s="67"/>
      <c r="DK62" s="67"/>
      <c r="DL62" s="67"/>
      <c r="DM62" s="67"/>
      <c r="DN62" s="67"/>
      <c r="DO62" s="67"/>
      <c r="DP62" s="67"/>
      <c r="DQ62" s="67"/>
      <c r="DR62" s="67"/>
      <c r="DS62" s="67"/>
      <c r="DT62" s="67"/>
      <c r="DU62" s="67"/>
      <c r="DV62" s="67"/>
      <c r="DW62" s="67"/>
      <c r="DX62" s="67"/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  <c r="JI62" s="67"/>
      <c r="JJ62" s="67"/>
      <c r="JK62" s="67"/>
      <c r="JL62" s="67"/>
      <c r="JM62" s="67"/>
      <c r="JN62" s="67"/>
      <c r="JO62" s="67"/>
      <c r="JP62" s="67"/>
      <c r="JQ62" s="67"/>
      <c r="JR62" s="67"/>
      <c r="JS62" s="67"/>
      <c r="JT62" s="67"/>
      <c r="JU62" s="67"/>
      <c r="JV62" s="67"/>
      <c r="JW62" s="67"/>
      <c r="JX62" s="67"/>
      <c r="JY62" s="67"/>
      <c r="JZ62" s="67"/>
      <c r="KA62" s="67"/>
      <c r="KB62" s="67"/>
      <c r="KC62" s="67"/>
      <c r="KD62" s="67"/>
      <c r="KE62" s="67"/>
      <c r="KF62" s="67"/>
      <c r="KG62" s="67"/>
      <c r="KH62" s="67"/>
      <c r="KI62" s="67"/>
      <c r="KJ62" s="67"/>
      <c r="KK62" s="67"/>
      <c r="KL62" s="67"/>
      <c r="KM62" s="67"/>
      <c r="KN62" s="67"/>
      <c r="KO62" s="67"/>
      <c r="KP62" s="67"/>
      <c r="KQ62" s="67"/>
      <c r="KR62" s="67"/>
      <c r="KS62" s="67"/>
      <c r="KT62" s="67"/>
      <c r="KU62" s="67"/>
      <c r="KV62" s="67"/>
      <c r="KW62" s="67"/>
      <c r="KX62" s="67"/>
      <c r="KY62" s="67"/>
      <c r="KZ62" s="67"/>
      <c r="LA62" s="67"/>
      <c r="LB62" s="67"/>
      <c r="LC62" s="67"/>
      <c r="LD62" s="67"/>
      <c r="LE62" s="67"/>
      <c r="LF62" s="67"/>
      <c r="LG62" s="67"/>
      <c r="LH62" s="67"/>
      <c r="LI62" s="67"/>
      <c r="LJ62" s="67"/>
      <c r="LK62" s="67"/>
      <c r="LL62" s="67"/>
      <c r="LM62" s="67"/>
      <c r="LN62" s="67"/>
      <c r="LO62" s="67"/>
      <c r="LP62" s="67"/>
      <c r="LQ62" s="67"/>
      <c r="LR62" s="67"/>
      <c r="LS62" s="67"/>
      <c r="LT62" s="67"/>
      <c r="LU62" s="67"/>
      <c r="LV62" s="67"/>
      <c r="LW62" s="67"/>
      <c r="LX62" s="67"/>
      <c r="LY62" s="67"/>
      <c r="LZ62" s="67"/>
      <c r="MA62" s="67"/>
      <c r="MB62" s="67"/>
      <c r="MC62" s="67"/>
      <c r="MD62" s="67"/>
      <c r="ME62" s="67"/>
      <c r="MF62" s="67"/>
      <c r="MG62" s="67"/>
      <c r="MH62" s="67"/>
      <c r="MI62" s="67"/>
      <c r="MJ62" s="67"/>
      <c r="MK62" s="67"/>
      <c r="ML62" s="67"/>
      <c r="MM62" s="67"/>
      <c r="MN62" s="67"/>
      <c r="MO62" s="67"/>
      <c r="MP62" s="67"/>
      <c r="MQ62" s="67"/>
      <c r="MR62" s="67"/>
      <c r="MS62" s="67"/>
      <c r="MT62" s="67"/>
      <c r="MU62" s="67"/>
      <c r="MV62" s="67"/>
      <c r="MW62" s="67"/>
      <c r="MX62" s="67"/>
      <c r="MY62" s="67"/>
      <c r="MZ62" s="67"/>
      <c r="NA62" s="67"/>
      <c r="NB62" s="67"/>
      <c r="NC62" s="67"/>
      <c r="ND62" s="67"/>
      <c r="NE62" s="67"/>
      <c r="NF62" s="67"/>
      <c r="NG62" s="67"/>
      <c r="NH62" s="67"/>
      <c r="NI62" s="67"/>
      <c r="NJ62" s="67"/>
      <c r="NK62" s="67"/>
      <c r="NL62" s="67"/>
      <c r="NM62" s="67"/>
      <c r="NN62" s="67"/>
      <c r="NO62" s="67"/>
      <c r="NP62" s="67"/>
      <c r="NQ62" s="67"/>
      <c r="NR62" s="67"/>
      <c r="NS62" s="67"/>
      <c r="NT62" s="67"/>
      <c r="NU62" s="67"/>
      <c r="NV62" s="67"/>
      <c r="NW62" s="67"/>
      <c r="NX62" s="67"/>
      <c r="NY62" s="67"/>
      <c r="NZ62" s="67"/>
      <c r="OA62" s="67"/>
      <c r="OB62" s="67"/>
      <c r="OC62" s="67"/>
      <c r="OD62" s="67"/>
      <c r="OE62" s="67"/>
      <c r="OF62" s="67"/>
      <c r="OG62" s="67"/>
      <c r="OH62" s="67"/>
      <c r="OI62" s="67"/>
      <c r="OJ62" s="67"/>
      <c r="OK62" s="67"/>
      <c r="OL62" s="67"/>
      <c r="OM62" s="67"/>
      <c r="ON62" s="67"/>
      <c r="OO62" s="67"/>
      <c r="OP62" s="67"/>
      <c r="OQ62" s="67"/>
      <c r="OR62" s="67"/>
      <c r="OS62" s="67"/>
      <c r="OT62" s="67"/>
      <c r="OU62" s="67"/>
      <c r="OV62" s="67"/>
      <c r="OW62" s="67"/>
      <c r="OX62" s="67"/>
      <c r="OY62" s="67"/>
      <c r="OZ62" s="67"/>
      <c r="PA62" s="67"/>
      <c r="PB62" s="67"/>
      <c r="PC62" s="67"/>
      <c r="PD62" s="67"/>
      <c r="PE62" s="67"/>
      <c r="PF62" s="67"/>
      <c r="PG62" s="67"/>
      <c r="PH62" s="67"/>
      <c r="PI62" s="67"/>
      <c r="PJ62" s="67"/>
      <c r="PK62" s="67"/>
      <c r="PL62" s="67"/>
      <c r="PM62" s="67"/>
      <c r="PN62" s="67"/>
      <c r="PO62" s="67"/>
      <c r="PP62" s="67"/>
      <c r="PQ62" s="67"/>
      <c r="PR62" s="67"/>
      <c r="PS62" s="67"/>
      <c r="PT62" s="67"/>
      <c r="PU62" s="67"/>
      <c r="PV62" s="67"/>
      <c r="PW62" s="67"/>
      <c r="PX62" s="67"/>
      <c r="PY62" s="67"/>
      <c r="PZ62" s="67"/>
      <c r="QA62" s="67"/>
      <c r="QB62" s="67"/>
      <c r="QC62" s="67"/>
      <c r="QD62" s="67"/>
      <c r="QE62" s="67"/>
      <c r="QF62" s="67"/>
      <c r="QG62" s="67"/>
      <c r="QH62" s="67"/>
      <c r="QI62" s="67"/>
      <c r="QJ62" s="67"/>
      <c r="QK62" s="67"/>
      <c r="QL62" s="67"/>
      <c r="QM62" s="67"/>
      <c r="QN62" s="67"/>
      <c r="QO62" s="67"/>
      <c r="QP62" s="67"/>
      <c r="QQ62" s="67"/>
      <c r="QR62" s="67"/>
      <c r="QS62" s="67"/>
      <c r="QT62" s="67"/>
      <c r="QU62" s="67"/>
      <c r="QV62" s="67"/>
      <c r="QW62" s="67"/>
      <c r="QX62" s="67"/>
      <c r="QY62" s="67"/>
      <c r="QZ62" s="67"/>
      <c r="RA62" s="67"/>
      <c r="RB62" s="67"/>
      <c r="RC62" s="67"/>
      <c r="RD62" s="67"/>
      <c r="RE62" s="67"/>
      <c r="RF62" s="67"/>
      <c r="RG62" s="67"/>
      <c r="RH62" s="67"/>
      <c r="RI62" s="67"/>
      <c r="RJ62" s="67"/>
      <c r="RK62" s="67"/>
      <c r="RL62" s="67"/>
      <c r="RM62" s="67"/>
      <c r="RN62" s="67"/>
      <c r="RO62" s="67"/>
      <c r="RP62" s="67"/>
      <c r="RQ62" s="67"/>
      <c r="RR62" s="67"/>
      <c r="RS62" s="67"/>
      <c r="RT62" s="67"/>
      <c r="RU62" s="67"/>
      <c r="RV62" s="67"/>
      <c r="RW62" s="67"/>
      <c r="RX62" s="67"/>
      <c r="RY62" s="67"/>
      <c r="RZ62" s="67"/>
      <c r="SA62" s="67"/>
      <c r="SB62" s="67"/>
      <c r="SC62" s="67"/>
      <c r="SD62" s="67"/>
      <c r="SE62" s="67"/>
      <c r="SF62" s="67"/>
      <c r="SG62" s="67"/>
      <c r="SH62" s="67"/>
      <c r="SI62" s="67"/>
      <c r="SJ62" s="67"/>
      <c r="SK62" s="67"/>
      <c r="SL62" s="67"/>
      <c r="SM62" s="67"/>
      <c r="SN62" s="67"/>
      <c r="SO62" s="67"/>
      <c r="SP62" s="67"/>
      <c r="SQ62" s="67"/>
      <c r="SR62" s="67"/>
      <c r="SS62" s="67"/>
      <c r="ST62" s="67"/>
      <c r="SU62" s="67"/>
      <c r="SV62" s="67"/>
      <c r="SW62" s="67"/>
      <c r="SX62" s="67"/>
      <c r="SY62" s="67"/>
      <c r="SZ62" s="67"/>
      <c r="TA62" s="67"/>
      <c r="TB62" s="67"/>
      <c r="TC62" s="67"/>
      <c r="TD62" s="67"/>
      <c r="TE62" s="67"/>
      <c r="TF62" s="67"/>
      <c r="TG62" s="67"/>
      <c r="TH62" s="67"/>
      <c r="TI62" s="67"/>
      <c r="TJ62" s="67"/>
      <c r="TK62" s="67"/>
      <c r="TL62" s="67"/>
      <c r="TM62" s="67"/>
      <c r="TN62" s="67"/>
      <c r="TO62" s="67"/>
      <c r="TP62" s="67"/>
      <c r="TQ62" s="67"/>
      <c r="TR62" s="67"/>
      <c r="TS62" s="67"/>
      <c r="TT62" s="67"/>
      <c r="TU62" s="67"/>
      <c r="TV62" s="67"/>
      <c r="TW62" s="67"/>
      <c r="TX62" s="67"/>
      <c r="TY62" s="67"/>
      <c r="TZ62" s="67"/>
      <c r="UA62" s="67"/>
      <c r="UB62" s="67"/>
      <c r="UC62" s="67"/>
      <c r="UD62" s="67"/>
      <c r="UE62" s="67"/>
      <c r="UF62" s="67"/>
      <c r="UG62" s="67"/>
      <c r="UH62" s="67"/>
      <c r="UI62" s="67"/>
      <c r="UJ62" s="67"/>
      <c r="UK62" s="67"/>
      <c r="UL62" s="67"/>
      <c r="UM62" s="67"/>
      <c r="UN62" s="67"/>
      <c r="UO62" s="67"/>
      <c r="UP62" s="67"/>
      <c r="UQ62" s="67"/>
      <c r="UR62" s="67"/>
      <c r="US62" s="67"/>
      <c r="UT62" s="67"/>
      <c r="UU62" s="67"/>
      <c r="UV62" s="67"/>
      <c r="UW62" s="67"/>
      <c r="UX62" s="67"/>
      <c r="UY62" s="67"/>
      <c r="UZ62" s="67"/>
      <c r="VA62" s="67"/>
      <c r="VB62" s="67"/>
      <c r="VC62" s="67"/>
      <c r="VD62" s="67"/>
      <c r="VE62" s="67"/>
      <c r="VF62" s="67"/>
      <c r="VG62" s="67"/>
      <c r="VH62" s="67"/>
      <c r="VI62" s="67"/>
      <c r="VJ62" s="67"/>
      <c r="VK62" s="67"/>
      <c r="VL62" s="67"/>
      <c r="VM62" s="67"/>
      <c r="VN62" s="67"/>
      <c r="VO62" s="67"/>
      <c r="VP62" s="67"/>
      <c r="VQ62" s="67"/>
      <c r="VR62" s="67"/>
      <c r="VS62" s="67"/>
      <c r="VT62" s="67"/>
      <c r="VU62" s="67"/>
      <c r="VV62" s="67"/>
      <c r="VW62" s="67"/>
      <c r="VX62" s="67"/>
      <c r="VY62" s="67"/>
      <c r="WA62" s="68"/>
      <c r="WB62" s="68"/>
      <c r="WC62" s="68"/>
      <c r="WD62" s="68"/>
      <c r="WE62" s="68"/>
      <c r="WF62" s="68"/>
      <c r="WG62" s="68"/>
      <c r="WH62" s="68"/>
      <c r="WI62" s="84"/>
      <c r="WJ62" s="2"/>
      <c r="WK62" s="2"/>
    </row>
    <row r="63" spans="1:609" x14ac:dyDescent="0.25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  <c r="LG63" s="67"/>
      <c r="LH63" s="67"/>
      <c r="LI63" s="67"/>
      <c r="LJ63" s="67"/>
      <c r="LK63" s="67"/>
      <c r="LL63" s="67"/>
      <c r="LM63" s="67"/>
      <c r="LN63" s="67"/>
      <c r="LO63" s="67"/>
      <c r="LP63" s="67"/>
      <c r="LQ63" s="67"/>
      <c r="LR63" s="67"/>
      <c r="LS63" s="67"/>
      <c r="LT63" s="67"/>
      <c r="LU63" s="67"/>
      <c r="LV63" s="67"/>
      <c r="LW63" s="67"/>
      <c r="LX63" s="67"/>
      <c r="LY63" s="67"/>
      <c r="LZ63" s="67"/>
      <c r="MA63" s="67"/>
      <c r="MB63" s="67"/>
      <c r="MC63" s="67"/>
      <c r="MD63" s="67"/>
      <c r="ME63" s="67"/>
      <c r="MF63" s="67"/>
      <c r="MG63" s="67"/>
      <c r="MH63" s="67"/>
      <c r="MI63" s="67"/>
      <c r="MJ63" s="67"/>
      <c r="MK63" s="67"/>
      <c r="ML63" s="67"/>
      <c r="MM63" s="67"/>
      <c r="MN63" s="67"/>
      <c r="MO63" s="67"/>
      <c r="MP63" s="67"/>
      <c r="MQ63" s="67"/>
      <c r="MR63" s="67"/>
      <c r="MS63" s="67"/>
      <c r="MT63" s="67"/>
      <c r="MU63" s="67"/>
      <c r="MV63" s="67"/>
      <c r="MW63" s="67"/>
      <c r="MX63" s="67"/>
      <c r="MY63" s="67"/>
      <c r="MZ63" s="67"/>
      <c r="NA63" s="67"/>
      <c r="NB63" s="67"/>
      <c r="NC63" s="67"/>
      <c r="ND63" s="67"/>
      <c r="NE63" s="67"/>
      <c r="NF63" s="67"/>
      <c r="NG63" s="67"/>
      <c r="NH63" s="67"/>
      <c r="NI63" s="67"/>
      <c r="NJ63" s="67"/>
      <c r="NK63" s="67"/>
      <c r="NL63" s="67"/>
      <c r="NM63" s="67"/>
      <c r="NN63" s="67"/>
      <c r="NO63" s="67"/>
      <c r="NP63" s="67"/>
      <c r="NQ63" s="67"/>
      <c r="NR63" s="67"/>
      <c r="NS63" s="67"/>
      <c r="NT63" s="67"/>
      <c r="NU63" s="67"/>
      <c r="NV63" s="67"/>
      <c r="NW63" s="67"/>
      <c r="NX63" s="67"/>
      <c r="NY63" s="67"/>
      <c r="NZ63" s="67"/>
      <c r="OA63" s="67"/>
      <c r="OB63" s="67"/>
      <c r="OC63" s="67"/>
      <c r="OD63" s="67"/>
      <c r="OE63" s="67"/>
      <c r="OF63" s="67"/>
      <c r="OG63" s="67"/>
      <c r="OH63" s="67"/>
      <c r="OI63" s="67"/>
      <c r="OJ63" s="67"/>
      <c r="OK63" s="67"/>
      <c r="OL63" s="67"/>
      <c r="OM63" s="67"/>
      <c r="ON63" s="67"/>
      <c r="OO63" s="67"/>
      <c r="OP63" s="67"/>
      <c r="OQ63" s="67"/>
      <c r="OR63" s="67"/>
      <c r="OS63" s="67"/>
      <c r="OT63" s="67"/>
      <c r="OU63" s="67"/>
      <c r="OV63" s="67"/>
      <c r="OW63" s="67"/>
      <c r="OX63" s="67"/>
      <c r="OY63" s="67"/>
      <c r="OZ63" s="67"/>
      <c r="PA63" s="67"/>
      <c r="PB63" s="67"/>
      <c r="PC63" s="67"/>
      <c r="PD63" s="67"/>
      <c r="PE63" s="67"/>
      <c r="PF63" s="67"/>
      <c r="PG63" s="67"/>
      <c r="PH63" s="67"/>
      <c r="PI63" s="67"/>
      <c r="PJ63" s="67"/>
      <c r="PK63" s="67"/>
      <c r="PL63" s="67"/>
      <c r="PM63" s="67"/>
      <c r="PN63" s="67"/>
      <c r="PO63" s="67"/>
      <c r="PP63" s="67"/>
      <c r="PQ63" s="67"/>
      <c r="PR63" s="67"/>
      <c r="PS63" s="67"/>
      <c r="PT63" s="67"/>
      <c r="PU63" s="67"/>
      <c r="PV63" s="67"/>
      <c r="PW63" s="67"/>
      <c r="PX63" s="67"/>
      <c r="PY63" s="67"/>
      <c r="PZ63" s="67"/>
      <c r="QA63" s="67"/>
      <c r="QB63" s="67"/>
      <c r="QC63" s="67"/>
      <c r="QD63" s="67"/>
      <c r="QE63" s="67"/>
      <c r="QF63" s="67"/>
      <c r="QG63" s="67"/>
      <c r="QH63" s="67"/>
      <c r="QI63" s="67"/>
      <c r="QJ63" s="67"/>
      <c r="QK63" s="67"/>
      <c r="QL63" s="67"/>
      <c r="QM63" s="67"/>
      <c r="QN63" s="67"/>
      <c r="QO63" s="67"/>
      <c r="QP63" s="67"/>
      <c r="QQ63" s="67"/>
      <c r="QR63" s="67"/>
      <c r="QS63" s="67"/>
      <c r="QT63" s="67"/>
      <c r="QU63" s="67"/>
      <c r="QV63" s="67"/>
      <c r="QW63" s="67"/>
      <c r="QX63" s="67"/>
      <c r="QY63" s="67"/>
      <c r="QZ63" s="67"/>
      <c r="RA63" s="67"/>
      <c r="RB63" s="67"/>
      <c r="RC63" s="67"/>
      <c r="RD63" s="67"/>
      <c r="RE63" s="67"/>
      <c r="RF63" s="67"/>
      <c r="RG63" s="67"/>
      <c r="RH63" s="67"/>
      <c r="RI63" s="67"/>
      <c r="RJ63" s="67"/>
      <c r="RK63" s="67"/>
      <c r="RL63" s="67"/>
      <c r="RM63" s="67"/>
      <c r="RN63" s="67"/>
      <c r="RO63" s="67"/>
      <c r="RP63" s="67"/>
      <c r="RQ63" s="67"/>
      <c r="RR63" s="67"/>
      <c r="RS63" s="67"/>
      <c r="RT63" s="67"/>
      <c r="RU63" s="67"/>
      <c r="RV63" s="67"/>
      <c r="RW63" s="67"/>
      <c r="RX63" s="67"/>
      <c r="RY63" s="67"/>
      <c r="RZ63" s="67"/>
      <c r="SA63" s="67"/>
      <c r="SB63" s="67"/>
      <c r="SC63" s="67"/>
      <c r="SD63" s="67"/>
      <c r="SE63" s="67"/>
      <c r="SF63" s="67"/>
      <c r="SG63" s="67"/>
      <c r="SH63" s="67"/>
      <c r="SI63" s="67"/>
      <c r="SJ63" s="67"/>
      <c r="SK63" s="67"/>
      <c r="SL63" s="67"/>
      <c r="SM63" s="67"/>
      <c r="SN63" s="67"/>
      <c r="SO63" s="67"/>
      <c r="SP63" s="67"/>
      <c r="SQ63" s="67"/>
      <c r="SR63" s="67"/>
      <c r="SS63" s="67"/>
      <c r="ST63" s="67"/>
      <c r="SU63" s="67"/>
      <c r="SV63" s="67"/>
      <c r="SW63" s="67"/>
      <c r="SX63" s="67"/>
      <c r="SY63" s="67"/>
      <c r="SZ63" s="67"/>
      <c r="TA63" s="67"/>
      <c r="TB63" s="67"/>
      <c r="TC63" s="67"/>
      <c r="TD63" s="67"/>
      <c r="TE63" s="67"/>
      <c r="TF63" s="67"/>
      <c r="TG63" s="67"/>
      <c r="TH63" s="67"/>
      <c r="TI63" s="67"/>
      <c r="TJ63" s="67"/>
      <c r="TK63" s="67"/>
      <c r="TL63" s="67"/>
      <c r="TM63" s="67"/>
      <c r="TN63" s="67"/>
      <c r="TO63" s="67"/>
      <c r="TP63" s="67"/>
      <c r="TQ63" s="67"/>
      <c r="TR63" s="67"/>
      <c r="TS63" s="67"/>
      <c r="TT63" s="67"/>
      <c r="TU63" s="67"/>
      <c r="TV63" s="67"/>
      <c r="TW63" s="67"/>
      <c r="TX63" s="67"/>
      <c r="TY63" s="67"/>
      <c r="TZ63" s="67"/>
      <c r="UA63" s="67"/>
      <c r="UB63" s="67"/>
      <c r="UC63" s="67"/>
      <c r="UD63" s="67"/>
      <c r="UE63" s="67"/>
      <c r="UF63" s="67"/>
      <c r="UG63" s="67"/>
      <c r="UH63" s="67"/>
      <c r="UI63" s="67"/>
      <c r="UJ63" s="67"/>
      <c r="UK63" s="67"/>
      <c r="UL63" s="67"/>
      <c r="UM63" s="67"/>
      <c r="UN63" s="67"/>
      <c r="UO63" s="67"/>
      <c r="UP63" s="67"/>
      <c r="UQ63" s="67"/>
      <c r="UR63" s="67"/>
      <c r="US63" s="67"/>
      <c r="UT63" s="67"/>
      <c r="UU63" s="67"/>
      <c r="UV63" s="67"/>
      <c r="UW63" s="67"/>
      <c r="UX63" s="67"/>
      <c r="UY63" s="67"/>
      <c r="UZ63" s="67"/>
      <c r="VA63" s="67"/>
      <c r="VB63" s="67"/>
      <c r="VC63" s="67"/>
      <c r="VD63" s="67"/>
      <c r="VE63" s="67"/>
      <c r="VF63" s="67"/>
      <c r="VG63" s="67"/>
      <c r="VH63" s="67"/>
      <c r="VI63" s="67"/>
      <c r="VJ63" s="67"/>
      <c r="VK63" s="67"/>
      <c r="VL63" s="67"/>
      <c r="VM63" s="67"/>
      <c r="VN63" s="67"/>
      <c r="VO63" s="67"/>
      <c r="VP63" s="67"/>
      <c r="VQ63" s="67"/>
      <c r="VR63" s="67"/>
      <c r="VS63" s="67"/>
      <c r="VT63" s="67"/>
      <c r="VU63" s="67"/>
      <c r="VV63" s="67"/>
      <c r="VW63" s="67"/>
      <c r="VX63" s="67"/>
      <c r="VY63" s="67"/>
      <c r="WA63" s="68"/>
      <c r="WB63" s="68"/>
      <c r="WC63" s="68"/>
      <c r="WD63" s="68"/>
      <c r="WE63" s="68"/>
      <c r="WF63" s="68"/>
      <c r="WG63" s="68"/>
      <c r="WH63" s="68"/>
      <c r="WI63" s="84"/>
      <c r="WJ63" s="2"/>
      <c r="WK63" s="2"/>
    </row>
    <row r="64" spans="1:609" x14ac:dyDescent="0.25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  <c r="LG64" s="67"/>
      <c r="LH64" s="67"/>
      <c r="LI64" s="67"/>
      <c r="LJ64" s="67"/>
      <c r="LK64" s="67"/>
      <c r="LL64" s="67"/>
      <c r="LM64" s="67"/>
      <c r="LN64" s="67"/>
      <c r="LO64" s="67"/>
      <c r="LP64" s="67"/>
      <c r="LQ64" s="67"/>
      <c r="LR64" s="67"/>
      <c r="LS64" s="67"/>
      <c r="LT64" s="67"/>
      <c r="LU64" s="67"/>
      <c r="LV64" s="67"/>
      <c r="LW64" s="67"/>
      <c r="LX64" s="67"/>
      <c r="LY64" s="67"/>
      <c r="LZ64" s="67"/>
      <c r="MA64" s="67"/>
      <c r="MB64" s="67"/>
      <c r="MC64" s="67"/>
      <c r="MD64" s="67"/>
      <c r="ME64" s="67"/>
      <c r="MF64" s="67"/>
      <c r="MG64" s="67"/>
      <c r="MH64" s="67"/>
      <c r="MI64" s="67"/>
      <c r="MJ64" s="67"/>
      <c r="MK64" s="67"/>
      <c r="ML64" s="67"/>
      <c r="MM64" s="67"/>
      <c r="MN64" s="67"/>
      <c r="MO64" s="67"/>
      <c r="MP64" s="67"/>
      <c r="MQ64" s="67"/>
      <c r="MR64" s="67"/>
      <c r="MS64" s="67"/>
      <c r="MT64" s="67"/>
      <c r="MU64" s="67"/>
      <c r="MV64" s="67"/>
      <c r="MW64" s="67"/>
      <c r="MX64" s="67"/>
      <c r="MY64" s="67"/>
      <c r="MZ64" s="67"/>
      <c r="NA64" s="67"/>
      <c r="NB64" s="67"/>
      <c r="NC64" s="67"/>
      <c r="ND64" s="67"/>
      <c r="NE64" s="67"/>
      <c r="NF64" s="67"/>
      <c r="NG64" s="67"/>
      <c r="NH64" s="67"/>
      <c r="NI64" s="67"/>
      <c r="NJ64" s="67"/>
      <c r="NK64" s="67"/>
      <c r="NL64" s="67"/>
      <c r="NM64" s="67"/>
      <c r="NN64" s="67"/>
      <c r="NO64" s="67"/>
      <c r="NP64" s="67"/>
      <c r="NQ64" s="67"/>
      <c r="NR64" s="67"/>
      <c r="NS64" s="67"/>
      <c r="NT64" s="67"/>
      <c r="NU64" s="67"/>
      <c r="NV64" s="67"/>
      <c r="NW64" s="67"/>
      <c r="NX64" s="67"/>
      <c r="NY64" s="67"/>
      <c r="NZ64" s="67"/>
      <c r="OA64" s="67"/>
      <c r="OB64" s="67"/>
      <c r="OC64" s="67"/>
      <c r="OD64" s="67"/>
      <c r="OE64" s="67"/>
      <c r="OF64" s="67"/>
      <c r="OG64" s="67"/>
      <c r="OH64" s="67"/>
      <c r="OI64" s="67"/>
      <c r="OJ64" s="67"/>
      <c r="OK64" s="67"/>
      <c r="OL64" s="67"/>
      <c r="OM64" s="67"/>
      <c r="ON64" s="67"/>
      <c r="OO64" s="67"/>
      <c r="OP64" s="67"/>
      <c r="OQ64" s="67"/>
      <c r="OR64" s="67"/>
      <c r="OS64" s="67"/>
      <c r="OT64" s="67"/>
      <c r="OU64" s="67"/>
      <c r="OV64" s="67"/>
      <c r="OW64" s="67"/>
      <c r="OX64" s="67"/>
      <c r="OY64" s="67"/>
      <c r="OZ64" s="67"/>
      <c r="PA64" s="67"/>
      <c r="PB64" s="67"/>
      <c r="PC64" s="67"/>
      <c r="PD64" s="67"/>
      <c r="PE64" s="67"/>
      <c r="PF64" s="67"/>
      <c r="PG64" s="67"/>
      <c r="PH64" s="67"/>
      <c r="PI64" s="67"/>
      <c r="PJ64" s="67"/>
      <c r="PK64" s="67"/>
      <c r="PL64" s="67"/>
      <c r="PM64" s="67"/>
      <c r="PN64" s="67"/>
      <c r="PO64" s="67"/>
      <c r="PP64" s="67"/>
      <c r="PQ64" s="67"/>
      <c r="PR64" s="67"/>
      <c r="PS64" s="67"/>
      <c r="PT64" s="67"/>
      <c r="PU64" s="67"/>
      <c r="PV64" s="67"/>
      <c r="PW64" s="67"/>
      <c r="PX64" s="67"/>
      <c r="PY64" s="67"/>
      <c r="PZ64" s="67"/>
      <c r="QA64" s="67"/>
      <c r="QB64" s="67"/>
      <c r="QC64" s="67"/>
      <c r="QD64" s="67"/>
      <c r="QE64" s="67"/>
      <c r="QF64" s="67"/>
      <c r="QG64" s="67"/>
      <c r="QH64" s="67"/>
      <c r="QI64" s="67"/>
      <c r="QJ64" s="67"/>
      <c r="QK64" s="67"/>
      <c r="QL64" s="67"/>
      <c r="QM64" s="67"/>
      <c r="QN64" s="67"/>
      <c r="QO64" s="67"/>
      <c r="QP64" s="67"/>
      <c r="QQ64" s="67"/>
      <c r="QR64" s="67"/>
      <c r="QS64" s="67"/>
      <c r="QT64" s="67"/>
      <c r="QU64" s="67"/>
      <c r="QV64" s="67"/>
      <c r="QW64" s="67"/>
      <c r="QX64" s="67"/>
      <c r="QY64" s="67"/>
      <c r="QZ64" s="67"/>
      <c r="RA64" s="67"/>
      <c r="RB64" s="67"/>
      <c r="RC64" s="67"/>
      <c r="RD64" s="67"/>
      <c r="RE64" s="67"/>
      <c r="RF64" s="67"/>
      <c r="RG64" s="67"/>
      <c r="RH64" s="67"/>
      <c r="RI64" s="67"/>
      <c r="RJ64" s="67"/>
      <c r="RK64" s="67"/>
      <c r="RL64" s="67"/>
      <c r="RM64" s="67"/>
      <c r="RN64" s="67"/>
      <c r="RO64" s="67"/>
      <c r="RP64" s="67"/>
      <c r="RQ64" s="67"/>
      <c r="RR64" s="67"/>
      <c r="RS64" s="67"/>
      <c r="RT64" s="67"/>
      <c r="RU64" s="67"/>
      <c r="RV64" s="67"/>
      <c r="RW64" s="67"/>
      <c r="RX64" s="67"/>
      <c r="RY64" s="67"/>
      <c r="RZ64" s="67"/>
      <c r="SA64" s="67"/>
      <c r="SB64" s="67"/>
      <c r="SC64" s="67"/>
      <c r="SD64" s="67"/>
      <c r="SE64" s="67"/>
      <c r="SF64" s="67"/>
      <c r="SG64" s="67"/>
      <c r="SH64" s="67"/>
      <c r="SI64" s="67"/>
      <c r="SJ64" s="67"/>
      <c r="SK64" s="67"/>
      <c r="SL64" s="67"/>
      <c r="SM64" s="67"/>
      <c r="SN64" s="67"/>
      <c r="SO64" s="67"/>
      <c r="SP64" s="67"/>
      <c r="SQ64" s="67"/>
      <c r="SR64" s="67"/>
      <c r="SS64" s="67"/>
      <c r="ST64" s="67"/>
      <c r="SU64" s="67"/>
      <c r="SV64" s="67"/>
      <c r="SW64" s="67"/>
      <c r="SX64" s="67"/>
      <c r="SY64" s="67"/>
      <c r="SZ64" s="67"/>
      <c r="TA64" s="67"/>
      <c r="TB64" s="67"/>
      <c r="TC64" s="67"/>
      <c r="TD64" s="67"/>
      <c r="TE64" s="67"/>
      <c r="TF64" s="67"/>
      <c r="TG64" s="67"/>
      <c r="TH64" s="67"/>
      <c r="TI64" s="67"/>
      <c r="TJ64" s="67"/>
      <c r="TK64" s="67"/>
      <c r="TL64" s="67"/>
      <c r="TM64" s="67"/>
      <c r="TN64" s="67"/>
      <c r="TO64" s="67"/>
      <c r="TP64" s="67"/>
      <c r="TQ64" s="67"/>
      <c r="TR64" s="67"/>
      <c r="TS64" s="67"/>
      <c r="TT64" s="67"/>
      <c r="TU64" s="67"/>
      <c r="TV64" s="67"/>
      <c r="TW64" s="67"/>
      <c r="TX64" s="67"/>
      <c r="TY64" s="67"/>
      <c r="TZ64" s="67"/>
      <c r="UA64" s="67"/>
      <c r="UB64" s="67"/>
      <c r="UC64" s="67"/>
      <c r="UD64" s="67"/>
      <c r="UE64" s="67"/>
      <c r="UF64" s="67"/>
      <c r="UG64" s="67"/>
      <c r="UH64" s="67"/>
      <c r="UI64" s="67"/>
      <c r="UJ64" s="67"/>
      <c r="UK64" s="67"/>
      <c r="UL64" s="67"/>
      <c r="UM64" s="67"/>
      <c r="UN64" s="67"/>
      <c r="UO64" s="67"/>
      <c r="UP64" s="67"/>
      <c r="UQ64" s="67"/>
      <c r="UR64" s="67"/>
      <c r="US64" s="67"/>
      <c r="UT64" s="67"/>
      <c r="UU64" s="67"/>
      <c r="UV64" s="67"/>
      <c r="UW64" s="67"/>
      <c r="UX64" s="67"/>
      <c r="UY64" s="67"/>
      <c r="UZ64" s="67"/>
      <c r="VA64" s="67"/>
      <c r="VB64" s="67"/>
      <c r="VC64" s="67"/>
      <c r="VD64" s="67"/>
      <c r="VE64" s="67"/>
      <c r="VF64" s="67"/>
      <c r="VG64" s="67"/>
      <c r="VH64" s="67"/>
      <c r="VI64" s="67"/>
      <c r="VJ64" s="67"/>
      <c r="VK64" s="67"/>
      <c r="VL64" s="67"/>
      <c r="VM64" s="67"/>
      <c r="VN64" s="67"/>
      <c r="VO64" s="67"/>
      <c r="VP64" s="67"/>
      <c r="VQ64" s="67"/>
      <c r="VR64" s="67"/>
      <c r="VS64" s="67"/>
      <c r="VT64" s="67"/>
      <c r="VU64" s="67"/>
      <c r="VV64" s="67"/>
      <c r="VW64" s="67"/>
      <c r="VX64" s="67"/>
      <c r="VY64" s="67"/>
      <c r="WA64" s="68"/>
      <c r="WB64" s="68"/>
      <c r="WC64" s="68"/>
      <c r="WD64" s="68"/>
      <c r="WE64" s="68"/>
      <c r="WF64" s="68"/>
      <c r="WG64" s="68"/>
      <c r="WH64" s="68"/>
      <c r="WI64" s="84"/>
      <c r="WJ64" s="2"/>
      <c r="WK64" s="2"/>
    </row>
    <row r="65" spans="1:613" x14ac:dyDescent="0.25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  <c r="LH65" s="67"/>
      <c r="LI65" s="67"/>
      <c r="LJ65" s="67"/>
      <c r="LK65" s="67"/>
      <c r="LL65" s="67"/>
      <c r="LM65" s="67"/>
      <c r="LN65" s="67"/>
      <c r="LO65" s="67"/>
      <c r="LP65" s="67"/>
      <c r="LQ65" s="67"/>
      <c r="LR65" s="67"/>
      <c r="LS65" s="67"/>
      <c r="LT65" s="67"/>
      <c r="LU65" s="67"/>
      <c r="LV65" s="67"/>
      <c r="LW65" s="67"/>
      <c r="LX65" s="67"/>
      <c r="LY65" s="67"/>
      <c r="LZ65" s="67"/>
      <c r="MA65" s="67"/>
      <c r="MB65" s="67"/>
      <c r="MC65" s="67"/>
      <c r="MD65" s="67"/>
      <c r="ME65" s="67"/>
      <c r="MF65" s="67"/>
      <c r="MG65" s="67"/>
      <c r="MH65" s="67"/>
      <c r="MI65" s="67"/>
      <c r="MJ65" s="67"/>
      <c r="MK65" s="67"/>
      <c r="ML65" s="67"/>
      <c r="MM65" s="67"/>
      <c r="MN65" s="67"/>
      <c r="MO65" s="67"/>
      <c r="MP65" s="67"/>
      <c r="MQ65" s="67"/>
      <c r="MR65" s="67"/>
      <c r="MS65" s="67"/>
      <c r="MT65" s="67"/>
      <c r="MU65" s="67"/>
      <c r="MV65" s="67"/>
      <c r="MW65" s="67"/>
      <c r="MX65" s="67"/>
      <c r="MY65" s="67"/>
      <c r="MZ65" s="67"/>
      <c r="NA65" s="67"/>
      <c r="NB65" s="67"/>
      <c r="NC65" s="67"/>
      <c r="ND65" s="67"/>
      <c r="NE65" s="67"/>
      <c r="NF65" s="67"/>
      <c r="NG65" s="67"/>
      <c r="NH65" s="67"/>
      <c r="NI65" s="67"/>
      <c r="NJ65" s="67"/>
      <c r="NK65" s="67"/>
      <c r="NL65" s="67"/>
      <c r="NM65" s="67"/>
      <c r="NN65" s="67"/>
      <c r="NO65" s="67"/>
      <c r="NP65" s="67"/>
      <c r="NQ65" s="67"/>
      <c r="NR65" s="67"/>
      <c r="NS65" s="67"/>
      <c r="NT65" s="67"/>
      <c r="NU65" s="67"/>
      <c r="NV65" s="67"/>
      <c r="NW65" s="67"/>
      <c r="NX65" s="67"/>
      <c r="NY65" s="67"/>
      <c r="NZ65" s="67"/>
      <c r="OA65" s="67"/>
      <c r="OB65" s="67"/>
      <c r="OC65" s="67"/>
      <c r="OD65" s="67"/>
      <c r="OE65" s="67"/>
      <c r="OF65" s="67"/>
      <c r="OG65" s="67"/>
      <c r="OH65" s="67"/>
      <c r="OI65" s="67"/>
      <c r="OJ65" s="67"/>
      <c r="OK65" s="67"/>
      <c r="OL65" s="67"/>
      <c r="OM65" s="67"/>
      <c r="ON65" s="67"/>
      <c r="OO65" s="67"/>
      <c r="OP65" s="67"/>
      <c r="OQ65" s="67"/>
      <c r="OR65" s="67"/>
      <c r="OS65" s="67"/>
      <c r="OT65" s="67"/>
      <c r="OU65" s="67"/>
      <c r="OV65" s="67"/>
      <c r="OW65" s="67"/>
      <c r="OX65" s="67"/>
      <c r="OY65" s="67"/>
      <c r="OZ65" s="67"/>
      <c r="PA65" s="67"/>
      <c r="PB65" s="67"/>
      <c r="PC65" s="67"/>
      <c r="PD65" s="67"/>
      <c r="PE65" s="67"/>
      <c r="PF65" s="67"/>
      <c r="PG65" s="67"/>
      <c r="PH65" s="67"/>
      <c r="PI65" s="67"/>
      <c r="PJ65" s="67"/>
      <c r="PK65" s="67"/>
      <c r="PL65" s="67"/>
      <c r="PM65" s="67"/>
      <c r="PN65" s="67"/>
      <c r="PO65" s="67"/>
      <c r="PP65" s="67"/>
      <c r="PQ65" s="67"/>
      <c r="PR65" s="67"/>
      <c r="PS65" s="67"/>
      <c r="PT65" s="67"/>
      <c r="PU65" s="67"/>
      <c r="PV65" s="67"/>
      <c r="PW65" s="67"/>
      <c r="PX65" s="67"/>
      <c r="PY65" s="67"/>
      <c r="PZ65" s="67"/>
      <c r="QA65" s="67"/>
      <c r="QB65" s="67"/>
      <c r="QC65" s="67"/>
      <c r="QD65" s="67"/>
      <c r="QE65" s="67"/>
      <c r="QF65" s="67"/>
      <c r="QG65" s="67"/>
      <c r="QH65" s="67"/>
      <c r="QI65" s="67"/>
      <c r="QJ65" s="67"/>
      <c r="QK65" s="67"/>
      <c r="QL65" s="67"/>
      <c r="QM65" s="67"/>
      <c r="QN65" s="67"/>
      <c r="QO65" s="67"/>
      <c r="QP65" s="67"/>
      <c r="QQ65" s="67"/>
      <c r="QR65" s="67"/>
      <c r="QS65" s="67"/>
      <c r="QT65" s="67"/>
      <c r="QU65" s="67"/>
      <c r="QV65" s="67"/>
      <c r="QW65" s="67"/>
      <c r="QX65" s="67"/>
      <c r="QY65" s="67"/>
      <c r="QZ65" s="67"/>
      <c r="RA65" s="67"/>
      <c r="RB65" s="67"/>
      <c r="RC65" s="67"/>
      <c r="RD65" s="67"/>
      <c r="RE65" s="67"/>
      <c r="RF65" s="67"/>
      <c r="RG65" s="67"/>
      <c r="RH65" s="67"/>
      <c r="RI65" s="67"/>
      <c r="RJ65" s="67"/>
      <c r="RK65" s="67"/>
      <c r="RL65" s="67"/>
      <c r="RM65" s="67"/>
      <c r="RN65" s="67"/>
      <c r="RO65" s="67"/>
      <c r="RP65" s="67"/>
      <c r="RQ65" s="67"/>
      <c r="RR65" s="67"/>
      <c r="RS65" s="67"/>
      <c r="RT65" s="67"/>
      <c r="RU65" s="67"/>
      <c r="RV65" s="67"/>
      <c r="RW65" s="67"/>
      <c r="RX65" s="67"/>
      <c r="RY65" s="67"/>
      <c r="RZ65" s="67"/>
      <c r="SA65" s="67"/>
      <c r="SB65" s="67"/>
      <c r="SC65" s="67"/>
      <c r="SD65" s="67"/>
      <c r="SE65" s="67"/>
      <c r="SF65" s="67"/>
      <c r="SG65" s="67"/>
      <c r="SH65" s="67"/>
      <c r="SI65" s="67"/>
      <c r="SJ65" s="67"/>
      <c r="SK65" s="67"/>
      <c r="SL65" s="67"/>
      <c r="SM65" s="67"/>
      <c r="SN65" s="67"/>
      <c r="SO65" s="67"/>
      <c r="SP65" s="67"/>
      <c r="SQ65" s="67"/>
      <c r="SR65" s="67"/>
      <c r="SS65" s="67"/>
      <c r="ST65" s="67"/>
      <c r="SU65" s="67"/>
      <c r="SV65" s="67"/>
      <c r="SW65" s="67"/>
      <c r="SX65" s="67"/>
      <c r="SY65" s="67"/>
      <c r="SZ65" s="67"/>
      <c r="TA65" s="67"/>
      <c r="TB65" s="67"/>
      <c r="TC65" s="67"/>
      <c r="TD65" s="67"/>
      <c r="TE65" s="67"/>
      <c r="TF65" s="67"/>
      <c r="TG65" s="67"/>
      <c r="TH65" s="67"/>
      <c r="TI65" s="67"/>
      <c r="TJ65" s="67"/>
      <c r="TK65" s="67"/>
      <c r="TL65" s="67"/>
      <c r="TM65" s="67"/>
      <c r="TN65" s="67"/>
      <c r="TO65" s="67"/>
      <c r="TP65" s="67"/>
      <c r="TQ65" s="67"/>
      <c r="TR65" s="67"/>
      <c r="TS65" s="67"/>
      <c r="TT65" s="67"/>
      <c r="TU65" s="67"/>
      <c r="TV65" s="67"/>
      <c r="TW65" s="67"/>
      <c r="TX65" s="67"/>
      <c r="TY65" s="67"/>
      <c r="TZ65" s="67"/>
      <c r="UA65" s="67"/>
      <c r="UB65" s="67"/>
      <c r="UC65" s="67"/>
      <c r="UD65" s="67"/>
      <c r="UE65" s="67"/>
      <c r="UF65" s="67"/>
      <c r="UG65" s="67"/>
      <c r="UH65" s="67"/>
      <c r="UI65" s="67"/>
      <c r="UJ65" s="67"/>
      <c r="UK65" s="67"/>
      <c r="UL65" s="67"/>
      <c r="UM65" s="67"/>
      <c r="UN65" s="67"/>
      <c r="UO65" s="67"/>
      <c r="UP65" s="67"/>
      <c r="UQ65" s="67"/>
      <c r="UR65" s="67"/>
      <c r="US65" s="67"/>
      <c r="UT65" s="67"/>
      <c r="UU65" s="67"/>
      <c r="UV65" s="67"/>
      <c r="UW65" s="67"/>
      <c r="UX65" s="67"/>
      <c r="UY65" s="67"/>
      <c r="UZ65" s="67"/>
      <c r="VA65" s="67"/>
      <c r="VB65" s="67"/>
      <c r="VC65" s="67"/>
      <c r="VD65" s="67"/>
      <c r="VE65" s="67"/>
      <c r="VF65" s="67"/>
      <c r="VG65" s="67"/>
      <c r="VH65" s="67"/>
      <c r="VI65" s="67"/>
      <c r="VJ65" s="67"/>
      <c r="VK65" s="67"/>
      <c r="VL65" s="67"/>
      <c r="VM65" s="67"/>
      <c r="VN65" s="67"/>
      <c r="VO65" s="67"/>
      <c r="VP65" s="67"/>
      <c r="VQ65" s="67"/>
      <c r="VR65" s="67"/>
      <c r="VS65" s="67"/>
      <c r="VT65" s="67"/>
      <c r="VU65" s="67"/>
      <c r="VV65" s="67"/>
      <c r="VW65" s="67"/>
      <c r="VX65" s="67"/>
      <c r="VY65" s="67"/>
      <c r="WA65" s="68"/>
      <c r="WB65" s="68"/>
      <c r="WC65" s="68"/>
      <c r="WD65" s="68"/>
      <c r="WE65" s="68"/>
      <c r="WF65" s="68"/>
      <c r="WG65" s="68"/>
      <c r="WH65" s="68"/>
      <c r="WI65" s="84"/>
      <c r="WJ65" s="2"/>
      <c r="WK65" s="2"/>
    </row>
    <row r="66" spans="1:613" x14ac:dyDescent="0.25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  <c r="LG66" s="67"/>
      <c r="LH66" s="67"/>
      <c r="LI66" s="67"/>
      <c r="LJ66" s="67"/>
      <c r="LK66" s="67"/>
      <c r="LL66" s="67"/>
      <c r="LM66" s="67"/>
      <c r="LN66" s="67"/>
      <c r="LO66" s="67"/>
      <c r="LP66" s="67"/>
      <c r="LQ66" s="67"/>
      <c r="LR66" s="67"/>
      <c r="LS66" s="67"/>
      <c r="LT66" s="67"/>
      <c r="LU66" s="67"/>
      <c r="LV66" s="67"/>
      <c r="LW66" s="67"/>
      <c r="LX66" s="67"/>
      <c r="LY66" s="67"/>
      <c r="LZ66" s="67"/>
      <c r="MA66" s="67"/>
      <c r="MB66" s="67"/>
      <c r="MC66" s="67"/>
      <c r="MD66" s="67"/>
      <c r="ME66" s="67"/>
      <c r="MF66" s="67"/>
      <c r="MG66" s="67"/>
      <c r="MH66" s="67"/>
      <c r="MI66" s="67"/>
      <c r="MJ66" s="67"/>
      <c r="MK66" s="67"/>
      <c r="ML66" s="67"/>
      <c r="MM66" s="67"/>
      <c r="MN66" s="67"/>
      <c r="MO66" s="67"/>
      <c r="MP66" s="67"/>
      <c r="MQ66" s="67"/>
      <c r="MR66" s="67"/>
      <c r="MS66" s="67"/>
      <c r="MT66" s="67"/>
      <c r="MU66" s="67"/>
      <c r="MV66" s="67"/>
      <c r="MW66" s="67"/>
      <c r="MX66" s="67"/>
      <c r="MY66" s="67"/>
      <c r="MZ66" s="67"/>
      <c r="NA66" s="67"/>
      <c r="NB66" s="67"/>
      <c r="NC66" s="67"/>
      <c r="ND66" s="67"/>
      <c r="NE66" s="67"/>
      <c r="NF66" s="67"/>
      <c r="NG66" s="67"/>
      <c r="NH66" s="67"/>
      <c r="NI66" s="67"/>
      <c r="NJ66" s="67"/>
      <c r="NK66" s="67"/>
      <c r="NL66" s="67"/>
      <c r="NM66" s="67"/>
      <c r="NN66" s="67"/>
      <c r="NO66" s="67"/>
      <c r="NP66" s="67"/>
      <c r="NQ66" s="67"/>
      <c r="NR66" s="67"/>
      <c r="NS66" s="67"/>
      <c r="NT66" s="67"/>
      <c r="NU66" s="67"/>
      <c r="NV66" s="67"/>
      <c r="NW66" s="67"/>
      <c r="NX66" s="67"/>
      <c r="NY66" s="67"/>
      <c r="NZ66" s="67"/>
      <c r="OA66" s="67"/>
      <c r="OB66" s="67"/>
      <c r="OC66" s="67"/>
      <c r="OD66" s="67"/>
      <c r="OE66" s="67"/>
      <c r="OF66" s="67"/>
      <c r="OG66" s="67"/>
      <c r="OH66" s="67"/>
      <c r="OI66" s="67"/>
      <c r="OJ66" s="67"/>
      <c r="OK66" s="67"/>
      <c r="OL66" s="67"/>
      <c r="OM66" s="67"/>
      <c r="ON66" s="67"/>
      <c r="OO66" s="67"/>
      <c r="OP66" s="67"/>
      <c r="OQ66" s="67"/>
      <c r="OR66" s="67"/>
      <c r="OS66" s="67"/>
      <c r="OT66" s="67"/>
      <c r="OU66" s="67"/>
      <c r="OV66" s="67"/>
      <c r="OW66" s="67"/>
      <c r="OX66" s="67"/>
      <c r="OY66" s="67"/>
      <c r="OZ66" s="67"/>
      <c r="PA66" s="67"/>
      <c r="PB66" s="67"/>
      <c r="PC66" s="67"/>
      <c r="PD66" s="67"/>
      <c r="PE66" s="67"/>
      <c r="PF66" s="67"/>
      <c r="PG66" s="67"/>
      <c r="PH66" s="67"/>
      <c r="PI66" s="67"/>
      <c r="PJ66" s="67"/>
      <c r="PK66" s="67"/>
      <c r="PL66" s="67"/>
      <c r="PM66" s="67"/>
      <c r="PN66" s="67"/>
      <c r="PO66" s="67"/>
      <c r="PP66" s="67"/>
      <c r="PQ66" s="67"/>
      <c r="PR66" s="67"/>
      <c r="PS66" s="67"/>
      <c r="PT66" s="67"/>
      <c r="PU66" s="67"/>
      <c r="PV66" s="67"/>
      <c r="PW66" s="67"/>
      <c r="PX66" s="67"/>
      <c r="PY66" s="67"/>
      <c r="PZ66" s="67"/>
      <c r="QA66" s="67"/>
      <c r="QB66" s="67"/>
      <c r="QC66" s="67"/>
      <c r="QD66" s="67"/>
      <c r="QE66" s="67"/>
      <c r="QF66" s="67"/>
      <c r="QG66" s="67"/>
      <c r="QH66" s="67"/>
      <c r="QI66" s="67"/>
      <c r="QJ66" s="67"/>
      <c r="QK66" s="67"/>
      <c r="QL66" s="67"/>
      <c r="QM66" s="67"/>
      <c r="QN66" s="67"/>
      <c r="QO66" s="67"/>
      <c r="QP66" s="67"/>
      <c r="QQ66" s="67"/>
      <c r="QR66" s="67"/>
      <c r="QS66" s="67"/>
      <c r="QT66" s="67"/>
      <c r="QU66" s="67"/>
      <c r="QV66" s="67"/>
      <c r="QW66" s="67"/>
      <c r="QX66" s="67"/>
      <c r="QY66" s="67"/>
      <c r="QZ66" s="67"/>
      <c r="RA66" s="67"/>
      <c r="RB66" s="67"/>
      <c r="RC66" s="67"/>
      <c r="RD66" s="67"/>
      <c r="RE66" s="67"/>
      <c r="RF66" s="67"/>
      <c r="RG66" s="67"/>
      <c r="RH66" s="67"/>
      <c r="RI66" s="67"/>
      <c r="RJ66" s="67"/>
      <c r="RK66" s="67"/>
      <c r="RL66" s="67"/>
      <c r="RM66" s="67"/>
      <c r="RN66" s="67"/>
      <c r="RO66" s="67"/>
      <c r="RP66" s="67"/>
      <c r="RQ66" s="67"/>
      <c r="RR66" s="67"/>
      <c r="RS66" s="67"/>
      <c r="RT66" s="67"/>
      <c r="RU66" s="67"/>
      <c r="RV66" s="67"/>
      <c r="RW66" s="67"/>
      <c r="RX66" s="67"/>
      <c r="RY66" s="67"/>
      <c r="RZ66" s="67"/>
      <c r="SA66" s="67"/>
      <c r="SB66" s="67"/>
      <c r="SC66" s="67"/>
      <c r="SD66" s="67"/>
      <c r="SE66" s="67"/>
      <c r="SF66" s="67"/>
      <c r="SG66" s="67"/>
      <c r="SH66" s="67"/>
      <c r="SI66" s="67"/>
      <c r="SJ66" s="67"/>
      <c r="SK66" s="67"/>
      <c r="SL66" s="67"/>
      <c r="SM66" s="67"/>
      <c r="SN66" s="67"/>
      <c r="SO66" s="67"/>
      <c r="SP66" s="67"/>
      <c r="SQ66" s="67"/>
      <c r="SR66" s="67"/>
      <c r="SS66" s="67"/>
      <c r="ST66" s="67"/>
      <c r="SU66" s="67"/>
      <c r="SV66" s="67"/>
      <c r="SW66" s="67"/>
      <c r="SX66" s="67"/>
      <c r="SY66" s="67"/>
      <c r="SZ66" s="67"/>
      <c r="TA66" s="67"/>
      <c r="TB66" s="67"/>
      <c r="TC66" s="67"/>
      <c r="TD66" s="67"/>
      <c r="TE66" s="67"/>
      <c r="TF66" s="67"/>
      <c r="TG66" s="67"/>
      <c r="TH66" s="67"/>
      <c r="TI66" s="67"/>
      <c r="TJ66" s="67"/>
      <c r="TK66" s="67"/>
      <c r="TL66" s="67"/>
      <c r="TM66" s="67"/>
      <c r="TN66" s="67"/>
      <c r="TO66" s="67"/>
      <c r="TP66" s="67"/>
      <c r="TQ66" s="67"/>
      <c r="TR66" s="67"/>
      <c r="TS66" s="67"/>
      <c r="TT66" s="67"/>
      <c r="TU66" s="67"/>
      <c r="TV66" s="67"/>
      <c r="TW66" s="67"/>
      <c r="TX66" s="67"/>
      <c r="TY66" s="67"/>
      <c r="TZ66" s="67"/>
      <c r="UA66" s="67"/>
      <c r="UB66" s="67"/>
      <c r="UC66" s="67"/>
      <c r="UD66" s="67"/>
      <c r="UE66" s="67"/>
      <c r="UF66" s="67"/>
      <c r="UG66" s="67"/>
      <c r="UH66" s="67"/>
      <c r="UI66" s="67"/>
      <c r="UJ66" s="67"/>
      <c r="UK66" s="67"/>
      <c r="UL66" s="67"/>
      <c r="UM66" s="67"/>
      <c r="UN66" s="67"/>
      <c r="UO66" s="67"/>
      <c r="UP66" s="67"/>
      <c r="UQ66" s="67"/>
      <c r="UR66" s="67"/>
      <c r="US66" s="67"/>
      <c r="UT66" s="67"/>
      <c r="UU66" s="67"/>
      <c r="UV66" s="67"/>
      <c r="UW66" s="67"/>
      <c r="UX66" s="67"/>
      <c r="UY66" s="67"/>
      <c r="UZ66" s="67"/>
      <c r="VA66" s="67"/>
      <c r="VB66" s="67"/>
      <c r="VC66" s="67"/>
      <c r="VD66" s="67"/>
      <c r="VE66" s="67"/>
      <c r="VF66" s="67"/>
      <c r="VG66" s="67"/>
      <c r="VH66" s="67"/>
      <c r="VI66" s="67"/>
      <c r="VJ66" s="67"/>
      <c r="VK66" s="67"/>
      <c r="VL66" s="67"/>
      <c r="VM66" s="67"/>
      <c r="VN66" s="67"/>
      <c r="VO66" s="67"/>
      <c r="VP66" s="67"/>
      <c r="VQ66" s="67"/>
      <c r="VR66" s="67"/>
      <c r="VS66" s="67"/>
      <c r="VT66" s="67"/>
      <c r="VU66" s="67"/>
      <c r="VV66" s="67"/>
      <c r="VW66" s="67"/>
      <c r="VX66" s="67"/>
      <c r="VY66" s="67"/>
      <c r="WA66" s="68"/>
      <c r="WB66" s="68"/>
      <c r="WC66" s="68"/>
      <c r="WD66" s="68"/>
      <c r="WE66" s="68"/>
      <c r="WF66" s="68"/>
      <c r="WG66" s="68"/>
      <c r="WH66" s="68"/>
      <c r="WI66" s="84"/>
      <c r="WJ66" s="2"/>
      <c r="WK66" s="2"/>
    </row>
    <row r="67" spans="1:613" x14ac:dyDescent="0.25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7"/>
      <c r="DC67" s="67"/>
      <c r="DD67" s="67"/>
      <c r="DE67" s="67"/>
      <c r="DF67" s="67"/>
      <c r="DG67" s="67"/>
      <c r="DH67" s="67"/>
      <c r="DI67" s="67"/>
      <c r="DJ67" s="67"/>
      <c r="DK67" s="67"/>
      <c r="DL67" s="67"/>
      <c r="DM67" s="67"/>
      <c r="DN67" s="67"/>
      <c r="DO67" s="67"/>
      <c r="DP67" s="67"/>
      <c r="DQ67" s="67"/>
      <c r="DR67" s="67"/>
      <c r="DS67" s="67"/>
      <c r="DT67" s="67"/>
      <c r="DU67" s="67"/>
      <c r="DV67" s="67"/>
      <c r="DW67" s="67"/>
      <c r="DX67" s="67"/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  <c r="JI67" s="67"/>
      <c r="JJ67" s="67"/>
      <c r="JK67" s="67"/>
      <c r="JL67" s="67"/>
      <c r="JM67" s="67"/>
      <c r="JN67" s="67"/>
      <c r="JO67" s="67"/>
      <c r="JP67" s="67"/>
      <c r="JQ67" s="67"/>
      <c r="JR67" s="67"/>
      <c r="JS67" s="67"/>
      <c r="JT67" s="67"/>
      <c r="JU67" s="67"/>
      <c r="JV67" s="67"/>
      <c r="JW67" s="67"/>
      <c r="JX67" s="67"/>
      <c r="JY67" s="67"/>
      <c r="JZ67" s="67"/>
      <c r="KA67" s="67"/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67"/>
      <c r="KZ67" s="67"/>
      <c r="LA67" s="67"/>
      <c r="LB67" s="67"/>
      <c r="LC67" s="67"/>
      <c r="LD67" s="67"/>
      <c r="LE67" s="67"/>
      <c r="LF67" s="67"/>
      <c r="LG67" s="67"/>
      <c r="LH67" s="67"/>
      <c r="LI67" s="67"/>
      <c r="LJ67" s="67"/>
      <c r="LK67" s="67"/>
      <c r="LL67" s="67"/>
      <c r="LM67" s="67"/>
      <c r="LN67" s="67"/>
      <c r="LO67" s="67"/>
      <c r="LP67" s="67"/>
      <c r="LQ67" s="67"/>
      <c r="LR67" s="67"/>
      <c r="LS67" s="67"/>
      <c r="LT67" s="67"/>
      <c r="LU67" s="67"/>
      <c r="LV67" s="67"/>
      <c r="LW67" s="67"/>
      <c r="LX67" s="67"/>
      <c r="LY67" s="67"/>
      <c r="LZ67" s="67"/>
      <c r="MA67" s="67"/>
      <c r="MB67" s="67"/>
      <c r="MC67" s="67"/>
      <c r="MD67" s="67"/>
      <c r="ME67" s="67"/>
      <c r="MF67" s="67"/>
      <c r="MG67" s="67"/>
      <c r="MH67" s="67"/>
      <c r="MI67" s="67"/>
      <c r="MJ67" s="67"/>
      <c r="MK67" s="67"/>
      <c r="ML67" s="67"/>
      <c r="MM67" s="67"/>
      <c r="MN67" s="67"/>
      <c r="MO67" s="67"/>
      <c r="MP67" s="67"/>
      <c r="MQ67" s="67"/>
      <c r="MR67" s="67"/>
      <c r="MS67" s="67"/>
      <c r="MT67" s="67"/>
      <c r="MU67" s="67"/>
      <c r="MV67" s="67"/>
      <c r="MW67" s="67"/>
      <c r="MX67" s="67"/>
      <c r="MY67" s="67"/>
      <c r="MZ67" s="67"/>
      <c r="NA67" s="67"/>
      <c r="NB67" s="67"/>
      <c r="NC67" s="67"/>
      <c r="ND67" s="67"/>
      <c r="NE67" s="67"/>
      <c r="NF67" s="67"/>
      <c r="NG67" s="67"/>
      <c r="NH67" s="67"/>
      <c r="NI67" s="67"/>
      <c r="NJ67" s="67"/>
      <c r="NK67" s="67"/>
      <c r="NL67" s="67"/>
      <c r="NM67" s="67"/>
      <c r="NN67" s="67"/>
      <c r="NO67" s="67"/>
      <c r="NP67" s="67"/>
      <c r="NQ67" s="67"/>
      <c r="NR67" s="67"/>
      <c r="NS67" s="67"/>
      <c r="NT67" s="67"/>
      <c r="NU67" s="67"/>
      <c r="NV67" s="67"/>
      <c r="NW67" s="67"/>
      <c r="NX67" s="67"/>
      <c r="NY67" s="67"/>
      <c r="NZ67" s="67"/>
      <c r="OA67" s="67"/>
      <c r="OB67" s="67"/>
      <c r="OC67" s="67"/>
      <c r="OD67" s="67"/>
      <c r="OE67" s="67"/>
      <c r="OF67" s="67"/>
      <c r="OG67" s="67"/>
      <c r="OH67" s="67"/>
      <c r="OI67" s="67"/>
      <c r="OJ67" s="67"/>
      <c r="OK67" s="67"/>
      <c r="OL67" s="67"/>
      <c r="OM67" s="67"/>
      <c r="ON67" s="67"/>
      <c r="OO67" s="67"/>
      <c r="OP67" s="67"/>
      <c r="OQ67" s="67"/>
      <c r="OR67" s="67"/>
      <c r="OS67" s="67"/>
      <c r="OT67" s="67"/>
      <c r="OU67" s="67"/>
      <c r="OV67" s="67"/>
      <c r="OW67" s="67"/>
      <c r="OX67" s="67"/>
      <c r="OY67" s="67"/>
      <c r="OZ67" s="67"/>
      <c r="PA67" s="67"/>
      <c r="PB67" s="67"/>
      <c r="PC67" s="67"/>
      <c r="PD67" s="67"/>
      <c r="PE67" s="67"/>
      <c r="PF67" s="67"/>
      <c r="PG67" s="67"/>
      <c r="PH67" s="67"/>
      <c r="PI67" s="67"/>
      <c r="PJ67" s="67"/>
      <c r="PK67" s="67"/>
      <c r="PL67" s="67"/>
      <c r="PM67" s="67"/>
      <c r="PN67" s="67"/>
      <c r="PO67" s="67"/>
      <c r="PP67" s="67"/>
      <c r="PQ67" s="67"/>
      <c r="PR67" s="67"/>
      <c r="PS67" s="67"/>
      <c r="PT67" s="67"/>
      <c r="PU67" s="67"/>
      <c r="PV67" s="67"/>
      <c r="PW67" s="67"/>
      <c r="PX67" s="67"/>
      <c r="PY67" s="67"/>
      <c r="PZ67" s="67"/>
      <c r="QA67" s="67"/>
      <c r="QB67" s="67"/>
      <c r="QC67" s="67"/>
      <c r="QD67" s="67"/>
      <c r="QE67" s="67"/>
      <c r="QF67" s="67"/>
      <c r="QG67" s="67"/>
      <c r="QH67" s="67"/>
      <c r="QI67" s="67"/>
      <c r="QJ67" s="67"/>
      <c r="QK67" s="67"/>
      <c r="QL67" s="67"/>
      <c r="QM67" s="67"/>
      <c r="QN67" s="67"/>
      <c r="QO67" s="67"/>
      <c r="QP67" s="67"/>
      <c r="QQ67" s="67"/>
      <c r="QR67" s="67"/>
      <c r="QS67" s="67"/>
      <c r="QT67" s="67"/>
      <c r="QU67" s="67"/>
      <c r="QV67" s="67"/>
      <c r="QW67" s="67"/>
      <c r="QX67" s="67"/>
      <c r="QY67" s="67"/>
      <c r="QZ67" s="67"/>
      <c r="RA67" s="67"/>
      <c r="RB67" s="67"/>
      <c r="RC67" s="67"/>
      <c r="RD67" s="67"/>
      <c r="RE67" s="67"/>
      <c r="RF67" s="67"/>
      <c r="RG67" s="67"/>
      <c r="RH67" s="67"/>
      <c r="RI67" s="67"/>
      <c r="RJ67" s="67"/>
      <c r="RK67" s="67"/>
      <c r="RL67" s="67"/>
      <c r="RM67" s="67"/>
      <c r="RN67" s="67"/>
      <c r="RO67" s="67"/>
      <c r="RP67" s="67"/>
      <c r="RQ67" s="67"/>
      <c r="RR67" s="67"/>
      <c r="RS67" s="67"/>
      <c r="RT67" s="67"/>
      <c r="RU67" s="67"/>
      <c r="RV67" s="67"/>
      <c r="RW67" s="67"/>
      <c r="RX67" s="67"/>
      <c r="RY67" s="67"/>
      <c r="RZ67" s="67"/>
      <c r="SA67" s="67"/>
      <c r="SB67" s="67"/>
      <c r="SC67" s="67"/>
      <c r="SD67" s="67"/>
      <c r="SE67" s="67"/>
      <c r="SF67" s="67"/>
      <c r="SG67" s="67"/>
      <c r="SH67" s="67"/>
      <c r="SI67" s="67"/>
      <c r="SJ67" s="67"/>
      <c r="SK67" s="67"/>
      <c r="SL67" s="67"/>
      <c r="SM67" s="67"/>
      <c r="SN67" s="67"/>
      <c r="SO67" s="67"/>
      <c r="SP67" s="67"/>
      <c r="SQ67" s="67"/>
      <c r="SR67" s="67"/>
      <c r="SS67" s="67"/>
      <c r="ST67" s="67"/>
      <c r="SU67" s="67"/>
      <c r="SV67" s="67"/>
      <c r="SW67" s="67"/>
      <c r="SX67" s="67"/>
      <c r="SY67" s="67"/>
      <c r="SZ67" s="67"/>
      <c r="TA67" s="67"/>
      <c r="TB67" s="67"/>
      <c r="TC67" s="67"/>
      <c r="TD67" s="67"/>
      <c r="TE67" s="67"/>
      <c r="TF67" s="67"/>
      <c r="TG67" s="67"/>
      <c r="TH67" s="67"/>
      <c r="TI67" s="67"/>
      <c r="TJ67" s="67"/>
      <c r="TK67" s="67"/>
      <c r="TL67" s="67"/>
      <c r="TM67" s="67"/>
      <c r="TN67" s="67"/>
      <c r="TO67" s="67"/>
      <c r="TP67" s="67"/>
      <c r="TQ67" s="67"/>
      <c r="TR67" s="67"/>
      <c r="TS67" s="67"/>
      <c r="TT67" s="67"/>
      <c r="TU67" s="67"/>
      <c r="TV67" s="67"/>
      <c r="TW67" s="67"/>
      <c r="TX67" s="67"/>
      <c r="TY67" s="67"/>
      <c r="TZ67" s="67"/>
      <c r="UA67" s="67"/>
      <c r="UB67" s="67"/>
      <c r="UC67" s="67"/>
      <c r="UD67" s="67"/>
      <c r="UE67" s="67"/>
      <c r="UF67" s="67"/>
      <c r="UG67" s="67"/>
      <c r="UH67" s="67"/>
      <c r="UI67" s="67"/>
      <c r="UJ67" s="67"/>
      <c r="UK67" s="67"/>
      <c r="UL67" s="67"/>
      <c r="UM67" s="67"/>
      <c r="UN67" s="67"/>
      <c r="UO67" s="67"/>
      <c r="UP67" s="67"/>
      <c r="UQ67" s="67"/>
      <c r="UR67" s="67"/>
      <c r="US67" s="67"/>
      <c r="UT67" s="67"/>
      <c r="UU67" s="67"/>
      <c r="UV67" s="67"/>
      <c r="UW67" s="67"/>
      <c r="UX67" s="67"/>
      <c r="UY67" s="67"/>
      <c r="UZ67" s="67"/>
      <c r="VA67" s="67"/>
      <c r="VB67" s="67"/>
      <c r="VC67" s="67"/>
      <c r="VD67" s="67"/>
      <c r="VE67" s="67"/>
      <c r="VF67" s="67"/>
      <c r="VG67" s="67"/>
      <c r="VH67" s="67"/>
      <c r="VI67" s="67"/>
      <c r="VJ67" s="67"/>
      <c r="VK67" s="67"/>
      <c r="VL67" s="67"/>
      <c r="VM67" s="67"/>
      <c r="VN67" s="67"/>
      <c r="VO67" s="67"/>
      <c r="VP67" s="67"/>
      <c r="VQ67" s="67"/>
      <c r="VR67" s="67"/>
      <c r="VS67" s="67"/>
      <c r="VT67" s="67"/>
      <c r="VU67" s="67"/>
      <c r="VV67" s="67"/>
      <c r="VW67" s="67"/>
      <c r="VX67" s="67"/>
      <c r="VY67" s="67"/>
      <c r="WA67" s="68"/>
      <c r="WB67" s="68"/>
      <c r="WC67" s="68"/>
      <c r="WD67" s="68"/>
      <c r="WE67" s="68"/>
      <c r="WF67" s="68"/>
      <c r="WG67" s="68"/>
      <c r="WH67" s="68"/>
      <c r="WI67" s="84"/>
      <c r="WJ67" s="2"/>
      <c r="WK67" s="2"/>
    </row>
    <row r="68" spans="1:613" x14ac:dyDescent="0.25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  <c r="DQ68" s="67"/>
      <c r="DR68" s="67"/>
      <c r="DS68" s="67"/>
      <c r="DT68" s="67"/>
      <c r="DU68" s="67"/>
      <c r="DV68" s="67"/>
      <c r="DW68" s="67"/>
      <c r="DX68" s="67"/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  <c r="LG68" s="67"/>
      <c r="LH68" s="67"/>
      <c r="LI68" s="67"/>
      <c r="LJ68" s="67"/>
      <c r="LK68" s="67"/>
      <c r="LL68" s="67"/>
      <c r="LM68" s="67"/>
      <c r="LN68" s="67"/>
      <c r="LO68" s="67"/>
      <c r="LP68" s="67"/>
      <c r="LQ68" s="67"/>
      <c r="LR68" s="67"/>
      <c r="LS68" s="67"/>
      <c r="LT68" s="67"/>
      <c r="LU68" s="67"/>
      <c r="LV68" s="67"/>
      <c r="LW68" s="67"/>
      <c r="LX68" s="67"/>
      <c r="LY68" s="67"/>
      <c r="LZ68" s="67"/>
      <c r="MA68" s="67"/>
      <c r="MB68" s="67"/>
      <c r="MC68" s="67"/>
      <c r="MD68" s="67"/>
      <c r="ME68" s="67"/>
      <c r="MF68" s="67"/>
      <c r="MG68" s="67"/>
      <c r="MH68" s="67"/>
      <c r="MI68" s="67"/>
      <c r="MJ68" s="67"/>
      <c r="MK68" s="67"/>
      <c r="ML68" s="67"/>
      <c r="MM68" s="67"/>
      <c r="MN68" s="67"/>
      <c r="MO68" s="67"/>
      <c r="MP68" s="67"/>
      <c r="MQ68" s="67"/>
      <c r="MR68" s="67"/>
      <c r="MS68" s="67"/>
      <c r="MT68" s="67"/>
      <c r="MU68" s="67"/>
      <c r="MV68" s="67"/>
      <c r="MW68" s="67"/>
      <c r="MX68" s="67"/>
      <c r="MY68" s="67"/>
      <c r="MZ68" s="67"/>
      <c r="NA68" s="67"/>
      <c r="NB68" s="67"/>
      <c r="NC68" s="67"/>
      <c r="ND68" s="67"/>
      <c r="NE68" s="67"/>
      <c r="NF68" s="67"/>
      <c r="NG68" s="67"/>
      <c r="NH68" s="67"/>
      <c r="NI68" s="67"/>
      <c r="NJ68" s="67"/>
      <c r="NK68" s="67"/>
      <c r="NL68" s="67"/>
      <c r="NM68" s="67"/>
      <c r="NN68" s="67"/>
      <c r="NO68" s="67"/>
      <c r="NP68" s="67"/>
      <c r="NQ68" s="67"/>
      <c r="NR68" s="67"/>
      <c r="NS68" s="67"/>
      <c r="NT68" s="67"/>
      <c r="NU68" s="67"/>
      <c r="NV68" s="67"/>
      <c r="NW68" s="67"/>
      <c r="NX68" s="67"/>
      <c r="NY68" s="67"/>
      <c r="NZ68" s="67"/>
      <c r="OA68" s="67"/>
      <c r="OB68" s="67"/>
      <c r="OC68" s="67"/>
      <c r="OD68" s="67"/>
      <c r="OE68" s="67"/>
      <c r="OF68" s="67"/>
      <c r="OG68" s="67"/>
      <c r="OH68" s="67"/>
      <c r="OI68" s="67"/>
      <c r="OJ68" s="67"/>
      <c r="OK68" s="67"/>
      <c r="OL68" s="67"/>
      <c r="OM68" s="67"/>
      <c r="ON68" s="67"/>
      <c r="OO68" s="67"/>
      <c r="OP68" s="67"/>
      <c r="OQ68" s="67"/>
      <c r="OR68" s="67"/>
      <c r="OS68" s="67"/>
      <c r="OT68" s="67"/>
      <c r="OU68" s="67"/>
      <c r="OV68" s="67"/>
      <c r="OW68" s="67"/>
      <c r="OX68" s="67"/>
      <c r="OY68" s="67"/>
      <c r="OZ68" s="67"/>
      <c r="PA68" s="67"/>
      <c r="PB68" s="67"/>
      <c r="PC68" s="67"/>
      <c r="PD68" s="67"/>
      <c r="PE68" s="67"/>
      <c r="PF68" s="67"/>
      <c r="PG68" s="67"/>
      <c r="PH68" s="67"/>
      <c r="PI68" s="67"/>
      <c r="PJ68" s="67"/>
      <c r="PK68" s="67"/>
      <c r="PL68" s="67"/>
      <c r="PM68" s="67"/>
      <c r="PN68" s="67"/>
      <c r="PO68" s="67"/>
      <c r="PP68" s="67"/>
      <c r="PQ68" s="67"/>
      <c r="PR68" s="67"/>
      <c r="PS68" s="67"/>
      <c r="PT68" s="67"/>
      <c r="PU68" s="67"/>
      <c r="PV68" s="67"/>
      <c r="PW68" s="67"/>
      <c r="PX68" s="67"/>
      <c r="PY68" s="67"/>
      <c r="PZ68" s="67"/>
      <c r="QA68" s="67"/>
      <c r="QB68" s="67"/>
      <c r="QC68" s="67"/>
      <c r="QD68" s="67"/>
      <c r="QE68" s="67"/>
      <c r="QF68" s="67"/>
      <c r="QG68" s="67"/>
      <c r="QH68" s="67"/>
      <c r="QI68" s="67"/>
      <c r="QJ68" s="67"/>
      <c r="QK68" s="67"/>
      <c r="QL68" s="67"/>
      <c r="QM68" s="67"/>
      <c r="QN68" s="67"/>
      <c r="QO68" s="67"/>
      <c r="QP68" s="67"/>
      <c r="QQ68" s="67"/>
      <c r="QR68" s="67"/>
      <c r="QS68" s="67"/>
      <c r="QT68" s="67"/>
      <c r="QU68" s="67"/>
      <c r="QV68" s="67"/>
      <c r="QW68" s="67"/>
      <c r="QX68" s="67"/>
      <c r="QY68" s="67"/>
      <c r="QZ68" s="67"/>
      <c r="RA68" s="67"/>
      <c r="RB68" s="67"/>
      <c r="RC68" s="67"/>
      <c r="RD68" s="67"/>
      <c r="RE68" s="67"/>
      <c r="RF68" s="67"/>
      <c r="RG68" s="67"/>
      <c r="RH68" s="67"/>
      <c r="RI68" s="67"/>
      <c r="RJ68" s="67"/>
      <c r="RK68" s="67"/>
      <c r="RL68" s="67"/>
      <c r="RM68" s="67"/>
      <c r="RN68" s="67"/>
      <c r="RO68" s="67"/>
      <c r="RP68" s="67"/>
      <c r="RQ68" s="67"/>
      <c r="RR68" s="67"/>
      <c r="RS68" s="67"/>
      <c r="RT68" s="67"/>
      <c r="RU68" s="67"/>
      <c r="RV68" s="67"/>
      <c r="RW68" s="67"/>
      <c r="RX68" s="67"/>
      <c r="RY68" s="67"/>
      <c r="RZ68" s="67"/>
      <c r="SA68" s="67"/>
      <c r="SB68" s="67"/>
      <c r="SC68" s="67"/>
      <c r="SD68" s="67"/>
      <c r="SE68" s="67"/>
      <c r="SF68" s="67"/>
      <c r="SG68" s="67"/>
      <c r="SH68" s="67"/>
      <c r="SI68" s="67"/>
      <c r="SJ68" s="67"/>
      <c r="SK68" s="67"/>
      <c r="SL68" s="67"/>
      <c r="SM68" s="67"/>
      <c r="SN68" s="67"/>
      <c r="SO68" s="67"/>
      <c r="SP68" s="67"/>
      <c r="SQ68" s="67"/>
      <c r="SR68" s="67"/>
      <c r="SS68" s="67"/>
      <c r="ST68" s="67"/>
      <c r="SU68" s="67"/>
      <c r="SV68" s="67"/>
      <c r="SW68" s="67"/>
      <c r="SX68" s="67"/>
      <c r="SY68" s="67"/>
      <c r="SZ68" s="67"/>
      <c r="TA68" s="67"/>
      <c r="TB68" s="67"/>
      <c r="TC68" s="67"/>
      <c r="TD68" s="67"/>
      <c r="TE68" s="67"/>
      <c r="TF68" s="67"/>
      <c r="TG68" s="67"/>
      <c r="TH68" s="67"/>
      <c r="TI68" s="67"/>
      <c r="TJ68" s="67"/>
      <c r="TK68" s="67"/>
      <c r="TL68" s="67"/>
      <c r="TM68" s="67"/>
      <c r="TN68" s="67"/>
      <c r="TO68" s="67"/>
      <c r="TP68" s="67"/>
      <c r="TQ68" s="67"/>
      <c r="TR68" s="67"/>
      <c r="TS68" s="67"/>
      <c r="TT68" s="67"/>
      <c r="TU68" s="67"/>
      <c r="TV68" s="67"/>
      <c r="TW68" s="67"/>
      <c r="TX68" s="67"/>
      <c r="TY68" s="67"/>
      <c r="TZ68" s="67"/>
      <c r="UA68" s="67"/>
      <c r="UB68" s="67"/>
      <c r="UC68" s="67"/>
      <c r="UD68" s="67"/>
      <c r="UE68" s="67"/>
      <c r="UF68" s="67"/>
      <c r="UG68" s="67"/>
      <c r="UH68" s="67"/>
      <c r="UI68" s="67"/>
      <c r="UJ68" s="67"/>
      <c r="UK68" s="67"/>
      <c r="UL68" s="67"/>
      <c r="UM68" s="67"/>
      <c r="UN68" s="67"/>
      <c r="UO68" s="67"/>
      <c r="UP68" s="67"/>
      <c r="UQ68" s="67"/>
      <c r="UR68" s="67"/>
      <c r="US68" s="67"/>
      <c r="UT68" s="67"/>
      <c r="UU68" s="67"/>
      <c r="UV68" s="67"/>
      <c r="UW68" s="67"/>
      <c r="UX68" s="67"/>
      <c r="UY68" s="67"/>
      <c r="UZ68" s="67"/>
      <c r="VA68" s="67"/>
      <c r="VB68" s="67"/>
      <c r="VC68" s="67"/>
      <c r="VD68" s="67"/>
      <c r="VE68" s="67"/>
      <c r="VF68" s="67"/>
      <c r="VG68" s="67"/>
      <c r="VH68" s="67"/>
      <c r="VI68" s="67"/>
      <c r="VJ68" s="67"/>
      <c r="VK68" s="67"/>
      <c r="VL68" s="67"/>
      <c r="VM68" s="67"/>
      <c r="VN68" s="67"/>
      <c r="VO68" s="67"/>
      <c r="VP68" s="67"/>
      <c r="VQ68" s="67"/>
      <c r="VR68" s="67"/>
      <c r="VS68" s="67"/>
      <c r="VT68" s="67"/>
      <c r="VU68" s="67"/>
      <c r="VV68" s="67"/>
      <c r="VW68" s="67"/>
      <c r="VX68" s="67"/>
      <c r="VY68" s="67"/>
      <c r="WA68" s="68"/>
      <c r="WB68" s="68"/>
      <c r="WC68" s="68"/>
      <c r="WD68" s="68"/>
      <c r="WE68" s="68"/>
      <c r="WF68" s="68"/>
      <c r="WG68" s="68"/>
      <c r="WH68" s="68"/>
      <c r="WI68" s="84"/>
      <c r="WJ68" s="2"/>
      <c r="WK68" s="2"/>
    </row>
    <row r="69" spans="1:613" x14ac:dyDescent="0.25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  <c r="DX69" s="67"/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  <c r="LG69" s="67"/>
      <c r="LH69" s="67"/>
      <c r="LI69" s="67"/>
      <c r="LJ69" s="67"/>
      <c r="LK69" s="67"/>
      <c r="LL69" s="67"/>
      <c r="LM69" s="67"/>
      <c r="LN69" s="67"/>
      <c r="LO69" s="67"/>
      <c r="LP69" s="67"/>
      <c r="LQ69" s="67"/>
      <c r="LR69" s="67"/>
      <c r="LS69" s="67"/>
      <c r="LT69" s="67"/>
      <c r="LU69" s="67"/>
      <c r="LV69" s="67"/>
      <c r="LW69" s="67"/>
      <c r="LX69" s="67"/>
      <c r="LY69" s="67"/>
      <c r="LZ69" s="67"/>
      <c r="MA69" s="67"/>
      <c r="MB69" s="67"/>
      <c r="MC69" s="67"/>
      <c r="MD69" s="67"/>
      <c r="ME69" s="67"/>
      <c r="MF69" s="67"/>
      <c r="MG69" s="67"/>
      <c r="MH69" s="67"/>
      <c r="MI69" s="67"/>
      <c r="MJ69" s="67"/>
      <c r="MK69" s="67"/>
      <c r="ML69" s="67"/>
      <c r="MM69" s="67"/>
      <c r="MN69" s="67"/>
      <c r="MO69" s="67"/>
      <c r="MP69" s="67"/>
      <c r="MQ69" s="67"/>
      <c r="MR69" s="67"/>
      <c r="MS69" s="67"/>
      <c r="MT69" s="67"/>
      <c r="MU69" s="67"/>
      <c r="MV69" s="67"/>
      <c r="MW69" s="67"/>
      <c r="MX69" s="67"/>
      <c r="MY69" s="67"/>
      <c r="MZ69" s="67"/>
      <c r="NA69" s="67"/>
      <c r="NB69" s="67"/>
      <c r="NC69" s="67"/>
      <c r="ND69" s="67"/>
      <c r="NE69" s="67"/>
      <c r="NF69" s="67"/>
      <c r="NG69" s="67"/>
      <c r="NH69" s="67"/>
      <c r="NI69" s="67"/>
      <c r="NJ69" s="67"/>
      <c r="NK69" s="67"/>
      <c r="NL69" s="67"/>
      <c r="NM69" s="67"/>
      <c r="NN69" s="67"/>
      <c r="NO69" s="67"/>
      <c r="NP69" s="67"/>
      <c r="NQ69" s="67"/>
      <c r="NR69" s="67"/>
      <c r="NS69" s="67"/>
      <c r="NT69" s="67"/>
      <c r="NU69" s="67"/>
      <c r="NV69" s="67"/>
      <c r="NW69" s="67"/>
      <c r="NX69" s="67"/>
      <c r="NY69" s="67"/>
      <c r="NZ69" s="67"/>
      <c r="OA69" s="67"/>
      <c r="OB69" s="67"/>
      <c r="OC69" s="67"/>
      <c r="OD69" s="67"/>
      <c r="OE69" s="67"/>
      <c r="OF69" s="67"/>
      <c r="OG69" s="67"/>
      <c r="OH69" s="67"/>
      <c r="OI69" s="67"/>
      <c r="OJ69" s="67"/>
      <c r="OK69" s="67"/>
      <c r="OL69" s="67"/>
      <c r="OM69" s="67"/>
      <c r="ON69" s="67"/>
      <c r="OO69" s="67"/>
      <c r="OP69" s="67"/>
      <c r="OQ69" s="67"/>
      <c r="OR69" s="67"/>
      <c r="OS69" s="67"/>
      <c r="OT69" s="67"/>
      <c r="OU69" s="67"/>
      <c r="OV69" s="67"/>
      <c r="OW69" s="67"/>
      <c r="OX69" s="67"/>
      <c r="OY69" s="67"/>
      <c r="OZ69" s="67"/>
      <c r="PA69" s="67"/>
      <c r="PB69" s="67"/>
      <c r="PC69" s="67"/>
      <c r="PD69" s="67"/>
      <c r="PE69" s="67"/>
      <c r="PF69" s="67"/>
      <c r="PG69" s="67"/>
      <c r="PH69" s="67"/>
      <c r="PI69" s="67"/>
      <c r="PJ69" s="67"/>
      <c r="PK69" s="67"/>
      <c r="PL69" s="67"/>
      <c r="PM69" s="67"/>
      <c r="PN69" s="67"/>
      <c r="PO69" s="67"/>
      <c r="PP69" s="67"/>
      <c r="PQ69" s="67"/>
      <c r="PR69" s="67"/>
      <c r="PS69" s="67"/>
      <c r="PT69" s="67"/>
      <c r="PU69" s="67"/>
      <c r="PV69" s="67"/>
      <c r="PW69" s="67"/>
      <c r="PX69" s="67"/>
      <c r="PY69" s="67"/>
      <c r="PZ69" s="67"/>
      <c r="QA69" s="67"/>
      <c r="QB69" s="67"/>
      <c r="QC69" s="67"/>
      <c r="QD69" s="67"/>
      <c r="QE69" s="67"/>
      <c r="QF69" s="67"/>
      <c r="QG69" s="67"/>
      <c r="QH69" s="67"/>
      <c r="QI69" s="67"/>
      <c r="QJ69" s="67"/>
      <c r="QK69" s="67"/>
      <c r="QL69" s="67"/>
      <c r="QM69" s="67"/>
      <c r="QN69" s="67"/>
      <c r="QO69" s="67"/>
      <c r="QP69" s="67"/>
      <c r="QQ69" s="67"/>
      <c r="QR69" s="67"/>
      <c r="QS69" s="67"/>
      <c r="QT69" s="67"/>
      <c r="QU69" s="67"/>
      <c r="QV69" s="67"/>
      <c r="QW69" s="67"/>
      <c r="QX69" s="67"/>
      <c r="QY69" s="67"/>
      <c r="QZ69" s="67"/>
      <c r="RA69" s="67"/>
      <c r="RB69" s="67"/>
      <c r="RC69" s="67"/>
      <c r="RD69" s="67"/>
      <c r="RE69" s="67"/>
      <c r="RF69" s="67"/>
      <c r="RG69" s="67"/>
      <c r="RH69" s="67"/>
      <c r="RI69" s="67"/>
      <c r="RJ69" s="67"/>
      <c r="RK69" s="67"/>
      <c r="RL69" s="67"/>
      <c r="RM69" s="67"/>
      <c r="RN69" s="67"/>
      <c r="RO69" s="67"/>
      <c r="RP69" s="67"/>
      <c r="RQ69" s="67"/>
      <c r="RR69" s="67"/>
      <c r="RS69" s="67"/>
      <c r="RT69" s="67"/>
      <c r="RU69" s="67"/>
      <c r="RV69" s="67"/>
      <c r="RW69" s="67"/>
      <c r="RX69" s="67"/>
      <c r="RY69" s="67"/>
      <c r="RZ69" s="67"/>
      <c r="SA69" s="67"/>
      <c r="SB69" s="67"/>
      <c r="SC69" s="67"/>
      <c r="SD69" s="67"/>
      <c r="SE69" s="67"/>
      <c r="SF69" s="67"/>
      <c r="SG69" s="67"/>
      <c r="SH69" s="67"/>
      <c r="SI69" s="67"/>
      <c r="SJ69" s="67"/>
      <c r="SK69" s="67"/>
      <c r="SL69" s="67"/>
      <c r="SM69" s="67"/>
      <c r="SN69" s="67"/>
      <c r="SO69" s="67"/>
      <c r="SP69" s="67"/>
      <c r="SQ69" s="67"/>
      <c r="SR69" s="67"/>
      <c r="SS69" s="67"/>
      <c r="ST69" s="67"/>
      <c r="SU69" s="67"/>
      <c r="SV69" s="67"/>
      <c r="SW69" s="67"/>
      <c r="SX69" s="67"/>
      <c r="SY69" s="67"/>
      <c r="SZ69" s="67"/>
      <c r="TA69" s="67"/>
      <c r="TB69" s="67"/>
      <c r="TC69" s="67"/>
      <c r="TD69" s="67"/>
      <c r="TE69" s="67"/>
      <c r="TF69" s="67"/>
      <c r="TG69" s="67"/>
      <c r="TH69" s="67"/>
      <c r="TI69" s="67"/>
      <c r="TJ69" s="67"/>
      <c r="TK69" s="67"/>
      <c r="TL69" s="67"/>
      <c r="TM69" s="67"/>
      <c r="TN69" s="67"/>
      <c r="TO69" s="67"/>
      <c r="TP69" s="67"/>
      <c r="TQ69" s="67"/>
      <c r="TR69" s="67"/>
      <c r="TS69" s="67"/>
      <c r="TT69" s="67"/>
      <c r="TU69" s="67"/>
      <c r="TV69" s="67"/>
      <c r="TW69" s="67"/>
      <c r="TX69" s="67"/>
      <c r="TY69" s="67"/>
      <c r="TZ69" s="67"/>
      <c r="UA69" s="67"/>
      <c r="UB69" s="67"/>
      <c r="UC69" s="67"/>
      <c r="UD69" s="67"/>
      <c r="UE69" s="67"/>
      <c r="UF69" s="67"/>
      <c r="UG69" s="67"/>
      <c r="UH69" s="67"/>
      <c r="UI69" s="67"/>
      <c r="UJ69" s="67"/>
      <c r="UK69" s="67"/>
      <c r="UL69" s="67"/>
      <c r="UM69" s="67"/>
      <c r="UN69" s="67"/>
      <c r="UO69" s="67"/>
      <c r="UP69" s="67"/>
      <c r="UQ69" s="67"/>
      <c r="UR69" s="67"/>
      <c r="US69" s="67"/>
      <c r="UT69" s="67"/>
      <c r="UU69" s="67"/>
      <c r="UV69" s="67"/>
      <c r="UW69" s="67"/>
      <c r="UX69" s="67"/>
      <c r="UY69" s="67"/>
      <c r="UZ69" s="67"/>
      <c r="VA69" s="67"/>
      <c r="VB69" s="67"/>
      <c r="VC69" s="67"/>
      <c r="VD69" s="67"/>
      <c r="VE69" s="67"/>
      <c r="VF69" s="67"/>
      <c r="VG69" s="67"/>
      <c r="VH69" s="67"/>
      <c r="VI69" s="67"/>
      <c r="VJ69" s="67"/>
      <c r="VK69" s="67"/>
      <c r="VL69" s="67"/>
      <c r="VM69" s="67"/>
      <c r="VN69" s="67"/>
      <c r="VO69" s="67"/>
      <c r="VP69" s="67"/>
      <c r="VQ69" s="67"/>
      <c r="VR69" s="67"/>
      <c r="VS69" s="67"/>
      <c r="VT69" s="67"/>
      <c r="VU69" s="67"/>
      <c r="VV69" s="67"/>
      <c r="VW69" s="67"/>
      <c r="VX69" s="67"/>
      <c r="VY69" s="67"/>
      <c r="WA69" s="68"/>
      <c r="WB69" s="68"/>
      <c r="WC69" s="68"/>
      <c r="WD69" s="68"/>
      <c r="WE69" s="68"/>
      <c r="WF69" s="68"/>
      <c r="WG69" s="68"/>
      <c r="WH69" s="68"/>
      <c r="WI69" s="84"/>
      <c r="WN69" s="2" t="s">
        <v>4945</v>
      </c>
      <c r="WO69" s="12">
        <f>SUM(WI2:WI72)</f>
        <v>83</v>
      </c>
    </row>
    <row r="70" spans="1:613" x14ac:dyDescent="0.25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  <c r="CT70" s="67"/>
      <c r="CU70" s="67"/>
      <c r="CV70" s="67"/>
      <c r="CW70" s="67"/>
      <c r="CX70" s="67"/>
      <c r="CY70" s="67"/>
      <c r="CZ70" s="67"/>
      <c r="DA70" s="67"/>
      <c r="DB70" s="67"/>
      <c r="DC70" s="67"/>
      <c r="DD70" s="67"/>
      <c r="DE70" s="67"/>
      <c r="DF70" s="67"/>
      <c r="DG70" s="67"/>
      <c r="DH70" s="67"/>
      <c r="DI70" s="67"/>
      <c r="DJ70" s="67"/>
      <c r="DK70" s="67"/>
      <c r="DL70" s="67"/>
      <c r="DM70" s="67"/>
      <c r="DN70" s="67"/>
      <c r="DO70" s="67"/>
      <c r="DP70" s="67"/>
      <c r="DQ70" s="67"/>
      <c r="DR70" s="67"/>
      <c r="DS70" s="67"/>
      <c r="DT70" s="67"/>
      <c r="DU70" s="67"/>
      <c r="DV70" s="67"/>
      <c r="DW70" s="67"/>
      <c r="DX70" s="67"/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  <c r="LG70" s="67"/>
      <c r="LH70" s="67"/>
      <c r="LI70" s="67"/>
      <c r="LJ70" s="67"/>
      <c r="LK70" s="67"/>
      <c r="LL70" s="67"/>
      <c r="LM70" s="67"/>
      <c r="LN70" s="67"/>
      <c r="LO70" s="67"/>
      <c r="LP70" s="67"/>
      <c r="LQ70" s="67"/>
      <c r="LR70" s="67"/>
      <c r="LS70" s="67"/>
      <c r="LT70" s="67"/>
      <c r="LU70" s="67"/>
      <c r="LV70" s="67"/>
      <c r="LW70" s="67"/>
      <c r="LX70" s="67"/>
      <c r="LY70" s="67"/>
      <c r="LZ70" s="67"/>
      <c r="MA70" s="67"/>
      <c r="MB70" s="67"/>
      <c r="MC70" s="67"/>
      <c r="MD70" s="67"/>
      <c r="ME70" s="67"/>
      <c r="MF70" s="67"/>
      <c r="MG70" s="67"/>
      <c r="MH70" s="67"/>
      <c r="MI70" s="67"/>
      <c r="MJ70" s="67"/>
      <c r="MK70" s="67"/>
      <c r="ML70" s="67"/>
      <c r="MM70" s="67"/>
      <c r="MN70" s="67"/>
      <c r="MO70" s="67"/>
      <c r="MP70" s="67"/>
      <c r="MQ70" s="67"/>
      <c r="MR70" s="67"/>
      <c r="MS70" s="67"/>
      <c r="MT70" s="67"/>
      <c r="MU70" s="67"/>
      <c r="MV70" s="67"/>
      <c r="MW70" s="67"/>
      <c r="MX70" s="67"/>
      <c r="MY70" s="67"/>
      <c r="MZ70" s="67"/>
      <c r="NA70" s="67"/>
      <c r="NB70" s="67"/>
      <c r="NC70" s="67"/>
      <c r="ND70" s="67"/>
      <c r="NE70" s="67"/>
      <c r="NF70" s="67"/>
      <c r="NG70" s="67"/>
      <c r="NH70" s="67"/>
      <c r="NI70" s="67"/>
      <c r="NJ70" s="67"/>
      <c r="NK70" s="67"/>
      <c r="NL70" s="67"/>
      <c r="NM70" s="67"/>
      <c r="NN70" s="67"/>
      <c r="NO70" s="67"/>
      <c r="NP70" s="67"/>
      <c r="NQ70" s="67"/>
      <c r="NR70" s="67"/>
      <c r="NS70" s="67"/>
      <c r="NT70" s="67"/>
      <c r="NU70" s="67"/>
      <c r="NV70" s="67"/>
      <c r="NW70" s="67"/>
      <c r="NX70" s="67"/>
      <c r="NY70" s="67"/>
      <c r="NZ70" s="67"/>
      <c r="OA70" s="67"/>
      <c r="OB70" s="67"/>
      <c r="OC70" s="67"/>
      <c r="OD70" s="67"/>
      <c r="OE70" s="67"/>
      <c r="OF70" s="67"/>
      <c r="OG70" s="67"/>
      <c r="OH70" s="67"/>
      <c r="OI70" s="67"/>
      <c r="OJ70" s="67"/>
      <c r="OK70" s="67"/>
      <c r="OL70" s="67"/>
      <c r="OM70" s="67"/>
      <c r="ON70" s="67"/>
      <c r="OO70" s="67"/>
      <c r="OP70" s="67"/>
      <c r="OQ70" s="67"/>
      <c r="OR70" s="67"/>
      <c r="OS70" s="67"/>
      <c r="OT70" s="67"/>
      <c r="OU70" s="67"/>
      <c r="OV70" s="67"/>
      <c r="OW70" s="67"/>
      <c r="OX70" s="67"/>
      <c r="OY70" s="67"/>
      <c r="OZ70" s="67"/>
      <c r="PA70" s="67"/>
      <c r="PB70" s="67"/>
      <c r="PC70" s="67"/>
      <c r="PD70" s="67"/>
      <c r="PE70" s="67"/>
      <c r="PF70" s="67"/>
      <c r="PG70" s="67"/>
      <c r="PH70" s="67"/>
      <c r="PI70" s="67"/>
      <c r="PJ70" s="67"/>
      <c r="PK70" s="67"/>
      <c r="PL70" s="67"/>
      <c r="PM70" s="67"/>
      <c r="PN70" s="67"/>
      <c r="PO70" s="67"/>
      <c r="PP70" s="67"/>
      <c r="PQ70" s="67"/>
      <c r="PR70" s="67"/>
      <c r="PS70" s="67"/>
      <c r="PT70" s="67"/>
      <c r="PU70" s="67"/>
      <c r="PV70" s="67"/>
      <c r="PW70" s="67"/>
      <c r="PX70" s="67"/>
      <c r="PY70" s="67"/>
      <c r="PZ70" s="67"/>
      <c r="QA70" s="67"/>
      <c r="QB70" s="67"/>
      <c r="QC70" s="67"/>
      <c r="QD70" s="67"/>
      <c r="QE70" s="67"/>
      <c r="QF70" s="67"/>
      <c r="QG70" s="67"/>
      <c r="QH70" s="67"/>
      <c r="QI70" s="67"/>
      <c r="QJ70" s="67"/>
      <c r="QK70" s="67"/>
      <c r="QL70" s="67"/>
      <c r="QM70" s="67"/>
      <c r="QN70" s="67"/>
      <c r="QO70" s="67"/>
      <c r="QP70" s="67"/>
      <c r="QQ70" s="67"/>
      <c r="QR70" s="67"/>
      <c r="QS70" s="67"/>
      <c r="QT70" s="67"/>
      <c r="QU70" s="67"/>
      <c r="QV70" s="67"/>
      <c r="QW70" s="67"/>
      <c r="QX70" s="67"/>
      <c r="QY70" s="67"/>
      <c r="QZ70" s="67"/>
      <c r="RA70" s="67"/>
      <c r="RB70" s="67"/>
      <c r="RC70" s="67"/>
      <c r="RD70" s="67"/>
      <c r="RE70" s="67"/>
      <c r="RF70" s="67"/>
      <c r="RG70" s="67"/>
      <c r="RH70" s="67"/>
      <c r="RI70" s="67"/>
      <c r="RJ70" s="67"/>
      <c r="RK70" s="67"/>
      <c r="RL70" s="67"/>
      <c r="RM70" s="67"/>
      <c r="RN70" s="67"/>
      <c r="RO70" s="67"/>
      <c r="RP70" s="67"/>
      <c r="RQ70" s="67"/>
      <c r="RR70" s="67"/>
      <c r="RS70" s="67"/>
      <c r="RT70" s="67"/>
      <c r="RU70" s="67"/>
      <c r="RV70" s="67"/>
      <c r="RW70" s="67"/>
      <c r="RX70" s="67"/>
      <c r="RY70" s="67"/>
      <c r="RZ70" s="67"/>
      <c r="SA70" s="67"/>
      <c r="SB70" s="67"/>
      <c r="SC70" s="67"/>
      <c r="SD70" s="67"/>
      <c r="SE70" s="67"/>
      <c r="SF70" s="67"/>
      <c r="SG70" s="67"/>
      <c r="SH70" s="67"/>
      <c r="SI70" s="67"/>
      <c r="SJ70" s="67"/>
      <c r="SK70" s="67"/>
      <c r="SL70" s="67"/>
      <c r="SM70" s="67"/>
      <c r="SN70" s="67"/>
      <c r="SO70" s="67"/>
      <c r="SP70" s="67"/>
      <c r="SQ70" s="67"/>
      <c r="SR70" s="67"/>
      <c r="SS70" s="67"/>
      <c r="ST70" s="67"/>
      <c r="SU70" s="67"/>
      <c r="SV70" s="67"/>
      <c r="SW70" s="67"/>
      <c r="SX70" s="67"/>
      <c r="SY70" s="67"/>
      <c r="SZ70" s="67"/>
      <c r="TA70" s="67"/>
      <c r="TB70" s="67"/>
      <c r="TC70" s="67"/>
      <c r="TD70" s="67"/>
      <c r="TE70" s="67"/>
      <c r="TF70" s="67"/>
      <c r="TG70" s="67"/>
      <c r="TH70" s="67"/>
      <c r="TI70" s="67"/>
      <c r="TJ70" s="67"/>
      <c r="TK70" s="67"/>
      <c r="TL70" s="67"/>
      <c r="TM70" s="67"/>
      <c r="TN70" s="67"/>
      <c r="TO70" s="67"/>
      <c r="TP70" s="67"/>
      <c r="TQ70" s="67"/>
      <c r="TR70" s="67"/>
      <c r="TS70" s="67"/>
      <c r="TT70" s="67"/>
      <c r="TU70" s="67"/>
      <c r="TV70" s="67"/>
      <c r="TW70" s="67"/>
      <c r="TX70" s="67"/>
      <c r="TY70" s="67"/>
      <c r="TZ70" s="67"/>
      <c r="UA70" s="67"/>
      <c r="UB70" s="67"/>
      <c r="UC70" s="67"/>
      <c r="UD70" s="67"/>
      <c r="UE70" s="67"/>
      <c r="UF70" s="67"/>
      <c r="UG70" s="67"/>
      <c r="UH70" s="67"/>
      <c r="UI70" s="67"/>
      <c r="UJ70" s="67"/>
      <c r="UK70" s="67"/>
      <c r="UL70" s="67"/>
      <c r="UM70" s="67"/>
      <c r="UN70" s="67"/>
      <c r="UO70" s="67"/>
      <c r="UP70" s="67"/>
      <c r="UQ70" s="67"/>
      <c r="UR70" s="67"/>
      <c r="US70" s="67"/>
      <c r="UT70" s="67"/>
      <c r="UU70" s="67"/>
      <c r="UV70" s="67"/>
      <c r="UW70" s="67"/>
      <c r="UX70" s="67"/>
      <c r="UY70" s="67"/>
      <c r="UZ70" s="67"/>
      <c r="VA70" s="67"/>
      <c r="VB70" s="67"/>
      <c r="VC70" s="67"/>
      <c r="VD70" s="67"/>
      <c r="VE70" s="67"/>
      <c r="VF70" s="67"/>
      <c r="VG70" s="67"/>
      <c r="VH70" s="67"/>
      <c r="VI70" s="67"/>
      <c r="VJ70" s="67"/>
      <c r="VK70" s="67"/>
      <c r="VL70" s="67"/>
      <c r="VM70" s="67"/>
      <c r="VN70" s="67"/>
      <c r="VO70" s="67"/>
      <c r="VP70" s="67"/>
      <c r="VQ70" s="67"/>
      <c r="VR70" s="67"/>
      <c r="VS70" s="67"/>
      <c r="VT70" s="67"/>
      <c r="VU70" s="67"/>
      <c r="VV70" s="67"/>
      <c r="VW70" s="67"/>
      <c r="VX70" s="67"/>
      <c r="VY70" s="67"/>
      <c r="WA70" s="68"/>
      <c r="WB70" s="68"/>
      <c r="WC70" s="68"/>
      <c r="WD70" s="68"/>
      <c r="WE70" s="68"/>
      <c r="WF70" s="68"/>
      <c r="WG70" s="68"/>
      <c r="WH70" s="68"/>
      <c r="WI70" s="84"/>
      <c r="WN70" s="2" t="s">
        <v>5395</v>
      </c>
      <c r="WO70" s="14">
        <f>WO69/VU84</f>
        <v>2.8620689655172415</v>
      </c>
    </row>
    <row r="71" spans="1:613" x14ac:dyDescent="0.25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CZ71" s="67"/>
      <c r="DA71" s="67"/>
      <c r="DB71" s="67"/>
      <c r="DC71" s="67"/>
      <c r="DD71" s="67"/>
      <c r="DE71" s="67"/>
      <c r="DF71" s="67"/>
      <c r="DG71" s="67"/>
      <c r="DH71" s="67"/>
      <c r="DI71" s="67"/>
      <c r="DJ71" s="67"/>
      <c r="DK71" s="67"/>
      <c r="DL71" s="67"/>
      <c r="DM71" s="67"/>
      <c r="DN71" s="67"/>
      <c r="DO71" s="67"/>
      <c r="DP71" s="67"/>
      <c r="DQ71" s="67"/>
      <c r="DR71" s="67"/>
      <c r="DS71" s="67"/>
      <c r="DT71" s="67"/>
      <c r="DU71" s="67"/>
      <c r="DV71" s="67"/>
      <c r="DW71" s="67"/>
      <c r="DX71" s="67"/>
      <c r="DY71" s="67"/>
      <c r="DZ71" s="67"/>
      <c r="EA71" s="67"/>
      <c r="EB71" s="67"/>
      <c r="EC71" s="67"/>
      <c r="ED71" s="67"/>
      <c r="EE71" s="67"/>
      <c r="EF71" s="67"/>
      <c r="EG71" s="67"/>
      <c r="EH71" s="67"/>
      <c r="EI71" s="67"/>
      <c r="EJ71" s="67"/>
      <c r="EK71" s="67"/>
      <c r="EL71" s="67"/>
      <c r="EM71" s="67"/>
      <c r="EN71" s="67"/>
      <c r="EO71" s="67"/>
      <c r="EP71" s="67"/>
      <c r="EQ71" s="67"/>
      <c r="ER71" s="67"/>
      <c r="ES71" s="67"/>
      <c r="ET71" s="67"/>
      <c r="EU71" s="67"/>
      <c r="EV71" s="67"/>
      <c r="EW71" s="67"/>
      <c r="EX71" s="67"/>
      <c r="EY71" s="67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67"/>
      <c r="FU71" s="67"/>
      <c r="FV71" s="67"/>
      <c r="FW71" s="67"/>
      <c r="FX71" s="67"/>
      <c r="FY71" s="67"/>
      <c r="FZ71" s="67"/>
      <c r="GA71" s="67"/>
      <c r="GB71" s="67"/>
      <c r="GC71" s="67"/>
      <c r="GD71" s="67"/>
      <c r="GE71" s="67"/>
      <c r="GF71" s="67"/>
      <c r="GG71" s="67"/>
      <c r="GH71" s="67"/>
      <c r="GI71" s="67"/>
      <c r="GJ71" s="67"/>
      <c r="GK71" s="67"/>
      <c r="GL71" s="67"/>
      <c r="GM71" s="67"/>
      <c r="GN71" s="67"/>
      <c r="GO71" s="67"/>
      <c r="GP71" s="67"/>
      <c r="GQ71" s="67"/>
      <c r="GR71" s="67"/>
      <c r="GS71" s="67"/>
      <c r="GT71" s="67"/>
      <c r="GU71" s="67"/>
      <c r="GV71" s="67"/>
      <c r="GW71" s="67"/>
      <c r="GX71" s="67"/>
      <c r="GY71" s="67"/>
      <c r="GZ71" s="67"/>
      <c r="HA71" s="67"/>
      <c r="HB71" s="67"/>
      <c r="HC71" s="67"/>
      <c r="HD71" s="67"/>
      <c r="HE71" s="67"/>
      <c r="HF71" s="67"/>
      <c r="HG71" s="67"/>
      <c r="HH71" s="67"/>
      <c r="HI71" s="67"/>
      <c r="HJ71" s="67"/>
      <c r="HK71" s="67"/>
      <c r="HL71" s="67"/>
      <c r="HM71" s="67"/>
      <c r="HN71" s="67"/>
      <c r="HO71" s="67"/>
      <c r="HP71" s="67"/>
      <c r="HQ71" s="67"/>
      <c r="HR71" s="67"/>
      <c r="HS71" s="67"/>
      <c r="HT71" s="67"/>
      <c r="HU71" s="67"/>
      <c r="HV71" s="67"/>
      <c r="HW71" s="67"/>
      <c r="HX71" s="67"/>
      <c r="HY71" s="67"/>
      <c r="HZ71" s="67"/>
      <c r="IA71" s="67"/>
      <c r="IB71" s="67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  <c r="LG71" s="67"/>
      <c r="LH71" s="67"/>
      <c r="LI71" s="67"/>
      <c r="LJ71" s="67"/>
      <c r="LK71" s="67"/>
      <c r="LL71" s="67"/>
      <c r="LM71" s="67"/>
      <c r="LN71" s="67"/>
      <c r="LO71" s="67"/>
      <c r="LP71" s="67"/>
      <c r="LQ71" s="67"/>
      <c r="LR71" s="67"/>
      <c r="LS71" s="67"/>
      <c r="LT71" s="67"/>
      <c r="LU71" s="67"/>
      <c r="LV71" s="67"/>
      <c r="LW71" s="67"/>
      <c r="LX71" s="67"/>
      <c r="LY71" s="67"/>
      <c r="LZ71" s="67"/>
      <c r="MA71" s="67"/>
      <c r="MB71" s="67"/>
      <c r="MC71" s="67"/>
      <c r="MD71" s="67"/>
      <c r="ME71" s="67"/>
      <c r="MF71" s="67"/>
      <c r="MG71" s="67"/>
      <c r="MH71" s="67"/>
      <c r="MI71" s="67"/>
      <c r="MJ71" s="67"/>
      <c r="MK71" s="67"/>
      <c r="ML71" s="67"/>
      <c r="MM71" s="67"/>
      <c r="MN71" s="67"/>
      <c r="MO71" s="67"/>
      <c r="MP71" s="67"/>
      <c r="MQ71" s="67"/>
      <c r="MR71" s="67"/>
      <c r="MS71" s="67"/>
      <c r="MT71" s="67"/>
      <c r="MU71" s="67"/>
      <c r="MV71" s="67"/>
      <c r="MW71" s="67"/>
      <c r="MX71" s="67"/>
      <c r="MY71" s="67"/>
      <c r="MZ71" s="67"/>
      <c r="NA71" s="67"/>
      <c r="NB71" s="67"/>
      <c r="NC71" s="67"/>
      <c r="ND71" s="67"/>
      <c r="NE71" s="67"/>
      <c r="NF71" s="67"/>
      <c r="NG71" s="67"/>
      <c r="NH71" s="67"/>
      <c r="NI71" s="67"/>
      <c r="NJ71" s="67"/>
      <c r="NK71" s="67"/>
      <c r="NL71" s="67"/>
      <c r="NM71" s="67"/>
      <c r="NN71" s="67"/>
      <c r="NO71" s="67"/>
      <c r="NP71" s="67"/>
      <c r="NQ71" s="67"/>
      <c r="NR71" s="67"/>
      <c r="NS71" s="67"/>
      <c r="NT71" s="67"/>
      <c r="NU71" s="67"/>
      <c r="NV71" s="67"/>
      <c r="NW71" s="67"/>
      <c r="NX71" s="67"/>
      <c r="NY71" s="67"/>
      <c r="NZ71" s="67"/>
      <c r="OA71" s="67"/>
      <c r="OB71" s="67"/>
      <c r="OC71" s="67"/>
      <c r="OD71" s="67"/>
      <c r="OE71" s="67"/>
      <c r="OF71" s="67"/>
      <c r="OG71" s="67"/>
      <c r="OH71" s="67"/>
      <c r="OI71" s="67"/>
      <c r="OJ71" s="67"/>
      <c r="OK71" s="67"/>
      <c r="OL71" s="67"/>
      <c r="OM71" s="67"/>
      <c r="ON71" s="67"/>
      <c r="OO71" s="67"/>
      <c r="OP71" s="67"/>
      <c r="OQ71" s="67"/>
      <c r="OR71" s="67"/>
      <c r="OS71" s="67"/>
      <c r="OT71" s="67"/>
      <c r="OU71" s="67"/>
      <c r="OV71" s="67"/>
      <c r="OW71" s="67"/>
      <c r="OX71" s="67"/>
      <c r="OY71" s="67"/>
      <c r="OZ71" s="67"/>
      <c r="PA71" s="67"/>
      <c r="PB71" s="67"/>
      <c r="PC71" s="67"/>
      <c r="PD71" s="67"/>
      <c r="PE71" s="67"/>
      <c r="PF71" s="67"/>
      <c r="PG71" s="67"/>
      <c r="PH71" s="67"/>
      <c r="PI71" s="67"/>
      <c r="PJ71" s="67"/>
      <c r="PK71" s="67"/>
      <c r="PL71" s="67"/>
      <c r="PM71" s="67"/>
      <c r="PN71" s="67"/>
      <c r="PO71" s="67"/>
      <c r="PP71" s="67"/>
      <c r="PQ71" s="67"/>
      <c r="PR71" s="67"/>
      <c r="PS71" s="67"/>
      <c r="PT71" s="67"/>
      <c r="PU71" s="67"/>
      <c r="PV71" s="67"/>
      <c r="PW71" s="67"/>
      <c r="PX71" s="67"/>
      <c r="PY71" s="67"/>
      <c r="PZ71" s="67"/>
      <c r="QA71" s="67"/>
      <c r="QB71" s="67"/>
      <c r="QC71" s="67"/>
      <c r="QD71" s="67"/>
      <c r="QE71" s="67"/>
      <c r="QF71" s="67"/>
      <c r="QG71" s="67"/>
      <c r="QH71" s="67"/>
      <c r="QI71" s="67"/>
      <c r="QJ71" s="67"/>
      <c r="QK71" s="67"/>
      <c r="QL71" s="67"/>
      <c r="QM71" s="67"/>
      <c r="QN71" s="67"/>
      <c r="QO71" s="67"/>
      <c r="QP71" s="67"/>
      <c r="QQ71" s="67"/>
      <c r="QR71" s="67"/>
      <c r="QS71" s="67"/>
      <c r="QT71" s="67"/>
      <c r="QU71" s="67"/>
      <c r="QV71" s="67"/>
      <c r="QW71" s="67"/>
      <c r="QX71" s="67"/>
      <c r="QY71" s="67"/>
      <c r="QZ71" s="67"/>
      <c r="RA71" s="67"/>
      <c r="RB71" s="67"/>
      <c r="RC71" s="67"/>
      <c r="RD71" s="67"/>
      <c r="RE71" s="67"/>
      <c r="RF71" s="67"/>
      <c r="RG71" s="67"/>
      <c r="RH71" s="67"/>
      <c r="RI71" s="67"/>
      <c r="RJ71" s="67"/>
      <c r="RK71" s="67"/>
      <c r="RL71" s="67"/>
      <c r="RM71" s="67"/>
      <c r="RN71" s="67"/>
      <c r="RO71" s="67"/>
      <c r="RP71" s="67"/>
      <c r="RQ71" s="67"/>
      <c r="RR71" s="67"/>
      <c r="RS71" s="67"/>
      <c r="RT71" s="67"/>
      <c r="RU71" s="67"/>
      <c r="RV71" s="67"/>
      <c r="RW71" s="67"/>
      <c r="RX71" s="67"/>
      <c r="RY71" s="67"/>
      <c r="RZ71" s="67"/>
      <c r="SA71" s="67"/>
      <c r="SB71" s="67"/>
      <c r="SC71" s="67"/>
      <c r="SD71" s="67"/>
      <c r="SE71" s="67"/>
      <c r="SF71" s="67"/>
      <c r="SG71" s="67"/>
      <c r="SH71" s="67"/>
      <c r="SI71" s="67"/>
      <c r="SJ71" s="67"/>
      <c r="SK71" s="67"/>
      <c r="SL71" s="67"/>
      <c r="SM71" s="67"/>
      <c r="SN71" s="67"/>
      <c r="SO71" s="67"/>
      <c r="SP71" s="67"/>
      <c r="SQ71" s="67"/>
      <c r="SR71" s="67"/>
      <c r="SS71" s="67"/>
      <c r="ST71" s="67"/>
      <c r="SU71" s="67"/>
      <c r="SV71" s="67"/>
      <c r="SW71" s="67"/>
      <c r="SX71" s="67"/>
      <c r="SY71" s="67"/>
      <c r="SZ71" s="67"/>
      <c r="TA71" s="67"/>
      <c r="TB71" s="67"/>
      <c r="TC71" s="67"/>
      <c r="TD71" s="67"/>
      <c r="TE71" s="67"/>
      <c r="TF71" s="67"/>
      <c r="TG71" s="67"/>
      <c r="TH71" s="67"/>
      <c r="TI71" s="67"/>
      <c r="TJ71" s="67"/>
      <c r="TK71" s="67"/>
      <c r="TL71" s="67"/>
      <c r="TM71" s="67"/>
      <c r="TN71" s="67"/>
      <c r="TO71" s="67"/>
      <c r="TP71" s="67"/>
      <c r="TQ71" s="67"/>
      <c r="TR71" s="67"/>
      <c r="TS71" s="67"/>
      <c r="TT71" s="67"/>
      <c r="TU71" s="67"/>
      <c r="TV71" s="67"/>
      <c r="TW71" s="67"/>
      <c r="TX71" s="67"/>
      <c r="TY71" s="67"/>
      <c r="TZ71" s="67"/>
      <c r="UA71" s="67"/>
      <c r="UB71" s="67"/>
      <c r="UC71" s="67"/>
      <c r="UD71" s="67"/>
      <c r="UE71" s="67"/>
      <c r="UF71" s="67"/>
      <c r="UG71" s="67"/>
      <c r="UH71" s="67"/>
      <c r="UI71" s="67"/>
      <c r="UJ71" s="67"/>
      <c r="UK71" s="67"/>
      <c r="UL71" s="67"/>
      <c r="UM71" s="67"/>
      <c r="UN71" s="67"/>
      <c r="UO71" s="67"/>
      <c r="UP71" s="67"/>
      <c r="UQ71" s="67"/>
      <c r="UR71" s="67"/>
      <c r="US71" s="67"/>
      <c r="UT71" s="67"/>
      <c r="UU71" s="67"/>
      <c r="UV71" s="67"/>
      <c r="UW71" s="67"/>
      <c r="UX71" s="67"/>
      <c r="UY71" s="67"/>
      <c r="UZ71" s="67"/>
      <c r="VA71" s="67"/>
      <c r="VB71" s="67"/>
      <c r="VC71" s="67"/>
      <c r="VD71" s="67"/>
      <c r="VE71" s="67"/>
      <c r="VF71" s="67"/>
      <c r="VG71" s="67"/>
      <c r="VH71" s="67"/>
      <c r="VI71" s="67"/>
      <c r="VJ71" s="67"/>
      <c r="VK71" s="67"/>
      <c r="VL71" s="67"/>
      <c r="VM71" s="67"/>
      <c r="VN71" s="67"/>
      <c r="VO71" s="67"/>
      <c r="VP71" s="67"/>
      <c r="VQ71" s="67"/>
      <c r="VR71" s="67"/>
      <c r="VS71" s="67"/>
      <c r="VT71" s="67"/>
      <c r="VU71" s="67"/>
      <c r="VV71" s="67"/>
      <c r="VW71" s="67"/>
      <c r="VX71" s="67"/>
      <c r="VY71" s="67"/>
      <c r="WA71" s="68"/>
      <c r="WB71" s="68"/>
      <c r="WC71" s="68"/>
      <c r="WD71" s="68"/>
      <c r="WE71" s="68"/>
      <c r="WF71" s="68"/>
      <c r="WG71" s="68"/>
      <c r="WH71" s="68"/>
      <c r="WI71" s="84"/>
      <c r="WN71" s="2" t="s">
        <v>5401</v>
      </c>
      <c r="WO71" s="12">
        <f>MAX(WI2:WI72)</f>
        <v>5</v>
      </c>
    </row>
    <row r="72" spans="1:613" x14ac:dyDescent="0.25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  <c r="FT72" s="67"/>
      <c r="FU72" s="67"/>
      <c r="FV72" s="67"/>
      <c r="FW72" s="67"/>
      <c r="FX72" s="67"/>
      <c r="FY72" s="67"/>
      <c r="FZ72" s="67"/>
      <c r="GA72" s="67"/>
      <c r="GB72" s="67"/>
      <c r="GC72" s="67"/>
      <c r="GD72" s="67"/>
      <c r="GE72" s="67"/>
      <c r="GF72" s="67"/>
      <c r="GG72" s="67"/>
      <c r="GH72" s="67"/>
      <c r="GI72" s="67"/>
      <c r="GJ72" s="67"/>
      <c r="GK72" s="67"/>
      <c r="GL72" s="67"/>
      <c r="GM72" s="67"/>
      <c r="GN72" s="67"/>
      <c r="GO72" s="67"/>
      <c r="GP72" s="67"/>
      <c r="GQ72" s="67"/>
      <c r="GR72" s="67"/>
      <c r="GS72" s="67"/>
      <c r="GT72" s="67"/>
      <c r="GU72" s="67"/>
      <c r="GV72" s="67"/>
      <c r="GW72" s="67"/>
      <c r="GX72" s="67"/>
      <c r="GY72" s="67"/>
      <c r="GZ72" s="67"/>
      <c r="HA72" s="67"/>
      <c r="HB72" s="67"/>
      <c r="HC72" s="67"/>
      <c r="HD72" s="67"/>
      <c r="HE72" s="67"/>
      <c r="HF72" s="67"/>
      <c r="HG72" s="67"/>
      <c r="HH72" s="67"/>
      <c r="HI72" s="67"/>
      <c r="HJ72" s="67"/>
      <c r="HK72" s="67"/>
      <c r="HL72" s="67"/>
      <c r="HM72" s="67"/>
      <c r="HN72" s="67"/>
      <c r="HO72" s="67"/>
      <c r="HP72" s="67"/>
      <c r="HQ72" s="67"/>
      <c r="HR72" s="67"/>
      <c r="HS72" s="67"/>
      <c r="HT72" s="67"/>
      <c r="HU72" s="67"/>
      <c r="HV72" s="67"/>
      <c r="HW72" s="67"/>
      <c r="HX72" s="67"/>
      <c r="HY72" s="67"/>
      <c r="HZ72" s="67"/>
      <c r="IA72" s="67"/>
      <c r="IB72" s="67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  <c r="LG72" s="67"/>
      <c r="LH72" s="67"/>
      <c r="LI72" s="67"/>
      <c r="LJ72" s="67"/>
      <c r="LK72" s="67"/>
      <c r="LL72" s="67"/>
      <c r="LM72" s="67"/>
      <c r="LN72" s="67"/>
      <c r="LO72" s="67"/>
      <c r="LP72" s="67"/>
      <c r="LQ72" s="67"/>
      <c r="LR72" s="67"/>
      <c r="LS72" s="67"/>
      <c r="LT72" s="67"/>
      <c r="LU72" s="67"/>
      <c r="LV72" s="67"/>
      <c r="LW72" s="67"/>
      <c r="LX72" s="67"/>
      <c r="LY72" s="67"/>
      <c r="LZ72" s="67"/>
      <c r="MA72" s="67"/>
      <c r="MB72" s="67"/>
      <c r="MC72" s="67"/>
      <c r="MD72" s="67"/>
      <c r="ME72" s="67"/>
      <c r="MF72" s="67"/>
      <c r="MG72" s="67"/>
      <c r="MH72" s="67"/>
      <c r="MI72" s="67"/>
      <c r="MJ72" s="67"/>
      <c r="MK72" s="67"/>
      <c r="ML72" s="67"/>
      <c r="MM72" s="67"/>
      <c r="MN72" s="67"/>
      <c r="MO72" s="67"/>
      <c r="MP72" s="67"/>
      <c r="MQ72" s="67"/>
      <c r="MR72" s="67"/>
      <c r="MS72" s="67"/>
      <c r="MT72" s="67"/>
      <c r="MU72" s="67"/>
      <c r="MV72" s="67"/>
      <c r="MW72" s="67"/>
      <c r="MX72" s="67"/>
      <c r="MY72" s="67"/>
      <c r="MZ72" s="67"/>
      <c r="NA72" s="67"/>
      <c r="NB72" s="67"/>
      <c r="NC72" s="67"/>
      <c r="ND72" s="67"/>
      <c r="NE72" s="67"/>
      <c r="NF72" s="67"/>
      <c r="NG72" s="67"/>
      <c r="NH72" s="67"/>
      <c r="NI72" s="67"/>
      <c r="NJ72" s="67"/>
      <c r="NK72" s="67"/>
      <c r="NL72" s="67"/>
      <c r="NM72" s="67"/>
      <c r="NN72" s="67"/>
      <c r="NO72" s="67"/>
      <c r="NP72" s="67"/>
      <c r="NQ72" s="67"/>
      <c r="NR72" s="67"/>
      <c r="NS72" s="67"/>
      <c r="NT72" s="67"/>
      <c r="NU72" s="67"/>
      <c r="NV72" s="67"/>
      <c r="NW72" s="67"/>
      <c r="NX72" s="67"/>
      <c r="NY72" s="67"/>
      <c r="NZ72" s="67"/>
      <c r="OA72" s="67"/>
      <c r="OB72" s="67"/>
      <c r="OC72" s="67"/>
      <c r="OD72" s="67"/>
      <c r="OE72" s="67"/>
      <c r="OF72" s="67"/>
      <c r="OG72" s="67"/>
      <c r="OH72" s="67"/>
      <c r="OI72" s="67"/>
      <c r="OJ72" s="67"/>
      <c r="OK72" s="67"/>
      <c r="OL72" s="67"/>
      <c r="OM72" s="67"/>
      <c r="ON72" s="67"/>
      <c r="OO72" s="67"/>
      <c r="OP72" s="67"/>
      <c r="OQ72" s="67"/>
      <c r="OR72" s="67"/>
      <c r="OS72" s="67"/>
      <c r="OT72" s="67"/>
      <c r="OU72" s="67"/>
      <c r="OV72" s="67"/>
      <c r="OW72" s="67"/>
      <c r="OX72" s="67"/>
      <c r="OY72" s="67"/>
      <c r="OZ72" s="67"/>
      <c r="PA72" s="67"/>
      <c r="PB72" s="67"/>
      <c r="PC72" s="67"/>
      <c r="PD72" s="67"/>
      <c r="PE72" s="67"/>
      <c r="PF72" s="67"/>
      <c r="PG72" s="67"/>
      <c r="PH72" s="67"/>
      <c r="PI72" s="67"/>
      <c r="PJ72" s="67"/>
      <c r="PK72" s="67"/>
      <c r="PL72" s="67"/>
      <c r="PM72" s="67"/>
      <c r="PN72" s="67"/>
      <c r="PO72" s="67"/>
      <c r="PP72" s="67"/>
      <c r="PQ72" s="67"/>
      <c r="PR72" s="67"/>
      <c r="PS72" s="67"/>
      <c r="PT72" s="67"/>
      <c r="PU72" s="67"/>
      <c r="PV72" s="67"/>
      <c r="PW72" s="67"/>
      <c r="PX72" s="67"/>
      <c r="PY72" s="67"/>
      <c r="PZ72" s="67"/>
      <c r="QA72" s="67"/>
      <c r="QB72" s="67"/>
      <c r="QC72" s="67"/>
      <c r="QD72" s="67"/>
      <c r="QE72" s="67"/>
      <c r="QF72" s="67"/>
      <c r="QG72" s="67"/>
      <c r="QH72" s="67"/>
      <c r="QI72" s="67"/>
      <c r="QJ72" s="67"/>
      <c r="QK72" s="67"/>
      <c r="QL72" s="67"/>
      <c r="QM72" s="67"/>
      <c r="QN72" s="67"/>
      <c r="QO72" s="67"/>
      <c r="QP72" s="67"/>
      <c r="QQ72" s="67"/>
      <c r="QR72" s="67"/>
      <c r="QS72" s="67"/>
      <c r="QT72" s="67"/>
      <c r="QU72" s="67"/>
      <c r="QV72" s="67"/>
      <c r="QW72" s="67"/>
      <c r="QX72" s="67"/>
      <c r="QY72" s="67"/>
      <c r="QZ72" s="67"/>
      <c r="RA72" s="67"/>
      <c r="RB72" s="67"/>
      <c r="RC72" s="67"/>
      <c r="RD72" s="67"/>
      <c r="RE72" s="67"/>
      <c r="RF72" s="67"/>
      <c r="RG72" s="67"/>
      <c r="RH72" s="67"/>
      <c r="RI72" s="67"/>
      <c r="RJ72" s="67"/>
      <c r="RK72" s="67"/>
      <c r="RL72" s="67"/>
      <c r="RM72" s="67"/>
      <c r="RN72" s="67"/>
      <c r="RO72" s="67"/>
      <c r="RP72" s="67"/>
      <c r="RQ72" s="67"/>
      <c r="RR72" s="67"/>
      <c r="RS72" s="67"/>
      <c r="RT72" s="67"/>
      <c r="RU72" s="67"/>
      <c r="RV72" s="67"/>
      <c r="RW72" s="67"/>
      <c r="RX72" s="67"/>
      <c r="RY72" s="67"/>
      <c r="RZ72" s="67"/>
      <c r="SA72" s="67"/>
      <c r="SB72" s="67"/>
      <c r="SC72" s="67"/>
      <c r="SD72" s="67"/>
      <c r="SE72" s="67"/>
      <c r="SF72" s="67"/>
      <c r="SG72" s="67"/>
      <c r="SH72" s="67"/>
      <c r="SI72" s="67"/>
      <c r="SJ72" s="67"/>
      <c r="SK72" s="67"/>
      <c r="SL72" s="67"/>
      <c r="SM72" s="67"/>
      <c r="SN72" s="67"/>
      <c r="SO72" s="67"/>
      <c r="SP72" s="67"/>
      <c r="SQ72" s="67"/>
      <c r="SR72" s="67"/>
      <c r="SS72" s="67"/>
      <c r="ST72" s="67"/>
      <c r="SU72" s="67"/>
      <c r="SV72" s="67"/>
      <c r="SW72" s="67"/>
      <c r="SX72" s="67"/>
      <c r="SY72" s="67"/>
      <c r="SZ72" s="67"/>
      <c r="TA72" s="67"/>
      <c r="TB72" s="67"/>
      <c r="TC72" s="67"/>
      <c r="TD72" s="67"/>
      <c r="TE72" s="67"/>
      <c r="TF72" s="67"/>
      <c r="TG72" s="67"/>
      <c r="TH72" s="67"/>
      <c r="TI72" s="67"/>
      <c r="TJ72" s="67"/>
      <c r="TK72" s="67"/>
      <c r="TL72" s="67"/>
      <c r="TM72" s="67"/>
      <c r="TN72" s="67"/>
      <c r="TO72" s="67"/>
      <c r="TP72" s="67"/>
      <c r="TQ72" s="67"/>
      <c r="TR72" s="67"/>
      <c r="TS72" s="67"/>
      <c r="TT72" s="67"/>
      <c r="TU72" s="67"/>
      <c r="TV72" s="67"/>
      <c r="TW72" s="67"/>
      <c r="TX72" s="67"/>
      <c r="TY72" s="67"/>
      <c r="TZ72" s="67"/>
      <c r="UA72" s="67"/>
      <c r="UB72" s="67"/>
      <c r="UC72" s="67"/>
      <c r="UD72" s="67"/>
      <c r="UE72" s="67"/>
      <c r="UF72" s="67"/>
      <c r="UG72" s="67"/>
      <c r="UH72" s="67"/>
      <c r="UI72" s="67"/>
      <c r="UJ72" s="67"/>
      <c r="UK72" s="67"/>
      <c r="UL72" s="67"/>
      <c r="UM72" s="67"/>
      <c r="UN72" s="67"/>
      <c r="UO72" s="67"/>
      <c r="UP72" s="67"/>
      <c r="UQ72" s="67"/>
      <c r="UR72" s="67"/>
      <c r="US72" s="67"/>
      <c r="UT72" s="67"/>
      <c r="UU72" s="67"/>
      <c r="UV72" s="67"/>
      <c r="UW72" s="67"/>
      <c r="UX72" s="67"/>
      <c r="UY72" s="67"/>
      <c r="UZ72" s="67"/>
      <c r="VA72" s="67"/>
      <c r="VB72" s="67"/>
      <c r="VC72" s="67"/>
      <c r="VD72" s="67"/>
      <c r="VE72" s="67"/>
      <c r="VF72" s="67"/>
      <c r="VG72" s="67"/>
      <c r="VH72" s="67"/>
      <c r="VI72" s="67"/>
      <c r="VJ72" s="67"/>
      <c r="VK72" s="67"/>
      <c r="VL72" s="67"/>
      <c r="VM72" s="67"/>
      <c r="VN72" s="67"/>
      <c r="VO72" s="67"/>
      <c r="VP72" s="67"/>
      <c r="VQ72" s="67"/>
      <c r="VR72" s="67"/>
      <c r="VS72" s="67"/>
      <c r="VT72" s="67"/>
      <c r="VU72" s="67"/>
      <c r="VV72" s="67"/>
      <c r="VW72" s="67"/>
      <c r="VX72" s="67"/>
      <c r="VY72" s="67"/>
      <c r="WA72" s="68"/>
      <c r="WB72" s="68"/>
      <c r="WC72" s="68"/>
      <c r="WD72" s="68"/>
      <c r="WE72" s="68"/>
      <c r="WF72" s="68"/>
      <c r="WG72" s="68"/>
      <c r="WH72" s="68"/>
      <c r="WI72" s="84"/>
      <c r="WN72" s="2" t="s">
        <v>5402</v>
      </c>
      <c r="WO72" s="12">
        <f>MIN(WI2:WI72)</f>
        <v>1</v>
      </c>
    </row>
    <row r="74" spans="1:613" x14ac:dyDescent="0.25">
      <c r="OU74" s="17">
        <v>1</v>
      </c>
      <c r="OX74" t="s">
        <v>5396</v>
      </c>
      <c r="OY74" s="12">
        <f>Elderly_A</f>
        <v>1</v>
      </c>
      <c r="VI74" s="12">
        <v>0.97</v>
      </c>
      <c r="VS74" s="25" t="s">
        <v>2638</v>
      </c>
      <c r="VT74" s="25" t="s">
        <v>2639</v>
      </c>
      <c r="VV74" s="440" t="s">
        <v>5382</v>
      </c>
      <c r="VW74" s="442"/>
      <c r="VY74" s="449" t="s">
        <v>5383</v>
      </c>
      <c r="VZ74" s="447"/>
      <c r="WA74" s="447"/>
      <c r="WB74" s="447"/>
      <c r="WC74" s="448"/>
      <c r="WD74" s="346"/>
      <c r="WE74" s="1" t="s">
        <v>2639</v>
      </c>
      <c r="WF74" s="1" t="s">
        <v>2638</v>
      </c>
      <c r="WG74" s="449" t="s">
        <v>5394</v>
      </c>
      <c r="WH74" s="447"/>
      <c r="WI74" s="447"/>
      <c r="WJ74" s="447"/>
      <c r="WK74" s="448"/>
      <c r="WL74" s="86"/>
    </row>
    <row r="75" spans="1:613" x14ac:dyDescent="0.25">
      <c r="OT75" s="21">
        <f t="shared" ref="OT75:OT82" si="23">(OY76-OU76)/OU76</f>
        <v>0</v>
      </c>
      <c r="OU75" s="17">
        <v>1.1499999999999999</v>
      </c>
      <c r="OX75" t="s">
        <v>2627</v>
      </c>
      <c r="OY75" s="17">
        <f>Boost_A</f>
        <v>0</v>
      </c>
      <c r="OZ75">
        <v>1.1499999999999999</v>
      </c>
      <c r="PA75">
        <v>1.1499999999999999</v>
      </c>
      <c r="PB75">
        <v>1.1499999999999999</v>
      </c>
      <c r="PC75">
        <v>1.1499999999999999</v>
      </c>
      <c r="PD75">
        <v>1.1499999999999999</v>
      </c>
      <c r="PE75">
        <v>1.1499999999999999</v>
      </c>
      <c r="PF75">
        <v>1.1499999999999999</v>
      </c>
      <c r="PG75">
        <v>1.1499999999999999</v>
      </c>
      <c r="PH75">
        <v>1.1499999999999999</v>
      </c>
      <c r="PI75">
        <v>1.1499999999999999</v>
      </c>
      <c r="PJ75">
        <v>1.1499999999999999</v>
      </c>
      <c r="PK75">
        <v>1.1499999999999999</v>
      </c>
      <c r="PL75">
        <v>1.1499999999999999</v>
      </c>
      <c r="PM75">
        <v>1.1499999999999999</v>
      </c>
      <c r="PN75">
        <v>1.1499999999999999</v>
      </c>
      <c r="PO75">
        <v>1.1499999999999999</v>
      </c>
      <c r="PP75">
        <v>1.1499999999999999</v>
      </c>
      <c r="PQ75">
        <v>1.1499999999999999</v>
      </c>
      <c r="PR75">
        <v>1.1499999999999999</v>
      </c>
      <c r="PS75">
        <v>1.1499999999999999</v>
      </c>
      <c r="PT75">
        <v>1.1499999999999999</v>
      </c>
      <c r="PU75">
        <v>1.1499999999999999</v>
      </c>
      <c r="PV75">
        <v>1.1499999999999999</v>
      </c>
      <c r="PW75">
        <v>1.1499999999999999</v>
      </c>
      <c r="PX75">
        <v>1.1499999999999999</v>
      </c>
      <c r="PY75">
        <v>1.1499999999999999</v>
      </c>
      <c r="PZ75">
        <v>1.1499999999999999</v>
      </c>
      <c r="QA75">
        <v>1.1499999999999999</v>
      </c>
      <c r="QB75">
        <v>1.1499999999999999</v>
      </c>
      <c r="QC75">
        <v>1.1499999999999999</v>
      </c>
      <c r="QD75">
        <v>1.1499999999999999</v>
      </c>
      <c r="QE75">
        <v>1.1499999999999999</v>
      </c>
      <c r="QF75">
        <v>1.1499999999999999</v>
      </c>
      <c r="QG75">
        <v>1.1499999999999999</v>
      </c>
      <c r="QH75">
        <v>1.1499999999999999</v>
      </c>
      <c r="QI75">
        <v>1.1499999999999999</v>
      </c>
      <c r="QJ75">
        <v>1.1499999999999999</v>
      </c>
      <c r="QK75">
        <v>1.1499999999999999</v>
      </c>
      <c r="QL75">
        <v>1.1499999999999999</v>
      </c>
      <c r="QM75">
        <v>1.1499999999999999</v>
      </c>
      <c r="QN75">
        <v>1.1499999999999999</v>
      </c>
      <c r="QO75">
        <v>1.1499999999999999</v>
      </c>
      <c r="QP75">
        <v>1.1499999999999999</v>
      </c>
      <c r="QQ75">
        <v>1.1499999999999999</v>
      </c>
      <c r="QR75">
        <v>1.1499999999999999</v>
      </c>
      <c r="QS75">
        <v>1.1499999999999999</v>
      </c>
      <c r="QT75">
        <v>1.1499999999999999</v>
      </c>
      <c r="QU75">
        <v>1.1499999999999999</v>
      </c>
      <c r="QV75">
        <v>1.1499999999999999</v>
      </c>
      <c r="QW75">
        <v>1.1499999999999999</v>
      </c>
      <c r="QX75">
        <v>1.1499999999999999</v>
      </c>
      <c r="QY75">
        <v>1.1499999999999999</v>
      </c>
      <c r="QZ75">
        <v>1.1499999999999999</v>
      </c>
      <c r="RA75">
        <v>1.1499999999999999</v>
      </c>
      <c r="RB75">
        <v>1.1499999999999999</v>
      </c>
      <c r="RC75">
        <v>1.1499999999999999</v>
      </c>
      <c r="RD75">
        <v>1.1499999999999999</v>
      </c>
      <c r="RE75">
        <v>1.1499999999999999</v>
      </c>
      <c r="RF75">
        <v>1.1499999999999999</v>
      </c>
      <c r="RG75">
        <v>1.1499999999999999</v>
      </c>
      <c r="RH75">
        <v>1.1499999999999999</v>
      </c>
      <c r="RI75">
        <v>1.1499999999999999</v>
      </c>
      <c r="RJ75">
        <v>1.1499999999999999</v>
      </c>
      <c r="RK75">
        <v>1.1499999999999999</v>
      </c>
      <c r="RL75">
        <v>1.1499999999999999</v>
      </c>
      <c r="RM75">
        <v>1.1499999999999999</v>
      </c>
      <c r="RN75">
        <v>1.1499999999999999</v>
      </c>
      <c r="RO75">
        <v>1.1499999999999999</v>
      </c>
      <c r="RP75">
        <v>1.1499999999999999</v>
      </c>
      <c r="RQ75">
        <v>1.1499999999999999</v>
      </c>
      <c r="RR75">
        <v>1.1499999999999999</v>
      </c>
      <c r="RS75">
        <v>1.1499999999999999</v>
      </c>
      <c r="RT75">
        <v>1.1499999999999999</v>
      </c>
      <c r="RU75">
        <v>1.1499999999999999</v>
      </c>
      <c r="RV75">
        <v>1.1499999999999999</v>
      </c>
      <c r="RW75">
        <v>1.1499999999999999</v>
      </c>
      <c r="RX75">
        <v>1.1499999999999999</v>
      </c>
      <c r="RY75">
        <v>1.1499999999999999</v>
      </c>
      <c r="RZ75">
        <v>1.1499999999999999</v>
      </c>
      <c r="SA75">
        <v>1.1499999999999999</v>
      </c>
      <c r="SB75">
        <v>1.1499999999999999</v>
      </c>
      <c r="SC75">
        <v>1.1499999999999999</v>
      </c>
      <c r="SD75">
        <v>1.1499999999999999</v>
      </c>
      <c r="SE75">
        <v>1.1499999999999999</v>
      </c>
      <c r="SF75">
        <v>1.1499999999999999</v>
      </c>
      <c r="SG75">
        <v>1.1499999999999999</v>
      </c>
      <c r="SH75">
        <v>1.1499999999999999</v>
      </c>
      <c r="SI75">
        <v>1.1499999999999999</v>
      </c>
      <c r="SJ75">
        <v>1.1499999999999999</v>
      </c>
      <c r="SK75">
        <v>1.1499999999999999</v>
      </c>
      <c r="SL75">
        <v>1.1499999999999999</v>
      </c>
      <c r="SM75">
        <v>1.1499999999999999</v>
      </c>
      <c r="SN75">
        <v>1.1499999999999999</v>
      </c>
      <c r="SO75">
        <v>1.1499999999999999</v>
      </c>
      <c r="SP75">
        <v>1.1499999999999999</v>
      </c>
      <c r="SQ75">
        <v>1.1499999999999999</v>
      </c>
      <c r="SR75">
        <v>1.1499999999999999</v>
      </c>
      <c r="SS75">
        <v>1.1499999999999999</v>
      </c>
      <c r="ST75">
        <v>1.1499999999999999</v>
      </c>
      <c r="SU75">
        <v>1.1499999999999999</v>
      </c>
      <c r="SV75">
        <v>1.1499999999999999</v>
      </c>
      <c r="SW75">
        <v>1.1499999999999999</v>
      </c>
      <c r="SX75">
        <v>1.1499999999999999</v>
      </c>
      <c r="SY75">
        <v>1.1499999999999999</v>
      </c>
      <c r="SZ75">
        <v>1.1499999999999999</v>
      </c>
      <c r="TA75">
        <v>1.1499999999999999</v>
      </c>
      <c r="TB75">
        <v>1.1499999999999999</v>
      </c>
      <c r="TC75">
        <v>1.1499999999999999</v>
      </c>
      <c r="TD75">
        <v>1.1499999999999999</v>
      </c>
      <c r="TE75">
        <v>1.1499999999999999</v>
      </c>
      <c r="TF75">
        <v>1.1499999999999999</v>
      </c>
      <c r="TG75">
        <v>1.1499999999999999</v>
      </c>
      <c r="TH75">
        <v>1.1499999999999999</v>
      </c>
      <c r="TI75">
        <v>1.1499999999999999</v>
      </c>
      <c r="TJ75">
        <v>1.1499999999999999</v>
      </c>
      <c r="TK75">
        <v>1.1499999999999999</v>
      </c>
      <c r="TL75">
        <v>1.1499999999999999</v>
      </c>
      <c r="TM75">
        <v>1.1499999999999999</v>
      </c>
      <c r="TN75">
        <v>1.1499999999999999</v>
      </c>
      <c r="TO75">
        <v>1.1499999999999999</v>
      </c>
      <c r="TP75">
        <v>1.1499999999999999</v>
      </c>
      <c r="TQ75">
        <v>1.1499999999999999</v>
      </c>
      <c r="TR75">
        <v>1.1499999999999999</v>
      </c>
      <c r="TS75">
        <v>1.1499999999999999</v>
      </c>
      <c r="TT75">
        <v>1.1499999999999999</v>
      </c>
      <c r="TU75">
        <v>1.1499999999999999</v>
      </c>
      <c r="TV75">
        <v>1.1499999999999999</v>
      </c>
      <c r="TW75">
        <v>1.1499999999999999</v>
      </c>
      <c r="TX75">
        <v>1.1499999999999999</v>
      </c>
      <c r="TY75">
        <v>1.1499999999999999</v>
      </c>
      <c r="TZ75">
        <v>1.1499999999999999</v>
      </c>
      <c r="UA75">
        <v>1.1499999999999999</v>
      </c>
      <c r="UB75">
        <v>1.1499999999999999</v>
      </c>
      <c r="UC75">
        <v>1.1499999999999999</v>
      </c>
      <c r="UD75">
        <v>1.1499999999999999</v>
      </c>
      <c r="UE75">
        <v>1.1499999999999999</v>
      </c>
      <c r="UF75">
        <v>1.1499999999999999</v>
      </c>
      <c r="UG75">
        <v>1.1499999999999999</v>
      </c>
      <c r="UH75">
        <v>1.1499999999999999</v>
      </c>
      <c r="UI75">
        <v>1.1499999999999999</v>
      </c>
      <c r="UJ75">
        <v>1.1499999999999999</v>
      </c>
      <c r="UK75">
        <v>1.1499999999999999</v>
      </c>
      <c r="UL75">
        <v>1.1499999999999999</v>
      </c>
      <c r="UM75">
        <v>1.1499999999999999</v>
      </c>
      <c r="UN75">
        <v>1.1499999999999999</v>
      </c>
      <c r="UO75">
        <v>1.1499999999999999</v>
      </c>
      <c r="UP75">
        <v>1.1499999999999999</v>
      </c>
      <c r="UQ75">
        <v>1.1499999999999999</v>
      </c>
      <c r="UR75">
        <v>1.1499999999999999</v>
      </c>
      <c r="US75">
        <v>1.1499999999999999</v>
      </c>
      <c r="UT75">
        <v>1.1499999999999999</v>
      </c>
      <c r="UU75">
        <v>1.1499999999999999</v>
      </c>
      <c r="UV75">
        <v>1.1499999999999999</v>
      </c>
      <c r="UW75">
        <v>1.1499999999999999</v>
      </c>
      <c r="UX75">
        <v>1.1499999999999999</v>
      </c>
      <c r="UY75">
        <v>1.1499999999999999</v>
      </c>
      <c r="UZ75">
        <v>1.1499999999999999</v>
      </c>
      <c r="VA75">
        <v>1.1499999999999999</v>
      </c>
      <c r="VB75">
        <v>1.1499999999999999</v>
      </c>
      <c r="VC75">
        <v>1.1499999999999999</v>
      </c>
      <c r="VD75">
        <v>1.1499999999999999</v>
      </c>
      <c r="VE75">
        <v>1.1499999999999999</v>
      </c>
      <c r="VF75">
        <v>1.1499999999999999</v>
      </c>
      <c r="VG75">
        <v>1.1499999999999999</v>
      </c>
      <c r="VH75">
        <v>1.1499999999999999</v>
      </c>
      <c r="VI75" s="17">
        <v>1.1499999999999999</v>
      </c>
      <c r="VQ75" s="26" t="s">
        <v>2617</v>
      </c>
      <c r="VR75" s="26" t="s">
        <v>2618</v>
      </c>
      <c r="VS75" s="26" t="s">
        <v>2630</v>
      </c>
      <c r="VT75" s="26" t="s">
        <v>2630</v>
      </c>
      <c r="VU75" s="39" t="s">
        <v>4945</v>
      </c>
      <c r="VV75" s="26" t="s">
        <v>381</v>
      </c>
      <c r="VW75" s="26" t="s">
        <v>2629</v>
      </c>
      <c r="VX75" s="26"/>
      <c r="VY75" s="347">
        <v>1</v>
      </c>
      <c r="VZ75" s="347">
        <v>2</v>
      </c>
      <c r="WA75" s="347">
        <v>3</v>
      </c>
      <c r="WB75" s="347">
        <v>4</v>
      </c>
      <c r="WC75" s="347">
        <v>5</v>
      </c>
      <c r="WD75" s="347" t="s">
        <v>4945</v>
      </c>
      <c r="WE75" s="347" t="s">
        <v>4946</v>
      </c>
      <c r="WF75" s="347" t="s">
        <v>4946</v>
      </c>
      <c r="WG75" s="347">
        <v>1</v>
      </c>
      <c r="WH75" s="347">
        <v>2</v>
      </c>
      <c r="WI75" s="347">
        <v>3</v>
      </c>
      <c r="WJ75" s="347">
        <v>4</v>
      </c>
      <c r="WK75" s="347">
        <v>5</v>
      </c>
      <c r="WL75" s="347" t="s">
        <v>4945</v>
      </c>
    </row>
    <row r="76" spans="1:613" x14ac:dyDescent="0.25">
      <c r="OT76" s="21">
        <f t="shared" si="23"/>
        <v>4.3010752688171956E-2</v>
      </c>
      <c r="OU76" s="17">
        <v>0.88</v>
      </c>
      <c r="OX76" s="13" t="s">
        <v>2617</v>
      </c>
      <c r="OY76" s="17">
        <f>Broward_A</f>
        <v>0.88</v>
      </c>
      <c r="VI76" s="17">
        <v>0.88</v>
      </c>
      <c r="VQ76" s="12">
        <f t="shared" ref="VQ76:VQ83" si="24">COUNTIFS($VX$2:$VX$72,$VX76,$VR$2:$VR$72,"&lt;1")</f>
        <v>1</v>
      </c>
      <c r="VR76" s="12">
        <f t="shared" ref="VR76:VR83" si="25">COUNTIFS($VX$2:$VX$72,$VX76,$VS$2:$VS$72,"&lt;1")</f>
        <v>5</v>
      </c>
      <c r="VS76" s="20">
        <v>0.77777777777777779</v>
      </c>
      <c r="VT76" s="20">
        <f t="shared" ref="VT76:VT80" si="26">IFERROR(VV76/VU76,0)</f>
        <v>0.77777777777777779</v>
      </c>
      <c r="VU76" s="12">
        <f t="shared" ref="VU76:VU79" si="27">VW76+VV76</f>
        <v>9</v>
      </c>
      <c r="VV76" s="12">
        <f t="shared" ref="VV76:VW83" si="28">COUNTIFS($VX$2:$VX$72,$VX76,$VW$2:$VW$72,VV$75)</f>
        <v>7</v>
      </c>
      <c r="VW76" s="12">
        <f t="shared" si="28"/>
        <v>2</v>
      </c>
      <c r="VX76" s="31" t="s">
        <v>4947</v>
      </c>
      <c r="VY76" s="352">
        <f t="shared" ref="VY76:WC83" si="29">COUNTIFS($VX$2:$VX$72,$VX76,$VY$2:$VY$72,VY$75)</f>
        <v>1</v>
      </c>
      <c r="VZ76" s="352">
        <f t="shared" si="29"/>
        <v>4</v>
      </c>
      <c r="WA76" s="352">
        <f t="shared" si="29"/>
        <v>2</v>
      </c>
      <c r="WB76" s="352">
        <f t="shared" si="29"/>
        <v>0</v>
      </c>
      <c r="WC76" s="352">
        <f t="shared" si="29"/>
        <v>2</v>
      </c>
      <c r="WD76" s="352">
        <f t="shared" ref="WD76:WD79" si="30">SUM(VY76:WC76)</f>
        <v>9</v>
      </c>
      <c r="WE76" s="353">
        <f>IF(WD76=0,0,SUMPRODUCT($VY$75:$WC$75,VY76:WC76)/WD76)</f>
        <v>2.7777777777777777</v>
      </c>
      <c r="WF76" s="353">
        <v>2.7777777777777777</v>
      </c>
      <c r="WG76" s="352">
        <v>1</v>
      </c>
      <c r="WH76" s="352">
        <v>4</v>
      </c>
      <c r="WI76" s="352">
        <v>2</v>
      </c>
      <c r="WJ76" s="352">
        <v>0</v>
      </c>
      <c r="WK76" s="352">
        <v>2</v>
      </c>
      <c r="WL76" s="352">
        <v>9</v>
      </c>
    </row>
    <row r="77" spans="1:613" x14ac:dyDescent="0.25">
      <c r="OT77" s="21">
        <f t="shared" si="23"/>
        <v>8.6956521739130391E-2</v>
      </c>
      <c r="OU77" s="17">
        <v>0.93</v>
      </c>
      <c r="OX77" s="13" t="s">
        <v>2618</v>
      </c>
      <c r="OY77" s="17">
        <f>PHA_A</f>
        <v>0.97</v>
      </c>
      <c r="VI77" s="17">
        <v>0.93</v>
      </c>
      <c r="VQ77" s="12">
        <f t="shared" si="24"/>
        <v>0</v>
      </c>
      <c r="VR77" s="12">
        <f t="shared" si="25"/>
        <v>0</v>
      </c>
      <c r="VS77" s="20">
        <v>0</v>
      </c>
      <c r="VT77" s="20">
        <f t="shared" si="26"/>
        <v>0</v>
      </c>
      <c r="VU77" s="12">
        <f t="shared" si="27"/>
        <v>0</v>
      </c>
      <c r="VV77" s="12">
        <f t="shared" si="28"/>
        <v>0</v>
      </c>
      <c r="VW77" s="12">
        <f t="shared" si="28"/>
        <v>0</v>
      </c>
      <c r="VX77" s="31" t="s">
        <v>4948</v>
      </c>
      <c r="VY77" s="352">
        <f t="shared" si="29"/>
        <v>0</v>
      </c>
      <c r="VZ77" s="352">
        <f t="shared" si="29"/>
        <v>0</v>
      </c>
      <c r="WA77" s="352">
        <f t="shared" si="29"/>
        <v>0</v>
      </c>
      <c r="WB77" s="352">
        <f t="shared" si="29"/>
        <v>0</v>
      </c>
      <c r="WC77" s="352">
        <f t="shared" si="29"/>
        <v>0</v>
      </c>
      <c r="WD77" s="352">
        <f t="shared" si="30"/>
        <v>0</v>
      </c>
      <c r="WE77" s="353">
        <f t="shared" ref="WE77:WE79" si="31">IF(WD77=0,0,SUMPRODUCT($VY$75:$WC$75,VY77:WC77)/WD77)</f>
        <v>0</v>
      </c>
      <c r="WF77" s="353">
        <v>0</v>
      </c>
      <c r="WG77" s="352">
        <v>0</v>
      </c>
      <c r="WH77" s="352">
        <v>0</v>
      </c>
      <c r="WI77" s="352">
        <v>0</v>
      </c>
      <c r="WJ77" s="352">
        <v>0</v>
      </c>
      <c r="WK77" s="352">
        <v>0</v>
      </c>
      <c r="WL77" s="352">
        <v>0</v>
      </c>
    </row>
    <row r="78" spans="1:613" x14ac:dyDescent="0.25">
      <c r="OT78" s="21">
        <f t="shared" si="23"/>
        <v>0.14117647058823529</v>
      </c>
      <c r="OU78" s="17">
        <v>0.92</v>
      </c>
      <c r="OX78" s="13" t="s">
        <v>2622</v>
      </c>
      <c r="OY78" s="17">
        <f>NC_GA_A</f>
        <v>1</v>
      </c>
      <c r="VI78" s="17">
        <v>0.95</v>
      </c>
      <c r="VQ78" s="12">
        <f t="shared" si="24"/>
        <v>3</v>
      </c>
      <c r="VR78" s="12">
        <f t="shared" si="25"/>
        <v>1</v>
      </c>
      <c r="VS78" s="20">
        <v>0.75</v>
      </c>
      <c r="VT78" s="20">
        <f t="shared" si="26"/>
        <v>0.83333333333333337</v>
      </c>
      <c r="VU78" s="12">
        <f t="shared" si="27"/>
        <v>12</v>
      </c>
      <c r="VV78" s="12">
        <f t="shared" si="28"/>
        <v>10</v>
      </c>
      <c r="VW78" s="12">
        <f t="shared" si="28"/>
        <v>2</v>
      </c>
      <c r="VX78" s="31" t="s">
        <v>4949</v>
      </c>
      <c r="VY78" s="352">
        <f t="shared" si="29"/>
        <v>1</v>
      </c>
      <c r="VZ78" s="352">
        <f t="shared" si="29"/>
        <v>1</v>
      </c>
      <c r="WA78" s="352">
        <f t="shared" si="29"/>
        <v>3</v>
      </c>
      <c r="WB78" s="352">
        <f t="shared" si="29"/>
        <v>3</v>
      </c>
      <c r="WC78" s="352">
        <f t="shared" si="29"/>
        <v>4</v>
      </c>
      <c r="WD78" s="352">
        <f t="shared" si="30"/>
        <v>12</v>
      </c>
      <c r="WE78" s="353">
        <f t="shared" si="31"/>
        <v>3.6666666666666665</v>
      </c>
      <c r="WF78" s="353">
        <v>3.6666666666666665</v>
      </c>
      <c r="WG78" s="352">
        <v>2</v>
      </c>
      <c r="WH78" s="352">
        <v>1</v>
      </c>
      <c r="WI78" s="352">
        <v>3</v>
      </c>
      <c r="WJ78" s="352">
        <v>3</v>
      </c>
      <c r="WK78" s="352">
        <v>4</v>
      </c>
      <c r="WL78" s="352">
        <v>12</v>
      </c>
    </row>
    <row r="79" spans="1:613" x14ac:dyDescent="0.25">
      <c r="OT79" s="21">
        <f t="shared" si="23"/>
        <v>0.15853658536585366</v>
      </c>
      <c r="OU79" s="17">
        <v>0.85</v>
      </c>
      <c r="OX79" s="13" t="s">
        <v>2623</v>
      </c>
      <c r="OY79" s="17">
        <f>NC_MR_A</f>
        <v>0.97</v>
      </c>
      <c r="VI79" s="17">
        <v>0.93</v>
      </c>
      <c r="VQ79" s="12">
        <f t="shared" si="24"/>
        <v>0</v>
      </c>
      <c r="VR79" s="12">
        <f t="shared" si="25"/>
        <v>0</v>
      </c>
      <c r="VS79" s="20">
        <v>1</v>
      </c>
      <c r="VT79" s="20">
        <f t="shared" si="26"/>
        <v>1</v>
      </c>
      <c r="VU79" s="12">
        <f t="shared" si="27"/>
        <v>2</v>
      </c>
      <c r="VV79" s="12">
        <f t="shared" si="28"/>
        <v>2</v>
      </c>
      <c r="VW79" s="12">
        <f t="shared" si="28"/>
        <v>0</v>
      </c>
      <c r="VX79" s="31" t="s">
        <v>4950</v>
      </c>
      <c r="VY79" s="352">
        <f t="shared" si="29"/>
        <v>0</v>
      </c>
      <c r="VZ79" s="352">
        <f t="shared" si="29"/>
        <v>1</v>
      </c>
      <c r="WA79" s="352">
        <f t="shared" si="29"/>
        <v>1</v>
      </c>
      <c r="WB79" s="352">
        <f t="shared" si="29"/>
        <v>0</v>
      </c>
      <c r="WC79" s="352">
        <f t="shared" si="29"/>
        <v>0</v>
      </c>
      <c r="WD79" s="352">
        <f t="shared" si="30"/>
        <v>2</v>
      </c>
      <c r="WE79" s="353">
        <f t="shared" si="31"/>
        <v>2.5</v>
      </c>
      <c r="WF79" s="353">
        <v>3</v>
      </c>
      <c r="WG79" s="352">
        <v>0</v>
      </c>
      <c r="WH79" s="352">
        <v>1</v>
      </c>
      <c r="WI79" s="352">
        <v>0</v>
      </c>
      <c r="WJ79" s="352">
        <v>1</v>
      </c>
      <c r="WK79" s="352">
        <v>0</v>
      </c>
      <c r="WL79" s="352">
        <v>2</v>
      </c>
    </row>
    <row r="80" spans="1:613" x14ac:dyDescent="0.25">
      <c r="OT80" s="21" t="e">
        <f t="shared" si="23"/>
        <v>#REF!</v>
      </c>
      <c r="OU80" s="17">
        <v>0.82</v>
      </c>
      <c r="OX80" s="13" t="s">
        <v>2621</v>
      </c>
      <c r="OY80" s="17">
        <f>NC_HR_A</f>
        <v>0.95</v>
      </c>
      <c r="VI80" s="17">
        <v>0.91</v>
      </c>
      <c r="VQ80" s="12">
        <f t="shared" si="24"/>
        <v>4</v>
      </c>
      <c r="VR80" s="12">
        <f t="shared" si="25"/>
        <v>1</v>
      </c>
      <c r="VS80" s="20">
        <v>1</v>
      </c>
      <c r="VT80" s="20">
        <f t="shared" si="26"/>
        <v>0.83333333333333337</v>
      </c>
      <c r="VU80" s="12">
        <f t="shared" ref="VU80:VU83" si="32">VW80+VV80</f>
        <v>6</v>
      </c>
      <c r="VV80" s="12">
        <f t="shared" si="28"/>
        <v>5</v>
      </c>
      <c r="VW80" s="12">
        <f t="shared" si="28"/>
        <v>1</v>
      </c>
      <c r="VX80" s="31" t="s">
        <v>4951</v>
      </c>
      <c r="VY80" s="352">
        <f t="shared" si="29"/>
        <v>1</v>
      </c>
      <c r="VZ80" s="352">
        <f t="shared" si="29"/>
        <v>0</v>
      </c>
      <c r="WA80" s="352">
        <f t="shared" si="29"/>
        <v>0</v>
      </c>
      <c r="WB80" s="352">
        <f t="shared" si="29"/>
        <v>3</v>
      </c>
      <c r="WC80" s="352">
        <f t="shared" si="29"/>
        <v>2</v>
      </c>
      <c r="WD80" s="352">
        <f t="shared" ref="WD80:WD83" si="33">SUM(VY80:WC80)</f>
        <v>6</v>
      </c>
      <c r="WE80" s="353">
        <f t="shared" ref="WE80:WE83" si="34">IF(WD80=0,0,SUMPRODUCT($VY$75:$WC$75,VY80:WC80)/WD80)</f>
        <v>3.8333333333333335</v>
      </c>
      <c r="WF80" s="353">
        <v>3.6666666666666665</v>
      </c>
      <c r="WG80" s="352">
        <v>1</v>
      </c>
      <c r="WH80" s="352">
        <v>0</v>
      </c>
      <c r="WI80" s="352">
        <v>1</v>
      </c>
      <c r="WJ80" s="352">
        <v>2</v>
      </c>
      <c r="WK80" s="352">
        <v>2</v>
      </c>
      <c r="WL80" s="352">
        <v>6</v>
      </c>
    </row>
    <row r="81" spans="410:610" x14ac:dyDescent="0.25">
      <c r="OT81" s="21">
        <f>(OY82-OU82)/OU82</f>
        <v>0</v>
      </c>
      <c r="OU81" s="17">
        <v>1</v>
      </c>
      <c r="OX81" s="13" t="s">
        <v>2624</v>
      </c>
      <c r="OY81" s="17" t="e">
        <f>NC_SF_A</f>
        <v>#REF!</v>
      </c>
      <c r="VI81" s="17">
        <v>1</v>
      </c>
      <c r="VQ81" s="70">
        <f t="shared" si="24"/>
        <v>0</v>
      </c>
      <c r="VR81" s="70">
        <f t="shared" si="25"/>
        <v>0</v>
      </c>
      <c r="VS81" s="72">
        <v>0</v>
      </c>
      <c r="VT81" s="72">
        <f>IFERROR(VV81/VU81,0)</f>
        <v>0</v>
      </c>
      <c r="VU81" s="70">
        <f t="shared" si="32"/>
        <v>0</v>
      </c>
      <c r="VV81" s="70">
        <f t="shared" si="28"/>
        <v>0</v>
      </c>
      <c r="VW81" s="70">
        <f t="shared" si="28"/>
        <v>0</v>
      </c>
      <c r="VX81" s="73" t="s">
        <v>5380</v>
      </c>
      <c r="VY81" s="354">
        <f t="shared" si="29"/>
        <v>0</v>
      </c>
      <c r="VZ81" s="354">
        <f t="shared" si="29"/>
        <v>0</v>
      </c>
      <c r="WA81" s="354">
        <f t="shared" si="29"/>
        <v>0</v>
      </c>
      <c r="WB81" s="354">
        <f t="shared" si="29"/>
        <v>0</v>
      </c>
      <c r="WC81" s="354">
        <f t="shared" si="29"/>
        <v>0</v>
      </c>
      <c r="WD81" s="354">
        <f t="shared" si="33"/>
        <v>0</v>
      </c>
      <c r="WE81" s="355">
        <f t="shared" si="34"/>
        <v>0</v>
      </c>
      <c r="WF81" s="355">
        <v>0</v>
      </c>
      <c r="WG81" s="354">
        <v>0</v>
      </c>
      <c r="WH81" s="354">
        <v>0</v>
      </c>
      <c r="WI81" s="354">
        <v>0</v>
      </c>
      <c r="WJ81" s="354">
        <v>0</v>
      </c>
      <c r="WK81" s="354">
        <v>0</v>
      </c>
      <c r="WL81" s="354">
        <v>0</v>
      </c>
    </row>
    <row r="82" spans="410:610" x14ac:dyDescent="0.25">
      <c r="OT82" s="21">
        <f t="shared" si="23"/>
        <v>6.8965517241379379E-2</v>
      </c>
      <c r="OU82" s="17">
        <v>1</v>
      </c>
      <c r="OX82" s="13" t="s">
        <v>2625</v>
      </c>
      <c r="OY82" s="17">
        <f>NC_OT_A</f>
        <v>1</v>
      </c>
      <c r="VI82" s="17">
        <v>1</v>
      </c>
      <c r="VQ82" s="12">
        <f t="shared" si="24"/>
        <v>0</v>
      </c>
      <c r="VR82" s="12">
        <f t="shared" si="25"/>
        <v>0</v>
      </c>
      <c r="VS82" s="20">
        <v>0</v>
      </c>
      <c r="VT82" s="20">
        <f t="shared" ref="VT82:VT84" si="35">IFERROR(VV82/VU82,0)</f>
        <v>0</v>
      </c>
      <c r="VU82" s="12">
        <f t="shared" si="32"/>
        <v>0</v>
      </c>
      <c r="VV82" s="12">
        <f t="shared" si="28"/>
        <v>0</v>
      </c>
      <c r="VW82" s="12">
        <f t="shared" si="28"/>
        <v>0</v>
      </c>
      <c r="VX82" s="31" t="s">
        <v>4952</v>
      </c>
      <c r="VY82" s="352">
        <f t="shared" si="29"/>
        <v>0</v>
      </c>
      <c r="VZ82" s="352">
        <f t="shared" si="29"/>
        <v>0</v>
      </c>
      <c r="WA82" s="352">
        <f t="shared" si="29"/>
        <v>0</v>
      </c>
      <c r="WB82" s="352">
        <f t="shared" si="29"/>
        <v>0</v>
      </c>
      <c r="WC82" s="352">
        <f t="shared" si="29"/>
        <v>0</v>
      </c>
      <c r="WD82" s="352">
        <f t="shared" si="33"/>
        <v>0</v>
      </c>
      <c r="WE82" s="353">
        <f t="shared" si="34"/>
        <v>0</v>
      </c>
      <c r="WF82" s="353">
        <v>0</v>
      </c>
      <c r="WG82" s="352">
        <v>0</v>
      </c>
      <c r="WH82" s="352">
        <v>0</v>
      </c>
      <c r="WI82" s="352">
        <v>0</v>
      </c>
      <c r="WJ82" s="352">
        <v>0</v>
      </c>
      <c r="WK82" s="352">
        <v>0</v>
      </c>
      <c r="WL82" s="352">
        <v>0</v>
      </c>
    </row>
    <row r="83" spans="410:610" x14ac:dyDescent="0.25">
      <c r="OU83" s="17">
        <v>0.87</v>
      </c>
      <c r="OX83" s="13" t="s">
        <v>2628</v>
      </c>
      <c r="OY83" s="17">
        <f>ESSC_A</f>
        <v>0.93</v>
      </c>
      <c r="VI83" s="17">
        <v>0.95</v>
      </c>
      <c r="VQ83" s="12">
        <f t="shared" si="24"/>
        <v>0</v>
      </c>
      <c r="VR83" s="12">
        <f t="shared" si="25"/>
        <v>0</v>
      </c>
      <c r="VS83" s="20">
        <v>0</v>
      </c>
      <c r="VT83" s="20">
        <f t="shared" si="35"/>
        <v>0</v>
      </c>
      <c r="VU83" s="12">
        <f t="shared" si="32"/>
        <v>0</v>
      </c>
      <c r="VV83" s="12">
        <f t="shared" si="28"/>
        <v>0</v>
      </c>
      <c r="VW83" s="12">
        <f t="shared" si="28"/>
        <v>0</v>
      </c>
      <c r="VX83" s="31" t="s">
        <v>4953</v>
      </c>
      <c r="VY83" s="352">
        <f t="shared" si="29"/>
        <v>0</v>
      </c>
      <c r="VZ83" s="352">
        <f t="shared" si="29"/>
        <v>0</v>
      </c>
      <c r="WA83" s="352">
        <f t="shared" si="29"/>
        <v>0</v>
      </c>
      <c r="WB83" s="352">
        <f t="shared" si="29"/>
        <v>0</v>
      </c>
      <c r="WC83" s="352">
        <f t="shared" si="29"/>
        <v>0</v>
      </c>
      <c r="WD83" s="352">
        <f t="shared" si="33"/>
        <v>0</v>
      </c>
      <c r="WE83" s="353">
        <f t="shared" si="34"/>
        <v>0</v>
      </c>
      <c r="WF83" s="353">
        <v>0</v>
      </c>
      <c r="WG83" s="352">
        <v>0</v>
      </c>
      <c r="WH83" s="352">
        <v>0</v>
      </c>
      <c r="WI83" s="352">
        <v>0</v>
      </c>
      <c r="WJ83" s="352">
        <v>0</v>
      </c>
      <c r="WK83" s="352">
        <v>0</v>
      </c>
      <c r="WL83" s="352">
        <v>0</v>
      </c>
    </row>
    <row r="84" spans="410:610" x14ac:dyDescent="0.25">
      <c r="VQ84" s="44">
        <f t="shared" ref="VQ84:VR84" si="36">SUM(VQ76:VQ83)</f>
        <v>8</v>
      </c>
      <c r="VR84" s="44">
        <f t="shared" si="36"/>
        <v>7</v>
      </c>
      <c r="VS84" s="65">
        <v>0.82758620689655171</v>
      </c>
      <c r="VT84" s="65">
        <f t="shared" si="35"/>
        <v>0.82758620689655171</v>
      </c>
      <c r="VU84" s="64">
        <f>VW84+VV84</f>
        <v>29</v>
      </c>
      <c r="VV84" s="64">
        <f>SUM(VV76:VV83)</f>
        <v>24</v>
      </c>
      <c r="VW84" s="64">
        <f>SUM(VW76:VW83)</f>
        <v>5</v>
      </c>
      <c r="VX84" s="66" t="s">
        <v>2633</v>
      </c>
      <c r="VY84" s="358">
        <f t="shared" ref="VY84:WC84" si="37">SUM(VY76:VY83)</f>
        <v>3</v>
      </c>
      <c r="VZ84" s="358">
        <f t="shared" si="37"/>
        <v>6</v>
      </c>
      <c r="WA84" s="358">
        <f t="shared" si="37"/>
        <v>6</v>
      </c>
      <c r="WB84" s="358">
        <f t="shared" si="37"/>
        <v>6</v>
      </c>
      <c r="WC84" s="358">
        <f t="shared" si="37"/>
        <v>8</v>
      </c>
      <c r="WD84" s="358">
        <f>SUM(WD76:WD79)</f>
        <v>23</v>
      </c>
      <c r="WE84" s="369">
        <f>IF(WD84=0,0,SUMPRODUCT($VY$75:$WC$75,VY84:WC84)/WD84)</f>
        <v>4.2173913043478262</v>
      </c>
      <c r="WF84" s="369">
        <v>4.2173913043478262</v>
      </c>
      <c r="WG84" s="358">
        <f t="shared" ref="WG84:WK84" si="38">SUM(WG76:WG83)</f>
        <v>4</v>
      </c>
      <c r="WH84" s="358">
        <f t="shared" si="38"/>
        <v>6</v>
      </c>
      <c r="WI84" s="358">
        <f t="shared" si="38"/>
        <v>6</v>
      </c>
      <c r="WJ84" s="358">
        <f t="shared" si="38"/>
        <v>6</v>
      </c>
      <c r="WK84" s="358">
        <f t="shared" si="38"/>
        <v>8</v>
      </c>
      <c r="WL84" s="358">
        <v>23</v>
      </c>
    </row>
    <row r="85" spans="410:610" x14ac:dyDescent="0.25">
      <c r="VX85" s="31"/>
      <c r="VY85" s="359"/>
      <c r="VZ85" s="359"/>
      <c r="WA85" s="359"/>
      <c r="WB85" s="359"/>
      <c r="WC85" s="359"/>
      <c r="WD85" s="359"/>
      <c r="WE85" s="359"/>
      <c r="WF85" s="359"/>
      <c r="WG85" s="359"/>
      <c r="WH85" s="359"/>
      <c r="WI85" s="359"/>
      <c r="WJ85" s="359"/>
      <c r="WK85" s="359"/>
      <c r="WL85" s="359"/>
    </row>
    <row r="86" spans="410:610" x14ac:dyDescent="0.25">
      <c r="VQ86" s="23">
        <f>VQ76+VQ77</f>
        <v>1</v>
      </c>
      <c r="VR86" s="23">
        <f>VR76+VR77</f>
        <v>5</v>
      </c>
      <c r="VS86" s="20">
        <v>0.77777777777777779</v>
      </c>
      <c r="VT86" s="21">
        <f t="shared" ref="VT86:VT90" si="39">IF(VU86=0,0,VV86/VU86)</f>
        <v>0.77777777777777779</v>
      </c>
      <c r="VU86" s="23">
        <f>VV86+VW86</f>
        <v>9</v>
      </c>
      <c r="VV86" s="23">
        <f>VV76+VV77</f>
        <v>7</v>
      </c>
      <c r="VW86" s="23">
        <f>VW76+VW77</f>
        <v>2</v>
      </c>
      <c r="VX86" s="31" t="s">
        <v>4954</v>
      </c>
      <c r="VY86" s="352">
        <f>VY76+VY77</f>
        <v>1</v>
      </c>
      <c r="VZ86" s="352">
        <f t="shared" ref="VZ86:WC86" si="40">VZ76+VZ77</f>
        <v>4</v>
      </c>
      <c r="WA86" s="352">
        <f t="shared" si="40"/>
        <v>2</v>
      </c>
      <c r="WB86" s="352">
        <f t="shared" si="40"/>
        <v>0</v>
      </c>
      <c r="WC86" s="352">
        <f t="shared" si="40"/>
        <v>2</v>
      </c>
      <c r="WD86" s="352">
        <f t="shared" ref="WD86:WD88" si="41">SUM(VY86:WC86)</f>
        <v>9</v>
      </c>
      <c r="WE86" s="353">
        <f t="shared" ref="WE86:WE90" si="42">IF(WD86=0,0,SUMPRODUCT($VY$75:$WC$75,VY86:WC86)/WD86)</f>
        <v>2.7777777777777777</v>
      </c>
      <c r="WF86" s="353">
        <v>2.7777777777777777</v>
      </c>
      <c r="WG86" s="352">
        <v>1</v>
      </c>
      <c r="WH86" s="352">
        <v>4</v>
      </c>
      <c r="WI86" s="352">
        <v>2</v>
      </c>
      <c r="WJ86" s="352">
        <v>0</v>
      </c>
      <c r="WK86" s="352">
        <v>2</v>
      </c>
      <c r="WL86" s="352">
        <v>9</v>
      </c>
    </row>
    <row r="87" spans="410:610" x14ac:dyDescent="0.25">
      <c r="VQ87" s="23">
        <f>VQ78+VQ79</f>
        <v>3</v>
      </c>
      <c r="VR87" s="23">
        <f>VR78+VR79</f>
        <v>1</v>
      </c>
      <c r="VS87" s="20">
        <v>0.7857142857142857</v>
      </c>
      <c r="VT87" s="21">
        <f t="shared" si="39"/>
        <v>0.8571428571428571</v>
      </c>
      <c r="VU87" s="23">
        <f>VV87+VW87</f>
        <v>14</v>
      </c>
      <c r="VV87" s="23">
        <f>VV78+VV79</f>
        <v>12</v>
      </c>
      <c r="VW87" s="23">
        <f>VW78+VW79</f>
        <v>2</v>
      </c>
      <c r="VX87" s="31" t="s">
        <v>4955</v>
      </c>
      <c r="VY87" s="352">
        <f>VY78+VY79</f>
        <v>1</v>
      </c>
      <c r="VZ87" s="352">
        <f t="shared" ref="VZ87:WC87" si="43">VZ78+VZ79</f>
        <v>2</v>
      </c>
      <c r="WA87" s="352">
        <f t="shared" si="43"/>
        <v>4</v>
      </c>
      <c r="WB87" s="352">
        <f t="shared" si="43"/>
        <v>3</v>
      </c>
      <c r="WC87" s="352">
        <f t="shared" si="43"/>
        <v>4</v>
      </c>
      <c r="WD87" s="352">
        <f t="shared" si="41"/>
        <v>14</v>
      </c>
      <c r="WE87" s="353">
        <f t="shared" si="42"/>
        <v>3.5</v>
      </c>
      <c r="WF87" s="353">
        <v>3.5714285714285716</v>
      </c>
      <c r="WG87" s="352">
        <v>1</v>
      </c>
      <c r="WH87" s="352">
        <v>2</v>
      </c>
      <c r="WI87" s="352">
        <v>3</v>
      </c>
      <c r="WJ87" s="352">
        <v>4</v>
      </c>
      <c r="WK87" s="352">
        <v>4</v>
      </c>
      <c r="WL87" s="352">
        <v>14</v>
      </c>
    </row>
    <row r="88" spans="410:610" x14ac:dyDescent="0.25">
      <c r="VQ88" s="76">
        <f>VQ80</f>
        <v>4</v>
      </c>
      <c r="VR88" s="76">
        <f>VR80</f>
        <v>1</v>
      </c>
      <c r="VS88" s="79">
        <v>1</v>
      </c>
      <c r="VT88" s="53">
        <f t="shared" si="39"/>
        <v>0.83333333333333337</v>
      </c>
      <c r="VU88" s="76">
        <f>VV88+VW88</f>
        <v>6</v>
      </c>
      <c r="VV88" s="76">
        <f>VV80</f>
        <v>5</v>
      </c>
      <c r="VW88" s="76">
        <f>VW80</f>
        <v>1</v>
      </c>
      <c r="VX88" s="69" t="s">
        <v>4956</v>
      </c>
      <c r="VY88" s="360">
        <f>VY80</f>
        <v>1</v>
      </c>
      <c r="VZ88" s="360">
        <f t="shared" ref="VZ88:WC89" si="44">VZ80</f>
        <v>0</v>
      </c>
      <c r="WA88" s="360">
        <f t="shared" si="44"/>
        <v>0</v>
      </c>
      <c r="WB88" s="360">
        <f t="shared" si="44"/>
        <v>3</v>
      </c>
      <c r="WC88" s="360">
        <f t="shared" si="44"/>
        <v>2</v>
      </c>
      <c r="WD88" s="352">
        <f t="shared" si="41"/>
        <v>6</v>
      </c>
      <c r="WE88" s="353">
        <f t="shared" si="42"/>
        <v>3.8333333333333335</v>
      </c>
      <c r="WF88" s="353">
        <v>3.6666666666666665</v>
      </c>
      <c r="WG88" s="360">
        <v>1</v>
      </c>
      <c r="WH88" s="360">
        <v>0</v>
      </c>
      <c r="WI88" s="360">
        <v>1</v>
      </c>
      <c r="WJ88" s="360">
        <v>2</v>
      </c>
      <c r="WK88" s="360">
        <v>2</v>
      </c>
      <c r="WL88" s="352">
        <v>6</v>
      </c>
    </row>
    <row r="89" spans="410:610" x14ac:dyDescent="0.25">
      <c r="VQ89" s="41">
        <f t="shared" ref="VQ89:VR89" si="45">VQ81</f>
        <v>0</v>
      </c>
      <c r="VR89" s="41">
        <f t="shared" si="45"/>
        <v>0</v>
      </c>
      <c r="VS89" s="42">
        <v>0</v>
      </c>
      <c r="VT89" s="42">
        <f t="shared" si="39"/>
        <v>0</v>
      </c>
      <c r="VU89" s="41">
        <f>VU81</f>
        <v>0</v>
      </c>
      <c r="VV89" s="41">
        <f t="shared" ref="VV89:VW89" si="46">VV81</f>
        <v>0</v>
      </c>
      <c r="VW89" s="41">
        <f t="shared" si="46"/>
        <v>0</v>
      </c>
      <c r="VX89" s="43" t="s">
        <v>5407</v>
      </c>
      <c r="VY89" s="361">
        <f t="shared" ref="VY89" si="47">VY81</f>
        <v>0</v>
      </c>
      <c r="VZ89" s="361">
        <f t="shared" si="44"/>
        <v>0</v>
      </c>
      <c r="WA89" s="361">
        <f t="shared" si="44"/>
        <v>0</v>
      </c>
      <c r="WB89" s="361">
        <f t="shared" si="44"/>
        <v>0</v>
      </c>
      <c r="WC89" s="361">
        <f t="shared" si="44"/>
        <v>0</v>
      </c>
      <c r="WD89" s="356">
        <f t="shared" ref="WD89:WD90" si="48">SUM(VY89:WC89)</f>
        <v>0</v>
      </c>
      <c r="WE89" s="357">
        <f t="shared" si="42"/>
        <v>0</v>
      </c>
      <c r="WF89" s="357">
        <v>0</v>
      </c>
      <c r="WG89" s="361">
        <v>0</v>
      </c>
      <c r="WH89" s="361">
        <v>0</v>
      </c>
      <c r="WI89" s="361">
        <v>0</v>
      </c>
      <c r="WJ89" s="361">
        <v>0</v>
      </c>
      <c r="WK89" s="361">
        <v>0</v>
      </c>
      <c r="WL89" s="356">
        <v>0</v>
      </c>
    </row>
    <row r="90" spans="410:610" x14ac:dyDescent="0.25">
      <c r="VQ90" s="23">
        <f>VQ82+VQ83</f>
        <v>0</v>
      </c>
      <c r="VR90" s="76">
        <f>VR82+VR83</f>
        <v>0</v>
      </c>
      <c r="VS90" s="53">
        <v>0</v>
      </c>
      <c r="VT90" s="53">
        <f t="shared" si="39"/>
        <v>0</v>
      </c>
      <c r="VU90" s="76">
        <f>VV90+VW90</f>
        <v>0</v>
      </c>
      <c r="VV90" s="76">
        <f>VV82+VV83</f>
        <v>0</v>
      </c>
      <c r="VW90" s="76">
        <f>VW82+VW83</f>
        <v>0</v>
      </c>
      <c r="VX90" s="69" t="s">
        <v>4957</v>
      </c>
      <c r="VY90" s="362">
        <f>VY82+VY83</f>
        <v>0</v>
      </c>
      <c r="VZ90" s="362">
        <f t="shared" ref="VZ90:WC90" si="49">VZ82+VZ83</f>
        <v>0</v>
      </c>
      <c r="WA90" s="362">
        <f t="shared" si="49"/>
        <v>0</v>
      </c>
      <c r="WB90" s="362">
        <f t="shared" si="49"/>
        <v>0</v>
      </c>
      <c r="WC90" s="362">
        <f t="shared" si="49"/>
        <v>0</v>
      </c>
      <c r="WD90" s="362">
        <f t="shared" si="48"/>
        <v>0</v>
      </c>
      <c r="WE90" s="370">
        <f t="shared" si="42"/>
        <v>0</v>
      </c>
      <c r="WF90" s="370">
        <v>0</v>
      </c>
      <c r="WG90" s="362">
        <v>0</v>
      </c>
      <c r="WH90" s="362">
        <v>0</v>
      </c>
      <c r="WI90" s="362">
        <v>0</v>
      </c>
      <c r="WJ90" s="362">
        <v>0</v>
      </c>
      <c r="WK90" s="362">
        <v>0</v>
      </c>
      <c r="WL90" s="362">
        <v>0</v>
      </c>
    </row>
    <row r="91" spans="410:610" x14ac:dyDescent="0.25">
      <c r="VQ91" s="2"/>
      <c r="VR91" s="78"/>
      <c r="VS91" s="78"/>
      <c r="VT91" s="78"/>
      <c r="VU91" s="78"/>
      <c r="VV91" s="78"/>
      <c r="VW91" s="78"/>
      <c r="VX91" s="78"/>
      <c r="VY91" s="363"/>
      <c r="VZ91" s="363"/>
      <c r="WA91" s="363"/>
      <c r="WB91" s="363"/>
      <c r="WC91" s="363"/>
      <c r="WD91" s="359"/>
      <c r="WE91" s="359"/>
      <c r="WF91" s="359"/>
      <c r="WG91" s="363"/>
      <c r="WH91" s="363"/>
      <c r="WI91" s="363"/>
      <c r="WJ91" s="363"/>
      <c r="WK91" s="363"/>
      <c r="WL91" s="359"/>
    </row>
    <row r="92" spans="410:610" x14ac:dyDescent="0.25">
      <c r="VQ92" s="23">
        <f t="shared" ref="VQ92:VR92" si="50">VQ76+VQ78+VQ80</f>
        <v>8</v>
      </c>
      <c r="VR92" s="23">
        <f t="shared" si="50"/>
        <v>7</v>
      </c>
      <c r="VS92" s="21">
        <v>0.81481481481481477</v>
      </c>
      <c r="VT92" s="21">
        <f t="shared" ref="VT92:VT93" si="51">IF(VU92=0,0,VV92/VU92)</f>
        <v>0.81481481481481477</v>
      </c>
      <c r="VU92" s="23">
        <f>VV92+VW92</f>
        <v>27</v>
      </c>
      <c r="VV92" s="23">
        <f>VV76+VV78+VV80</f>
        <v>22</v>
      </c>
      <c r="VW92" s="23">
        <f>VW76+VW78+VW80</f>
        <v>5</v>
      </c>
      <c r="VX92" s="31" t="s">
        <v>4958</v>
      </c>
      <c r="VY92" s="352">
        <f>VY76+VY78+VY80+VY81</f>
        <v>3</v>
      </c>
      <c r="VZ92" s="352">
        <f>VZ76+VZ78+VZ80+VZ81</f>
        <v>5</v>
      </c>
      <c r="WA92" s="352">
        <f>WA76+WA78+WA80+WA81</f>
        <v>5</v>
      </c>
      <c r="WB92" s="352">
        <f>WB76+WB78+WB80+WB81</f>
        <v>6</v>
      </c>
      <c r="WC92" s="352">
        <f>WC76+WC78+WC80+WC81</f>
        <v>8</v>
      </c>
      <c r="WD92" s="352">
        <f t="shared" ref="WD92:WD93" si="52">SUM(VY92:WC92)</f>
        <v>27</v>
      </c>
      <c r="WE92" s="353">
        <f t="shared" ref="WE92:WE94" si="53">IF(WD92=0,0,SUMPRODUCT($VY$75:$WC$75,VY92:WC92)/WD92)</f>
        <v>3.4074074074074074</v>
      </c>
      <c r="WF92" s="353">
        <v>3.3703703703703702</v>
      </c>
      <c r="WG92" s="352">
        <v>3</v>
      </c>
      <c r="WH92" s="352">
        <v>5</v>
      </c>
      <c r="WI92" s="352">
        <v>6</v>
      </c>
      <c r="WJ92" s="352">
        <v>5</v>
      </c>
      <c r="WK92" s="352">
        <v>8</v>
      </c>
      <c r="WL92" s="352">
        <v>27</v>
      </c>
    </row>
    <row r="93" spans="410:610" x14ac:dyDescent="0.25">
      <c r="VQ93" s="23">
        <f t="shared" ref="VQ93:VR93" si="54">VQ77+VQ79</f>
        <v>0</v>
      </c>
      <c r="VR93" s="23">
        <f t="shared" si="54"/>
        <v>0</v>
      </c>
      <c r="VS93" s="21">
        <v>1</v>
      </c>
      <c r="VT93" s="21">
        <f t="shared" si="51"/>
        <v>1</v>
      </c>
      <c r="VU93" s="23">
        <f>VV93+VW93</f>
        <v>2</v>
      </c>
      <c r="VV93" s="23">
        <f>VV77+VV79</f>
        <v>2</v>
      </c>
      <c r="VW93" s="23">
        <f>VW77+VW79</f>
        <v>0</v>
      </c>
      <c r="VX93" s="31" t="s">
        <v>4959</v>
      </c>
      <c r="VY93" s="352">
        <f>VY77+VY79</f>
        <v>0</v>
      </c>
      <c r="VZ93" s="352">
        <f>VZ77+VZ79</f>
        <v>1</v>
      </c>
      <c r="WA93" s="352">
        <f>WA77+WA79</f>
        <v>1</v>
      </c>
      <c r="WB93" s="352">
        <f>WB77+WB79</f>
        <v>0</v>
      </c>
      <c r="WC93" s="352">
        <f>WC77+WC79</f>
        <v>0</v>
      </c>
      <c r="WD93" s="352">
        <f t="shared" si="52"/>
        <v>2</v>
      </c>
      <c r="WE93" s="353">
        <f t="shared" si="53"/>
        <v>2.5</v>
      </c>
      <c r="WF93" s="353">
        <v>3</v>
      </c>
      <c r="WG93" s="352">
        <v>0</v>
      </c>
      <c r="WH93" s="352">
        <v>1</v>
      </c>
      <c r="WI93" s="352">
        <v>0</v>
      </c>
      <c r="WJ93" s="352">
        <v>1</v>
      </c>
      <c r="WK93" s="352">
        <v>0</v>
      </c>
      <c r="WL93" s="352">
        <v>2</v>
      </c>
    </row>
    <row r="94" spans="410:610" x14ac:dyDescent="0.25">
      <c r="VQ94" s="12">
        <f>VQ82+VQ83</f>
        <v>0</v>
      </c>
      <c r="VR94" s="12">
        <f>VR82+VR83</f>
        <v>0</v>
      </c>
      <c r="VS94" s="21">
        <v>0</v>
      </c>
      <c r="VT94" s="20">
        <f t="shared" ref="VT94" si="55">IFERROR(VV94/VU94,0)</f>
        <v>0</v>
      </c>
      <c r="VU94" s="12">
        <f>VU82+VU83</f>
        <v>0</v>
      </c>
      <c r="VV94" s="12">
        <f>VV82+VV83</f>
        <v>0</v>
      </c>
      <c r="VW94" s="12">
        <f>VW82+VW83</f>
        <v>0</v>
      </c>
      <c r="VX94" s="31" t="s">
        <v>5384</v>
      </c>
      <c r="VY94" s="351">
        <f>VY82+VY83</f>
        <v>0</v>
      </c>
      <c r="VZ94" s="351">
        <f>VZ82+VZ83</f>
        <v>0</v>
      </c>
      <c r="WA94" s="351">
        <f>WA82+WA83</f>
        <v>0</v>
      </c>
      <c r="WB94" s="351">
        <f>WB82+WB83</f>
        <v>0</v>
      </c>
      <c r="WC94" s="351">
        <f>WC82+WC83</f>
        <v>0</v>
      </c>
      <c r="WD94" s="352">
        <f t="shared" ref="WD94" si="56">SUM(VY94:WC94)</f>
        <v>0</v>
      </c>
      <c r="WE94" s="353">
        <f t="shared" si="53"/>
        <v>0</v>
      </c>
      <c r="WF94" s="353">
        <v>0</v>
      </c>
      <c r="WG94" s="351">
        <v>0</v>
      </c>
      <c r="WH94" s="351">
        <v>0</v>
      </c>
      <c r="WI94" s="351">
        <v>0</v>
      </c>
      <c r="WJ94" s="351">
        <v>0</v>
      </c>
      <c r="WK94" s="351">
        <v>0</v>
      </c>
      <c r="WL94" s="352">
        <v>0</v>
      </c>
    </row>
    <row r="95" spans="410:610" x14ac:dyDescent="0.25">
      <c r="VV95" s="2"/>
      <c r="VW95" s="2"/>
      <c r="VY95" s="364"/>
      <c r="VZ95" s="364"/>
      <c r="WA95" s="364"/>
      <c r="WB95" s="364"/>
      <c r="WC95" s="364"/>
      <c r="WD95" s="359"/>
      <c r="WE95" s="359"/>
      <c r="WF95" s="359"/>
      <c r="WG95" s="359"/>
      <c r="WH95" s="359"/>
      <c r="WI95" s="359"/>
      <c r="WJ95" s="359"/>
      <c r="WK95" s="359"/>
      <c r="WL95" s="359"/>
    </row>
    <row r="96" spans="410:610" x14ac:dyDescent="0.25">
      <c r="VS96" s="20">
        <v>1</v>
      </c>
      <c r="VT96" s="20">
        <f t="shared" ref="VT96:VT97" si="57">IFERROR(VV96/VU96,0)</f>
        <v>0.7142857142857143</v>
      </c>
      <c r="VU96" s="12">
        <f t="shared" ref="VU96:VU97" si="58">VW96+VV96</f>
        <v>7</v>
      </c>
      <c r="VV96" s="23">
        <f>COUNTIFS($VW$2:$VW$72,VV$75,$VS$2:$VS$72,"&lt;1")</f>
        <v>5</v>
      </c>
      <c r="VW96" s="23">
        <f>COUNTIFS($VW$2:$VW$72,VW$75,$VS$2:$VS$72,"&lt;1")</f>
        <v>2</v>
      </c>
      <c r="VX96" s="31" t="s">
        <v>2631</v>
      </c>
      <c r="VY96" s="352">
        <f>COUNTIFS($VY$2:$VY$72,VY$75,$VS$2:$VS$72,"&lt;1")</f>
        <v>1</v>
      </c>
      <c r="VZ96" s="352">
        <f>COUNTIFS($VY$2:$VY$72,VZ$75,$VS$2:$VS$72,"&lt;1")</f>
        <v>2</v>
      </c>
      <c r="WA96" s="352">
        <f>COUNTIFS($VY$2:$VY$72,WA$75,$VS$2:$VS$72,"&lt;1")</f>
        <v>2</v>
      </c>
      <c r="WB96" s="352">
        <f>COUNTIFS($VY$2:$VY$72,WB$75,$VS$2:$VS$72,"&lt;1")</f>
        <v>0</v>
      </c>
      <c r="WC96" s="352">
        <f>COUNTIFS($VY$2:$VY$72,WC$75,$VS$2:$VS$72,"&lt;1")</f>
        <v>2</v>
      </c>
      <c r="WD96" s="352">
        <f>SUM(VY96:WC96)</f>
        <v>7</v>
      </c>
      <c r="WE96" s="353">
        <f>IF(WD96=0,0,SUMPRODUCT($VY$75:$WC$75,VY96:WC96)/WD96)</f>
        <v>3</v>
      </c>
      <c r="WF96" s="353">
        <v>2.7142857142857144</v>
      </c>
      <c r="WG96" s="352">
        <v>1</v>
      </c>
      <c r="WH96" s="352">
        <v>2</v>
      </c>
      <c r="WI96" s="352">
        <v>2</v>
      </c>
      <c r="WJ96" s="352">
        <v>2</v>
      </c>
      <c r="WK96" s="352">
        <v>0</v>
      </c>
      <c r="WL96" s="352">
        <v>7</v>
      </c>
    </row>
    <row r="97" spans="591:610" x14ac:dyDescent="0.25">
      <c r="VS97" s="20">
        <v>0.77272727272727271</v>
      </c>
      <c r="VT97" s="20">
        <f t="shared" si="57"/>
        <v>0.86363636363636365</v>
      </c>
      <c r="VU97" s="12">
        <f t="shared" si="58"/>
        <v>22</v>
      </c>
      <c r="VV97" s="23">
        <f>COUNTIFS($VW$2:$VW$72,VV$75,$VS$2:$VS$72,"=1")</f>
        <v>19</v>
      </c>
      <c r="VW97" s="23">
        <f>COUNTIFS($VW$2:$VW$72,VW$75,$VS$2:$VS$72,"=1")</f>
        <v>3</v>
      </c>
      <c r="VX97" s="31" t="s">
        <v>2632</v>
      </c>
      <c r="VY97" s="352">
        <f>COUNTIFS($VY$2:$VY$72,VY$75,$VS$2:$VS$72,"=1")</f>
        <v>2</v>
      </c>
      <c r="VZ97" s="352">
        <f>COUNTIFS($VY$2:$VY$72,VZ$75,$VS$2:$VS$72,"=1")</f>
        <v>4</v>
      </c>
      <c r="WA97" s="352">
        <f>COUNTIFS($VY$2:$VY$72,WA$75,$VS$2:$VS$72,"=1")</f>
        <v>4</v>
      </c>
      <c r="WB97" s="352">
        <f>COUNTIFS($VY$2:$VY$72,WB$75,$VS$2:$VS$72,"=1")</f>
        <v>6</v>
      </c>
      <c r="WC97" s="352">
        <f>COUNTIFS($VY$2:$VY$72,WC$75,$VS$2:$VS$72,"=1")</f>
        <v>6</v>
      </c>
      <c r="WD97" s="352">
        <f>SUM(VY97:WC97)</f>
        <v>22</v>
      </c>
      <c r="WE97" s="353">
        <f>IF(WD97=0,0,SUMPRODUCT($VY$75:$WC$75,VY97:WC97)/WD97)</f>
        <v>3.4545454545454546</v>
      </c>
      <c r="WF97" s="353">
        <v>3.5454545454545454</v>
      </c>
      <c r="WG97" s="352">
        <v>3</v>
      </c>
      <c r="WH97" s="352">
        <v>4</v>
      </c>
      <c r="WI97" s="352">
        <v>4</v>
      </c>
      <c r="WJ97" s="352">
        <v>4</v>
      </c>
      <c r="WK97" s="352">
        <v>8</v>
      </c>
      <c r="WL97" s="352">
        <v>22</v>
      </c>
    </row>
    <row r="98" spans="591:610" x14ac:dyDescent="0.25">
      <c r="VS98" s="20"/>
      <c r="VT98" s="20"/>
      <c r="VU98" s="12"/>
      <c r="VV98" s="12"/>
      <c r="VW98" s="12"/>
      <c r="VX98" s="31"/>
      <c r="VY98" s="364"/>
      <c r="VZ98" s="364"/>
      <c r="WA98" s="364"/>
      <c r="WB98" s="364"/>
      <c r="WC98" s="364"/>
      <c r="WD98" s="364"/>
      <c r="WE98" s="365"/>
      <c r="WF98" s="365"/>
      <c r="WG98" s="364"/>
      <c r="WH98" s="364"/>
      <c r="WI98" s="364"/>
      <c r="WJ98" s="364"/>
      <c r="WK98" s="364"/>
      <c r="WL98" s="364"/>
    </row>
    <row r="99" spans="591:610" x14ac:dyDescent="0.25">
      <c r="VS99" s="20">
        <v>1</v>
      </c>
      <c r="VT99" s="20">
        <f t="shared" ref="VT99:VT100" si="59">IFERROR(VV99/VU99,0)</f>
        <v>0.875</v>
      </c>
      <c r="VU99" s="12">
        <f t="shared" ref="VU99:VU100" si="60">VW99+VV99</f>
        <v>8</v>
      </c>
      <c r="VV99" s="23">
        <f>COUNTIFS($VW$2:$VW$72,VV$75,$VR$2:$VR$72,"&lt;1")</f>
        <v>7</v>
      </c>
      <c r="VW99" s="23">
        <f>COUNTIFS($VW$2:$VW$72,VW$75,$VR$2:$VR$72,"&lt;1")</f>
        <v>1</v>
      </c>
      <c r="VX99" s="31" t="s">
        <v>2617</v>
      </c>
      <c r="VY99" s="352">
        <f>COUNTIFS($VY$2:$VY$72,VY$75,$VR$2:$VR$72,"&lt;1")</f>
        <v>1</v>
      </c>
      <c r="VZ99" s="352">
        <f>COUNTIFS($VY$2:$VY$72,VZ$75,$VR$2:$VR$72,"&lt;1")</f>
        <v>1</v>
      </c>
      <c r="WA99" s="352">
        <f>COUNTIFS($VY$2:$VY$72,WA$75,$VR$2:$VR$72,"&lt;1")</f>
        <v>2</v>
      </c>
      <c r="WB99" s="352">
        <f>COUNTIFS($VY$2:$VY$72,WB$75,$VR$2:$VR$72,"&lt;1")</f>
        <v>2</v>
      </c>
      <c r="WC99" s="352">
        <f>COUNTIFS($VY$2:$VY$72,WC$75,$VR$2:$VR$72,"&lt;1")</f>
        <v>2</v>
      </c>
      <c r="WD99" s="352">
        <f>SUM(VY99:WC99)</f>
        <v>8</v>
      </c>
      <c r="WE99" s="353">
        <f>IF(WD99=0,0,SUMPRODUCT($VY$75:$WC$75,VY99:WC99)/WD99)</f>
        <v>3.375</v>
      </c>
      <c r="WF99" s="353">
        <v>3.25</v>
      </c>
      <c r="WG99" s="352">
        <v>1</v>
      </c>
      <c r="WH99" s="352">
        <v>1</v>
      </c>
      <c r="WI99" s="352">
        <v>3</v>
      </c>
      <c r="WJ99" s="352">
        <v>1</v>
      </c>
      <c r="WK99" s="352">
        <v>2</v>
      </c>
      <c r="WL99" s="352">
        <v>8</v>
      </c>
    </row>
    <row r="100" spans="591:610" x14ac:dyDescent="0.25">
      <c r="VS100" s="20">
        <v>0.76190476190476186</v>
      </c>
      <c r="VT100" s="20">
        <f t="shared" si="59"/>
        <v>0.80952380952380953</v>
      </c>
      <c r="VU100" s="12">
        <f t="shared" si="60"/>
        <v>21</v>
      </c>
      <c r="VV100" s="23">
        <f>COUNTIFS($VW$2:$VW$72,VV$75,$VR$2:$VR$72,"=1")</f>
        <v>17</v>
      </c>
      <c r="VW100" s="23">
        <f>COUNTIFS($VW$2:$VW$72,VW$75,$VR$2:$VR$72,"=1")</f>
        <v>4</v>
      </c>
      <c r="VX100" s="31" t="s">
        <v>3291</v>
      </c>
      <c r="VY100" s="352">
        <f>COUNTIFS($VY$2:$VY$72,VY$75,$VR$2:$VR$72,"=1")</f>
        <v>2</v>
      </c>
      <c r="VZ100" s="352">
        <f>COUNTIFS($VY$2:$VY$72,VZ$75,$VR$2:$VR$72,"=1")</f>
        <v>5</v>
      </c>
      <c r="WA100" s="352">
        <f>COUNTIFS($VY$2:$VY$72,WA$75,$VR$2:$VR$72,"=1")</f>
        <v>4</v>
      </c>
      <c r="WB100" s="352">
        <f>COUNTIFS($VY$2:$VY$72,WB$75,$VR$2:$VR$72,"=1")</f>
        <v>4</v>
      </c>
      <c r="WC100" s="352">
        <f>COUNTIFS($VY$2:$VY$72,WC$75,$VR$2:$VR$72,"=1")</f>
        <v>6</v>
      </c>
      <c r="WD100" s="352">
        <f>SUM(VY100:WC100)</f>
        <v>21</v>
      </c>
      <c r="WE100" s="353">
        <f>IF(WD100=0,0,SUMPRODUCT($VY$75:$WC$75,VY100:WC100)/WD100)</f>
        <v>3.3333333333333335</v>
      </c>
      <c r="WF100" s="353">
        <v>3.3809523809523809</v>
      </c>
      <c r="WG100" s="352">
        <v>3</v>
      </c>
      <c r="WH100" s="352">
        <v>5</v>
      </c>
      <c r="WI100" s="352">
        <v>3</v>
      </c>
      <c r="WJ100" s="352">
        <v>5</v>
      </c>
      <c r="WK100" s="352">
        <v>6</v>
      </c>
      <c r="WL100" s="352">
        <v>21</v>
      </c>
    </row>
    <row r="101" spans="591:610" x14ac:dyDescent="0.25">
      <c r="VV101" s="2"/>
      <c r="VW101" s="2"/>
      <c r="VX101" s="31"/>
      <c r="VY101" s="364"/>
      <c r="VZ101" s="364"/>
      <c r="WA101" s="364"/>
      <c r="WB101" s="364"/>
      <c r="WC101" s="364"/>
      <c r="WD101" s="359"/>
      <c r="WE101" s="359"/>
      <c r="WF101" s="359"/>
      <c r="WG101" s="364"/>
      <c r="WH101" s="364"/>
      <c r="WI101" s="364"/>
      <c r="WJ101" s="364"/>
      <c r="WK101" s="364"/>
      <c r="WL101" s="359"/>
    </row>
    <row r="102" spans="591:610" x14ac:dyDescent="0.25">
      <c r="VS102" s="21">
        <v>0</v>
      </c>
      <c r="VT102" s="21">
        <f t="shared" ref="VT102:VT103" si="61">IF(VU102=0,0,VV102/VU102)</f>
        <v>0</v>
      </c>
      <c r="VU102" s="23">
        <f>VV102+VW102</f>
        <v>0</v>
      </c>
      <c r="VV102" s="23">
        <f>COUNTIFS($VW$2:$VW$72,VV$75,$VQ$2:$VQ$72,"&gt;1")</f>
        <v>0</v>
      </c>
      <c r="VW102" s="23">
        <f>COUNTIFS($VW$2:$VW$72,VW$75,$VQ$2:$VQ$72,"&gt;1")</f>
        <v>0</v>
      </c>
      <c r="VX102" s="31" t="s">
        <v>4960</v>
      </c>
      <c r="VY102" s="352">
        <f>COUNTIFS($VY$2:$VY$72,VY$75,$VQ$2:$VQ$72,"&gt;1")</f>
        <v>0</v>
      </c>
      <c r="VZ102" s="352">
        <f>COUNTIFS($VY$2:$VY$72,VZ$75,$VQ$2:$VQ$72,"&gt;1")</f>
        <v>0</v>
      </c>
      <c r="WA102" s="352">
        <f>COUNTIFS($VY$2:$VY$72,WA$75,$VQ$2:$VQ$72,"&gt;1")</f>
        <v>0</v>
      </c>
      <c r="WB102" s="352">
        <f>COUNTIFS($VY$2:$VY$72,WB$75,$VQ$2:$VQ$72,"&gt;1")</f>
        <v>0</v>
      </c>
      <c r="WC102" s="352">
        <f>COUNTIFS($VY$2:$VY$72,WC$75,$VQ$2:$VQ$72,"&gt;1")</f>
        <v>0</v>
      </c>
      <c r="WD102" s="352">
        <f>SUM(VY102:WC102)</f>
        <v>0</v>
      </c>
      <c r="WE102" s="353">
        <f>IF(WD102=0,0,SUMPRODUCT($VY$75:$WC$75,VY102:WC102)/WD102)</f>
        <v>0</v>
      </c>
      <c r="WF102" s="353">
        <v>0</v>
      </c>
      <c r="WG102" s="352">
        <v>0</v>
      </c>
      <c r="WH102" s="352">
        <v>0</v>
      </c>
      <c r="WI102" s="352">
        <v>0</v>
      </c>
      <c r="WJ102" s="352">
        <v>0</v>
      </c>
      <c r="WK102" s="352">
        <v>0</v>
      </c>
      <c r="WL102" s="352">
        <v>0</v>
      </c>
    </row>
    <row r="103" spans="591:610" x14ac:dyDescent="0.25">
      <c r="VS103" s="21">
        <v>0.82758620689655171</v>
      </c>
      <c r="VT103" s="21">
        <f t="shared" si="61"/>
        <v>0.82758620689655171</v>
      </c>
      <c r="VU103" s="23">
        <f>VV103+VW103</f>
        <v>29</v>
      </c>
      <c r="VV103" s="23">
        <f>COUNTIFS($VW$2:$VW$72,VV$75,$VQ$2:$VQ$72,"=1")</f>
        <v>24</v>
      </c>
      <c r="VW103" s="23">
        <f>COUNTIFS($VW$2:$VW$72,VW$75,$VQ$2:$VQ$72,"=1")</f>
        <v>5</v>
      </c>
      <c r="VX103" s="31" t="s">
        <v>4961</v>
      </c>
      <c r="VY103" s="352">
        <f>COUNTIFS($VY$2:$VY$72,VY$75,$VQ$2:$VQ$72,"=1")</f>
        <v>3</v>
      </c>
      <c r="VZ103" s="352">
        <f>COUNTIFS($VY$2:$VY$72,VZ$75,$VQ$2:$VQ$72,"=1")</f>
        <v>6</v>
      </c>
      <c r="WA103" s="352">
        <f>COUNTIFS($VY$2:$VY$72,WA$75,$VQ$2:$VQ$72,"=1")</f>
        <v>6</v>
      </c>
      <c r="WB103" s="352">
        <f>COUNTIFS($VY$2:$VY$72,WB$75,$VQ$2:$VQ$72,"=1")</f>
        <v>6</v>
      </c>
      <c r="WC103" s="352">
        <f>COUNTIFS($VY$2:$VY$72,WC$75,$VQ$2:$VQ$72,"=1")</f>
        <v>8</v>
      </c>
      <c r="WD103" s="352">
        <f>SUM(VY103:WC103)</f>
        <v>29</v>
      </c>
      <c r="WE103" s="353">
        <f>IF(WD103=0,0,SUMPRODUCT($VY$75:$WC$75,VY103:WC103)/WD103)</f>
        <v>3.3448275862068964</v>
      </c>
      <c r="WF103" s="353">
        <v>3.3448275862068964</v>
      </c>
      <c r="WG103" s="352">
        <v>4</v>
      </c>
      <c r="WH103" s="352">
        <v>6</v>
      </c>
      <c r="WI103" s="352">
        <v>6</v>
      </c>
      <c r="WJ103" s="352">
        <v>6</v>
      </c>
      <c r="WK103" s="352">
        <v>8</v>
      </c>
      <c r="WL103" s="352">
        <v>29</v>
      </c>
    </row>
    <row r="104" spans="591:610" x14ac:dyDescent="0.25">
      <c r="VV104" s="2"/>
      <c r="VW104" s="2"/>
      <c r="VX104" s="31"/>
      <c r="VY104" s="364"/>
      <c r="VZ104" s="364"/>
      <c r="WA104" s="364"/>
      <c r="WB104" s="364"/>
      <c r="WC104" s="364"/>
      <c r="WD104" s="359"/>
      <c r="WE104" s="359"/>
      <c r="WF104" s="359"/>
      <c r="WG104" s="364"/>
      <c r="WH104" s="364"/>
      <c r="WI104" s="364"/>
      <c r="WJ104" s="364"/>
      <c r="WK104" s="364"/>
      <c r="WL104" s="359"/>
    </row>
    <row r="105" spans="591:610" x14ac:dyDescent="0.25">
      <c r="VS105" s="20">
        <v>0.76470588235294112</v>
      </c>
      <c r="VT105" s="20">
        <f t="shared" ref="VT105:VT106" si="62">IFERROR(VV105/VU105,0)</f>
        <v>0.82352941176470584</v>
      </c>
      <c r="VU105" s="12">
        <f t="shared" ref="VU105:VU106" si="63">VW105+VV105</f>
        <v>17</v>
      </c>
      <c r="VV105" s="23">
        <f>COUNTIFS($VW$2:$VW$72,VV$75,$BW$2:$BW$72,$VX105)</f>
        <v>14</v>
      </c>
      <c r="VW105" s="23">
        <f>COUNTIFS($VW$2:$VW$72,VW$75,$BW$2:$BW$72,$VX105)</f>
        <v>3</v>
      </c>
      <c r="VX105" s="31" t="s">
        <v>18</v>
      </c>
      <c r="VY105" s="352">
        <f t="shared" ref="VY105:WC106" si="64">COUNTIFS($VY$2:$VY$72,VY$75,$BW$2:$BW$72,$VX105)</f>
        <v>2</v>
      </c>
      <c r="VZ105" s="352">
        <f t="shared" si="64"/>
        <v>5</v>
      </c>
      <c r="WA105" s="352">
        <f t="shared" si="64"/>
        <v>2</v>
      </c>
      <c r="WB105" s="352">
        <f t="shared" si="64"/>
        <v>2</v>
      </c>
      <c r="WC105" s="352">
        <f t="shared" si="64"/>
        <v>6</v>
      </c>
      <c r="WD105" s="352">
        <f>SUM(VY105:WC105)</f>
        <v>17</v>
      </c>
      <c r="WE105" s="353">
        <f>IF(WD105=0,0,SUMPRODUCT($VY$75:$WC$75,VY105:WC105)/WD105)</f>
        <v>3.2941176470588234</v>
      </c>
      <c r="WF105" s="353">
        <v>3.1764705882352939</v>
      </c>
      <c r="WG105" s="352">
        <v>2</v>
      </c>
      <c r="WH105" s="352">
        <v>5</v>
      </c>
      <c r="WI105" s="352">
        <v>3</v>
      </c>
      <c r="WJ105" s="352">
        <v>2</v>
      </c>
      <c r="WK105" s="352">
        <v>5</v>
      </c>
      <c r="WL105" s="352">
        <v>17</v>
      </c>
    </row>
    <row r="106" spans="591:610" x14ac:dyDescent="0.25">
      <c r="VS106" s="20">
        <v>0.91666666666666663</v>
      </c>
      <c r="VT106" s="20">
        <f t="shared" si="62"/>
        <v>0.83333333333333337</v>
      </c>
      <c r="VU106" s="12">
        <f t="shared" si="63"/>
        <v>12</v>
      </c>
      <c r="VV106" s="23">
        <f>COUNTIFS($VW$2:$VW$72,VV$75,$BW$2:$BW$72,$VX106)</f>
        <v>10</v>
      </c>
      <c r="VW106" s="23">
        <f>COUNTIFS($VW$2:$VW$72,VW$75,$BW$2:$BW$72,$VX106)</f>
        <v>2</v>
      </c>
      <c r="VX106" s="31" t="s">
        <v>126</v>
      </c>
      <c r="VY106" s="352">
        <f t="shared" si="64"/>
        <v>1</v>
      </c>
      <c r="VZ106" s="352">
        <f t="shared" si="64"/>
        <v>1</v>
      </c>
      <c r="WA106" s="352">
        <f t="shared" si="64"/>
        <v>4</v>
      </c>
      <c r="WB106" s="352">
        <f t="shared" si="64"/>
        <v>4</v>
      </c>
      <c r="WC106" s="352">
        <f t="shared" si="64"/>
        <v>2</v>
      </c>
      <c r="WD106" s="352">
        <f>SUM(VY106:WC106)</f>
        <v>12</v>
      </c>
      <c r="WE106" s="353">
        <f>IF(WD106=0,0,SUMPRODUCT($VY$75:$WC$75,VY106:WC106)/WD106)</f>
        <v>3.4166666666666665</v>
      </c>
      <c r="WF106" s="353">
        <v>3.5833333333333335</v>
      </c>
      <c r="WG106" s="352">
        <v>2</v>
      </c>
      <c r="WH106" s="352">
        <v>1</v>
      </c>
      <c r="WI106" s="352">
        <v>3</v>
      </c>
      <c r="WJ106" s="352">
        <v>4</v>
      </c>
      <c r="WK106" s="352">
        <v>3</v>
      </c>
      <c r="WL106" s="352">
        <v>12</v>
      </c>
    </row>
    <row r="107" spans="591:610" x14ac:dyDescent="0.25">
      <c r="VX107" s="31"/>
      <c r="VY107" s="359"/>
      <c r="VZ107" s="359"/>
      <c r="WA107" s="359"/>
      <c r="WB107" s="359"/>
      <c r="WC107" s="359"/>
      <c r="WD107" s="359"/>
      <c r="WE107" s="359"/>
      <c r="WF107" s="359"/>
      <c r="WG107" s="359"/>
      <c r="WH107" s="359"/>
      <c r="WI107" s="359"/>
      <c r="WJ107" s="359"/>
      <c r="WK107" s="359"/>
      <c r="WL107" s="359"/>
    </row>
    <row r="108" spans="591:610" x14ac:dyDescent="0.25">
      <c r="VS108" s="20">
        <v>1</v>
      </c>
      <c r="VT108" s="20">
        <f t="shared" ref="VT108:VT114" si="65">IFERROR(VV108/VU108,0)</f>
        <v>1</v>
      </c>
      <c r="VU108" s="12">
        <f>COUNTIF($VN$2:$VN$72,$VX108)</f>
        <v>2</v>
      </c>
      <c r="VV108" s="12">
        <f>COUNTIFS($VN$2:$VN$72,$VX108,$VW$2:$VW$72,VV$75)</f>
        <v>2</v>
      </c>
      <c r="VW108" s="12">
        <f t="shared" ref="VW108:VW114" si="66">COUNTIFS($VN$2:$VN$72,$VX108,$VW$2:$VW$72,VW$75)</f>
        <v>0</v>
      </c>
      <c r="VX108" s="31" t="s">
        <v>5411</v>
      </c>
      <c r="VY108" s="352">
        <f>COUNTIFS($VN$2:$VN$72,$VX108,$VY$2:$VY$72,VY$75)</f>
        <v>0</v>
      </c>
      <c r="VZ108" s="352">
        <f>COUNTIFS($VN$2:$VN$72,$VX108,$VY$2:$VY$72,VZ$75)</f>
        <v>1</v>
      </c>
      <c r="WA108" s="352">
        <f>COUNTIFS($VN$2:$VN$72,$VX108,$VY$2:$VY$72,WA$75)</f>
        <v>1</v>
      </c>
      <c r="WB108" s="352">
        <f>COUNTIFS($VN$2:$VN$72,$VX108,$VY$2:$VY$72,WB$75)</f>
        <v>0</v>
      </c>
      <c r="WC108" s="352">
        <f>COUNTIFS($VN$2:$VN$72,$VX108,$VY$2:$VY$72,WC$75)</f>
        <v>0</v>
      </c>
      <c r="WD108" s="352">
        <f t="shared" ref="WD108:WD114" si="67">SUM(VY108:WC108)</f>
        <v>2</v>
      </c>
      <c r="WE108" s="353">
        <f t="shared" ref="WE108:WE114" si="68">IF(WD108=0,0,SUMPRODUCT($VY$75:$WC$75,VY108:WC108)/WD108)</f>
        <v>2.5</v>
      </c>
      <c r="WF108" s="353">
        <v>2.5</v>
      </c>
      <c r="WG108" s="352">
        <v>0</v>
      </c>
      <c r="WH108" s="352">
        <v>1</v>
      </c>
      <c r="WI108" s="352">
        <v>1</v>
      </c>
      <c r="WJ108" s="352">
        <v>0</v>
      </c>
      <c r="WK108" s="352">
        <v>0</v>
      </c>
      <c r="WL108" s="352">
        <v>2</v>
      </c>
    </row>
    <row r="109" spans="591:610" x14ac:dyDescent="0.25">
      <c r="VS109" s="20">
        <v>0.7142857142857143</v>
      </c>
      <c r="VT109" s="20">
        <f t="shared" si="65"/>
        <v>0.7142857142857143</v>
      </c>
      <c r="VU109" s="12">
        <f t="shared" ref="VU109:VU113" si="69">COUNTIF($VN$2:$VN$72,$VX109)</f>
        <v>7</v>
      </c>
      <c r="VV109" s="12">
        <f t="shared" ref="VV109:VV114" si="70">COUNTIFS($VN$2:$VN$72,$VX109,$VW$2:$VW$72,VV$75)</f>
        <v>5</v>
      </c>
      <c r="VW109" s="12">
        <f t="shared" si="66"/>
        <v>2</v>
      </c>
      <c r="VX109" s="31" t="s">
        <v>5409</v>
      </c>
      <c r="VY109" s="352">
        <f t="shared" ref="VY109:VY114" si="71">COUNTIFS($VN$2:$VN$72,$VX109,$VY$2:$VY$72,VY$75)</f>
        <v>1</v>
      </c>
      <c r="VZ109" s="352">
        <f t="shared" ref="VZ109:WC114" si="72">COUNTIFS($VN$2:$VN$72,$VX109,$VY$2:$VY$72,VZ$75)</f>
        <v>3</v>
      </c>
      <c r="WA109" s="352">
        <f t="shared" si="72"/>
        <v>1</v>
      </c>
      <c r="WB109" s="352">
        <f t="shared" si="72"/>
        <v>0</v>
      </c>
      <c r="WC109" s="352">
        <f t="shared" si="72"/>
        <v>2</v>
      </c>
      <c r="WD109" s="352">
        <f t="shared" si="67"/>
        <v>7</v>
      </c>
      <c r="WE109" s="353">
        <f t="shared" si="68"/>
        <v>2.8571428571428572</v>
      </c>
      <c r="WF109" s="353">
        <v>2.8571428571428572</v>
      </c>
      <c r="WG109" s="352">
        <v>1</v>
      </c>
      <c r="WH109" s="352">
        <v>3</v>
      </c>
      <c r="WI109" s="352">
        <v>1</v>
      </c>
      <c r="WJ109" s="352">
        <v>0</v>
      </c>
      <c r="WK109" s="352">
        <v>2</v>
      </c>
      <c r="WL109" s="352">
        <v>7</v>
      </c>
    </row>
    <row r="110" spans="591:610" x14ac:dyDescent="0.25">
      <c r="VS110" s="20">
        <v>0.8571428571428571</v>
      </c>
      <c r="VT110" s="20">
        <f t="shared" si="65"/>
        <v>0.8571428571428571</v>
      </c>
      <c r="VU110" s="12">
        <f t="shared" si="69"/>
        <v>7</v>
      </c>
      <c r="VV110" s="12">
        <f t="shared" si="70"/>
        <v>6</v>
      </c>
      <c r="VW110" s="12">
        <f t="shared" si="66"/>
        <v>1</v>
      </c>
      <c r="VX110" s="31" t="s">
        <v>5408</v>
      </c>
      <c r="VY110" s="352">
        <f t="shared" si="71"/>
        <v>0</v>
      </c>
      <c r="VZ110" s="352">
        <f t="shared" si="72"/>
        <v>0</v>
      </c>
      <c r="WA110" s="352">
        <f t="shared" si="72"/>
        <v>3</v>
      </c>
      <c r="WB110" s="352">
        <f t="shared" si="72"/>
        <v>3</v>
      </c>
      <c r="WC110" s="352">
        <f t="shared" si="72"/>
        <v>1</v>
      </c>
      <c r="WD110" s="352">
        <f t="shared" si="67"/>
        <v>7</v>
      </c>
      <c r="WE110" s="353">
        <f t="shared" si="68"/>
        <v>3.7142857142857144</v>
      </c>
      <c r="WF110" s="353">
        <v>4</v>
      </c>
      <c r="WG110" s="352">
        <v>0</v>
      </c>
      <c r="WH110" s="352">
        <v>0</v>
      </c>
      <c r="WI110" s="352">
        <v>2</v>
      </c>
      <c r="WJ110" s="352">
        <v>3</v>
      </c>
      <c r="WK110" s="352">
        <v>2</v>
      </c>
      <c r="WL110" s="352">
        <v>7</v>
      </c>
    </row>
    <row r="111" spans="591:610" x14ac:dyDescent="0.25">
      <c r="VS111" s="20">
        <v>0.7142857142857143</v>
      </c>
      <c r="VT111" s="20">
        <f t="shared" si="65"/>
        <v>0.8571428571428571</v>
      </c>
      <c r="VU111" s="12">
        <f t="shared" si="69"/>
        <v>7</v>
      </c>
      <c r="VV111" s="12">
        <f t="shared" si="70"/>
        <v>6</v>
      </c>
      <c r="VW111" s="12">
        <f t="shared" si="66"/>
        <v>1</v>
      </c>
      <c r="VX111" s="31" t="s">
        <v>5410</v>
      </c>
      <c r="VY111" s="352">
        <f t="shared" si="71"/>
        <v>1</v>
      </c>
      <c r="VZ111" s="352">
        <f t="shared" si="72"/>
        <v>2</v>
      </c>
      <c r="WA111" s="352">
        <f t="shared" si="72"/>
        <v>1</v>
      </c>
      <c r="WB111" s="352">
        <f t="shared" si="72"/>
        <v>0</v>
      </c>
      <c r="WC111" s="352">
        <f t="shared" si="72"/>
        <v>3</v>
      </c>
      <c r="WD111" s="352">
        <f t="shared" si="67"/>
        <v>7</v>
      </c>
      <c r="WE111" s="353">
        <f t="shared" si="68"/>
        <v>3.2857142857142856</v>
      </c>
      <c r="WF111" s="353">
        <v>3.1428571428571428</v>
      </c>
      <c r="WG111" s="352">
        <v>1</v>
      </c>
      <c r="WH111" s="352">
        <v>2</v>
      </c>
      <c r="WI111" s="352">
        <v>1</v>
      </c>
      <c r="WJ111" s="352">
        <v>1</v>
      </c>
      <c r="WK111" s="352">
        <v>2</v>
      </c>
      <c r="WL111" s="352">
        <v>7</v>
      </c>
    </row>
    <row r="112" spans="591:610" x14ac:dyDescent="0.25">
      <c r="VS112" s="20">
        <v>1</v>
      </c>
      <c r="VT112" s="20">
        <f t="shared" ref="VT112:VT113" si="73">IFERROR(VV112/VU112,0)</f>
        <v>0.66666666666666663</v>
      </c>
      <c r="VU112" s="12">
        <f t="shared" si="69"/>
        <v>3</v>
      </c>
      <c r="VV112" s="12">
        <f t="shared" si="70"/>
        <v>2</v>
      </c>
      <c r="VW112" s="12">
        <f t="shared" si="66"/>
        <v>1</v>
      </c>
      <c r="VX112" s="31" t="s">
        <v>5413</v>
      </c>
      <c r="VY112" s="352">
        <f t="shared" si="71"/>
        <v>1</v>
      </c>
      <c r="VZ112" s="352">
        <f t="shared" si="72"/>
        <v>0</v>
      </c>
      <c r="WA112" s="352">
        <f t="shared" si="72"/>
        <v>0</v>
      </c>
      <c r="WB112" s="352">
        <f t="shared" si="72"/>
        <v>1</v>
      </c>
      <c r="WC112" s="352">
        <f t="shared" si="72"/>
        <v>1</v>
      </c>
      <c r="WD112" s="352">
        <f t="shared" si="67"/>
        <v>3</v>
      </c>
      <c r="WE112" s="353">
        <f t="shared" si="68"/>
        <v>3.3333333333333335</v>
      </c>
      <c r="WF112" s="353">
        <v>3.3333333333333335</v>
      </c>
      <c r="WG112" s="352">
        <v>1</v>
      </c>
      <c r="WH112" s="352">
        <v>0</v>
      </c>
      <c r="WI112" s="352">
        <v>0</v>
      </c>
      <c r="WJ112" s="352">
        <v>1</v>
      </c>
      <c r="WK112" s="352">
        <v>1</v>
      </c>
      <c r="WL112" s="352">
        <v>3</v>
      </c>
    </row>
    <row r="113" spans="591:610" x14ac:dyDescent="0.25">
      <c r="VS113" s="20">
        <v>1</v>
      </c>
      <c r="VT113" s="20">
        <f t="shared" si="73"/>
        <v>1</v>
      </c>
      <c r="VU113" s="12">
        <f t="shared" si="69"/>
        <v>3</v>
      </c>
      <c r="VV113" s="12">
        <f t="shared" si="70"/>
        <v>3</v>
      </c>
      <c r="VW113" s="12">
        <f t="shared" si="66"/>
        <v>0</v>
      </c>
      <c r="VX113" s="31" t="s">
        <v>5414</v>
      </c>
      <c r="VY113" s="352">
        <f t="shared" si="71"/>
        <v>0</v>
      </c>
      <c r="VZ113" s="352">
        <f t="shared" si="72"/>
        <v>0</v>
      </c>
      <c r="WA113" s="352">
        <f t="shared" si="72"/>
        <v>0</v>
      </c>
      <c r="WB113" s="352">
        <f t="shared" si="72"/>
        <v>2</v>
      </c>
      <c r="WC113" s="352">
        <f t="shared" si="72"/>
        <v>1</v>
      </c>
      <c r="WD113" s="352">
        <f t="shared" si="67"/>
        <v>3</v>
      </c>
      <c r="WE113" s="353">
        <f t="shared" si="68"/>
        <v>4.333333333333333</v>
      </c>
      <c r="WF113" s="353">
        <v>4</v>
      </c>
      <c r="WG113" s="352">
        <v>0</v>
      </c>
      <c r="WH113" s="352">
        <v>0</v>
      </c>
      <c r="WI113" s="352">
        <v>1</v>
      </c>
      <c r="WJ113" s="352">
        <v>1</v>
      </c>
      <c r="WK113" s="352">
        <v>1</v>
      </c>
      <c r="WL113" s="352">
        <v>3</v>
      </c>
    </row>
    <row r="114" spans="591:610" x14ac:dyDescent="0.25">
      <c r="VS114" s="20">
        <v>0</v>
      </c>
      <c r="VT114" s="20">
        <f t="shared" si="65"/>
        <v>0</v>
      </c>
      <c r="VU114" s="12">
        <f>COUNTIF($VN$2:$VN$72,$VX114)</f>
        <v>0</v>
      </c>
      <c r="VV114" s="12">
        <f t="shared" si="70"/>
        <v>0</v>
      </c>
      <c r="VW114" s="12">
        <f t="shared" si="66"/>
        <v>0</v>
      </c>
      <c r="VX114" s="31" t="s">
        <v>5412</v>
      </c>
      <c r="VY114" s="352">
        <f t="shared" si="71"/>
        <v>0</v>
      </c>
      <c r="VZ114" s="352">
        <f t="shared" si="72"/>
        <v>0</v>
      </c>
      <c r="WA114" s="352">
        <f t="shared" si="72"/>
        <v>0</v>
      </c>
      <c r="WB114" s="352">
        <f t="shared" si="72"/>
        <v>0</v>
      </c>
      <c r="WC114" s="352">
        <f t="shared" si="72"/>
        <v>0</v>
      </c>
      <c r="WD114" s="352">
        <f t="shared" si="67"/>
        <v>0</v>
      </c>
      <c r="WE114" s="353">
        <f t="shared" si="68"/>
        <v>0</v>
      </c>
      <c r="WF114" s="353">
        <v>0</v>
      </c>
      <c r="WG114" s="352">
        <v>0</v>
      </c>
      <c r="WH114" s="352">
        <v>0</v>
      </c>
      <c r="WI114" s="352">
        <v>0</v>
      </c>
      <c r="WJ114" s="352">
        <v>0</v>
      </c>
      <c r="WK114" s="352">
        <v>0</v>
      </c>
      <c r="WL114" s="352">
        <v>0</v>
      </c>
    </row>
    <row r="115" spans="591:610" x14ac:dyDescent="0.25">
      <c r="VX115" s="31"/>
      <c r="VY115" s="359"/>
      <c r="VZ115" s="359"/>
      <c r="WA115" s="359"/>
      <c r="WB115" s="359"/>
      <c r="WC115" s="359"/>
      <c r="WD115" s="359"/>
      <c r="WE115" s="359"/>
      <c r="WF115" s="359"/>
      <c r="WG115" s="359"/>
      <c r="WH115" s="359"/>
      <c r="WI115" s="359"/>
      <c r="WJ115" s="359"/>
      <c r="WK115" s="359"/>
      <c r="WL115" s="359"/>
    </row>
    <row r="116" spans="591:610" x14ac:dyDescent="0.25">
      <c r="VS116" s="20">
        <v>1</v>
      </c>
      <c r="VT116" s="20">
        <f t="shared" ref="VT116:VT126" si="74">IFERROR(VV116/VU116,0)</f>
        <v>1</v>
      </c>
      <c r="VU116" s="12">
        <f t="shared" ref="VU116:VU126" si="75">COUNTIF($VO$2:$VO$72,$VX116)</f>
        <v>2</v>
      </c>
      <c r="VV116" s="12">
        <f t="shared" ref="VV116:VW126" si="76">COUNTIFS($VO$2:$VO$72,$VX116,$VW$2:$VW$72,VV$75)</f>
        <v>2</v>
      </c>
      <c r="VW116" s="12">
        <f t="shared" si="76"/>
        <v>0</v>
      </c>
      <c r="VX116" s="31" t="s">
        <v>5432</v>
      </c>
      <c r="VY116" s="352">
        <f>COUNTIFS($VO$2:$VO$72,$VX116,$VY$2:$VY$72,VY$75)</f>
        <v>0</v>
      </c>
      <c r="VZ116" s="352">
        <f>COUNTIFS($VO$2:$VO$72,$VX116,$VY$2:$VY$72,VZ$75)</f>
        <v>1</v>
      </c>
      <c r="WA116" s="352">
        <f>COUNTIFS($VO$2:$VO$72,$VX116,$VY$2:$VY$72,WA$75)</f>
        <v>1</v>
      </c>
      <c r="WB116" s="352">
        <f>COUNTIFS($VO$2:$VO$72,$VX116,$VY$2:$VY$72,WB$75)</f>
        <v>0</v>
      </c>
      <c r="WC116" s="352">
        <f>COUNTIFS($VO$2:$VO$72,$VX116,$VY$2:$VY$72,WC$75)</f>
        <v>0</v>
      </c>
      <c r="WD116" s="352">
        <f t="shared" ref="WD116:WD126" si="77">SUM(VY116:WC116)</f>
        <v>2</v>
      </c>
      <c r="WE116" s="353">
        <f t="shared" ref="WE116:WE126" si="78">IF(WD116=0,0,SUMPRODUCT($VY$75:$WC$75,VY116:WC116)/WD116)</f>
        <v>2.5</v>
      </c>
      <c r="WF116" s="353">
        <v>2.5</v>
      </c>
      <c r="WG116" s="352">
        <v>0</v>
      </c>
      <c r="WH116" s="352">
        <v>1</v>
      </c>
      <c r="WI116" s="352">
        <v>1</v>
      </c>
      <c r="WJ116" s="352">
        <v>0</v>
      </c>
      <c r="WK116" s="352">
        <v>0</v>
      </c>
      <c r="WL116" s="352">
        <v>2</v>
      </c>
    </row>
    <row r="117" spans="591:610" x14ac:dyDescent="0.25">
      <c r="VS117" s="20">
        <v>0</v>
      </c>
      <c r="VT117" s="20">
        <f t="shared" si="74"/>
        <v>0</v>
      </c>
      <c r="VU117" s="12">
        <f t="shared" si="75"/>
        <v>0</v>
      </c>
      <c r="VV117" s="12">
        <f t="shared" si="76"/>
        <v>0</v>
      </c>
      <c r="VW117" s="12">
        <f t="shared" si="76"/>
        <v>0</v>
      </c>
      <c r="VX117" s="31" t="s">
        <v>5433</v>
      </c>
      <c r="VY117" s="352">
        <f t="shared" ref="VY117:WC126" si="79">COUNTIFS($VO$2:$VO$72,$VX117,$VY$2:$VY$72,VY$75)</f>
        <v>0</v>
      </c>
      <c r="VZ117" s="352">
        <f t="shared" si="79"/>
        <v>0</v>
      </c>
      <c r="WA117" s="352">
        <f t="shared" si="79"/>
        <v>0</v>
      </c>
      <c r="WB117" s="352">
        <f t="shared" si="79"/>
        <v>0</v>
      </c>
      <c r="WC117" s="352">
        <f t="shared" si="79"/>
        <v>0</v>
      </c>
      <c r="WD117" s="352">
        <f t="shared" si="77"/>
        <v>0</v>
      </c>
      <c r="WE117" s="353">
        <f t="shared" si="78"/>
        <v>0</v>
      </c>
      <c r="WF117" s="353">
        <v>0</v>
      </c>
      <c r="WG117" s="352">
        <v>0</v>
      </c>
      <c r="WH117" s="352">
        <v>0</v>
      </c>
      <c r="WI117" s="352">
        <v>0</v>
      </c>
      <c r="WJ117" s="352">
        <v>0</v>
      </c>
      <c r="WK117" s="352">
        <v>0</v>
      </c>
      <c r="WL117" s="352">
        <v>0</v>
      </c>
    </row>
    <row r="118" spans="591:610" x14ac:dyDescent="0.25">
      <c r="VS118" s="20">
        <v>0.7142857142857143</v>
      </c>
      <c r="VT118" s="20">
        <f t="shared" si="74"/>
        <v>0.7142857142857143</v>
      </c>
      <c r="VU118" s="12">
        <f t="shared" si="75"/>
        <v>7</v>
      </c>
      <c r="VV118" s="12">
        <f t="shared" si="76"/>
        <v>5</v>
      </c>
      <c r="VW118" s="12">
        <f t="shared" si="76"/>
        <v>2</v>
      </c>
      <c r="VX118" s="31" t="s">
        <v>5434</v>
      </c>
      <c r="VY118" s="352">
        <f t="shared" si="79"/>
        <v>1</v>
      </c>
      <c r="VZ118" s="352">
        <f t="shared" si="79"/>
        <v>3</v>
      </c>
      <c r="WA118" s="352">
        <f t="shared" si="79"/>
        <v>1</v>
      </c>
      <c r="WB118" s="352">
        <f t="shared" si="79"/>
        <v>0</v>
      </c>
      <c r="WC118" s="352">
        <f t="shared" si="79"/>
        <v>2</v>
      </c>
      <c r="WD118" s="352">
        <f t="shared" si="77"/>
        <v>7</v>
      </c>
      <c r="WE118" s="353">
        <f t="shared" si="78"/>
        <v>2.8571428571428572</v>
      </c>
      <c r="WF118" s="353">
        <v>2.8571428571428572</v>
      </c>
      <c r="WG118" s="352">
        <v>1</v>
      </c>
      <c r="WH118" s="352">
        <v>3</v>
      </c>
      <c r="WI118" s="352">
        <v>1</v>
      </c>
      <c r="WJ118" s="352">
        <v>0</v>
      </c>
      <c r="WK118" s="352">
        <v>2</v>
      </c>
      <c r="WL118" s="352">
        <v>7</v>
      </c>
    </row>
    <row r="119" spans="591:610" x14ac:dyDescent="0.25">
      <c r="VS119" s="20">
        <v>0</v>
      </c>
      <c r="VT119" s="20">
        <f t="shared" si="74"/>
        <v>0</v>
      </c>
      <c r="VU119" s="12">
        <f t="shared" si="75"/>
        <v>0</v>
      </c>
      <c r="VV119" s="12">
        <f t="shared" si="76"/>
        <v>0</v>
      </c>
      <c r="VW119" s="12">
        <f t="shared" si="76"/>
        <v>0</v>
      </c>
      <c r="VX119" s="31" t="s">
        <v>5435</v>
      </c>
      <c r="VY119" s="352">
        <f t="shared" si="79"/>
        <v>0</v>
      </c>
      <c r="VZ119" s="352">
        <f t="shared" si="79"/>
        <v>0</v>
      </c>
      <c r="WA119" s="352">
        <f t="shared" si="79"/>
        <v>0</v>
      </c>
      <c r="WB119" s="352">
        <f t="shared" si="79"/>
        <v>0</v>
      </c>
      <c r="WC119" s="352">
        <f t="shared" si="79"/>
        <v>0</v>
      </c>
      <c r="WD119" s="352">
        <f t="shared" si="77"/>
        <v>0</v>
      </c>
      <c r="WE119" s="353">
        <f t="shared" si="78"/>
        <v>0</v>
      </c>
      <c r="WF119" s="353">
        <v>0</v>
      </c>
      <c r="WG119" s="352">
        <v>0</v>
      </c>
      <c r="WH119" s="352">
        <v>0</v>
      </c>
      <c r="WI119" s="352">
        <v>0</v>
      </c>
      <c r="WJ119" s="352">
        <v>0</v>
      </c>
      <c r="WK119" s="352">
        <v>0</v>
      </c>
      <c r="WL119" s="352">
        <v>0</v>
      </c>
    </row>
    <row r="120" spans="591:610" x14ac:dyDescent="0.25">
      <c r="VS120" s="20">
        <v>0.83333333333333337</v>
      </c>
      <c r="VT120" s="20">
        <f t="shared" si="74"/>
        <v>0.83333333333333337</v>
      </c>
      <c r="VU120" s="12">
        <f t="shared" si="75"/>
        <v>6</v>
      </c>
      <c r="VV120" s="12">
        <f t="shared" si="76"/>
        <v>5</v>
      </c>
      <c r="VW120" s="12">
        <f t="shared" si="76"/>
        <v>1</v>
      </c>
      <c r="VX120" s="31" t="s">
        <v>5437</v>
      </c>
      <c r="VY120" s="352">
        <f t="shared" si="79"/>
        <v>0</v>
      </c>
      <c r="VZ120" s="352">
        <f t="shared" si="79"/>
        <v>0</v>
      </c>
      <c r="WA120" s="352">
        <f t="shared" si="79"/>
        <v>2</v>
      </c>
      <c r="WB120" s="352">
        <f t="shared" si="79"/>
        <v>3</v>
      </c>
      <c r="WC120" s="352">
        <f t="shared" si="79"/>
        <v>1</v>
      </c>
      <c r="WD120" s="352">
        <f t="shared" si="77"/>
        <v>6</v>
      </c>
      <c r="WE120" s="353">
        <f t="shared" si="78"/>
        <v>3.8333333333333335</v>
      </c>
      <c r="WF120" s="353">
        <v>4</v>
      </c>
      <c r="WG120" s="352">
        <v>0</v>
      </c>
      <c r="WH120" s="352">
        <v>0</v>
      </c>
      <c r="WI120" s="352">
        <v>2</v>
      </c>
      <c r="WJ120" s="352">
        <v>2</v>
      </c>
      <c r="WK120" s="352">
        <v>2</v>
      </c>
      <c r="WL120" s="352">
        <v>6</v>
      </c>
    </row>
    <row r="121" spans="591:610" x14ac:dyDescent="0.25">
      <c r="VS121" s="20">
        <v>1</v>
      </c>
      <c r="VT121" s="20">
        <f t="shared" si="74"/>
        <v>1</v>
      </c>
      <c r="VU121" s="12">
        <f t="shared" si="75"/>
        <v>1</v>
      </c>
      <c r="VV121" s="12">
        <f t="shared" si="76"/>
        <v>1</v>
      </c>
      <c r="VW121" s="12">
        <f t="shared" si="76"/>
        <v>0</v>
      </c>
      <c r="VX121" s="31" t="s">
        <v>5436</v>
      </c>
      <c r="VY121" s="352">
        <f t="shared" si="79"/>
        <v>0</v>
      </c>
      <c r="VZ121" s="352">
        <f t="shared" si="79"/>
        <v>0</v>
      </c>
      <c r="WA121" s="352">
        <f t="shared" si="79"/>
        <v>1</v>
      </c>
      <c r="WB121" s="352">
        <f t="shared" si="79"/>
        <v>0</v>
      </c>
      <c r="WC121" s="352">
        <f t="shared" si="79"/>
        <v>0</v>
      </c>
      <c r="WD121" s="352">
        <f t="shared" si="77"/>
        <v>1</v>
      </c>
      <c r="WE121" s="353">
        <f t="shared" si="78"/>
        <v>3</v>
      </c>
      <c r="WF121" s="353">
        <v>4</v>
      </c>
      <c r="WG121" s="352">
        <v>0</v>
      </c>
      <c r="WH121" s="352">
        <v>0</v>
      </c>
      <c r="WI121" s="352">
        <v>0</v>
      </c>
      <c r="WJ121" s="352">
        <v>1</v>
      </c>
      <c r="WK121" s="352">
        <v>0</v>
      </c>
      <c r="WL121" s="352">
        <v>1</v>
      </c>
    </row>
    <row r="122" spans="591:610" x14ac:dyDescent="0.25">
      <c r="VS122" s="20">
        <v>0.66666666666666663</v>
      </c>
      <c r="VT122" s="20">
        <f t="shared" si="74"/>
        <v>0.83333333333333337</v>
      </c>
      <c r="VU122" s="12">
        <f t="shared" si="75"/>
        <v>6</v>
      </c>
      <c r="VV122" s="12">
        <f t="shared" si="76"/>
        <v>5</v>
      </c>
      <c r="VW122" s="12">
        <f t="shared" si="76"/>
        <v>1</v>
      </c>
      <c r="VX122" s="31" t="s">
        <v>5438</v>
      </c>
      <c r="VY122" s="352">
        <f t="shared" si="79"/>
        <v>1</v>
      </c>
      <c r="VZ122" s="352">
        <f t="shared" si="79"/>
        <v>1</v>
      </c>
      <c r="WA122" s="352">
        <f t="shared" si="79"/>
        <v>1</v>
      </c>
      <c r="WB122" s="352">
        <f t="shared" si="79"/>
        <v>0</v>
      </c>
      <c r="WC122" s="352">
        <f t="shared" si="79"/>
        <v>3</v>
      </c>
      <c r="WD122" s="352">
        <f t="shared" si="77"/>
        <v>6</v>
      </c>
      <c r="WE122" s="353">
        <f t="shared" si="78"/>
        <v>3.5</v>
      </c>
      <c r="WF122" s="353">
        <v>3.3333333333333335</v>
      </c>
      <c r="WG122" s="352">
        <v>1</v>
      </c>
      <c r="WH122" s="352">
        <v>1</v>
      </c>
      <c r="WI122" s="352">
        <v>1</v>
      </c>
      <c r="WJ122" s="352">
        <v>1</v>
      </c>
      <c r="WK122" s="352">
        <v>2</v>
      </c>
      <c r="WL122" s="352">
        <v>6</v>
      </c>
    </row>
    <row r="123" spans="591:610" x14ac:dyDescent="0.25">
      <c r="VS123" s="20">
        <v>1</v>
      </c>
      <c r="VT123" s="20">
        <f t="shared" si="74"/>
        <v>1</v>
      </c>
      <c r="VU123" s="12">
        <f t="shared" si="75"/>
        <v>1</v>
      </c>
      <c r="VV123" s="12">
        <f t="shared" si="76"/>
        <v>1</v>
      </c>
      <c r="VW123" s="12">
        <f t="shared" si="76"/>
        <v>0</v>
      </c>
      <c r="VX123" s="31" t="s">
        <v>5439</v>
      </c>
      <c r="VY123" s="352">
        <f t="shared" si="79"/>
        <v>0</v>
      </c>
      <c r="VZ123" s="352">
        <f t="shared" si="79"/>
        <v>1</v>
      </c>
      <c r="WA123" s="352">
        <f t="shared" si="79"/>
        <v>0</v>
      </c>
      <c r="WB123" s="352">
        <f t="shared" si="79"/>
        <v>0</v>
      </c>
      <c r="WC123" s="352">
        <f t="shared" si="79"/>
        <v>0</v>
      </c>
      <c r="WD123" s="352">
        <f t="shared" si="77"/>
        <v>1</v>
      </c>
      <c r="WE123" s="353">
        <f t="shared" si="78"/>
        <v>2</v>
      </c>
      <c r="WF123" s="353">
        <v>2</v>
      </c>
      <c r="WG123" s="352">
        <v>0</v>
      </c>
      <c r="WH123" s="352">
        <v>1</v>
      </c>
      <c r="WI123" s="352">
        <v>0</v>
      </c>
      <c r="WJ123" s="352">
        <v>0</v>
      </c>
      <c r="WK123" s="352">
        <v>0</v>
      </c>
      <c r="WL123" s="352">
        <v>1</v>
      </c>
    </row>
    <row r="124" spans="591:610" x14ac:dyDescent="0.25">
      <c r="VS124" s="20">
        <v>1</v>
      </c>
      <c r="VT124" s="20">
        <f t="shared" si="74"/>
        <v>0.66666666666666663</v>
      </c>
      <c r="VU124" s="12">
        <f t="shared" si="75"/>
        <v>3</v>
      </c>
      <c r="VV124" s="12">
        <f t="shared" si="76"/>
        <v>2</v>
      </c>
      <c r="VW124" s="12">
        <f t="shared" si="76"/>
        <v>1</v>
      </c>
      <c r="VX124" s="31" t="s">
        <v>5440</v>
      </c>
      <c r="VY124" s="352">
        <f t="shared" si="79"/>
        <v>1</v>
      </c>
      <c r="VZ124" s="352">
        <f t="shared" si="79"/>
        <v>0</v>
      </c>
      <c r="WA124" s="352">
        <f t="shared" si="79"/>
        <v>0</v>
      </c>
      <c r="WB124" s="352">
        <f t="shared" si="79"/>
        <v>1</v>
      </c>
      <c r="WC124" s="352">
        <f t="shared" si="79"/>
        <v>1</v>
      </c>
      <c r="WD124" s="352">
        <f t="shared" si="77"/>
        <v>3</v>
      </c>
      <c r="WE124" s="353">
        <f t="shared" si="78"/>
        <v>3.3333333333333335</v>
      </c>
      <c r="WF124" s="353">
        <v>3.3333333333333335</v>
      </c>
      <c r="WG124" s="352">
        <v>1</v>
      </c>
      <c r="WH124" s="352">
        <v>0</v>
      </c>
      <c r="WI124" s="352">
        <v>0</v>
      </c>
      <c r="WJ124" s="352">
        <v>1</v>
      </c>
      <c r="WK124" s="352">
        <v>1</v>
      </c>
      <c r="WL124" s="352">
        <v>3</v>
      </c>
    </row>
    <row r="125" spans="591:610" x14ac:dyDescent="0.25">
      <c r="VS125" s="20">
        <v>1</v>
      </c>
      <c r="VT125" s="20">
        <f t="shared" si="74"/>
        <v>1</v>
      </c>
      <c r="VU125" s="12">
        <f t="shared" si="75"/>
        <v>3</v>
      </c>
      <c r="VV125" s="12">
        <f t="shared" si="76"/>
        <v>3</v>
      </c>
      <c r="VW125" s="12">
        <f t="shared" si="76"/>
        <v>0</v>
      </c>
      <c r="VX125" s="31" t="s">
        <v>5441</v>
      </c>
      <c r="VY125" s="352">
        <f t="shared" si="79"/>
        <v>0</v>
      </c>
      <c r="VZ125" s="352">
        <f t="shared" si="79"/>
        <v>0</v>
      </c>
      <c r="WA125" s="352">
        <f t="shared" si="79"/>
        <v>0</v>
      </c>
      <c r="WB125" s="352">
        <f t="shared" si="79"/>
        <v>2</v>
      </c>
      <c r="WC125" s="352">
        <f t="shared" si="79"/>
        <v>1</v>
      </c>
      <c r="WD125" s="352">
        <f t="shared" si="77"/>
        <v>3</v>
      </c>
      <c r="WE125" s="353">
        <f t="shared" si="78"/>
        <v>4.333333333333333</v>
      </c>
      <c r="WF125" s="353">
        <v>4</v>
      </c>
      <c r="WG125" s="352">
        <v>0</v>
      </c>
      <c r="WH125" s="352">
        <v>0</v>
      </c>
      <c r="WI125" s="352">
        <v>1</v>
      </c>
      <c r="WJ125" s="352">
        <v>1</v>
      </c>
      <c r="WK125" s="352">
        <v>1</v>
      </c>
      <c r="WL125" s="352">
        <v>3</v>
      </c>
    </row>
    <row r="126" spans="591:610" x14ac:dyDescent="0.25">
      <c r="VS126" s="20">
        <v>0</v>
      </c>
      <c r="VT126" s="20">
        <f t="shared" si="74"/>
        <v>0</v>
      </c>
      <c r="VU126" s="12">
        <f t="shared" si="75"/>
        <v>0</v>
      </c>
      <c r="VV126" s="12">
        <f t="shared" si="76"/>
        <v>0</v>
      </c>
      <c r="VW126" s="12">
        <f t="shared" si="76"/>
        <v>0</v>
      </c>
      <c r="VX126" s="31" t="s">
        <v>5442</v>
      </c>
      <c r="VY126" s="352">
        <f t="shared" si="79"/>
        <v>0</v>
      </c>
      <c r="VZ126" s="352">
        <f t="shared" si="79"/>
        <v>0</v>
      </c>
      <c r="WA126" s="352">
        <f t="shared" si="79"/>
        <v>0</v>
      </c>
      <c r="WB126" s="352">
        <f t="shared" si="79"/>
        <v>0</v>
      </c>
      <c r="WC126" s="352">
        <f t="shared" si="79"/>
        <v>0</v>
      </c>
      <c r="WD126" s="352">
        <f t="shared" si="77"/>
        <v>0</v>
      </c>
      <c r="WE126" s="353">
        <f t="shared" si="78"/>
        <v>0</v>
      </c>
      <c r="WF126" s="353">
        <v>0</v>
      </c>
      <c r="WG126" s="352">
        <v>0</v>
      </c>
      <c r="WH126" s="352">
        <v>0</v>
      </c>
      <c r="WI126" s="352">
        <v>0</v>
      </c>
      <c r="WJ126" s="352">
        <v>0</v>
      </c>
      <c r="WK126" s="352">
        <v>0</v>
      </c>
      <c r="WL126" s="352">
        <v>0</v>
      </c>
    </row>
    <row r="127" spans="591:610" x14ac:dyDescent="0.25">
      <c r="VX127" s="31"/>
      <c r="VY127" s="359"/>
      <c r="VZ127" s="359"/>
      <c r="WA127" s="359"/>
      <c r="WB127" s="359"/>
      <c r="WC127" s="359"/>
      <c r="WD127" s="359"/>
      <c r="WE127" s="359"/>
      <c r="WF127" s="359"/>
      <c r="WG127" s="359"/>
      <c r="WH127" s="359"/>
      <c r="WI127" s="359"/>
      <c r="WJ127" s="359"/>
      <c r="WK127" s="359"/>
      <c r="WL127" s="359"/>
    </row>
    <row r="128" spans="591:610" x14ac:dyDescent="0.25">
      <c r="VX128" s="31"/>
      <c r="VY128" s="359"/>
      <c r="VZ128" s="359"/>
      <c r="WA128" s="359"/>
      <c r="WB128" s="359"/>
      <c r="WC128" s="359"/>
      <c r="WD128" s="359"/>
      <c r="WE128" s="359"/>
      <c r="WF128" s="359"/>
      <c r="WG128" s="359"/>
      <c r="WH128" s="359"/>
      <c r="WI128" s="359"/>
      <c r="WJ128" s="359"/>
      <c r="WK128" s="359"/>
      <c r="WL128" s="359"/>
    </row>
    <row r="129" spans="591:610" x14ac:dyDescent="0.25">
      <c r="VV129" s="12"/>
      <c r="VW129" s="12"/>
      <c r="VX129" s="31" t="s">
        <v>2636</v>
      </c>
      <c r="VY129" s="359"/>
      <c r="VZ129" s="359"/>
      <c r="WA129" s="359"/>
      <c r="WB129" s="359"/>
      <c r="WC129" s="359"/>
      <c r="WD129" s="359"/>
      <c r="WE129" s="359"/>
      <c r="WF129" s="359"/>
      <c r="WG129" s="359"/>
      <c r="WH129" s="359"/>
      <c r="WI129" s="359"/>
      <c r="WJ129" s="359"/>
      <c r="WK129" s="359"/>
      <c r="WL129" s="359"/>
    </row>
    <row r="130" spans="591:610" x14ac:dyDescent="0.25">
      <c r="VS130" s="20">
        <v>0.8571428571428571</v>
      </c>
      <c r="VT130" s="20">
        <f t="shared" ref="VT130:VT136" si="80">IFERROR(VV130/VU130,0)</f>
        <v>0.7142857142857143</v>
      </c>
      <c r="VU130" s="12">
        <f t="shared" ref="VU130:VU136" si="81">VW130+VV130</f>
        <v>7</v>
      </c>
      <c r="VV130" s="23">
        <f>COUNTIFS($VW$2:$VW$72,VV$75,$VM$2:$VM$72,"&lt;="&amp;$VX130)</f>
        <v>5</v>
      </c>
      <c r="VW130" s="23">
        <f>COUNTIFS($VW$2:$VW$72,VW$75,$VM$2:$VM$72,"&lt;="&amp;$VX130)</f>
        <v>2</v>
      </c>
      <c r="VX130" s="47">
        <v>1</v>
      </c>
      <c r="VY130" s="352">
        <f>COUNTIFS($VY$2:$VY$72,VY$75,$VM$2:$VM$72,"&lt;="&amp;$VX130)</f>
        <v>0</v>
      </c>
      <c r="VZ130" s="352">
        <f>COUNTIFS($VY$2:$VY$72,VZ$75,$VM$2:$VM$72,"&lt;="&amp;$VX130)</f>
        <v>0</v>
      </c>
      <c r="WA130" s="352">
        <f>COUNTIFS($VY$2:$VY$72,WA$75,$VM$2:$VM$72,"&lt;="&amp;$VX130)</f>
        <v>0</v>
      </c>
      <c r="WB130" s="352">
        <f>COUNTIFS($VY$2:$VY$72,WB$75,$VM$2:$VM$72,"&lt;="&amp;$VX130)</f>
        <v>4</v>
      </c>
      <c r="WC130" s="352">
        <f>COUNTIFS($VY$2:$VY$72,WC$75,$VM$2:$VM$72,"&lt;="&amp;$VX130)</f>
        <v>3</v>
      </c>
      <c r="WD130" s="352">
        <f t="shared" ref="WD130:WD136" si="82">SUM(VY130:WC130)</f>
        <v>7</v>
      </c>
      <c r="WE130" s="353">
        <f t="shared" ref="WE130:WE136" si="83">IF(WD130=0,0,SUMPRODUCT($VY$75:$WC$75,VY130:WC130)/WD130)</f>
        <v>4.4285714285714288</v>
      </c>
      <c r="WF130" s="353">
        <v>4.5714285714285712</v>
      </c>
      <c r="WG130" s="352">
        <v>0</v>
      </c>
      <c r="WH130" s="352">
        <v>0</v>
      </c>
      <c r="WI130" s="352">
        <v>0</v>
      </c>
      <c r="WJ130" s="352">
        <v>3</v>
      </c>
      <c r="WK130" s="352">
        <v>4</v>
      </c>
      <c r="WL130" s="352">
        <v>7</v>
      </c>
    </row>
    <row r="131" spans="591:610" x14ac:dyDescent="0.25">
      <c r="VS131" s="20">
        <v>1</v>
      </c>
      <c r="VT131" s="20">
        <f t="shared" si="80"/>
        <v>1</v>
      </c>
      <c r="VU131" s="12">
        <f t="shared" si="81"/>
        <v>5</v>
      </c>
      <c r="VV131" s="23">
        <f>MAX(0,COUNTIFS($VW$2:$VW$72,VV$75,$VM$2:$VM$72,"&lt;="&amp;$VX131)-SUM(VV$130:VV130))</f>
        <v>5</v>
      </c>
      <c r="VW131" s="23">
        <f>MAX(0,COUNTIFS($VW$2:$VW$72,VW$75,$VM$2:$VM$72,"&lt;="&amp;$VX131)-SUM(VW$130:VW130))</f>
        <v>0</v>
      </c>
      <c r="VX131" s="47">
        <f>VX130+0.25</f>
        <v>1.25</v>
      </c>
      <c r="VY131" s="352">
        <f>MAX(0,COUNTIFS($VY$2:$VY$72,VY$75,$VM$2:$VM$72,"&lt;="&amp;$VX131)-SUM(VY$130:VY130))</f>
        <v>1</v>
      </c>
      <c r="VZ131" s="352">
        <f>MAX(0,COUNTIFS($VY$2:$VY$72,VZ$75,$VM$2:$VM$72,"&lt;="&amp;$VX131)-SUM(VZ$130:VZ130))</f>
        <v>1</v>
      </c>
      <c r="WA131" s="352">
        <f>MAX(0,COUNTIFS($VY$2:$VY$72,WA$75,$VM$2:$VM$72,"&lt;="&amp;$VX131)-SUM(WA$130:WA130))</f>
        <v>3</v>
      </c>
      <c r="WB131" s="352">
        <f>MAX(0,COUNTIFS($VY$2:$VY$72,WB$75,$VM$2:$VM$72,"&lt;="&amp;$VX131)-SUM(WB$130:WB130))</f>
        <v>0</v>
      </c>
      <c r="WC131" s="352">
        <f>MAX(0,COUNTIFS($VY$2:$VY$72,WC$75,$VM$2:$VM$72,"&lt;="&amp;$VX131)-SUM(WC$130:WC130))</f>
        <v>0</v>
      </c>
      <c r="WD131" s="352">
        <f t="shared" si="82"/>
        <v>5</v>
      </c>
      <c r="WE131" s="353">
        <f t="shared" si="83"/>
        <v>2.4</v>
      </c>
      <c r="WF131" s="353">
        <v>2.4</v>
      </c>
      <c r="WG131" s="352">
        <v>1</v>
      </c>
      <c r="WH131" s="352">
        <v>1</v>
      </c>
      <c r="WI131" s="352">
        <v>3</v>
      </c>
      <c r="WJ131" s="352">
        <v>0</v>
      </c>
      <c r="WK131" s="352">
        <v>0</v>
      </c>
      <c r="WL131" s="352">
        <v>5</v>
      </c>
    </row>
    <row r="132" spans="591:610" x14ac:dyDescent="0.25">
      <c r="VS132" s="20">
        <v>0.66666666666666663</v>
      </c>
      <c r="VT132" s="20">
        <f t="shared" si="80"/>
        <v>0.66666666666666663</v>
      </c>
      <c r="VU132" s="12">
        <f t="shared" si="81"/>
        <v>6</v>
      </c>
      <c r="VV132" s="23">
        <f>MAX(0,COUNTIFS($VW$2:$VW$72,VV$75,$VM$2:$VM$72,"&lt;="&amp;$VX132)-SUM(VV$130:VV131))</f>
        <v>4</v>
      </c>
      <c r="VW132" s="23">
        <f>MAX(0,COUNTIFS($VW$2:$VW$72,VW$75,$VM$2:$VM$72,"&lt;="&amp;$VX132)-SUM(VW$130:VW131))</f>
        <v>2</v>
      </c>
      <c r="VX132" s="47">
        <f>VX131+0.25</f>
        <v>1.5</v>
      </c>
      <c r="VY132" s="352">
        <f>MAX(0,COUNTIFS($VY$2:$VY$72,VY$75,$VM$2:$VM$72,"&lt;="&amp;$VX132)-SUM(VY$130:VY131))</f>
        <v>0</v>
      </c>
      <c r="VZ132" s="352">
        <f>MAX(0,COUNTIFS($VY$2:$VY$72,VZ$75,$VM$2:$VM$72,"&lt;="&amp;$VX132)-SUM(VZ$130:VZ131))</f>
        <v>1</v>
      </c>
      <c r="WA132" s="352">
        <f>MAX(0,COUNTIFS($VY$2:$VY$72,WA$75,$VM$2:$VM$72,"&lt;="&amp;$VX132)-SUM(WA$130:WA131))</f>
        <v>1</v>
      </c>
      <c r="WB132" s="352">
        <f>MAX(0,COUNTIFS($VY$2:$VY$72,WB$75,$VM$2:$VM$72,"&lt;="&amp;$VX132)-SUM(WB$130:WB131))</f>
        <v>1</v>
      </c>
      <c r="WC132" s="352">
        <f>MAX(0,COUNTIFS($VY$2:$VY$72,WC$75,$VM$2:$VM$72,"&lt;="&amp;$VX132)-SUM(WC$130:WC131))</f>
        <v>3</v>
      </c>
      <c r="WD132" s="352">
        <f t="shared" si="82"/>
        <v>6</v>
      </c>
      <c r="WE132" s="353">
        <f t="shared" si="83"/>
        <v>4</v>
      </c>
      <c r="WF132" s="353">
        <v>3.8333333333333335</v>
      </c>
      <c r="WG132" s="352">
        <v>0</v>
      </c>
      <c r="WH132" s="352">
        <v>1</v>
      </c>
      <c r="WI132" s="352">
        <v>1</v>
      </c>
      <c r="WJ132" s="352">
        <v>2</v>
      </c>
      <c r="WK132" s="352">
        <v>2</v>
      </c>
      <c r="WL132" s="352">
        <v>6</v>
      </c>
    </row>
    <row r="133" spans="591:610" x14ac:dyDescent="0.25">
      <c r="VS133" s="20">
        <v>1</v>
      </c>
      <c r="VT133" s="20">
        <f t="shared" si="80"/>
        <v>1</v>
      </c>
      <c r="VU133" s="12">
        <f t="shared" si="81"/>
        <v>3</v>
      </c>
      <c r="VV133" s="23">
        <f>MAX(0,COUNTIFS($VW$2:$VW$72,VV$75,$VM$2:$VM$72,"&lt;="&amp;$VX133)-SUM(VV$130:VV132))</f>
        <v>3</v>
      </c>
      <c r="VW133" s="23">
        <f>MAX(0,COUNTIFS($VW$2:$VW$72,VW$75,$VM$2:$VM$72,"&lt;="&amp;$VX133)-SUM(VW$130:VW132))</f>
        <v>0</v>
      </c>
      <c r="VX133" s="47">
        <f>VX132+0.25</f>
        <v>1.75</v>
      </c>
      <c r="VY133" s="352">
        <f>MAX(0,COUNTIFS($VY$2:$VY$72,VY$75,$VM$2:$VM$72,"&lt;="&amp;$VX133)-SUM(VY$130:VY132))</f>
        <v>0</v>
      </c>
      <c r="VZ133" s="352">
        <f>MAX(0,COUNTIFS($VY$2:$VY$72,VZ$75,$VM$2:$VM$72,"&lt;="&amp;$VX133)-SUM(VZ$130:VZ132))</f>
        <v>3</v>
      </c>
      <c r="WA133" s="352">
        <f>MAX(0,COUNTIFS($VY$2:$VY$72,WA$75,$VM$2:$VM$72,"&lt;="&amp;$VX133)-SUM(WA$130:WA132))</f>
        <v>0</v>
      </c>
      <c r="WB133" s="352">
        <f>MAX(0,COUNTIFS($VY$2:$VY$72,WB$75,$VM$2:$VM$72,"&lt;="&amp;$VX133)-SUM(WB$130:WB132))</f>
        <v>0</v>
      </c>
      <c r="WC133" s="352">
        <f>MAX(0,COUNTIFS($VY$2:$VY$72,WC$75,$VM$2:$VM$72,"&lt;="&amp;$VX133)-SUM(WC$130:WC132))</f>
        <v>0</v>
      </c>
      <c r="WD133" s="352">
        <f t="shared" si="82"/>
        <v>3</v>
      </c>
      <c r="WE133" s="353">
        <f t="shared" si="83"/>
        <v>2</v>
      </c>
      <c r="WF133" s="353">
        <v>2</v>
      </c>
      <c r="WG133" s="352">
        <v>0</v>
      </c>
      <c r="WH133" s="352">
        <v>3</v>
      </c>
      <c r="WI133" s="352">
        <v>0</v>
      </c>
      <c r="WJ133" s="352">
        <v>0</v>
      </c>
      <c r="WK133" s="352">
        <v>0</v>
      </c>
      <c r="WL133" s="352">
        <v>3</v>
      </c>
    </row>
    <row r="134" spans="591:610" x14ac:dyDescent="0.25">
      <c r="VS134" s="20">
        <v>0.66666666666666663</v>
      </c>
      <c r="VT134" s="20">
        <f t="shared" si="80"/>
        <v>0.83333333333333337</v>
      </c>
      <c r="VU134" s="12">
        <f t="shared" si="81"/>
        <v>6</v>
      </c>
      <c r="VV134" s="23">
        <f>MAX(0,COUNTIFS($VW$2:$VW$72,VV$75,$VM$2:$VM$72,"&lt;="&amp;$VX134)-SUM(VV$130:VV133))</f>
        <v>5</v>
      </c>
      <c r="VW134" s="23">
        <f>MAX(0,COUNTIFS($VW$2:$VW$72,VW$75,$VM$2:$VM$72,"&lt;="&amp;$VX134)-SUM(VW$130:VW133))</f>
        <v>1</v>
      </c>
      <c r="VX134" s="47">
        <f>VX133+0.25</f>
        <v>2</v>
      </c>
      <c r="VY134" s="352">
        <f>MAX(0,COUNTIFS($VY$2:$VY$72,VY$75,$VM$2:$VM$72,"&lt;="&amp;$VX134)-SUM(VY$130:VY133))</f>
        <v>2</v>
      </c>
      <c r="VZ134" s="352">
        <f>MAX(0,COUNTIFS($VY$2:$VY$72,VZ$75,$VM$2:$VM$72,"&lt;="&amp;$VX134)-SUM(VZ$130:VZ133))</f>
        <v>1</v>
      </c>
      <c r="WA134" s="352">
        <f>MAX(0,COUNTIFS($VY$2:$VY$72,WA$75,$VM$2:$VM$72,"&lt;="&amp;$VX134)-SUM(WA$130:WA133))</f>
        <v>1</v>
      </c>
      <c r="WB134" s="352">
        <f>MAX(0,COUNTIFS($VY$2:$VY$72,WB$75,$VM$2:$VM$72,"&lt;="&amp;$VX134)-SUM(WB$130:WB133))</f>
        <v>0</v>
      </c>
      <c r="WC134" s="352">
        <f>MAX(0,COUNTIFS($VY$2:$VY$72,WC$75,$VM$2:$VM$72,"&lt;="&amp;$VX134)-SUM(WC$130:WC133))</f>
        <v>2</v>
      </c>
      <c r="WD134" s="352">
        <f t="shared" si="82"/>
        <v>6</v>
      </c>
      <c r="WE134" s="353">
        <f t="shared" si="83"/>
        <v>2.8333333333333335</v>
      </c>
      <c r="WF134" s="353">
        <v>2.8333333333333335</v>
      </c>
      <c r="WG134" s="352">
        <v>2</v>
      </c>
      <c r="WH134" s="352">
        <v>1</v>
      </c>
      <c r="WI134" s="352">
        <v>1</v>
      </c>
      <c r="WJ134" s="352">
        <v>0</v>
      </c>
      <c r="WK134" s="352">
        <v>2</v>
      </c>
      <c r="WL134" s="352">
        <v>6</v>
      </c>
    </row>
    <row r="135" spans="591:610" x14ac:dyDescent="0.25">
      <c r="VS135" s="20">
        <v>1</v>
      </c>
      <c r="VT135" s="20">
        <f t="shared" si="80"/>
        <v>1</v>
      </c>
      <c r="VU135" s="12">
        <f t="shared" si="81"/>
        <v>1</v>
      </c>
      <c r="VV135" s="23">
        <f>MAX(0,COUNTIFS($VW$2:$VW$72,VV$75,$VM$2:$VM$72,"&lt;="&amp;$VX135)-SUM(VV$130:VV134))</f>
        <v>1</v>
      </c>
      <c r="VW135" s="23">
        <f>MAX(0,COUNTIFS($VW$2:$VW$72,VW$75,$VM$2:$VM$72,"&lt;="&amp;$VX135)-SUM(VW$130:VW134))</f>
        <v>0</v>
      </c>
      <c r="VX135" s="47">
        <f>VX134+0.25</f>
        <v>2.25</v>
      </c>
      <c r="VY135" s="352">
        <f>MAX(0,COUNTIFS($VY$2:$VY$72,VY$75,$VM$2:$VM$72,"&lt;="&amp;$VX135)-SUM(VY$130:VY134))</f>
        <v>0</v>
      </c>
      <c r="VZ135" s="352">
        <f>MAX(0,COUNTIFS($VY$2:$VY$72,VZ$75,$VM$2:$VM$72,"&lt;="&amp;$VX135)-SUM(VZ$130:VZ134))</f>
        <v>0</v>
      </c>
      <c r="WA135" s="352">
        <f>MAX(0,COUNTIFS($VY$2:$VY$72,WA$75,$VM$2:$VM$72,"&lt;="&amp;$VX135)-SUM(WA$130:WA134))</f>
        <v>0</v>
      </c>
      <c r="WB135" s="352">
        <f>MAX(0,COUNTIFS($VY$2:$VY$72,WB$75,$VM$2:$VM$72,"&lt;="&amp;$VX135)-SUM(WB$130:WB134))</f>
        <v>1</v>
      </c>
      <c r="WC135" s="352">
        <f>MAX(0,COUNTIFS($VY$2:$VY$72,WC$75,$VM$2:$VM$72,"&lt;="&amp;$VX135)-SUM(WC$130:WC134))</f>
        <v>0</v>
      </c>
      <c r="WD135" s="352">
        <f t="shared" si="82"/>
        <v>1</v>
      </c>
      <c r="WE135" s="353">
        <f t="shared" si="83"/>
        <v>4</v>
      </c>
      <c r="WF135" s="353">
        <v>4</v>
      </c>
      <c r="WG135" s="352">
        <v>0</v>
      </c>
      <c r="WH135" s="352">
        <v>0</v>
      </c>
      <c r="WI135" s="352">
        <v>0</v>
      </c>
      <c r="WJ135" s="352">
        <v>1</v>
      </c>
      <c r="WK135" s="352">
        <v>0</v>
      </c>
      <c r="WL135" s="352">
        <v>1</v>
      </c>
    </row>
    <row r="136" spans="591:610" x14ac:dyDescent="0.25">
      <c r="VS136" s="20">
        <v>1</v>
      </c>
      <c r="VT136" s="20">
        <f t="shared" si="80"/>
        <v>1</v>
      </c>
      <c r="VU136" s="12">
        <f t="shared" si="81"/>
        <v>1</v>
      </c>
      <c r="VV136" s="23">
        <f>MAX(0,COUNTIFS($VW$2:$VW$72,VV$75,$VM$2:$VM$72,"&lt;="&amp;$VX136)-SUM(VV$130:VV135))</f>
        <v>1</v>
      </c>
      <c r="VW136" s="23">
        <f>MAX(0,COUNTIFS($VW$2:$VW$72,VW$75,$VM$2:$VM$72,"&lt;="&amp;$VX136)-SUM(VW$130:VW135))</f>
        <v>0</v>
      </c>
      <c r="VX136" s="47">
        <f>IF(MAX(VM2:VM72)&gt;VX135,MAX(VM2:VM72),"NA")</f>
        <v>2.4500000000000002</v>
      </c>
      <c r="VY136" s="352">
        <f>MAX(0,COUNTIFS($VY$2:$VY$72,VY$75,$VM$2:$VM$72,"&lt;="&amp;$VX136)-SUM(VY$130:VY135))</f>
        <v>0</v>
      </c>
      <c r="VZ136" s="352">
        <f>MAX(0,COUNTIFS($VY$2:$VY$72,VZ$75,$VM$2:$VM$72,"&lt;="&amp;$VX136)-SUM(VZ$130:VZ135))</f>
        <v>0</v>
      </c>
      <c r="WA136" s="352">
        <f>MAX(0,COUNTIFS($VY$2:$VY$72,WA$75,$VM$2:$VM$72,"&lt;="&amp;$VX136)-SUM(WA$130:WA135))</f>
        <v>1</v>
      </c>
      <c r="WB136" s="352">
        <f>MAX(0,COUNTIFS($VY$2:$VY$72,WB$75,$VM$2:$VM$72,"&lt;="&amp;$VX136)-SUM(WB$130:WB135))</f>
        <v>0</v>
      </c>
      <c r="WC136" s="352">
        <f>MAX(0,COUNTIFS($VY$2:$VY$72,WC$75,$VM$2:$VM$72,"&lt;="&amp;$VX136)-SUM(WC$130:WC135))</f>
        <v>0</v>
      </c>
      <c r="WD136" s="352">
        <f t="shared" si="82"/>
        <v>1</v>
      </c>
      <c r="WE136" s="353">
        <f t="shared" si="83"/>
        <v>3</v>
      </c>
      <c r="WF136" s="353">
        <v>3</v>
      </c>
      <c r="WG136" s="352">
        <v>0</v>
      </c>
      <c r="WH136" s="352">
        <v>0</v>
      </c>
      <c r="WI136" s="352">
        <v>1</v>
      </c>
      <c r="WJ136" s="352">
        <v>0</v>
      </c>
      <c r="WK136" s="352">
        <v>0</v>
      </c>
      <c r="WL136" s="352">
        <v>1</v>
      </c>
    </row>
    <row r="137" spans="591:610" x14ac:dyDescent="0.25">
      <c r="VX137" s="31"/>
      <c r="VY137" s="359"/>
      <c r="VZ137" s="359"/>
      <c r="WA137" s="359"/>
      <c r="WB137" s="359"/>
      <c r="WC137" s="359"/>
      <c r="WD137" s="359"/>
      <c r="WE137" s="359"/>
      <c r="WF137" s="359"/>
      <c r="WG137" s="359"/>
      <c r="WH137" s="359"/>
      <c r="WI137" s="359"/>
      <c r="WJ137" s="359"/>
      <c r="WK137" s="359"/>
      <c r="WL137" s="359"/>
    </row>
    <row r="138" spans="591:610" x14ac:dyDescent="0.25">
      <c r="VS138" s="449" t="s">
        <v>2638</v>
      </c>
      <c r="VT138" s="448"/>
      <c r="VU138" s="86"/>
      <c r="VV138" s="449" t="s">
        <v>2639</v>
      </c>
      <c r="VW138" s="448"/>
      <c r="VX138" s="98"/>
      <c r="VY138" s="449" t="s">
        <v>2639</v>
      </c>
      <c r="VZ138" s="447"/>
      <c r="WA138" s="447"/>
      <c r="WB138" s="447"/>
      <c r="WC138" s="448"/>
      <c r="WD138" s="447" t="s">
        <v>2638</v>
      </c>
      <c r="WE138" s="447"/>
      <c r="WF138" s="447"/>
      <c r="WG138" s="447"/>
      <c r="WH138" s="448"/>
      <c r="WI138" s="9"/>
      <c r="WJ138" s="9"/>
      <c r="WK138" s="9"/>
      <c r="WL138" s="9"/>
    </row>
    <row r="139" spans="591:610" x14ac:dyDescent="0.25">
      <c r="VS139" s="353">
        <v>1.691116544417278</v>
      </c>
      <c r="VT139" s="353">
        <v>1.5665634674922602</v>
      </c>
      <c r="VU139" s="359"/>
      <c r="VV139" s="353">
        <f>IFERROR(SUMIFS($VL$2:$VL$72,$VW$2:$VW$72,VV$75,$BW$2:$BW$72,$VX139)/SUMIFS($IZ$2:$IZ$72,$VW$2:$VW$72,VV$75,$BW$2:$BW$72,$VX139),0)</f>
        <v>1.7130961392884179</v>
      </c>
      <c r="VW139" s="353">
        <f>IFERROR(SUMIFS($VL$2:$VL$72,$VW$2:$VW$72,VW$75,$BW$2:$BW$72,$VX139)/SUMIFS($IZ$2:$IZ$72,$VW$2:$VW$72,VW$75,$BW$2:$BW$72,$VX139),0)</f>
        <v>1.3886462882096069</v>
      </c>
      <c r="VX139" s="98" t="s">
        <v>18</v>
      </c>
      <c r="VY139" s="353">
        <f t="shared" ref="VY139:WC140" si="84">IFERROR(SUMIFS($VL$2:$VL$72,$VY$2:$VY$72,VY$75,$BW$2:$BW$72,$VX139)/SUMIFS($IZ$2:$IZ$72,$VY$2:$VY$72,VY$75,$BW$2:$BW$72,$VX139),0)</f>
        <v>2</v>
      </c>
      <c r="VZ139" s="353">
        <f t="shared" si="84"/>
        <v>1.5439672801635991</v>
      </c>
      <c r="WA139" s="353">
        <f t="shared" si="84"/>
        <v>2.2134146341463414</v>
      </c>
      <c r="WB139" s="353">
        <f t="shared" si="84"/>
        <v>1.7222222222222223</v>
      </c>
      <c r="WC139" s="366">
        <f t="shared" si="84"/>
        <v>1.4175152749490836</v>
      </c>
      <c r="WD139" s="353">
        <v>2</v>
      </c>
      <c r="WE139" s="353">
        <v>1.5439672801635991</v>
      </c>
      <c r="WF139" s="353">
        <v>1.921259842519685</v>
      </c>
      <c r="WG139" s="353">
        <v>1.6582278481012658</v>
      </c>
      <c r="WH139" s="353">
        <v>1.4518518518518519</v>
      </c>
      <c r="WI139" s="9"/>
      <c r="WJ139" s="9"/>
      <c r="WK139" s="9"/>
      <c r="WL139" s="9"/>
    </row>
    <row r="140" spans="591:610" x14ac:dyDescent="0.25">
      <c r="VS140" s="357">
        <v>1.170313986679353</v>
      </c>
      <c r="VT140" s="357">
        <v>1.5</v>
      </c>
      <c r="VU140" s="368"/>
      <c r="VV140" s="357">
        <f>IFERROR(SUMIFS($VL$2:$VL$72,$VW$2:$VW$72,VV$75,$BW$2:$BW$72,$VX140)/SUMIFS($IZ$2:$IZ$72,$VW$2:$VW$72,VV$75,$BW$2:$BW$72,$VX140),0)</f>
        <v>1.1851085832471562</v>
      </c>
      <c r="VW140" s="357">
        <f>IFERROR(SUMIFS($VL$2:$VL$72,$VW$2:$VW$72,VW$75,$BW$2:$BW$72,$VX140)/SUMIFS($IZ$2:$IZ$72,$VW$2:$VW$72,VW$75,$BW$2:$BW$72,$VX140),0)</f>
        <v>1.2469879518072289</v>
      </c>
      <c r="VX140" s="350" t="s">
        <v>126</v>
      </c>
      <c r="VY140" s="357">
        <f t="shared" si="84"/>
        <v>1.1000000000000001</v>
      </c>
      <c r="VZ140" s="357">
        <f t="shared" si="84"/>
        <v>1.6</v>
      </c>
      <c r="WA140" s="357">
        <f t="shared" si="84"/>
        <v>1.26536312849162</v>
      </c>
      <c r="WB140" s="357">
        <f t="shared" si="84"/>
        <v>1</v>
      </c>
      <c r="WC140" s="367">
        <f t="shared" si="84"/>
        <v>1.2469879518072289</v>
      </c>
      <c r="WD140" s="357">
        <v>1.1000000000000001</v>
      </c>
      <c r="WE140" s="357">
        <v>1.6</v>
      </c>
      <c r="WF140" s="357">
        <v>1.1612903225806452</v>
      </c>
      <c r="WG140" s="357">
        <v>1.1527777777777777</v>
      </c>
      <c r="WH140" s="357">
        <v>1.143859649122807</v>
      </c>
      <c r="WI140" s="9"/>
      <c r="WJ140" s="9"/>
      <c r="WK140" s="9"/>
      <c r="WL140" s="9"/>
    </row>
    <row r="141" spans="591:610" x14ac:dyDescent="0.25">
      <c r="VS141" s="353">
        <v>1.4508340649692713</v>
      </c>
      <c r="VT141" s="353">
        <v>1.5530864197530865</v>
      </c>
      <c r="VU141" s="359"/>
      <c r="VV141" s="353">
        <f>IFERROR(SUMIF($VW$2:$VW$72,VV$75,$VL$2:$VL$72)/SUMIF($VW$2:$VW$72,VV$75,$IZ$2:$IZ$72),0)</f>
        <v>1.4899475524475525</v>
      </c>
      <c r="VW141" s="353">
        <f>IFERROR(SUMIF($VW$2:$VW$72,VW$75,$VL$2:$VL$72)/SUMIF($VW$2:$VW$72,VW$75,$IZ$2:$IZ$72),0)</f>
        <v>1.3291139240506329</v>
      </c>
      <c r="VX141" s="98" t="s">
        <v>2635</v>
      </c>
      <c r="VY141" s="353">
        <f>IFERROR(SUMIF($VY$2:$VY$72,VY$75,$VL$2:$VL$72)/SUMIF($VY$2:$VY$72,VY$75,$IZ$2:$IZ$72),0)</f>
        <v>1.7032967032967032</v>
      </c>
      <c r="VZ141" s="353">
        <f>IFERROR(SUMIF($VY$2:$VY$72,VZ$75,$VL$2:$VL$72)/SUMIF($VY$2:$VY$72,VZ$75,$IZ$2:$IZ$72),0)</f>
        <v>1.555008210180624</v>
      </c>
      <c r="WA141" s="353">
        <f>IFERROR(SUMIF($VY$2:$VY$72,WA$75,$VL$2:$VL$72)/SUMIF($VY$2:$VY$72,WA$75,$IZ$2:$IZ$72),0)</f>
        <v>1.5632183908045978</v>
      </c>
      <c r="WB141" s="353">
        <f>IFERROR(SUMIF($VY$2:$VY$72,WB$75,$VL$2:$VL$72)/SUMIF($VY$2:$VY$72,WB$75,$IZ$2:$IZ$72),0)</f>
        <v>1.2203389830508475</v>
      </c>
      <c r="WC141" s="366">
        <f>IFERROR(SUMIF($VY$2:$VY$72,WC$75,$VL$2:$VL$72)/SUMIF($VY$2:$VY$72,WC$75,$IZ$2:$IZ$72),0)</f>
        <v>1.3744292237442923</v>
      </c>
      <c r="WD141" s="353">
        <v>1.7032967032967032</v>
      </c>
      <c r="WE141" s="353">
        <v>1.555008210180624</v>
      </c>
      <c r="WF141" s="353">
        <v>1.545816733067729</v>
      </c>
      <c r="WG141" s="353">
        <v>1.3069498069498069</v>
      </c>
      <c r="WH141" s="353">
        <v>1.3246376811594203</v>
      </c>
      <c r="WI141" s="9"/>
      <c r="WJ141" s="9"/>
      <c r="WK141" s="9"/>
      <c r="WL141" s="9"/>
    </row>
    <row r="142" spans="591:610" x14ac:dyDescent="0.25">
      <c r="VS142" s="9"/>
      <c r="VT142" s="9"/>
      <c r="VU142" s="9"/>
      <c r="VV142" s="9"/>
      <c r="VW142" s="9"/>
      <c r="VX142" s="9"/>
      <c r="VY142" s="347">
        <v>1</v>
      </c>
      <c r="VZ142" s="347">
        <v>2</v>
      </c>
      <c r="WA142" s="347">
        <v>3</v>
      </c>
      <c r="WB142" s="347">
        <v>4</v>
      </c>
      <c r="WC142" s="348">
        <v>5</v>
      </c>
      <c r="WD142" s="347">
        <v>1</v>
      </c>
      <c r="WE142" s="347">
        <v>2</v>
      </c>
      <c r="WF142" s="347">
        <v>3</v>
      </c>
      <c r="WG142" s="347">
        <v>4</v>
      </c>
      <c r="WH142" s="347">
        <v>5</v>
      </c>
      <c r="WI142" s="9"/>
      <c r="WJ142" s="9"/>
      <c r="WK142" s="9"/>
      <c r="WL142" s="9"/>
    </row>
    <row r="186" spans="1:607" x14ac:dyDescent="0.25">
      <c r="A186" s="2">
        <v>9602</v>
      </c>
      <c r="B186" s="2" t="s">
        <v>3272</v>
      </c>
      <c r="C186" s="2" t="s">
        <v>2652</v>
      </c>
      <c r="D186" s="3">
        <v>45152</v>
      </c>
      <c r="E186" s="2" t="s">
        <v>9</v>
      </c>
      <c r="F186" s="2">
        <v>3</v>
      </c>
      <c r="G186" s="2" t="s">
        <v>9</v>
      </c>
      <c r="H186" s="2">
        <v>3</v>
      </c>
      <c r="I186" s="2" t="s">
        <v>9</v>
      </c>
      <c r="J186" s="2">
        <v>3</v>
      </c>
      <c r="K186" s="2" t="s">
        <v>9</v>
      </c>
      <c r="L186" s="2">
        <v>3</v>
      </c>
      <c r="M186" s="2" t="s">
        <v>10</v>
      </c>
      <c r="N186" s="2">
        <v>0</v>
      </c>
      <c r="O186" s="2" t="s">
        <v>10</v>
      </c>
      <c r="P186" s="2">
        <v>0</v>
      </c>
      <c r="Q186" s="2" t="s">
        <v>11</v>
      </c>
      <c r="R186" s="2">
        <v>0</v>
      </c>
      <c r="S186" s="2" t="s">
        <v>9</v>
      </c>
      <c r="T186" s="2">
        <v>2</v>
      </c>
      <c r="U186" s="2" t="s">
        <v>9</v>
      </c>
      <c r="V186" s="2">
        <v>2</v>
      </c>
      <c r="W186" s="2" t="s">
        <v>9</v>
      </c>
      <c r="X186" s="2">
        <v>2</v>
      </c>
      <c r="Y186" s="2" t="s">
        <v>12</v>
      </c>
      <c r="Z186" s="2" t="s">
        <v>2914</v>
      </c>
      <c r="AA186" s="2" t="s">
        <v>2914</v>
      </c>
      <c r="AB186" s="2" t="s">
        <v>15</v>
      </c>
      <c r="AC186" s="2" t="s">
        <v>15</v>
      </c>
      <c r="AD186" s="2" t="s">
        <v>15</v>
      </c>
      <c r="AE186" s="2" t="s">
        <v>15</v>
      </c>
      <c r="AF186" s="2">
        <v>2</v>
      </c>
      <c r="AG186" s="2" t="s">
        <v>3273</v>
      </c>
      <c r="AH186" s="2" t="s">
        <v>17</v>
      </c>
      <c r="AI186" s="4">
        <v>0.1</v>
      </c>
      <c r="AJ186" s="2" t="s">
        <v>17</v>
      </c>
      <c r="AK186" s="2" t="s">
        <v>9</v>
      </c>
      <c r="AL186" s="2" t="s">
        <v>17</v>
      </c>
      <c r="AM186" s="2" t="s">
        <v>17</v>
      </c>
      <c r="AN186" s="2" t="s">
        <v>17</v>
      </c>
      <c r="AO186" s="2" t="s">
        <v>17</v>
      </c>
      <c r="AP186" s="2" t="s">
        <v>17</v>
      </c>
      <c r="AQ186" s="2" t="s">
        <v>17</v>
      </c>
      <c r="AR186" s="2" t="s">
        <v>17</v>
      </c>
      <c r="AS186" s="2" t="s">
        <v>17</v>
      </c>
      <c r="AT186" s="2">
        <v>5</v>
      </c>
      <c r="AU186" s="5">
        <v>75000</v>
      </c>
      <c r="AV186" s="5">
        <v>640000</v>
      </c>
      <c r="AW186" s="2">
        <v>0</v>
      </c>
      <c r="AX186" s="2">
        <v>8</v>
      </c>
      <c r="AY186" s="2">
        <v>0</v>
      </c>
      <c r="AZ186" s="2">
        <v>18</v>
      </c>
      <c r="BA186" s="2">
        <v>0</v>
      </c>
      <c r="BB186" s="2">
        <v>0</v>
      </c>
      <c r="BC186" s="2">
        <v>1</v>
      </c>
      <c r="BD186" s="2">
        <v>4</v>
      </c>
      <c r="BE186" s="2">
        <v>0</v>
      </c>
      <c r="BF186" s="2">
        <v>1</v>
      </c>
      <c r="BG186" s="2">
        <v>0</v>
      </c>
      <c r="BH186" s="2">
        <v>0</v>
      </c>
      <c r="BI186" s="2">
        <v>13</v>
      </c>
      <c r="BJ186" s="2">
        <v>1</v>
      </c>
      <c r="BK186" s="2">
        <v>0</v>
      </c>
      <c r="BL186" s="2">
        <v>2</v>
      </c>
      <c r="BM186" s="2">
        <v>0</v>
      </c>
      <c r="BN186" s="2">
        <v>11</v>
      </c>
      <c r="BO186" s="2">
        <v>11</v>
      </c>
      <c r="BP186" s="2">
        <v>0</v>
      </c>
      <c r="BQ186" s="2">
        <v>10</v>
      </c>
      <c r="BR186" s="2">
        <v>8.1999999999999993</v>
      </c>
      <c r="BS186" s="2">
        <v>0</v>
      </c>
      <c r="BT186" s="4">
        <v>0.06</v>
      </c>
      <c r="BU186" s="2" t="s">
        <v>9</v>
      </c>
      <c r="BV186" s="6">
        <v>265554.45</v>
      </c>
      <c r="BW186" s="2" t="s">
        <v>126</v>
      </c>
      <c r="BX186" s="2" t="s">
        <v>17</v>
      </c>
      <c r="BY186" s="2" t="s">
        <v>17</v>
      </c>
      <c r="BZ186" s="2" t="s">
        <v>17</v>
      </c>
      <c r="CA186" s="2" t="s">
        <v>17</v>
      </c>
      <c r="CB186" s="2" t="s">
        <v>17</v>
      </c>
      <c r="CC186" s="2" t="s">
        <v>17</v>
      </c>
      <c r="CD186" s="2" t="s">
        <v>17</v>
      </c>
      <c r="CE186" s="2" t="s">
        <v>3274</v>
      </c>
      <c r="CF186" s="2" t="s">
        <v>17</v>
      </c>
      <c r="CG186" s="2" t="s">
        <v>3275</v>
      </c>
      <c r="CH186" s="2"/>
      <c r="CI186" s="2"/>
      <c r="CJ186" s="2" t="s">
        <v>9</v>
      </c>
      <c r="CK186" s="2" t="s">
        <v>286</v>
      </c>
      <c r="CL186" s="2" t="s">
        <v>3275</v>
      </c>
      <c r="CM186" s="2" t="s">
        <v>287</v>
      </c>
      <c r="CN186" s="2" t="s">
        <v>147</v>
      </c>
      <c r="CO186" s="2" t="s">
        <v>24</v>
      </c>
      <c r="CP186" s="2"/>
      <c r="CQ186" s="2">
        <v>100</v>
      </c>
      <c r="CR186" s="2" t="s">
        <v>3029</v>
      </c>
      <c r="CS186" s="2">
        <v>2021</v>
      </c>
      <c r="CT186" s="2" t="s">
        <v>26</v>
      </c>
      <c r="CU186" s="2" t="s">
        <v>27</v>
      </c>
      <c r="CV186" s="2" t="s">
        <v>290</v>
      </c>
      <c r="CW186" s="2" t="s">
        <v>3076</v>
      </c>
      <c r="CX186" s="2" t="s">
        <v>24</v>
      </c>
      <c r="CY186" s="2"/>
      <c r="CZ186" s="2">
        <v>110</v>
      </c>
      <c r="DA186" s="2" t="s">
        <v>3029</v>
      </c>
      <c r="DB186" s="2">
        <v>2021</v>
      </c>
      <c r="DC186" s="2" t="s">
        <v>30</v>
      </c>
      <c r="DD186" s="2" t="s">
        <v>27</v>
      </c>
      <c r="DE186" s="2" t="s">
        <v>292</v>
      </c>
      <c r="DF186" s="2" t="s">
        <v>335</v>
      </c>
      <c r="DG186" s="2" t="s">
        <v>24</v>
      </c>
      <c r="DH186" s="2"/>
      <c r="DI186" s="2">
        <v>132</v>
      </c>
      <c r="DJ186" s="2" t="s">
        <v>3029</v>
      </c>
      <c r="DK186" s="2">
        <v>2020</v>
      </c>
      <c r="DL186" s="2" t="s">
        <v>30</v>
      </c>
      <c r="DM186" s="2" t="s">
        <v>27</v>
      </c>
      <c r="DN186" s="18" t="s">
        <v>3276</v>
      </c>
      <c r="DO186" s="2" t="s">
        <v>294</v>
      </c>
      <c r="DP186" s="2" t="s">
        <v>295</v>
      </c>
      <c r="DQ186" s="2" t="s">
        <v>296</v>
      </c>
      <c r="DR186" s="2" t="s">
        <v>297</v>
      </c>
      <c r="DS186" s="2">
        <v>1</v>
      </c>
      <c r="DT186" s="2" t="s">
        <v>3277</v>
      </c>
      <c r="DU186" s="2" t="s">
        <v>299</v>
      </c>
      <c r="DV186" s="2" t="s">
        <v>39</v>
      </c>
      <c r="DW186" s="2">
        <v>33133</v>
      </c>
      <c r="DX186" s="2" t="s">
        <v>1061</v>
      </c>
      <c r="DY186" s="2">
        <v>125</v>
      </c>
      <c r="DZ186" s="2" t="s">
        <v>301</v>
      </c>
      <c r="EA186" s="2" t="s">
        <v>297</v>
      </c>
      <c r="EB186" s="2" t="s">
        <v>302</v>
      </c>
      <c r="EC186" s="2" t="s">
        <v>3076</v>
      </c>
      <c r="ED186" s="2" t="s">
        <v>44</v>
      </c>
      <c r="EE186" s="2">
        <v>144</v>
      </c>
      <c r="EF186" s="2" t="s">
        <v>3030</v>
      </c>
      <c r="EG186" s="2">
        <v>7</v>
      </c>
      <c r="EH186" s="2" t="s">
        <v>46</v>
      </c>
      <c r="EI186" s="2" t="s">
        <v>47</v>
      </c>
      <c r="EJ186" s="2" t="s">
        <v>304</v>
      </c>
      <c r="EK186" s="2" t="s">
        <v>305</v>
      </c>
      <c r="EL186" s="2" t="s">
        <v>44</v>
      </c>
      <c r="EM186" s="2">
        <v>150</v>
      </c>
      <c r="EN186" s="2" t="s">
        <v>3030</v>
      </c>
      <c r="EO186" s="2">
        <v>5</v>
      </c>
      <c r="EP186" s="2" t="s">
        <v>46</v>
      </c>
      <c r="EQ186" s="2" t="s">
        <v>47</v>
      </c>
      <c r="ER186" s="2" t="s">
        <v>294</v>
      </c>
      <c r="ES186" s="2" t="s">
        <v>295</v>
      </c>
      <c r="ET186" s="2" t="s">
        <v>296</v>
      </c>
      <c r="EU186" s="2" t="s">
        <v>3274</v>
      </c>
      <c r="EV186" s="2" t="s">
        <v>1060</v>
      </c>
      <c r="EW186" s="2" t="s">
        <v>299</v>
      </c>
      <c r="EX186" s="2" t="s">
        <v>39</v>
      </c>
      <c r="EY186" s="2">
        <v>33133</v>
      </c>
      <c r="EZ186" s="2" t="s">
        <v>1061</v>
      </c>
      <c r="FA186" s="2">
        <v>125</v>
      </c>
      <c r="FB186" s="2" t="s">
        <v>301</v>
      </c>
      <c r="FC186" s="2" t="s">
        <v>3278</v>
      </c>
      <c r="FD186" s="2"/>
      <c r="FE186" s="2" t="s">
        <v>308</v>
      </c>
      <c r="FF186" s="2" t="s">
        <v>309</v>
      </c>
      <c r="FG186" s="2" t="s">
        <v>1060</v>
      </c>
      <c r="FH186" s="2" t="s">
        <v>299</v>
      </c>
      <c r="FI186" s="2" t="s">
        <v>39</v>
      </c>
      <c r="FJ186" s="2">
        <v>33133</v>
      </c>
      <c r="FK186" s="2" t="s">
        <v>1063</v>
      </c>
      <c r="FL186" s="2"/>
      <c r="FM186" s="2" t="s">
        <v>311</v>
      </c>
      <c r="FN186" s="2" t="s">
        <v>3279</v>
      </c>
      <c r="FO186" s="2" t="s">
        <v>63</v>
      </c>
      <c r="FP186" s="2" t="s">
        <v>64</v>
      </c>
      <c r="FQ186" s="2" t="s">
        <v>9</v>
      </c>
      <c r="FR186" s="2" t="s">
        <v>17</v>
      </c>
      <c r="FS186" s="2" t="s">
        <v>17</v>
      </c>
      <c r="FT186" s="2" t="s">
        <v>9</v>
      </c>
      <c r="FU186" s="2">
        <v>0</v>
      </c>
      <c r="FV186" s="2">
        <v>0</v>
      </c>
      <c r="FW186" s="4">
        <v>0</v>
      </c>
      <c r="FX186" s="4">
        <v>0</v>
      </c>
      <c r="FY186" s="2" t="s">
        <v>65</v>
      </c>
      <c r="FZ186" s="2" t="s">
        <v>66</v>
      </c>
      <c r="GA186" s="2" t="s">
        <v>67</v>
      </c>
      <c r="GB186" s="2"/>
      <c r="GC186" s="2"/>
      <c r="GD186" s="2"/>
      <c r="GE186" s="2" t="s">
        <v>1612</v>
      </c>
      <c r="GF186" s="2"/>
      <c r="GG186" s="2"/>
      <c r="GH186" s="2"/>
      <c r="GI186" s="2">
        <v>75</v>
      </c>
      <c r="GJ186" s="2"/>
      <c r="GK186" s="2"/>
      <c r="GL186" s="2"/>
      <c r="GM186" s="2"/>
      <c r="GN186" s="2"/>
      <c r="GO186" s="2"/>
      <c r="GP186" s="2"/>
      <c r="GQ186" s="2">
        <v>75</v>
      </c>
      <c r="GR186" s="2" t="s">
        <v>2685</v>
      </c>
      <c r="GS186" s="2" t="s">
        <v>2686</v>
      </c>
      <c r="GT186" s="2" t="s">
        <v>3280</v>
      </c>
      <c r="GU186" s="2" t="s">
        <v>627</v>
      </c>
      <c r="GV186" s="2" t="s">
        <v>17</v>
      </c>
      <c r="GW186" s="2">
        <v>26.748660000000001</v>
      </c>
      <c r="GX186" s="2">
        <v>-80.056190999999998</v>
      </c>
      <c r="GY186" s="2"/>
      <c r="GZ186" s="2" t="s">
        <v>17</v>
      </c>
      <c r="HA186" s="2">
        <v>0</v>
      </c>
      <c r="HB186" s="2" t="s">
        <v>17</v>
      </c>
      <c r="HC186" s="2" t="s">
        <v>17</v>
      </c>
      <c r="HD186" s="2">
        <v>0</v>
      </c>
      <c r="HE186" s="2">
        <v>26.749478</v>
      </c>
      <c r="HF186" s="2">
        <v>-80.056381000000002</v>
      </c>
      <c r="HG186" s="2">
        <v>0.04</v>
      </c>
      <c r="HH186" s="2">
        <v>4</v>
      </c>
      <c r="HI186" s="2">
        <v>26.749441999999998</v>
      </c>
      <c r="HJ186" s="2">
        <v>-80.056583000000003</v>
      </c>
      <c r="HK186" s="2">
        <v>0.05</v>
      </c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 t="s">
        <v>73</v>
      </c>
      <c r="HX186" s="2" t="s">
        <v>3281</v>
      </c>
      <c r="HY186" s="2" t="s">
        <v>3282</v>
      </c>
      <c r="HZ186" s="2">
        <v>0.5</v>
      </c>
      <c r="IA186" s="2">
        <v>3.5</v>
      </c>
      <c r="IB186" s="2" t="s">
        <v>3283</v>
      </c>
      <c r="IC186" s="2" t="s">
        <v>3284</v>
      </c>
      <c r="ID186" s="2">
        <v>0.6</v>
      </c>
      <c r="IE186" s="2">
        <v>3</v>
      </c>
      <c r="IF186" s="2"/>
      <c r="IG186" s="2"/>
      <c r="IH186" s="2"/>
      <c r="II186" s="2"/>
      <c r="IJ186" s="2" t="s">
        <v>3285</v>
      </c>
      <c r="IK186" s="2" t="s">
        <v>3286</v>
      </c>
      <c r="IL186" s="2">
        <v>0.21</v>
      </c>
      <c r="IM186" s="2">
        <v>4</v>
      </c>
      <c r="IN186" s="2" t="s">
        <v>17</v>
      </c>
      <c r="IO186" s="2"/>
      <c r="IP186" s="2" t="s">
        <v>79</v>
      </c>
      <c r="IQ186" s="2">
        <v>4</v>
      </c>
      <c r="IR186" s="2">
        <v>10.5</v>
      </c>
      <c r="IS186" s="2">
        <v>0</v>
      </c>
      <c r="IT186" s="2">
        <v>14.5</v>
      </c>
      <c r="IU186" s="2" t="s">
        <v>17</v>
      </c>
      <c r="IV186" s="2" t="s">
        <v>17</v>
      </c>
      <c r="IW186" s="2" t="s">
        <v>17</v>
      </c>
      <c r="IX186" s="2" t="s">
        <v>9</v>
      </c>
      <c r="IY186" s="2">
        <v>14.5</v>
      </c>
      <c r="IZ186" s="2">
        <v>75</v>
      </c>
      <c r="JA186" s="2" t="s">
        <v>2693</v>
      </c>
      <c r="JB186" s="2" t="s">
        <v>173</v>
      </c>
      <c r="JC186" s="7">
        <v>0.1</v>
      </c>
      <c r="JD186" s="2"/>
      <c r="JE186" s="7">
        <v>0.9</v>
      </c>
      <c r="JF186" s="7">
        <v>0</v>
      </c>
      <c r="JG186" s="7"/>
      <c r="JH186" s="7"/>
      <c r="JI186" s="2">
        <v>75</v>
      </c>
      <c r="JJ186" s="7">
        <v>1</v>
      </c>
      <c r="JK186" s="2">
        <v>75</v>
      </c>
      <c r="JL186" s="7">
        <v>1</v>
      </c>
      <c r="JM186" s="2"/>
      <c r="JN186" s="2"/>
      <c r="JO186" s="2"/>
      <c r="JP186" s="2"/>
      <c r="JQ186" s="2"/>
      <c r="JR186" s="2">
        <v>0</v>
      </c>
      <c r="JS186" s="2">
        <v>0</v>
      </c>
      <c r="JT186" s="2"/>
      <c r="JU186" s="2"/>
      <c r="JV186" s="2">
        <v>0</v>
      </c>
      <c r="JW186" s="4">
        <v>0</v>
      </c>
      <c r="JX186" s="2">
        <v>0</v>
      </c>
      <c r="JY186" s="4">
        <v>0</v>
      </c>
      <c r="JZ186" s="2">
        <v>0</v>
      </c>
      <c r="KA186" s="2"/>
      <c r="KB186" s="2"/>
      <c r="KC186" s="2"/>
      <c r="KD186" s="2"/>
      <c r="KE186" s="2"/>
      <c r="KF186" s="2"/>
      <c r="KG186" s="2"/>
      <c r="KH186" s="2">
        <v>67</v>
      </c>
      <c r="KI186" s="2"/>
      <c r="KJ186" s="2"/>
      <c r="KK186" s="2">
        <v>8</v>
      </c>
      <c r="KL186" s="2"/>
      <c r="KM186" s="2"/>
      <c r="KN186" s="2"/>
      <c r="KO186" s="2"/>
      <c r="KP186" s="2"/>
      <c r="KQ186" s="2" t="s">
        <v>83</v>
      </c>
      <c r="KR186" s="2"/>
      <c r="KS186" s="2" t="s">
        <v>73</v>
      </c>
      <c r="KT186" s="2">
        <v>1</v>
      </c>
      <c r="KU186" s="2" t="s">
        <v>84</v>
      </c>
      <c r="KV186" s="2" t="s">
        <v>85</v>
      </c>
      <c r="KW186" s="2" t="s">
        <v>86</v>
      </c>
      <c r="KX186" s="2" t="s">
        <v>17</v>
      </c>
      <c r="KY186" s="2" t="s">
        <v>17</v>
      </c>
      <c r="KZ186" s="2" t="s">
        <v>17</v>
      </c>
      <c r="LA186" s="2" t="s">
        <v>17</v>
      </c>
      <c r="LB186" s="2" t="s">
        <v>17</v>
      </c>
      <c r="LC186" s="2" t="s">
        <v>17</v>
      </c>
      <c r="LD186" s="2" t="s">
        <v>17</v>
      </c>
      <c r="LE186" s="2" t="s">
        <v>17</v>
      </c>
      <c r="LF186" s="2" t="s">
        <v>17</v>
      </c>
      <c r="LG186" s="2" t="s">
        <v>17</v>
      </c>
      <c r="LH186" s="2" t="s">
        <v>17</v>
      </c>
      <c r="LI186" s="2" t="s">
        <v>17</v>
      </c>
      <c r="LJ186" s="2" t="s">
        <v>87</v>
      </c>
      <c r="LK186" s="2" t="s">
        <v>17</v>
      </c>
      <c r="LL186" s="2" t="s">
        <v>17</v>
      </c>
      <c r="LM186" s="2">
        <v>0</v>
      </c>
      <c r="LN186" s="2" t="s">
        <v>17</v>
      </c>
      <c r="LO186" s="2" t="s">
        <v>17</v>
      </c>
      <c r="LP186" s="2" t="s">
        <v>17</v>
      </c>
      <c r="LQ186" s="2" t="s">
        <v>17</v>
      </c>
      <c r="LR186" s="2" t="s">
        <v>17</v>
      </c>
      <c r="LS186" s="2" t="s">
        <v>17</v>
      </c>
      <c r="LT186" s="2" t="s">
        <v>17</v>
      </c>
      <c r="LU186" s="2" t="s">
        <v>17</v>
      </c>
      <c r="LV186" s="2" t="s">
        <v>9</v>
      </c>
      <c r="LW186" s="2" t="s">
        <v>9</v>
      </c>
      <c r="LX186" s="2" t="s">
        <v>9</v>
      </c>
      <c r="LY186" s="5">
        <v>6000000</v>
      </c>
      <c r="LZ186" s="5">
        <v>0</v>
      </c>
      <c r="MA186" s="5">
        <v>7500000</v>
      </c>
      <c r="MB186" s="5">
        <v>0</v>
      </c>
      <c r="MC186" s="5">
        <v>0</v>
      </c>
      <c r="MD186" s="5">
        <v>0</v>
      </c>
      <c r="ME186" s="5">
        <v>7875000</v>
      </c>
      <c r="MF186" s="5">
        <v>0</v>
      </c>
      <c r="MG186" s="5">
        <v>0</v>
      </c>
      <c r="MH186" s="5">
        <v>0</v>
      </c>
      <c r="MI186" s="5">
        <v>0</v>
      </c>
      <c r="MJ186" s="5">
        <v>0</v>
      </c>
      <c r="MK186" s="5">
        <v>0</v>
      </c>
      <c r="ML186" s="2">
        <v>0</v>
      </c>
      <c r="MM186" s="5">
        <v>0</v>
      </c>
      <c r="MN186" s="5">
        <v>0</v>
      </c>
      <c r="MO186" s="2">
        <v>0</v>
      </c>
      <c r="MP186" s="2">
        <v>0</v>
      </c>
      <c r="MQ186" s="2">
        <v>0</v>
      </c>
      <c r="MR186" s="5">
        <v>2950000</v>
      </c>
      <c r="MS186" s="5">
        <v>0</v>
      </c>
      <c r="MT186" s="5">
        <v>4600000</v>
      </c>
      <c r="MU186" s="5">
        <v>0</v>
      </c>
      <c r="MV186" s="5">
        <v>0</v>
      </c>
      <c r="MW186" s="5">
        <v>0</v>
      </c>
      <c r="MX186" s="5">
        <v>0</v>
      </c>
      <c r="MY186" s="5">
        <v>2500000</v>
      </c>
      <c r="MZ186" s="5">
        <v>0</v>
      </c>
      <c r="NA186" s="5">
        <v>5000000</v>
      </c>
      <c r="NB186" s="5">
        <v>0</v>
      </c>
      <c r="NC186" s="5">
        <v>0</v>
      </c>
      <c r="ND186" s="5">
        <v>0</v>
      </c>
      <c r="NE186" s="5">
        <v>0</v>
      </c>
      <c r="NF186" s="5">
        <v>0</v>
      </c>
      <c r="NG186" s="5">
        <v>2992500</v>
      </c>
      <c r="NH186" s="5">
        <v>2992500</v>
      </c>
      <c r="NI186" s="5">
        <v>2992500</v>
      </c>
      <c r="NJ186" s="2" t="s">
        <v>17</v>
      </c>
      <c r="NK186" s="2"/>
      <c r="NL186" s="2"/>
      <c r="NM186" s="2" t="s">
        <v>17</v>
      </c>
      <c r="NN186" s="2"/>
      <c r="NO186" s="2" t="s">
        <v>17</v>
      </c>
      <c r="NP186" s="2"/>
      <c r="NQ186" s="2"/>
      <c r="NR186" s="2" t="s">
        <v>17</v>
      </c>
      <c r="NS186" s="2"/>
      <c r="NT186" s="2" t="s">
        <v>17</v>
      </c>
      <c r="NU186" s="2"/>
      <c r="NV186" s="2"/>
      <c r="NW186" s="2"/>
      <c r="NX186" s="2" t="s">
        <v>17</v>
      </c>
      <c r="NY186" s="2"/>
      <c r="NZ186" s="2"/>
      <c r="OA186" s="2" t="s">
        <v>118</v>
      </c>
      <c r="OB186" s="2" t="s">
        <v>118</v>
      </c>
      <c r="OC186" s="2" t="s">
        <v>118</v>
      </c>
      <c r="OD186" s="2" t="s">
        <v>17</v>
      </c>
      <c r="OE186" s="2" t="s">
        <v>91</v>
      </c>
      <c r="OF186" s="2" t="s">
        <v>17</v>
      </c>
      <c r="OG186" s="2"/>
      <c r="OH186" s="2" t="s">
        <v>17</v>
      </c>
      <c r="OI186" s="2" t="s">
        <v>17</v>
      </c>
      <c r="OJ186" s="2" t="s">
        <v>85</v>
      </c>
      <c r="OK186" s="6">
        <v>0</v>
      </c>
      <c r="OL186" s="6">
        <v>0</v>
      </c>
      <c r="OM186" s="2" t="s">
        <v>93</v>
      </c>
      <c r="ON186" s="2" t="s">
        <v>93</v>
      </c>
      <c r="OO186" s="6">
        <v>0</v>
      </c>
      <c r="OP186" s="6">
        <v>0</v>
      </c>
      <c r="OQ186" s="4">
        <v>0</v>
      </c>
      <c r="OR186" s="6">
        <v>0</v>
      </c>
      <c r="OS186" s="4">
        <v>0</v>
      </c>
      <c r="OT186" s="2" t="s">
        <v>17</v>
      </c>
      <c r="OU186" s="2" t="s">
        <v>17</v>
      </c>
      <c r="OV186" s="2"/>
      <c r="OW186" s="2"/>
      <c r="OX186" s="5">
        <v>19916584</v>
      </c>
      <c r="OY186" s="6">
        <v>265554.45</v>
      </c>
      <c r="OZ186" s="2"/>
      <c r="PA186" s="2"/>
      <c r="PB186" s="2"/>
      <c r="PC186" s="2"/>
      <c r="PD186" s="8">
        <v>16305410</v>
      </c>
      <c r="PE186" s="8">
        <v>164701</v>
      </c>
      <c r="PF186" s="8">
        <v>16470111</v>
      </c>
      <c r="PG186" s="2"/>
      <c r="PH186" s="2"/>
      <c r="PI186" s="2"/>
      <c r="PJ186" s="2"/>
      <c r="PK186" s="2"/>
      <c r="PL186" s="2"/>
      <c r="PM186" s="8">
        <v>16305410</v>
      </c>
      <c r="PN186" s="8">
        <v>164701</v>
      </c>
      <c r="PO186" s="8">
        <v>16470111</v>
      </c>
      <c r="PP186" s="8">
        <v>2300816</v>
      </c>
      <c r="PQ186" s="2"/>
      <c r="PR186" s="8">
        <v>2300816</v>
      </c>
      <c r="PS186" s="6">
        <v>2305815</v>
      </c>
      <c r="PT186" s="8">
        <v>18606226</v>
      </c>
      <c r="PU186" s="8">
        <v>164701</v>
      </c>
      <c r="PV186" s="8">
        <v>18770927</v>
      </c>
      <c r="PW186" s="8">
        <v>918750</v>
      </c>
      <c r="PX186" s="2"/>
      <c r="PY186" s="8">
        <v>918750</v>
      </c>
      <c r="PZ186" s="6">
        <v>938546.35</v>
      </c>
      <c r="QA186" s="8">
        <v>1103123</v>
      </c>
      <c r="QB186" s="8">
        <v>187165</v>
      </c>
      <c r="QC186" s="8">
        <v>1290288</v>
      </c>
      <c r="QD186" s="8">
        <v>349474</v>
      </c>
      <c r="QE186" s="2"/>
      <c r="QF186" s="8">
        <v>349474</v>
      </c>
      <c r="QG186" s="8">
        <v>954772</v>
      </c>
      <c r="QH186" s="2"/>
      <c r="QI186" s="8">
        <v>954772</v>
      </c>
      <c r="QJ186" s="2"/>
      <c r="QK186" s="8">
        <v>522325</v>
      </c>
      <c r="QL186" s="8">
        <v>522325</v>
      </c>
      <c r="QM186" s="2"/>
      <c r="QN186" s="2"/>
      <c r="QO186" s="2"/>
      <c r="QP186" s="2"/>
      <c r="QQ186" s="2"/>
      <c r="QR186" s="2"/>
      <c r="QS186" s="8">
        <v>2407369</v>
      </c>
      <c r="QT186" s="8">
        <v>709490</v>
      </c>
      <c r="QU186" s="8">
        <v>3116859</v>
      </c>
      <c r="QV186" s="8">
        <v>127012</v>
      </c>
      <c r="QW186" s="8">
        <v>5708</v>
      </c>
      <c r="QX186" s="8">
        <v>132720</v>
      </c>
      <c r="QY186" s="6">
        <v>155842.95000000001</v>
      </c>
      <c r="QZ186" s="8">
        <v>1479193</v>
      </c>
      <c r="RA186" s="8">
        <v>1169809</v>
      </c>
      <c r="RB186" s="8">
        <v>2649002</v>
      </c>
      <c r="RC186" s="8">
        <v>65958</v>
      </c>
      <c r="RD186" s="8">
        <v>65958</v>
      </c>
      <c r="RE186" s="2"/>
      <c r="RF186" s="2"/>
      <c r="RG186" s="2"/>
      <c r="RH186" s="8">
        <v>1479193</v>
      </c>
      <c r="RI186" s="8">
        <v>1235767</v>
      </c>
      <c r="RJ186" s="8">
        <v>2714960</v>
      </c>
      <c r="RK186" s="2"/>
      <c r="RL186" s="2"/>
      <c r="RM186" s="8">
        <v>23538550</v>
      </c>
      <c r="RN186" s="8">
        <v>2115666</v>
      </c>
      <c r="RO186" s="8">
        <v>25654216</v>
      </c>
      <c r="RP186" s="2">
        <v>0</v>
      </c>
      <c r="RQ186" s="6">
        <v>0</v>
      </c>
      <c r="RR186" s="8">
        <v>4048758</v>
      </c>
      <c r="RS186" s="2"/>
      <c r="RT186" s="8">
        <v>4048758</v>
      </c>
      <c r="RU186" s="6">
        <v>4104674</v>
      </c>
      <c r="RV186" s="6">
        <v>0</v>
      </c>
      <c r="RW186" s="8">
        <v>4048758</v>
      </c>
      <c r="RX186" s="2"/>
      <c r="RY186" s="8">
        <v>4048758</v>
      </c>
      <c r="RZ186" s="6">
        <v>4104674</v>
      </c>
      <c r="SA186" s="8">
        <v>262500</v>
      </c>
      <c r="SB186" s="8">
        <v>262500</v>
      </c>
      <c r="SC186" s="6">
        <v>262500</v>
      </c>
      <c r="SD186" s="8">
        <v>2000000</v>
      </c>
      <c r="SE186" s="8">
        <v>2000000</v>
      </c>
      <c r="SF186" s="8">
        <v>27587308</v>
      </c>
      <c r="SG186" s="8">
        <v>4378166</v>
      </c>
      <c r="SH186" s="8">
        <v>31965474</v>
      </c>
      <c r="SI186" s="2"/>
      <c r="SJ186" s="2"/>
      <c r="SK186" s="2"/>
      <c r="SL186" s="2"/>
      <c r="SM186" s="8">
        <v>25000000</v>
      </c>
      <c r="SN186" s="2" t="s">
        <v>95</v>
      </c>
      <c r="SO186" s="2"/>
      <c r="SP186" s="2"/>
      <c r="SQ186" s="2"/>
      <c r="SR186" s="2"/>
      <c r="SS186" s="2" t="s">
        <v>96</v>
      </c>
      <c r="ST186" s="2" t="s">
        <v>96</v>
      </c>
      <c r="SU186" s="2" t="s">
        <v>96</v>
      </c>
      <c r="SV186" s="2" t="s">
        <v>96</v>
      </c>
      <c r="SW186" s="8">
        <v>13913700</v>
      </c>
      <c r="SX186" s="2"/>
      <c r="SY186" s="2"/>
      <c r="SZ186" s="2"/>
      <c r="TA186" s="2">
        <v>0</v>
      </c>
      <c r="TB186" s="8">
        <v>38913700</v>
      </c>
      <c r="TC186" s="8">
        <v>6948226</v>
      </c>
      <c r="TD186" s="2" t="s">
        <v>9</v>
      </c>
      <c r="TE186" s="8">
        <v>7000000</v>
      </c>
      <c r="TF186" s="2" t="s">
        <v>95</v>
      </c>
      <c r="TG186" s="2"/>
      <c r="TH186" s="2"/>
      <c r="TI186" s="2"/>
      <c r="TJ186" s="2"/>
      <c r="TK186" s="2" t="s">
        <v>96</v>
      </c>
      <c r="TL186" s="2" t="s">
        <v>96</v>
      </c>
      <c r="TM186" s="2" t="s">
        <v>96</v>
      </c>
      <c r="TN186" s="2" t="s">
        <v>96</v>
      </c>
      <c r="TO186" s="8">
        <v>27827400</v>
      </c>
      <c r="TP186" s="2"/>
      <c r="TQ186" s="2"/>
      <c r="TR186" s="2"/>
      <c r="TS186" s="2">
        <v>0</v>
      </c>
      <c r="TT186" s="8">
        <v>34827400</v>
      </c>
      <c r="TU186" s="6">
        <v>7000000</v>
      </c>
      <c r="TV186" s="8">
        <v>2861926</v>
      </c>
      <c r="TW186" s="2" t="s">
        <v>9</v>
      </c>
      <c r="TX186" s="2">
        <v>75</v>
      </c>
      <c r="TY186" s="5">
        <v>290000</v>
      </c>
      <c r="TZ186" s="6">
        <v>386666.67</v>
      </c>
      <c r="UA186" s="6">
        <v>386666.67</v>
      </c>
      <c r="UB186" s="6">
        <v>409866.67</v>
      </c>
      <c r="UC186" s="6">
        <v>30740000</v>
      </c>
      <c r="UD186" s="6">
        <v>4918400</v>
      </c>
      <c r="UE186" s="2" t="s">
        <v>97</v>
      </c>
      <c r="UF186" s="6">
        <v>4918400</v>
      </c>
      <c r="UG186" s="6">
        <v>35658400</v>
      </c>
      <c r="UH186" s="6">
        <v>29702974</v>
      </c>
      <c r="UI186" s="4">
        <v>0.99990000000000001</v>
      </c>
      <c r="UJ186" s="2" t="s">
        <v>9</v>
      </c>
      <c r="UK186" s="2"/>
      <c r="UL186" s="2"/>
      <c r="UM186" s="6">
        <v>0</v>
      </c>
      <c r="UN186" s="2"/>
      <c r="UO186" s="6">
        <v>0</v>
      </c>
      <c r="UP186" s="6">
        <v>75000</v>
      </c>
      <c r="UQ186" s="6">
        <v>75000</v>
      </c>
      <c r="UR186" s="6">
        <v>0</v>
      </c>
      <c r="US186" s="6">
        <v>75000</v>
      </c>
      <c r="UT186" s="6">
        <v>0</v>
      </c>
      <c r="UU186" s="6">
        <v>75000</v>
      </c>
      <c r="UV186" s="2" t="s">
        <v>3287</v>
      </c>
      <c r="UW186" s="2" t="s">
        <v>3288</v>
      </c>
      <c r="UX186" s="2" t="s">
        <v>17</v>
      </c>
      <c r="UY186" s="2" t="s">
        <v>17</v>
      </c>
      <c r="UZ186" s="2" t="s">
        <v>17</v>
      </c>
      <c r="VA186" s="2" t="s">
        <v>17</v>
      </c>
      <c r="VB186" s="2" t="s">
        <v>2894</v>
      </c>
      <c r="VC186" s="2" t="s">
        <v>17</v>
      </c>
      <c r="VD186" s="2" t="s">
        <v>17</v>
      </c>
      <c r="VE186" s="2" t="s">
        <v>17</v>
      </c>
      <c r="VF186" s="2"/>
      <c r="VG186" s="2" t="s">
        <v>3289</v>
      </c>
      <c r="VH186" s="2"/>
      <c r="VI186" s="2" t="s">
        <v>286</v>
      </c>
      <c r="VJ186" s="2" t="s">
        <v>98</v>
      </c>
      <c r="VK186" s="2" t="s">
        <v>3290</v>
      </c>
      <c r="VL186" s="23">
        <f t="shared" ref="VL186" si="85">VM186*IZ186</f>
        <v>83</v>
      </c>
      <c r="VM186" s="17">
        <f t="shared" ref="VM186" si="86">(KG186+KH186+2*(KI186+KK186)+3*KL186)/IZ186</f>
        <v>1.1066666666666667</v>
      </c>
      <c r="VN186" s="17"/>
      <c r="VO186" s="17"/>
      <c r="VP186" s="12">
        <v>9</v>
      </c>
      <c r="VQ186" s="57">
        <v>1</v>
      </c>
      <c r="VR186" s="14">
        <f>IF(GR186="Broward",Broward_A,1)</f>
        <v>1</v>
      </c>
      <c r="VS186" s="14">
        <f>IF(OR(OT186="Yes",OU186="Yes"),PHA_A,1)</f>
        <v>1</v>
      </c>
      <c r="VT186" s="12">
        <f>(GG186*NC_GA_A*ESSC_A+GH186*NC_GA_A+GI186*NC_MR_A*ESSC_A+GJ186*NC_MR_A+GK186*NC_HR_A*ESSC_A+GL186*NC_OT_A*ESSC_A+GM186*NC_OT_A+GN186*1+GO186*1)/(GG186+GH186+GI186+GJ186+GK186+GL186+GM186+GN186+GO186)</f>
        <v>0.90210000000000001</v>
      </c>
      <c r="VU186" s="29">
        <f>NI186*VP186*VR186*VS186*VT186*IF(BW186="Elderly Non-ALF",Elderly_A,1)</f>
        <v>24295808.25</v>
      </c>
      <c r="VV186" s="30">
        <f t="shared" ref="VV186" si="87">VU186/(JI186+JV186)</f>
        <v>323944.11</v>
      </c>
      <c r="VW186" s="12" t="s">
        <v>381</v>
      </c>
      <c r="VY186" s="54" t="e">
        <f>IF(RANK(VV186,VV$31:VV$31,1)&lt;=ROUNDUP(10%*1,0),1,IF(RANK(VV186,VV$31:VV$31,1)&lt;=ROUNDUP(30%*1,0),2,IF(RANK(VV186,VV$31:VV$31,1)&lt;=ROUNDUP(50%*1,0),3,IF(RANK(VV186,VV$31:VV$31,1)&lt;=ROUNDUP(70%*1,0),4,5))))</f>
        <v>#N/A</v>
      </c>
      <c r="VZ186" s="12"/>
      <c r="WA186" s="12">
        <f t="shared" ref="WA186" si="88">IF(BW186="Elderly Non-ALF",1,0)</f>
        <v>1</v>
      </c>
      <c r="WB186" s="12">
        <f t="shared" ref="WB186" si="89">IF(OR(VQ186=1,N(VQ186)=0),0,1)</f>
        <v>0</v>
      </c>
      <c r="WC186" s="12">
        <f t="shared" ref="WC186" si="90">IF(OR(VR186=1,N(VR186)=0),0,1)</f>
        <v>0</v>
      </c>
      <c r="WD186" s="12">
        <f t="shared" ref="WD186" si="91">IF(OR(VS186=1,N(VS186)=0),0,1)</f>
        <v>0</v>
      </c>
      <c r="WE186" s="12">
        <f t="shared" ref="WE186" si="92">IF(GG186+GI186+GK186+GL186&gt;0,1,0)</f>
        <v>1</v>
      </c>
      <c r="WF186" s="12">
        <f t="shared" ref="WF186" si="93">IF(GG186+GH186&gt;0,1,0)</f>
        <v>0</v>
      </c>
      <c r="WG186" s="12">
        <f t="shared" ref="WG186" si="94">IF(GI186+GJ186&gt;0,1,0)</f>
        <v>1</v>
      </c>
      <c r="WH186" s="12">
        <f t="shared" ref="WH186" si="95">IF(GK186&gt;1,1,0)</f>
        <v>0</v>
      </c>
      <c r="WI186" s="31">
        <f t="shared" ref="WI186" si="96">SUM(WA186:WH186)</f>
        <v>3</v>
      </c>
    </row>
  </sheetData>
  <sheetProtection algorithmName="SHA-512" hashValue="MshQOmI/mVTn3xLcbyk9b/p/R2TJFJIvsGUi8MXc/54AAOMtgoAxrvaFF//nbt/3oZNx0mKEVyHnEPzlak3dOA==" saltValue="9f5vl2EREg//GpKUkFbi+A==" spinCount="100000" sheet="1" objects="1" scenarios="1" formatColumns="0"/>
  <autoFilter ref="A1:VK31" xr:uid="{E641FA41-7637-422C-A3C9-3332184EDCC5}"/>
  <sortState xmlns:xlrd2="http://schemas.microsoft.com/office/spreadsheetml/2017/richdata2" ref="VX145:VX174">
    <sortCondition ref="VX145:VX174"/>
  </sortState>
  <mergeCells count="36">
    <mergeCell ref="VV74:VW74"/>
    <mergeCell ref="VY74:WC74"/>
    <mergeCell ref="VS138:VT138"/>
    <mergeCell ref="VV138:VW138"/>
    <mergeCell ref="VY138:WC138"/>
    <mergeCell ref="WD138:WH138"/>
    <mergeCell ref="WG74:WK74"/>
    <mergeCell ref="WK2:WM2"/>
    <mergeCell ref="WK3:WM3"/>
    <mergeCell ref="WK4:WM4"/>
    <mergeCell ref="WK5:WM5"/>
    <mergeCell ref="WK6:WM6"/>
    <mergeCell ref="WK7:WM7"/>
    <mergeCell ref="WK8:WM8"/>
    <mergeCell ref="WK9:WM9"/>
    <mergeCell ref="WK10:WM10"/>
    <mergeCell ref="WK11:WM11"/>
    <mergeCell ref="WK12:WM12"/>
    <mergeCell ref="WK13:WM13"/>
    <mergeCell ref="WK14:WM14"/>
    <mergeCell ref="WK15:WM15"/>
    <mergeCell ref="WK16:WM16"/>
    <mergeCell ref="WK17:WM17"/>
    <mergeCell ref="WK18:WM18"/>
    <mergeCell ref="WK19:WM19"/>
    <mergeCell ref="WK20:WM20"/>
    <mergeCell ref="WK21:WM21"/>
    <mergeCell ref="WK27:WM27"/>
    <mergeCell ref="WK28:WM28"/>
    <mergeCell ref="WK29:WM29"/>
    <mergeCell ref="WK30:WM30"/>
    <mergeCell ref="WK22:WM22"/>
    <mergeCell ref="WK23:WM23"/>
    <mergeCell ref="WK24:WM24"/>
    <mergeCell ref="WK25:WM25"/>
    <mergeCell ref="WK26:WM26"/>
  </mergeCells>
  <conditionalFormatting sqref="VX2:VX31">
    <cfRule type="cellIs" dxfId="227" priority="116" operator="equal">
      <formula>"Yes"</formula>
    </cfRule>
  </conditionalFormatting>
  <conditionalFormatting sqref="VW2:VW30">
    <cfRule type="cellIs" dxfId="226" priority="112" operator="equal">
      <formula>"Yes"</formula>
    </cfRule>
  </conditionalFormatting>
  <conditionalFormatting sqref="OU75:OU83 VI75:VI83">
    <cfRule type="cellIs" dxfId="225" priority="109" operator="notEqual">
      <formula>$OU75</formula>
    </cfRule>
  </conditionalFormatting>
  <conditionalFormatting sqref="OU76:OU77">
    <cfRule type="cellIs" dxfId="224" priority="108" operator="equal">
      <formula>"Yes"</formula>
    </cfRule>
  </conditionalFormatting>
  <conditionalFormatting sqref="VX2:VX30">
    <cfRule type="expression" dxfId="223" priority="105">
      <formula>VS2&lt;1</formula>
    </cfRule>
  </conditionalFormatting>
  <conditionalFormatting sqref="VI76:VI77">
    <cfRule type="cellIs" dxfId="222" priority="104" operator="equal">
      <formula>"Yes"</formula>
    </cfRule>
  </conditionalFormatting>
  <conditionalFormatting sqref="VQ2:VQ31">
    <cfRule type="cellIs" dxfId="221" priority="99" operator="equal">
      <formula>"Yes"</formula>
    </cfRule>
  </conditionalFormatting>
  <conditionalFormatting sqref="VX139:VX140">
    <cfRule type="cellIs" dxfId="220" priority="91" operator="equal">
      <formula>"Yes"</formula>
    </cfRule>
  </conditionalFormatting>
  <conditionalFormatting sqref="WB139:WB140">
    <cfRule type="cellIs" dxfId="219" priority="89" operator="equal">
      <formula>"Yes"</formula>
    </cfRule>
  </conditionalFormatting>
  <conditionalFormatting sqref="VV98:VW98">
    <cfRule type="cellIs" dxfId="218" priority="87" operator="equal">
      <formula>"Yes"</formula>
    </cfRule>
  </conditionalFormatting>
  <conditionalFormatting sqref="VV76:VV84 VW77:VW84">
    <cfRule type="cellIs" dxfId="217" priority="86" operator="equal">
      <formula>"Yes"</formula>
    </cfRule>
  </conditionalFormatting>
  <conditionalFormatting sqref="VV76:VV84 VW77:VW84 VV98:VW98">
    <cfRule type="cellIs" dxfId="216" priority="85" operator="equal">
      <formula>"B"</formula>
    </cfRule>
  </conditionalFormatting>
  <conditionalFormatting sqref="VX84">
    <cfRule type="cellIs" dxfId="215" priority="84" operator="equal">
      <formula>"Yes"</formula>
    </cfRule>
  </conditionalFormatting>
  <conditionalFormatting sqref="VV76:VW83">
    <cfRule type="cellIs" dxfId="214" priority="83" operator="equal">
      <formula>"Yes"</formula>
    </cfRule>
  </conditionalFormatting>
  <conditionalFormatting sqref="VV76:VW83">
    <cfRule type="cellIs" dxfId="213" priority="82" operator="equal">
      <formula>"B"</formula>
    </cfRule>
  </conditionalFormatting>
  <conditionalFormatting sqref="VX105:VX106">
    <cfRule type="cellIs" dxfId="212" priority="81" operator="equal">
      <formula>"Yes"</formula>
    </cfRule>
  </conditionalFormatting>
  <conditionalFormatting sqref="VY84:WC84">
    <cfRule type="cellIs" dxfId="211" priority="72" operator="equal">
      <formula>"Yes"</formula>
    </cfRule>
  </conditionalFormatting>
  <conditionalFormatting sqref="VY84:WC84">
    <cfRule type="cellIs" dxfId="210" priority="71" operator="equal">
      <formula>"B"</formula>
    </cfRule>
  </conditionalFormatting>
  <conditionalFormatting sqref="WB105:WB106">
    <cfRule type="cellIs" dxfId="209" priority="66" operator="equal">
      <formula>"Yes"</formula>
    </cfRule>
  </conditionalFormatting>
  <conditionalFormatting sqref="OY75:OY83">
    <cfRule type="cellIs" dxfId="208" priority="65" operator="notEqual">
      <formula>$OU75</formula>
    </cfRule>
  </conditionalFormatting>
  <conditionalFormatting sqref="OY76:OY77">
    <cfRule type="cellIs" dxfId="207" priority="64" operator="equal">
      <formula>"Yes"</formula>
    </cfRule>
  </conditionalFormatting>
  <conditionalFormatting sqref="VY86:WC88">
    <cfRule type="cellIs" dxfId="206" priority="63" operator="equal">
      <formula>"Yes"</formula>
    </cfRule>
  </conditionalFormatting>
  <conditionalFormatting sqref="VY86:WC88">
    <cfRule type="cellIs" dxfId="205" priority="62" operator="equal">
      <formula>"B"</formula>
    </cfRule>
  </conditionalFormatting>
  <conditionalFormatting sqref="VY86:WC88">
    <cfRule type="cellIs" dxfId="204" priority="61" operator="equal">
      <formula>"Yes"</formula>
    </cfRule>
  </conditionalFormatting>
  <conditionalFormatting sqref="VY86:WC88">
    <cfRule type="cellIs" dxfId="203" priority="60" operator="equal">
      <formula>"B"</formula>
    </cfRule>
  </conditionalFormatting>
  <conditionalFormatting sqref="VY90:WC90">
    <cfRule type="cellIs" dxfId="202" priority="59" operator="equal">
      <formula>"Yes"</formula>
    </cfRule>
  </conditionalFormatting>
  <conditionalFormatting sqref="VY90:WC90">
    <cfRule type="cellIs" dxfId="201" priority="58" operator="equal">
      <formula>"B"</formula>
    </cfRule>
  </conditionalFormatting>
  <conditionalFormatting sqref="VY90:WC90">
    <cfRule type="cellIs" dxfId="200" priority="57" operator="equal">
      <formula>"Yes"</formula>
    </cfRule>
  </conditionalFormatting>
  <conditionalFormatting sqref="VY90:WC90">
    <cfRule type="cellIs" dxfId="199" priority="56" operator="equal">
      <formula>"B"</formula>
    </cfRule>
  </conditionalFormatting>
  <conditionalFormatting sqref="WG84:WK84">
    <cfRule type="cellIs" dxfId="198" priority="53" operator="equal">
      <formula>"Yes"</formula>
    </cfRule>
  </conditionalFormatting>
  <conditionalFormatting sqref="WG84:WK84">
    <cfRule type="cellIs" dxfId="197" priority="52" operator="equal">
      <formula>"B"</formula>
    </cfRule>
  </conditionalFormatting>
  <conditionalFormatting sqref="WJ105:WJ106">
    <cfRule type="cellIs" dxfId="196" priority="51" operator="equal">
      <formula>"Yes"</formula>
    </cfRule>
  </conditionalFormatting>
  <conditionalFormatting sqref="OU74">
    <cfRule type="cellIs" dxfId="195" priority="50" operator="notEqual">
      <formula>$OU74</formula>
    </cfRule>
  </conditionalFormatting>
  <conditionalFormatting sqref="WI2:WI72">
    <cfRule type="cellIs" dxfId="194" priority="37" operator="greaterThan">
      <formula>4</formula>
    </cfRule>
    <cfRule type="cellIs" dxfId="193" priority="38" operator="equal">
      <formula>4</formula>
    </cfRule>
    <cfRule type="cellIs" dxfId="192" priority="39" operator="equal">
      <formula>3</formula>
    </cfRule>
    <cfRule type="cellIs" dxfId="191" priority="40" operator="equal">
      <formula>2</formula>
    </cfRule>
    <cfRule type="cellIs" dxfId="190" priority="41" operator="equal">
      <formula>1</formula>
    </cfRule>
  </conditionalFormatting>
  <conditionalFormatting sqref="VQ186">
    <cfRule type="cellIs" dxfId="189" priority="35" operator="equal">
      <formula>"Yes"</formula>
    </cfRule>
  </conditionalFormatting>
  <conditionalFormatting sqref="WI186">
    <cfRule type="cellIs" dxfId="188" priority="30" operator="greaterThan">
      <formula>4</formula>
    </cfRule>
    <cfRule type="cellIs" dxfId="187" priority="31" operator="equal">
      <formula>4</formula>
    </cfRule>
    <cfRule type="cellIs" dxfId="186" priority="32" operator="equal">
      <formula>3</formula>
    </cfRule>
    <cfRule type="cellIs" dxfId="185" priority="33" operator="equal">
      <formula>2</formula>
    </cfRule>
    <cfRule type="cellIs" dxfId="184" priority="34" operator="equal">
      <formula>1</formula>
    </cfRule>
  </conditionalFormatting>
  <conditionalFormatting sqref="VV108:VW114">
    <cfRule type="cellIs" dxfId="183" priority="25" operator="equal">
      <formula>"Yes"</formula>
    </cfRule>
  </conditionalFormatting>
  <conditionalFormatting sqref="VV108:VW114">
    <cfRule type="cellIs" dxfId="182" priority="24" operator="equal">
      <formula>"B"</formula>
    </cfRule>
  </conditionalFormatting>
  <conditionalFormatting sqref="VV108:VW114">
    <cfRule type="cellIs" dxfId="181" priority="23" operator="equal">
      <formula>"Yes"</formula>
    </cfRule>
  </conditionalFormatting>
  <conditionalFormatting sqref="VV108:VW114">
    <cfRule type="cellIs" dxfId="180" priority="22" operator="equal">
      <formula>"B"</formula>
    </cfRule>
  </conditionalFormatting>
  <conditionalFormatting sqref="WK2:WK30">
    <cfRule type="expression" dxfId="179" priority="21">
      <formula>AND($VR2&gt;0,$VR2&lt;1)</formula>
    </cfRule>
  </conditionalFormatting>
  <conditionalFormatting sqref="WG86:WK88">
    <cfRule type="cellIs" dxfId="178" priority="20" operator="equal">
      <formula>"Yes"</formula>
    </cfRule>
  </conditionalFormatting>
  <conditionalFormatting sqref="WG86:WK88">
    <cfRule type="cellIs" dxfId="177" priority="19" operator="equal">
      <formula>"B"</formula>
    </cfRule>
  </conditionalFormatting>
  <conditionalFormatting sqref="WG86:WK88">
    <cfRule type="cellIs" dxfId="176" priority="18" operator="equal">
      <formula>"Yes"</formula>
    </cfRule>
  </conditionalFormatting>
  <conditionalFormatting sqref="WG86:WK88">
    <cfRule type="cellIs" dxfId="175" priority="17" operator="equal">
      <formula>"B"</formula>
    </cfRule>
  </conditionalFormatting>
  <conditionalFormatting sqref="WG90:WK90">
    <cfRule type="cellIs" dxfId="174" priority="16" operator="equal">
      <formula>"Yes"</formula>
    </cfRule>
  </conditionalFormatting>
  <conditionalFormatting sqref="WG90:WK90">
    <cfRule type="cellIs" dxfId="173" priority="15" operator="equal">
      <formula>"B"</formula>
    </cfRule>
  </conditionalFormatting>
  <conditionalFormatting sqref="WG90:WK90">
    <cfRule type="cellIs" dxfId="172" priority="14" operator="equal">
      <formula>"Yes"</formula>
    </cfRule>
  </conditionalFormatting>
  <conditionalFormatting sqref="WG90:WK90">
    <cfRule type="cellIs" dxfId="171" priority="13" operator="equal">
      <formula>"B"</formula>
    </cfRule>
  </conditionalFormatting>
  <conditionalFormatting sqref="VV116:VW126">
    <cfRule type="cellIs" dxfId="170" priority="12" operator="equal">
      <formula>"Yes"</formula>
    </cfRule>
  </conditionalFormatting>
  <conditionalFormatting sqref="VV116:VW126">
    <cfRule type="cellIs" dxfId="169" priority="11" operator="equal">
      <formula>"B"</formula>
    </cfRule>
  </conditionalFormatting>
  <conditionalFormatting sqref="VV116:VW126">
    <cfRule type="cellIs" dxfId="168" priority="10" operator="equal">
      <formula>"Yes"</formula>
    </cfRule>
  </conditionalFormatting>
  <conditionalFormatting sqref="VV116:VW126">
    <cfRule type="cellIs" dxfId="167" priority="9" operator="equal">
      <formula>"B"</formula>
    </cfRule>
  </conditionalFormatting>
  <conditionalFormatting sqref="VY89:WC89">
    <cfRule type="cellIs" dxfId="166" priority="8" operator="equal">
      <formula>"Yes"</formula>
    </cfRule>
  </conditionalFormatting>
  <conditionalFormatting sqref="VY89:WC89">
    <cfRule type="cellIs" dxfId="165" priority="7" operator="equal">
      <formula>"B"</formula>
    </cfRule>
  </conditionalFormatting>
  <conditionalFormatting sqref="VY89:WC89">
    <cfRule type="cellIs" dxfId="164" priority="6" operator="equal">
      <formula>"Yes"</formula>
    </cfRule>
  </conditionalFormatting>
  <conditionalFormatting sqref="VY89:WC89">
    <cfRule type="cellIs" dxfId="163" priority="5" operator="equal">
      <formula>"B"</formula>
    </cfRule>
  </conditionalFormatting>
  <conditionalFormatting sqref="WG89:WK89">
    <cfRule type="cellIs" dxfId="162" priority="4" operator="equal">
      <formula>"Yes"</formula>
    </cfRule>
  </conditionalFormatting>
  <conditionalFormatting sqref="WG89:WK89">
    <cfRule type="cellIs" dxfId="161" priority="3" operator="equal">
      <formula>"B"</formula>
    </cfRule>
  </conditionalFormatting>
  <conditionalFormatting sqref="WG89:WK89">
    <cfRule type="cellIs" dxfId="160" priority="2" operator="equal">
      <formula>"Yes"</formula>
    </cfRule>
  </conditionalFormatting>
  <conditionalFormatting sqref="WG89:WK89">
    <cfRule type="cellIs" dxfId="159" priority="1" operator="equal">
      <formula>"B"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B0BD5-B256-45FD-BC2D-79EE6F0A739C}">
  <sheetPr codeName="Sheet4"/>
  <dimension ref="A1:WX187"/>
  <sheetViews>
    <sheetView zoomScale="90" zoomScaleNormal="90" workbookViewId="0">
      <pane xSplit="2" ySplit="1" topLeftCell="VP73" activePane="bottomRight" state="frozen"/>
      <selection activeCell="VO2" sqref="VO2:VO72"/>
      <selection pane="topRight" activeCell="VO2" sqref="VO2:VO72"/>
      <selection pane="bottomLeft" activeCell="VO2" sqref="VO2:VO72"/>
      <selection pane="bottomRight" activeCell="VX75" sqref="VX75"/>
    </sheetView>
  </sheetViews>
  <sheetFormatPr defaultRowHeight="15" x14ac:dyDescent="0.25"/>
  <cols>
    <col min="1" max="2" width="15.7109375" customWidth="1"/>
    <col min="3" max="3" width="20.7109375" customWidth="1"/>
    <col min="4" max="4" width="21" hidden="1" customWidth="1"/>
    <col min="5" max="5" width="28.140625" hidden="1" customWidth="1"/>
    <col min="6" max="6" width="28.5703125" hidden="1" customWidth="1"/>
    <col min="7" max="7" width="34.140625" hidden="1" customWidth="1"/>
    <col min="8" max="8" width="34.5703125" hidden="1" customWidth="1"/>
    <col min="9" max="9" width="29.28515625" hidden="1" customWidth="1"/>
    <col min="10" max="10" width="29.85546875" hidden="1" customWidth="1"/>
    <col min="11" max="11" width="25.140625" hidden="1" customWidth="1"/>
    <col min="12" max="12" width="25.5703125" hidden="1" customWidth="1"/>
    <col min="13" max="13" width="27.28515625" hidden="1" customWidth="1"/>
    <col min="14" max="14" width="27.7109375" hidden="1" customWidth="1"/>
    <col min="15" max="15" width="31.28515625" hidden="1" customWidth="1"/>
    <col min="16" max="16" width="31.7109375" hidden="1" customWidth="1"/>
    <col min="17" max="17" width="26.7109375" hidden="1" customWidth="1"/>
    <col min="18" max="18" width="27.28515625" hidden="1" customWidth="1"/>
    <col min="19" max="19" width="30.140625" hidden="1" customWidth="1"/>
    <col min="20" max="20" width="30.5703125" hidden="1" customWidth="1"/>
    <col min="21" max="21" width="31.140625" hidden="1" customWidth="1"/>
    <col min="22" max="22" width="31.5703125" hidden="1" customWidth="1"/>
    <col min="23" max="23" width="27.140625" hidden="1" customWidth="1"/>
    <col min="24" max="24" width="27.5703125" hidden="1" customWidth="1"/>
    <col min="25" max="25" width="12.5703125" hidden="1" customWidth="1"/>
    <col min="26" max="28" width="17.28515625" hidden="1" customWidth="1"/>
    <col min="29" max="29" width="19.28515625" hidden="1" customWidth="1"/>
    <col min="30" max="30" width="17.140625" hidden="1" customWidth="1"/>
    <col min="31" max="31" width="12.28515625" hidden="1" customWidth="1"/>
    <col min="32" max="32" width="18.140625" hidden="1" customWidth="1"/>
    <col min="33" max="33" width="26.7109375" hidden="1" customWidth="1"/>
    <col min="34" max="34" width="28.140625" hidden="1" customWidth="1"/>
    <col min="35" max="35" width="29.140625" hidden="1" customWidth="1"/>
    <col min="36" max="36" width="25.42578125" hidden="1" customWidth="1"/>
    <col min="37" max="37" width="26" hidden="1" customWidth="1"/>
    <col min="38" max="38" width="33.28515625" hidden="1" customWidth="1"/>
    <col min="39" max="39" width="26.5703125" hidden="1" customWidth="1"/>
    <col min="40" max="40" width="26.140625" hidden="1" customWidth="1"/>
    <col min="41" max="41" width="16.7109375" hidden="1" customWidth="1"/>
    <col min="42" max="42" width="32.7109375" hidden="1" customWidth="1"/>
    <col min="43" max="43" width="40.85546875" hidden="1" customWidth="1"/>
    <col min="44" max="44" width="25.42578125" hidden="1" customWidth="1"/>
    <col min="45" max="45" width="33" hidden="1" customWidth="1"/>
    <col min="46" max="46" width="20.7109375" hidden="1" customWidth="1"/>
    <col min="47" max="47" width="22.28515625" hidden="1" customWidth="1"/>
    <col min="48" max="48" width="18" hidden="1" customWidth="1"/>
    <col min="49" max="49" width="18.28515625" hidden="1" customWidth="1"/>
    <col min="50" max="50" width="17.85546875" hidden="1" customWidth="1"/>
    <col min="51" max="51" width="19.28515625" hidden="1" customWidth="1"/>
    <col min="52" max="52" width="19" hidden="1" customWidth="1"/>
    <col min="53" max="53" width="18.5703125" hidden="1" customWidth="1"/>
    <col min="54" max="54" width="18.28515625" hidden="1" customWidth="1"/>
    <col min="55" max="55" width="20.28515625" hidden="1" customWidth="1"/>
    <col min="56" max="56" width="19.85546875" hidden="1" customWidth="1"/>
    <col min="57" max="57" width="21.140625" hidden="1" customWidth="1"/>
    <col min="58" max="58" width="20.7109375" hidden="1" customWidth="1"/>
    <col min="59" max="59" width="18.42578125" hidden="1" customWidth="1"/>
    <col min="60" max="60" width="18.140625" hidden="1" customWidth="1"/>
    <col min="61" max="61" width="20.140625" hidden="1" customWidth="1"/>
    <col min="62" max="62" width="19.7109375" hidden="1" customWidth="1"/>
    <col min="63" max="63" width="18.7109375" hidden="1" customWidth="1"/>
    <col min="64" max="64" width="18.28515625" hidden="1" customWidth="1"/>
    <col min="65" max="65" width="20.7109375" hidden="1" customWidth="1"/>
    <col min="66" max="66" width="20.28515625" hidden="1" customWidth="1"/>
    <col min="67" max="67" width="21.85546875" hidden="1" customWidth="1"/>
    <col min="68" max="68" width="21.42578125" hidden="1" customWidth="1"/>
    <col min="69" max="69" width="26.42578125" hidden="1" customWidth="1"/>
    <col min="70" max="70" width="16" hidden="1" customWidth="1"/>
    <col min="71" max="71" width="17.28515625" hidden="1" customWidth="1"/>
    <col min="72" max="72" width="13.7109375" hidden="1" customWidth="1"/>
    <col min="73" max="73" width="25.5703125" hidden="1" customWidth="1"/>
    <col min="74" max="74" width="21.7109375" customWidth="1"/>
    <col min="75" max="75" width="16.7109375" customWidth="1"/>
    <col min="76" max="76" width="28.28515625" hidden="1" customWidth="1"/>
    <col min="77" max="77" width="26.85546875" hidden="1" customWidth="1"/>
    <col min="78" max="78" width="29" hidden="1" customWidth="1"/>
    <col min="79" max="79" width="21" hidden="1" customWidth="1"/>
    <col min="80" max="80" width="32.7109375" hidden="1" customWidth="1"/>
    <col min="81" max="81" width="31.7109375" hidden="1" customWidth="1"/>
    <col min="82" max="82" width="26.42578125" hidden="1" customWidth="1"/>
    <col min="83" max="83" width="28.7109375" customWidth="1"/>
    <col min="84" max="84" width="22.28515625" hidden="1" customWidth="1"/>
    <col min="85" max="85" width="65.28515625" hidden="1" customWidth="1"/>
    <col min="86" max="86" width="31.85546875" hidden="1" customWidth="1"/>
    <col min="87" max="87" width="23.5703125" hidden="1" customWidth="1"/>
    <col min="88" max="88" width="30.7109375" hidden="1" customWidth="1"/>
    <col min="89" max="89" width="24.5703125" hidden="1" customWidth="1"/>
    <col min="90" max="90" width="65.28515625" hidden="1" customWidth="1"/>
    <col min="91" max="91" width="39.7109375" hidden="1" customWidth="1"/>
    <col min="92" max="92" width="37.7109375" hidden="1" customWidth="1"/>
    <col min="93" max="93" width="27" hidden="1" customWidth="1"/>
    <col min="94" max="94" width="28.5703125" hidden="1" customWidth="1"/>
    <col min="95" max="95" width="23.7109375" hidden="1" customWidth="1"/>
    <col min="96" max="96" width="81.28515625" hidden="1" customWidth="1"/>
    <col min="97" max="97" width="23.28515625" hidden="1" customWidth="1"/>
    <col min="98" max="98" width="80.140625" hidden="1" customWidth="1"/>
    <col min="99" max="99" width="80.7109375" hidden="1" customWidth="1"/>
    <col min="100" max="100" width="29.7109375" hidden="1" customWidth="1"/>
    <col min="101" max="101" width="33.85546875" hidden="1" customWidth="1"/>
    <col min="102" max="102" width="29.85546875" hidden="1" customWidth="1"/>
    <col min="103" max="103" width="81.7109375" hidden="1" customWidth="1"/>
    <col min="104" max="104" width="26.7109375" hidden="1" customWidth="1"/>
    <col min="105" max="105" width="81.28515625" hidden="1" customWidth="1"/>
    <col min="106" max="106" width="26.28515625" hidden="1" customWidth="1"/>
    <col min="107" max="107" width="82" hidden="1" customWidth="1"/>
    <col min="108" max="108" width="80.7109375" hidden="1" customWidth="1"/>
    <col min="109" max="109" width="27.140625" hidden="1" customWidth="1"/>
    <col min="110" max="110" width="34.28515625" hidden="1" customWidth="1"/>
    <col min="111" max="111" width="27.7109375" hidden="1" customWidth="1"/>
    <col min="112" max="112" width="85" hidden="1" customWidth="1"/>
    <col min="113" max="113" width="24.5703125" hidden="1" customWidth="1"/>
    <col min="114" max="114" width="82.7109375" hidden="1" customWidth="1"/>
    <col min="115" max="115" width="24.140625" hidden="1" customWidth="1"/>
    <col min="116" max="116" width="82" hidden="1" customWidth="1"/>
    <col min="117" max="117" width="80.7109375" hidden="1" customWidth="1"/>
    <col min="118" max="118" width="15.7109375" customWidth="1"/>
    <col min="119" max="119" width="30.28515625" hidden="1" customWidth="1"/>
    <col min="120" max="120" width="32.42578125" hidden="1" customWidth="1"/>
    <col min="121" max="121" width="30.28515625" hidden="1" customWidth="1"/>
    <col min="122" max="122" width="38.5703125" hidden="1" customWidth="1"/>
    <col min="123" max="123" width="22.85546875" hidden="1" customWidth="1"/>
    <col min="124" max="124" width="30.140625" hidden="1" customWidth="1"/>
    <col min="125" max="125" width="17.28515625" hidden="1" customWidth="1"/>
    <col min="126" max="126" width="18.42578125" hidden="1" customWidth="1"/>
    <col min="127" max="127" width="21.42578125" hidden="1" customWidth="1"/>
    <col min="128" max="128" width="19.5703125" hidden="1" customWidth="1"/>
    <col min="129" max="129" width="22.7109375" hidden="1" customWidth="1"/>
    <col min="130" max="130" width="30.5703125" hidden="1" customWidth="1"/>
    <col min="131" max="131" width="38.5703125" hidden="1" customWidth="1"/>
    <col min="132" max="132" width="26.42578125" hidden="1" customWidth="1"/>
    <col min="133" max="133" width="33.85546875" hidden="1" customWidth="1"/>
    <col min="134" max="134" width="44.28515625" hidden="1" customWidth="1"/>
    <col min="135" max="135" width="22" hidden="1" customWidth="1"/>
    <col min="136" max="136" width="81.5703125" hidden="1" customWidth="1"/>
    <col min="137" max="137" width="21.7109375" hidden="1" customWidth="1"/>
    <col min="138" max="138" width="82.5703125" hidden="1" customWidth="1"/>
    <col min="139" max="139" width="80.7109375" hidden="1" customWidth="1"/>
    <col min="140" max="140" width="29.28515625" hidden="1" customWidth="1"/>
    <col min="141" max="141" width="37.7109375" hidden="1" customWidth="1"/>
    <col min="142" max="142" width="47.140625" hidden="1" customWidth="1"/>
    <col min="143" max="143" width="24.7109375" hidden="1" customWidth="1"/>
    <col min="144" max="144" width="81.5703125" hidden="1" customWidth="1"/>
    <col min="145" max="145" width="24.42578125" hidden="1" customWidth="1"/>
    <col min="146" max="146" width="82.5703125" hidden="1" customWidth="1"/>
    <col min="147" max="147" width="80.7109375" hidden="1" customWidth="1"/>
    <col min="148" max="148" width="31.42578125" hidden="1" customWidth="1"/>
    <col min="149" max="149" width="33.5703125" hidden="1" customWidth="1"/>
    <col min="150" max="150" width="31.28515625" hidden="1" customWidth="1"/>
    <col min="151" max="151" width="65.28515625" hidden="1" customWidth="1"/>
    <col min="152" max="152" width="45.28515625" hidden="1" customWidth="1"/>
    <col min="153" max="153" width="25.5703125" hidden="1" customWidth="1"/>
    <col min="154" max="154" width="26.7109375" hidden="1" customWidth="1"/>
    <col min="155" max="155" width="24.85546875" hidden="1" customWidth="1"/>
    <col min="156" max="156" width="27.85546875" hidden="1" customWidth="1"/>
    <col min="157" max="157" width="31" hidden="1" customWidth="1"/>
    <col min="158" max="158" width="32.5703125" hidden="1" customWidth="1"/>
    <col min="159" max="159" width="32.140625" hidden="1" customWidth="1"/>
    <col min="160" max="160" width="34.28515625" hidden="1" customWidth="1"/>
    <col min="161" max="161" width="32" hidden="1" customWidth="1"/>
    <col min="162" max="162" width="65.28515625" hidden="1" customWidth="1"/>
    <col min="163" max="163" width="45.28515625" hidden="1" customWidth="1"/>
    <col min="164" max="164" width="26.28515625" hidden="1" customWidth="1"/>
    <col min="165" max="165" width="27.42578125" hidden="1" customWidth="1"/>
    <col min="166" max="166" width="30.5703125" hidden="1" customWidth="1"/>
    <col min="167" max="167" width="28.5703125" hidden="1" customWidth="1"/>
    <col min="168" max="168" width="31.7109375" hidden="1" customWidth="1"/>
    <col min="169" max="169" width="33.7109375" hidden="1" customWidth="1"/>
    <col min="170" max="170" width="33.7109375" customWidth="1"/>
    <col min="171" max="171" width="24.7109375" customWidth="1"/>
    <col min="172" max="172" width="28.28515625" hidden="1" customWidth="1"/>
    <col min="173" max="173" width="20.28515625" hidden="1" customWidth="1"/>
    <col min="174" max="174" width="36.7109375" hidden="1" customWidth="1"/>
    <col min="175" max="175" width="35" hidden="1" customWidth="1"/>
    <col min="176" max="176" width="27.5703125" hidden="1" customWidth="1"/>
    <col min="177" max="177" width="20.7109375" hidden="1" customWidth="1"/>
    <col min="178" max="178" width="41" hidden="1" customWidth="1"/>
    <col min="179" max="179" width="25.7109375" hidden="1" customWidth="1"/>
    <col min="180" max="180" width="23.28515625" hidden="1" customWidth="1"/>
    <col min="181" max="181" width="32.7109375" hidden="1" customWidth="1"/>
    <col min="182" max="182" width="30.42578125" hidden="1" customWidth="1"/>
    <col min="183" max="183" width="79.5703125" hidden="1" customWidth="1"/>
    <col min="184" max="184" width="12.28515625" hidden="1" customWidth="1"/>
    <col min="185" max="185" width="81.7109375" hidden="1" customWidth="1"/>
    <col min="186" max="186" width="79.28515625" hidden="1" customWidth="1"/>
    <col min="187" max="187" width="20.7109375" customWidth="1"/>
    <col min="188" max="188" width="15.28515625" hidden="1" customWidth="1"/>
    <col min="189" max="189" width="20.7109375" customWidth="1"/>
    <col min="190" max="190" width="20.7109375" hidden="1" customWidth="1"/>
    <col min="191" max="194" width="20.7109375" customWidth="1"/>
    <col min="195" max="198" width="21.28515625" hidden="1" customWidth="1"/>
    <col min="199" max="199" width="29" hidden="1" customWidth="1"/>
    <col min="200" max="200" width="12.7109375" customWidth="1"/>
    <col min="201" max="201" width="14.7109375" customWidth="1"/>
    <col min="202" max="202" width="83.7109375" hidden="1" customWidth="1"/>
    <col min="203" max="203" width="31.5703125" hidden="1" customWidth="1"/>
    <col min="204" max="204" width="17.85546875" hidden="1" customWidth="1"/>
    <col min="205" max="205" width="15.5703125" hidden="1" customWidth="1"/>
    <col min="206" max="206" width="17.140625" hidden="1" customWidth="1"/>
    <col min="207" max="207" width="77.42578125" hidden="1" customWidth="1"/>
    <col min="208" max="208" width="18.42578125" hidden="1" customWidth="1"/>
    <col min="209" max="209" width="20" hidden="1" customWidth="1"/>
    <col min="210" max="210" width="23.42578125" hidden="1" customWidth="1"/>
    <col min="211" max="211" width="20.5703125" hidden="1" customWidth="1"/>
    <col min="212" max="212" width="18.42578125" hidden="1" customWidth="1"/>
    <col min="213" max="213" width="20" hidden="1" customWidth="1"/>
    <col min="214" max="214" width="23.42578125" hidden="1" customWidth="1"/>
    <col min="215" max="215" width="18.42578125" hidden="1" customWidth="1"/>
    <col min="216" max="216" width="20" hidden="1" customWidth="1"/>
    <col min="217" max="217" width="23.42578125" hidden="1" customWidth="1"/>
    <col min="218" max="218" width="17.28515625" hidden="1" customWidth="1"/>
    <col min="219" max="219" width="18.85546875" hidden="1" customWidth="1"/>
    <col min="220" max="220" width="22.28515625" hidden="1" customWidth="1"/>
    <col min="221" max="221" width="20.42578125" hidden="1" customWidth="1"/>
    <col min="222" max="222" width="19.5703125" hidden="1" customWidth="1"/>
    <col min="223" max="223" width="21.140625" hidden="1" customWidth="1"/>
    <col min="224" max="224" width="24.5703125" hidden="1" customWidth="1"/>
    <col min="225" max="225" width="22.7109375" hidden="1" customWidth="1"/>
    <col min="226" max="226" width="17.140625" hidden="1" customWidth="1"/>
    <col min="227" max="227" width="18.7109375" hidden="1" customWidth="1"/>
    <col min="228" max="228" width="22.28515625" hidden="1" customWidth="1"/>
    <col min="229" max="229" width="20.28515625" hidden="1" customWidth="1"/>
    <col min="230" max="230" width="34.140625" hidden="1" customWidth="1"/>
    <col min="231" max="231" width="38.28515625" hidden="1" customWidth="1"/>
    <col min="232" max="232" width="19.7109375" hidden="1" customWidth="1"/>
    <col min="233" max="233" width="17.7109375" hidden="1" customWidth="1"/>
    <col min="234" max="234" width="35.140625" hidden="1" customWidth="1"/>
    <col min="235" max="235" width="40.7109375" hidden="1" customWidth="1"/>
    <col min="236" max="236" width="19.7109375" hidden="1" customWidth="1"/>
    <col min="237" max="237" width="17.85546875" hidden="1" customWidth="1"/>
    <col min="238" max="238" width="44.85546875" hidden="1" customWidth="1"/>
    <col min="239" max="239" width="21.7109375" hidden="1" customWidth="1"/>
    <col min="240" max="240" width="19.7109375" hidden="1" customWidth="1"/>
    <col min="241" max="241" width="42" hidden="1" customWidth="1"/>
    <col min="242" max="242" width="18.7109375" hidden="1" customWidth="1"/>
    <col min="243" max="243" width="16.7109375" hidden="1" customWidth="1"/>
    <col min="244" max="244" width="16.28515625" hidden="1" customWidth="1"/>
    <col min="245" max="245" width="21.85546875" hidden="1" customWidth="1"/>
    <col min="246" max="246" width="19.85546875" hidden="1" customWidth="1"/>
    <col min="247" max="247" width="13.7109375" hidden="1" customWidth="1"/>
    <col min="248" max="248" width="26.7109375" hidden="1" customWidth="1"/>
    <col min="249" max="249" width="17.28515625" hidden="1" customWidth="1"/>
    <col min="250" max="250" width="24.7109375" hidden="1" customWidth="1"/>
    <col min="251" max="251" width="35.5703125" hidden="1" customWidth="1"/>
    <col min="252" max="252" width="31.85546875" hidden="1" customWidth="1"/>
    <col min="253" max="253" width="21.140625" hidden="1" customWidth="1"/>
    <col min="254" max="254" width="25.28515625" hidden="1" customWidth="1"/>
    <col min="255" max="255" width="26" hidden="1" customWidth="1"/>
    <col min="256" max="256" width="24.140625" hidden="1" customWidth="1"/>
    <col min="257" max="257" width="31.28515625" hidden="1" customWidth="1"/>
    <col min="258" max="258" width="31.5703125" hidden="1" customWidth="1"/>
    <col min="259" max="259" width="36.28515625" hidden="1" customWidth="1"/>
    <col min="260" max="260" width="12.7109375" customWidth="1"/>
    <col min="261" max="261" width="82.5703125" hidden="1" customWidth="1"/>
    <col min="262" max="262" width="22.5703125" hidden="1" customWidth="1"/>
    <col min="263" max="263" width="49.7109375" hidden="1" customWidth="1"/>
    <col min="264" max="264" width="21.28515625" hidden="1" customWidth="1"/>
    <col min="265" max="265" width="16" hidden="1" customWidth="1"/>
    <col min="266" max="268" width="28.7109375" hidden="1" customWidth="1"/>
    <col min="269" max="269" width="22.7109375" customWidth="1"/>
    <col min="270" max="270" width="24.28515625" hidden="1" customWidth="1"/>
    <col min="271" max="271" width="28.28515625" hidden="1" customWidth="1"/>
    <col min="272" max="272" width="27" hidden="1" customWidth="1"/>
    <col min="273" max="273" width="29.5703125" hidden="1" customWidth="1"/>
    <col min="274" max="274" width="29.140625" hidden="1" customWidth="1"/>
    <col min="275" max="275" width="28.42578125" hidden="1" customWidth="1"/>
    <col min="276" max="276" width="28.7109375" hidden="1" customWidth="1"/>
    <col min="277" max="277" width="31.7109375" hidden="1" customWidth="1"/>
    <col min="278" max="278" width="30.28515625" hidden="1" customWidth="1"/>
    <col min="279" max="279" width="27.5703125" hidden="1" customWidth="1"/>
    <col min="280" max="280" width="30" hidden="1" customWidth="1"/>
    <col min="281" max="281" width="3.7109375" hidden="1" customWidth="1"/>
    <col min="282" max="282" width="22.7109375" customWidth="1"/>
    <col min="283" max="283" width="20.7109375" hidden="1" customWidth="1"/>
    <col min="284" max="284" width="22.85546875" hidden="1" customWidth="1"/>
    <col min="285" max="285" width="33.5703125" hidden="1" customWidth="1"/>
    <col min="286" max="292" width="23.42578125" hidden="1" customWidth="1"/>
    <col min="293" max="295" width="20.7109375" customWidth="1"/>
    <col min="296" max="296" width="30.7109375" hidden="1" customWidth="1"/>
    <col min="297" max="298" width="20.7109375" customWidth="1"/>
    <col min="299" max="302" width="30.7109375" hidden="1" customWidth="1"/>
    <col min="303" max="303" width="78.85546875" hidden="1" customWidth="1"/>
    <col min="304" max="304" width="30.5703125" hidden="1" customWidth="1"/>
    <col min="305" max="305" width="33.28515625" hidden="1" customWidth="1"/>
    <col min="306" max="306" width="22.28515625" hidden="1" customWidth="1"/>
    <col min="307" max="307" width="21.28515625" hidden="1" customWidth="1"/>
    <col min="308" max="308" width="22.7109375" hidden="1" customWidth="1"/>
    <col min="309" max="309" width="45.5703125" hidden="1" customWidth="1"/>
    <col min="310" max="310" width="28" hidden="1" customWidth="1"/>
    <col min="311" max="311" width="27.7109375" hidden="1" customWidth="1"/>
    <col min="312" max="312" width="26.85546875" hidden="1" customWidth="1"/>
    <col min="313" max="314" width="31.42578125" hidden="1" customWidth="1"/>
    <col min="315" max="315" width="32.85546875" hidden="1" customWidth="1"/>
    <col min="316" max="316" width="25.5703125" hidden="1" customWidth="1"/>
    <col min="317" max="317" width="25.140625" hidden="1" customWidth="1"/>
    <col min="318" max="318" width="28.42578125" hidden="1" customWidth="1"/>
    <col min="319" max="319" width="26.140625" hidden="1" customWidth="1"/>
    <col min="320" max="320" width="23.140625" hidden="1" customWidth="1"/>
    <col min="321" max="321" width="24.7109375" hidden="1" customWidth="1"/>
    <col min="322" max="322" width="20.5703125" hidden="1" customWidth="1"/>
    <col min="323" max="323" width="41.5703125" hidden="1" customWidth="1"/>
    <col min="324" max="324" width="29.7109375" hidden="1" customWidth="1"/>
    <col min="325" max="325" width="35.28515625" hidden="1" customWidth="1"/>
    <col min="326" max="326" width="29" hidden="1" customWidth="1"/>
    <col min="327" max="327" width="31.28515625" hidden="1" customWidth="1"/>
    <col min="328" max="328" width="45.7109375" hidden="1" customWidth="1"/>
    <col min="329" max="329" width="42.28515625" hidden="1" customWidth="1"/>
    <col min="330" max="330" width="35.85546875" hidden="1" customWidth="1"/>
    <col min="331" max="331" width="39.85546875" hidden="1" customWidth="1"/>
    <col min="332" max="332" width="31.42578125" hidden="1" customWidth="1"/>
    <col min="333" max="333" width="34.5703125" hidden="1" customWidth="1"/>
    <col min="334" max="334" width="30.85546875" hidden="1" customWidth="1"/>
    <col min="335" max="335" width="30.7109375" hidden="1" customWidth="1"/>
    <col min="336" max="336" width="32.85546875" hidden="1" customWidth="1"/>
    <col min="337" max="337" width="18.5703125" hidden="1" customWidth="1"/>
    <col min="338" max="338" width="35.7109375" hidden="1" customWidth="1"/>
    <col min="339" max="339" width="13.28515625" hidden="1" customWidth="1"/>
    <col min="340" max="340" width="30.42578125" hidden="1" customWidth="1"/>
    <col min="341" max="341" width="30.7109375" customWidth="1"/>
    <col min="342" max="342" width="29.140625" hidden="1" customWidth="1"/>
    <col min="343" max="344" width="19.7109375" hidden="1" customWidth="1"/>
    <col min="345" max="345" width="18.28515625" hidden="1" customWidth="1"/>
    <col min="346" max="346" width="35.42578125" hidden="1" customWidth="1"/>
    <col min="347" max="347" width="16.7109375" hidden="1" customWidth="1"/>
    <col min="348" max="348" width="34" hidden="1" customWidth="1"/>
    <col min="349" max="349" width="31" hidden="1" customWidth="1"/>
    <col min="350" max="350" width="27.7109375" hidden="1" customWidth="1"/>
    <col min="351" max="351" width="14.85546875" hidden="1" customWidth="1"/>
    <col min="352" max="352" width="32.140625" hidden="1" customWidth="1"/>
    <col min="353" max="353" width="27.28515625" hidden="1" customWidth="1"/>
    <col min="354" max="354" width="24" hidden="1" customWidth="1"/>
    <col min="355" max="355" width="24.28515625" hidden="1" customWidth="1"/>
    <col min="356" max="356" width="13" hidden="1" customWidth="1"/>
    <col min="357" max="357" width="36.140625" hidden="1" customWidth="1"/>
    <col min="358" max="358" width="14.28515625" hidden="1" customWidth="1"/>
    <col min="359" max="359" width="31.42578125" hidden="1" customWidth="1"/>
    <col min="360" max="360" width="30.28515625" hidden="1" customWidth="1"/>
    <col min="361" max="362" width="31.42578125" hidden="1" customWidth="1"/>
    <col min="363" max="363" width="14" hidden="1" customWidth="1"/>
    <col min="364" max="364" width="31.28515625" hidden="1" customWidth="1"/>
    <col min="365" max="365" width="21.7109375" hidden="1" customWidth="1"/>
    <col min="366" max="366" width="39" hidden="1" customWidth="1"/>
    <col min="367" max="367" width="20.7109375" hidden="1" customWidth="1"/>
    <col min="368" max="368" width="38.140625" hidden="1" customWidth="1"/>
    <col min="369" max="369" width="12.85546875" hidden="1" customWidth="1"/>
    <col min="370" max="370" width="30.140625" hidden="1" customWidth="1"/>
    <col min="371" max="371" width="22.7109375" hidden="1" customWidth="1"/>
    <col min="372" max="372" width="33.42578125" hidden="1" customWidth="1"/>
    <col min="373" max="373" width="40" bestFit="1" customWidth="1"/>
    <col min="374" max="374" width="7.28515625" hidden="1" customWidth="1"/>
    <col min="375" max="375" width="37.5703125" hidden="1" customWidth="1"/>
    <col min="376" max="376" width="23.7109375" hidden="1" customWidth="1"/>
    <col min="377" max="377" width="24.7109375" customWidth="1"/>
    <col min="378" max="378" width="25.28515625" hidden="1" customWidth="1"/>
    <col min="379" max="379" width="17.7109375" customWidth="1"/>
    <col min="380" max="380" width="17.7109375" hidden="1" customWidth="1"/>
    <col min="381" max="381" width="53" hidden="1" customWidth="1"/>
    <col min="382" max="382" width="17.7109375" customWidth="1"/>
    <col min="383" max="383" width="18.140625" hidden="1" customWidth="1"/>
    <col min="384" max="384" width="8.7109375" customWidth="1"/>
    <col min="385" max="385" width="25.85546875" hidden="1" customWidth="1"/>
    <col min="386" max="386" width="16" hidden="1" customWidth="1"/>
    <col min="387" max="387" width="59.140625" hidden="1" customWidth="1"/>
    <col min="388" max="388" width="24.7109375" hidden="1" customWidth="1"/>
    <col min="389" max="389" width="78.28515625" hidden="1" customWidth="1"/>
    <col min="390" max="390" width="17.7109375" hidden="1" customWidth="1"/>
    <col min="391" max="391" width="65" hidden="1" customWidth="1"/>
    <col min="392" max="393" width="56.28515625" hidden="1" customWidth="1"/>
    <col min="394" max="394" width="29.140625" hidden="1" customWidth="1"/>
    <col min="395" max="395" width="47" hidden="1" customWidth="1"/>
    <col min="396" max="396" width="32.85546875" hidden="1" customWidth="1"/>
    <col min="397" max="397" width="17.5703125" hidden="1" customWidth="1"/>
    <col min="398" max="398" width="78.28515625" hidden="1" customWidth="1"/>
    <col min="399" max="399" width="23.85546875" hidden="1" customWidth="1"/>
    <col min="400" max="400" width="32.5703125" hidden="1" customWidth="1"/>
    <col min="401" max="402" width="23.85546875" hidden="1" customWidth="1"/>
    <col min="403" max="403" width="23.42578125" hidden="1" customWidth="1"/>
    <col min="404" max="404" width="21.42578125" hidden="1" customWidth="1"/>
    <col min="405" max="405" width="25.28515625" hidden="1" customWidth="1"/>
    <col min="406" max="406" width="25.42578125" hidden="1" customWidth="1"/>
    <col min="407" max="407" width="29.140625" hidden="1" customWidth="1"/>
    <col min="408" max="408" width="29.42578125" hidden="1" customWidth="1"/>
    <col min="409" max="409" width="32.42578125" hidden="1" customWidth="1"/>
    <col min="410" max="411" width="18.7109375" customWidth="1"/>
    <col min="412" max="413" width="55.140625" hidden="1" customWidth="1"/>
    <col min="414" max="414" width="22.7109375" customWidth="1"/>
    <col min="415" max="415" width="27.7109375" customWidth="1"/>
    <col min="416" max="416" width="28.7109375" hidden="1" customWidth="1"/>
    <col min="417" max="417" width="25" hidden="1" customWidth="1"/>
    <col min="418" max="418" width="30.28515625" hidden="1" customWidth="1"/>
    <col min="419" max="419" width="26.5703125" hidden="1" customWidth="1"/>
    <col min="420" max="420" width="27.7109375" hidden="1" customWidth="1"/>
    <col min="421" max="421" width="29.28515625" hidden="1" customWidth="1"/>
    <col min="422" max="422" width="25.7109375" hidden="1" customWidth="1"/>
    <col min="423" max="423" width="20.5703125" hidden="1" customWidth="1"/>
    <col min="424" max="424" width="22.28515625" hidden="1" customWidth="1"/>
    <col min="425" max="425" width="18.5703125" hidden="1" customWidth="1"/>
    <col min="426" max="426" width="22.5703125" hidden="1" customWidth="1"/>
    <col min="427" max="427" width="24.140625" hidden="1" customWidth="1"/>
    <col min="428" max="428" width="20.42578125" hidden="1" customWidth="1"/>
    <col min="429" max="429" width="32.28515625" hidden="1" customWidth="1"/>
    <col min="430" max="430" width="33.7109375" hidden="1" customWidth="1"/>
    <col min="431" max="431" width="30.28515625" hidden="1" customWidth="1"/>
    <col min="432" max="432" width="22.7109375" hidden="1" customWidth="1"/>
    <col min="433" max="433" width="24.28515625" hidden="1" customWidth="1"/>
    <col min="434" max="434" width="20.7109375" hidden="1" customWidth="1"/>
    <col min="435" max="435" width="17.7109375" hidden="1" customWidth="1"/>
    <col min="436" max="436" width="36.5703125" hidden="1" customWidth="1"/>
    <col min="437" max="437" width="38.28515625" hidden="1" customWidth="1"/>
    <col min="438" max="438" width="34.5703125" hidden="1" customWidth="1"/>
    <col min="439" max="439" width="27.140625" hidden="1" customWidth="1"/>
    <col min="440" max="440" width="28.7109375" hidden="1" customWidth="1"/>
    <col min="441" max="441" width="25" hidden="1" customWidth="1"/>
    <col min="442" max="442" width="18" hidden="1" customWidth="1"/>
    <col min="443" max="443" width="19.5703125" hidden="1" customWidth="1"/>
    <col min="444" max="444" width="21.140625" hidden="1" customWidth="1"/>
    <col min="445" max="445" width="17.5703125" hidden="1" customWidth="1"/>
    <col min="446" max="446" width="20.85546875" hidden="1" customWidth="1"/>
    <col min="447" max="447" width="22.5703125" hidden="1" customWidth="1"/>
    <col min="448" max="448" width="18.85546875" hidden="1" customWidth="1"/>
    <col min="449" max="449" width="23.28515625" hidden="1" customWidth="1"/>
    <col min="450" max="450" width="24.85546875" hidden="1" customWidth="1"/>
    <col min="451" max="451" width="21.28515625" hidden="1" customWidth="1"/>
    <col min="452" max="452" width="25.140625" hidden="1" customWidth="1"/>
    <col min="453" max="453" width="26.85546875" hidden="1" customWidth="1"/>
    <col min="454" max="454" width="23.140625" hidden="1" customWidth="1"/>
    <col min="455" max="455" width="27.42578125" hidden="1" customWidth="1"/>
    <col min="456" max="456" width="29" hidden="1" customWidth="1"/>
    <col min="457" max="457" width="25.28515625" hidden="1" customWidth="1"/>
    <col min="458" max="458" width="23.42578125" hidden="1" customWidth="1"/>
    <col min="459" max="459" width="25" hidden="1" customWidth="1"/>
    <col min="460" max="460" width="21.28515625" hidden="1" customWidth="1"/>
    <col min="461" max="461" width="37.7109375" hidden="1" customWidth="1"/>
    <col min="462" max="462" width="39.42578125" hidden="1" customWidth="1"/>
    <col min="463" max="463" width="35.7109375" hidden="1" customWidth="1"/>
    <col min="464" max="464" width="26.5703125" hidden="1" customWidth="1"/>
    <col min="465" max="465" width="28.140625" hidden="1" customWidth="1"/>
    <col min="466" max="466" width="24.42578125" hidden="1" customWidth="1"/>
    <col min="467" max="467" width="17.7109375" hidden="1" customWidth="1"/>
    <col min="468" max="468" width="36.7109375" hidden="1" customWidth="1"/>
    <col min="469" max="469" width="38.28515625" hidden="1" customWidth="1"/>
    <col min="470" max="470" width="34.7109375" hidden="1" customWidth="1"/>
    <col min="471" max="471" width="37.42578125" hidden="1" customWidth="1"/>
    <col min="472" max="472" width="33.7109375" hidden="1" customWidth="1"/>
    <col min="473" max="473" width="24.28515625" hidden="1" customWidth="1"/>
    <col min="474" max="474" width="26" hidden="1" customWidth="1"/>
    <col min="475" max="475" width="22.28515625" hidden="1" customWidth="1"/>
    <col min="476" max="476" width="23.7109375" hidden="1" customWidth="1"/>
    <col min="477" max="477" width="25.28515625" hidden="1" customWidth="1"/>
    <col min="478" max="478" width="26" hidden="1" customWidth="1"/>
    <col min="479" max="479" width="27.5703125" hidden="1" customWidth="1"/>
    <col min="480" max="480" width="29.140625" hidden="1" customWidth="1"/>
    <col min="481" max="481" width="25.42578125" hidden="1" customWidth="1"/>
    <col min="482" max="482" width="25.140625" hidden="1" customWidth="1"/>
    <col min="483" max="483" width="19.85546875" hidden="1" customWidth="1"/>
    <col min="484" max="484" width="31.140625" hidden="1" customWidth="1"/>
    <col min="485" max="485" width="32.7109375" hidden="1" customWidth="1"/>
    <col min="486" max="486" width="29" hidden="1" customWidth="1"/>
    <col min="487" max="487" width="24" hidden="1" customWidth="1"/>
    <col min="488" max="488" width="21.7109375" hidden="1" customWidth="1"/>
    <col min="489" max="489" width="23.7109375" hidden="1" customWidth="1"/>
    <col min="490" max="490" width="25.28515625" hidden="1" customWidth="1"/>
    <col min="491" max="491" width="21.7109375" hidden="1" customWidth="1"/>
    <col min="492" max="492" width="20.85546875" hidden="1" customWidth="1"/>
    <col min="493" max="493" width="17" hidden="1" customWidth="1"/>
    <col min="494" max="494" width="13.42578125" hidden="1" customWidth="1"/>
    <col min="495" max="495" width="13.28515625" hidden="1" customWidth="1"/>
    <col min="496" max="496" width="17.5703125" hidden="1" customWidth="1"/>
    <col min="497" max="497" width="13.85546875" hidden="1" customWidth="1"/>
    <col min="498" max="498" width="15.140625" hidden="1" customWidth="1"/>
    <col min="499" max="499" width="16.7109375" hidden="1" customWidth="1"/>
    <col min="500" max="500" width="13.140625" hidden="1" customWidth="1"/>
    <col min="501" max="501" width="36.7109375" hidden="1" customWidth="1"/>
    <col min="502" max="502" width="80.5703125" hidden="1" customWidth="1"/>
    <col min="503" max="503" width="77.7109375" hidden="1" customWidth="1"/>
    <col min="504" max="504" width="53.7109375" hidden="1" customWidth="1"/>
    <col min="505" max="505" width="25.140625" hidden="1" customWidth="1"/>
    <col min="506" max="506" width="25.85546875" hidden="1" customWidth="1"/>
    <col min="507" max="507" width="26" hidden="1" customWidth="1"/>
    <col min="508" max="508" width="26.7109375" hidden="1" customWidth="1"/>
    <col min="509" max="509" width="25.42578125" hidden="1" customWidth="1"/>
    <col min="510" max="510" width="26.28515625" hidden="1" customWidth="1"/>
    <col min="511" max="511" width="25.42578125" hidden="1" customWidth="1"/>
    <col min="512" max="515" width="26.28515625" hidden="1" customWidth="1"/>
    <col min="516" max="516" width="26.7109375" hidden="1" customWidth="1"/>
    <col min="517" max="517" width="20.5703125" hidden="1" customWidth="1"/>
    <col min="518" max="518" width="27.7109375" hidden="1" customWidth="1"/>
    <col min="519" max="519" width="23.85546875" hidden="1" customWidth="1"/>
    <col min="520" max="520" width="29.28515625" hidden="1" customWidth="1"/>
    <col min="521" max="521" width="27.7109375" hidden="1" customWidth="1"/>
    <col min="522" max="522" width="23.85546875" hidden="1" customWidth="1"/>
    <col min="523" max="523" width="29.28515625" hidden="1" customWidth="1"/>
    <col min="524" max="524" width="28.28515625" hidden="1" customWidth="1"/>
    <col min="525" max="525" width="28.7109375" hidden="1" customWidth="1"/>
    <col min="526" max="526" width="24.28515625" hidden="1" customWidth="1"/>
    <col min="527" max="527" width="25.28515625" hidden="1" customWidth="1"/>
    <col min="528" max="528" width="24.140625" hidden="1" customWidth="1"/>
    <col min="529" max="529" width="24.7109375" hidden="1" customWidth="1"/>
    <col min="530" max="530" width="24.85546875" hidden="1" customWidth="1"/>
    <col min="531" max="531" width="25.5703125" hidden="1" customWidth="1"/>
    <col min="532" max="532" width="24.42578125" hidden="1" customWidth="1"/>
    <col min="533" max="536" width="25.140625" hidden="1" customWidth="1"/>
    <col min="537" max="537" width="25.7109375" hidden="1" customWidth="1"/>
    <col min="538" max="538" width="19.5703125" hidden="1" customWidth="1"/>
    <col min="539" max="539" width="26.7109375" hidden="1" customWidth="1"/>
    <col min="540" max="540" width="22.85546875" hidden="1" customWidth="1"/>
    <col min="541" max="541" width="28.28515625" hidden="1" customWidth="1"/>
    <col min="542" max="542" width="26.7109375" hidden="1" customWidth="1"/>
    <col min="543" max="543" width="22.85546875" hidden="1" customWidth="1"/>
    <col min="544" max="544" width="28.28515625" hidden="1" customWidth="1"/>
    <col min="545" max="545" width="27.28515625" hidden="1" customWidth="1"/>
    <col min="546" max="546" width="27.7109375" hidden="1" customWidth="1"/>
    <col min="547" max="547" width="22.42578125" hidden="1" customWidth="1"/>
    <col min="548" max="548" width="23.28515625" hidden="1" customWidth="1"/>
    <col min="549" max="549" width="24.28515625" hidden="1" customWidth="1"/>
    <col min="550" max="550" width="14.5703125" hidden="1" customWidth="1"/>
    <col min="551" max="551" width="17.85546875" hidden="1" customWidth="1"/>
    <col min="552" max="552" width="19.85546875" hidden="1" customWidth="1"/>
    <col min="553" max="553" width="25.42578125" hidden="1" customWidth="1"/>
    <col min="554" max="554" width="24.42578125" hidden="1" customWidth="1"/>
    <col min="555" max="555" width="21.42578125" hidden="1" customWidth="1"/>
    <col min="556" max="556" width="15.85546875" hidden="1" customWidth="1"/>
    <col min="557" max="557" width="20.140625" hidden="1" customWidth="1"/>
    <col min="558" max="558" width="14.85546875" hidden="1" customWidth="1"/>
    <col min="559" max="559" width="23.5703125" hidden="1" customWidth="1"/>
    <col min="560" max="560" width="14.140625" hidden="1" customWidth="1"/>
    <col min="561" max="561" width="27.7109375" hidden="1" customWidth="1"/>
    <col min="562" max="562" width="25.140625" hidden="1" customWidth="1"/>
    <col min="563" max="563" width="31.5703125" hidden="1" customWidth="1"/>
    <col min="564" max="564" width="32.140625" hidden="1" customWidth="1"/>
    <col min="565" max="565" width="17" hidden="1" customWidth="1"/>
    <col min="566" max="566" width="31.140625" hidden="1" customWidth="1"/>
    <col min="567" max="567" width="29.42578125" hidden="1" customWidth="1"/>
    <col min="568" max="568" width="17.7109375" hidden="1" customWidth="1"/>
    <col min="569" max="569" width="17.5703125" hidden="1" customWidth="1"/>
    <col min="570" max="570" width="31.7109375" hidden="1" customWidth="1"/>
    <col min="571" max="571" width="17.85546875" hidden="1" customWidth="1"/>
    <col min="572" max="572" width="18.7109375" hidden="1" customWidth="1"/>
    <col min="573" max="573" width="29" hidden="1" customWidth="1"/>
    <col min="574" max="574" width="33.5703125" hidden="1" customWidth="1"/>
    <col min="575" max="575" width="29.7109375" hidden="1" customWidth="1"/>
    <col min="576" max="578" width="23.7109375" hidden="1" customWidth="1"/>
    <col min="579" max="579" width="86.85546875" hidden="1" customWidth="1"/>
    <col min="580" max="580" width="80" hidden="1" customWidth="1"/>
    <col min="581" max="581" width="25.7109375" customWidth="1"/>
    <col min="582" max="582" width="81" hidden="1" customWidth="1"/>
    <col min="583" max="583" width="82.7109375" hidden="1" customWidth="1"/>
    <col min="584" max="585" width="9.7109375" customWidth="1"/>
    <col min="586" max="586" width="15.5703125" customWidth="1"/>
    <col min="587" max="587" width="20.85546875" bestFit="1" customWidth="1"/>
    <col min="588" max="589" width="13.7109375" customWidth="1"/>
    <col min="590" max="592" width="9.7109375" customWidth="1"/>
    <col min="593" max="593" width="15.7109375" customWidth="1"/>
    <col min="594" max="594" width="13.7109375" customWidth="1"/>
    <col min="595" max="595" width="9.7109375" customWidth="1"/>
    <col min="596" max="596" width="23.7109375" customWidth="1"/>
    <col min="597" max="604" width="9.7109375" customWidth="1"/>
  </cols>
  <sheetData>
    <row r="1" spans="1:622" x14ac:dyDescent="0.25">
      <c r="A1" s="32" t="s">
        <v>0</v>
      </c>
      <c r="B1" s="33" t="s">
        <v>1</v>
      </c>
      <c r="C1" s="33" t="s">
        <v>2027</v>
      </c>
      <c r="D1" s="32" t="s">
        <v>2028</v>
      </c>
      <c r="E1" s="32" t="s">
        <v>2029</v>
      </c>
      <c r="F1" s="32" t="s">
        <v>2030</v>
      </c>
      <c r="G1" s="32" t="s">
        <v>2031</v>
      </c>
      <c r="H1" s="32" t="s">
        <v>2032</v>
      </c>
      <c r="I1" s="32" t="s">
        <v>2033</v>
      </c>
      <c r="J1" s="32" t="s">
        <v>2034</v>
      </c>
      <c r="K1" s="32" t="s">
        <v>2035</v>
      </c>
      <c r="L1" s="32" t="s">
        <v>2036</v>
      </c>
      <c r="M1" s="32" t="s">
        <v>2037</v>
      </c>
      <c r="N1" s="32" t="s">
        <v>2038</v>
      </c>
      <c r="O1" s="32" t="s">
        <v>2039</v>
      </c>
      <c r="P1" s="32" t="s">
        <v>2040</v>
      </c>
      <c r="Q1" s="32" t="s">
        <v>2041</v>
      </c>
      <c r="R1" s="32" t="s">
        <v>2042</v>
      </c>
      <c r="S1" s="32" t="s">
        <v>2043</v>
      </c>
      <c r="T1" s="32" t="s">
        <v>2044</v>
      </c>
      <c r="U1" s="32" t="s">
        <v>2045</v>
      </c>
      <c r="V1" s="32" t="s">
        <v>2046</v>
      </c>
      <c r="W1" s="32" t="s">
        <v>2047</v>
      </c>
      <c r="X1" s="32" t="s">
        <v>2048</v>
      </c>
      <c r="Y1" s="32" t="s">
        <v>2049</v>
      </c>
      <c r="Z1" s="32" t="s">
        <v>2050</v>
      </c>
      <c r="AA1" s="32" t="s">
        <v>2051</v>
      </c>
      <c r="AB1" s="32" t="s">
        <v>2052</v>
      </c>
      <c r="AC1" s="32" t="s">
        <v>2053</v>
      </c>
      <c r="AD1" s="32" t="s">
        <v>2054</v>
      </c>
      <c r="AE1" s="32" t="s">
        <v>2055</v>
      </c>
      <c r="AF1" s="32" t="s">
        <v>2056</v>
      </c>
      <c r="AG1" s="32" t="s">
        <v>2057</v>
      </c>
      <c r="AH1" s="32" t="s">
        <v>2058</v>
      </c>
      <c r="AI1" s="32" t="s">
        <v>2059</v>
      </c>
      <c r="AJ1" s="32" t="s">
        <v>2060</v>
      </c>
      <c r="AK1" s="32" t="s">
        <v>2061</v>
      </c>
      <c r="AL1" s="32" t="s">
        <v>2062</v>
      </c>
      <c r="AM1" s="32" t="s">
        <v>2063</v>
      </c>
      <c r="AN1" s="32" t="s">
        <v>2064</v>
      </c>
      <c r="AO1" s="32" t="s">
        <v>2065</v>
      </c>
      <c r="AP1" s="32" t="s">
        <v>2066</v>
      </c>
      <c r="AQ1" s="32" t="s">
        <v>2067</v>
      </c>
      <c r="AR1" s="32" t="s">
        <v>2068</v>
      </c>
      <c r="AS1" s="32" t="s">
        <v>2069</v>
      </c>
      <c r="AT1" s="32" t="s">
        <v>2070</v>
      </c>
      <c r="AU1" s="32" t="s">
        <v>2071</v>
      </c>
      <c r="AV1" s="32" t="s">
        <v>2072</v>
      </c>
      <c r="AW1" s="32" t="s">
        <v>2073</v>
      </c>
      <c r="AX1" s="32" t="s">
        <v>2074</v>
      </c>
      <c r="AY1" s="32" t="s">
        <v>2075</v>
      </c>
      <c r="AZ1" s="32" t="s">
        <v>2076</v>
      </c>
      <c r="BA1" s="32" t="s">
        <v>2077</v>
      </c>
      <c r="BB1" s="32" t="s">
        <v>2078</v>
      </c>
      <c r="BC1" s="32" t="s">
        <v>2079</v>
      </c>
      <c r="BD1" s="32" t="s">
        <v>2080</v>
      </c>
      <c r="BE1" s="32" t="s">
        <v>2081</v>
      </c>
      <c r="BF1" s="32" t="s">
        <v>2082</v>
      </c>
      <c r="BG1" s="32" t="s">
        <v>2083</v>
      </c>
      <c r="BH1" s="32" t="s">
        <v>2084</v>
      </c>
      <c r="BI1" s="32" t="s">
        <v>2085</v>
      </c>
      <c r="BJ1" s="32" t="s">
        <v>2086</v>
      </c>
      <c r="BK1" s="32" t="s">
        <v>2087</v>
      </c>
      <c r="BL1" s="32" t="s">
        <v>2088</v>
      </c>
      <c r="BM1" s="32" t="s">
        <v>2089</v>
      </c>
      <c r="BN1" s="32" t="s">
        <v>2090</v>
      </c>
      <c r="BO1" s="32" t="s">
        <v>2091</v>
      </c>
      <c r="BP1" s="32" t="s">
        <v>2092</v>
      </c>
      <c r="BQ1" s="32" t="s">
        <v>2093</v>
      </c>
      <c r="BR1" s="32" t="s">
        <v>2094</v>
      </c>
      <c r="BS1" s="32" t="s">
        <v>2095</v>
      </c>
      <c r="BT1" s="32" t="s">
        <v>2096</v>
      </c>
      <c r="BU1" s="32" t="s">
        <v>2097</v>
      </c>
      <c r="BV1" s="33" t="s">
        <v>2098</v>
      </c>
      <c r="BW1" s="33" t="s">
        <v>2</v>
      </c>
      <c r="BX1" s="32" t="s">
        <v>2099</v>
      </c>
      <c r="BY1" s="32" t="s">
        <v>2100</v>
      </c>
      <c r="BZ1" s="32" t="s">
        <v>2101</v>
      </c>
      <c r="CA1" s="32" t="s">
        <v>2102</v>
      </c>
      <c r="CB1" s="32" t="s">
        <v>2103</v>
      </c>
      <c r="CC1" s="32" t="s">
        <v>2104</v>
      </c>
      <c r="CD1" s="32" t="s">
        <v>2105</v>
      </c>
      <c r="CE1" s="33" t="s">
        <v>2106</v>
      </c>
      <c r="CF1" s="32" t="s">
        <v>2107</v>
      </c>
      <c r="CG1" s="32" t="s">
        <v>2108</v>
      </c>
      <c r="CH1" s="32" t="s">
        <v>2109</v>
      </c>
      <c r="CI1" s="32" t="s">
        <v>2110</v>
      </c>
      <c r="CJ1" s="32" t="s">
        <v>2111</v>
      </c>
      <c r="CK1" s="32" t="s">
        <v>2112</v>
      </c>
      <c r="CL1" s="32" t="s">
        <v>2113</v>
      </c>
      <c r="CM1" s="32" t="s">
        <v>2114</v>
      </c>
      <c r="CN1" s="32" t="s">
        <v>2115</v>
      </c>
      <c r="CO1" s="32" t="s">
        <v>2116</v>
      </c>
      <c r="CP1" s="32" t="s">
        <v>2117</v>
      </c>
      <c r="CQ1" s="32" t="s">
        <v>2118</v>
      </c>
      <c r="CR1" s="32" t="s">
        <v>2119</v>
      </c>
      <c r="CS1" s="32" t="s">
        <v>2120</v>
      </c>
      <c r="CT1" s="32" t="s">
        <v>2121</v>
      </c>
      <c r="CU1" s="32" t="s">
        <v>2122</v>
      </c>
      <c r="CV1" s="32" t="s">
        <v>2123</v>
      </c>
      <c r="CW1" s="32" t="s">
        <v>2124</v>
      </c>
      <c r="CX1" s="32" t="s">
        <v>2125</v>
      </c>
      <c r="CY1" s="32" t="s">
        <v>2126</v>
      </c>
      <c r="CZ1" s="32" t="s">
        <v>2127</v>
      </c>
      <c r="DA1" s="32" t="s">
        <v>2128</v>
      </c>
      <c r="DB1" s="32" t="s">
        <v>2129</v>
      </c>
      <c r="DC1" s="32" t="s">
        <v>2130</v>
      </c>
      <c r="DD1" s="32" t="s">
        <v>2131</v>
      </c>
      <c r="DE1" s="32" t="s">
        <v>2132</v>
      </c>
      <c r="DF1" s="32" t="s">
        <v>2133</v>
      </c>
      <c r="DG1" s="32" t="s">
        <v>2134</v>
      </c>
      <c r="DH1" s="32" t="s">
        <v>2135</v>
      </c>
      <c r="DI1" s="32" t="s">
        <v>2136</v>
      </c>
      <c r="DJ1" s="32" t="s">
        <v>2137</v>
      </c>
      <c r="DK1" s="32" t="s">
        <v>2138</v>
      </c>
      <c r="DL1" s="32" t="s">
        <v>2139</v>
      </c>
      <c r="DM1" s="32" t="s">
        <v>2140</v>
      </c>
      <c r="DN1" s="34" t="s">
        <v>2141</v>
      </c>
      <c r="DO1" s="32" t="s">
        <v>2142</v>
      </c>
      <c r="DP1" s="32" t="s">
        <v>2143</v>
      </c>
      <c r="DQ1" s="32" t="s">
        <v>2144</v>
      </c>
      <c r="DR1" s="32" t="s">
        <v>2145</v>
      </c>
      <c r="DS1" s="32" t="s">
        <v>2146</v>
      </c>
      <c r="DT1" s="32" t="s">
        <v>2147</v>
      </c>
      <c r="DU1" s="32" t="s">
        <v>2148</v>
      </c>
      <c r="DV1" s="32" t="s">
        <v>2149</v>
      </c>
      <c r="DW1" s="32" t="s">
        <v>2150</v>
      </c>
      <c r="DX1" s="32" t="s">
        <v>2151</v>
      </c>
      <c r="DY1" s="32" t="s">
        <v>2152</v>
      </c>
      <c r="DZ1" s="32" t="s">
        <v>2153</v>
      </c>
      <c r="EA1" s="32" t="s">
        <v>2154</v>
      </c>
      <c r="EB1" s="32" t="s">
        <v>2155</v>
      </c>
      <c r="EC1" s="32" t="s">
        <v>2156</v>
      </c>
      <c r="ED1" s="32" t="s">
        <v>2157</v>
      </c>
      <c r="EE1" s="32" t="s">
        <v>2158</v>
      </c>
      <c r="EF1" s="32" t="s">
        <v>2159</v>
      </c>
      <c r="EG1" s="32" t="s">
        <v>2160</v>
      </c>
      <c r="EH1" s="32" t="s">
        <v>2161</v>
      </c>
      <c r="EI1" s="32" t="s">
        <v>2162</v>
      </c>
      <c r="EJ1" s="32" t="s">
        <v>2163</v>
      </c>
      <c r="EK1" s="32" t="s">
        <v>2164</v>
      </c>
      <c r="EL1" s="32" t="s">
        <v>2165</v>
      </c>
      <c r="EM1" s="32" t="s">
        <v>2166</v>
      </c>
      <c r="EN1" s="32" t="s">
        <v>2167</v>
      </c>
      <c r="EO1" s="32" t="s">
        <v>2168</v>
      </c>
      <c r="EP1" s="32" t="s">
        <v>2169</v>
      </c>
      <c r="EQ1" s="32" t="s">
        <v>2170</v>
      </c>
      <c r="ER1" s="32" t="s">
        <v>2171</v>
      </c>
      <c r="ES1" s="32" t="s">
        <v>2172</v>
      </c>
      <c r="ET1" s="32" t="s">
        <v>2173</v>
      </c>
      <c r="EU1" s="32" t="s">
        <v>2174</v>
      </c>
      <c r="EV1" s="32" t="s">
        <v>2175</v>
      </c>
      <c r="EW1" s="32" t="s">
        <v>2176</v>
      </c>
      <c r="EX1" s="32" t="s">
        <v>2177</v>
      </c>
      <c r="EY1" s="32" t="s">
        <v>2178</v>
      </c>
      <c r="EZ1" s="32" t="s">
        <v>2179</v>
      </c>
      <c r="FA1" s="32" t="s">
        <v>2180</v>
      </c>
      <c r="FB1" s="32" t="s">
        <v>2181</v>
      </c>
      <c r="FC1" s="32" t="s">
        <v>2182</v>
      </c>
      <c r="FD1" s="32" t="s">
        <v>2183</v>
      </c>
      <c r="FE1" s="32" t="s">
        <v>2184</v>
      </c>
      <c r="FF1" s="32" t="s">
        <v>2185</v>
      </c>
      <c r="FG1" s="32" t="s">
        <v>2186</v>
      </c>
      <c r="FH1" s="32" t="s">
        <v>2187</v>
      </c>
      <c r="FI1" s="32" t="s">
        <v>2188</v>
      </c>
      <c r="FJ1" s="32" t="s">
        <v>2189</v>
      </c>
      <c r="FK1" s="32" t="s">
        <v>2190</v>
      </c>
      <c r="FL1" s="32" t="s">
        <v>2191</v>
      </c>
      <c r="FM1" s="32" t="s">
        <v>2192</v>
      </c>
      <c r="FN1" s="33" t="s">
        <v>2193</v>
      </c>
      <c r="FO1" s="33" t="s">
        <v>2194</v>
      </c>
      <c r="FP1" s="32" t="s">
        <v>2195</v>
      </c>
      <c r="FQ1" s="32" t="s">
        <v>2196</v>
      </c>
      <c r="FR1" s="32" t="s">
        <v>2197</v>
      </c>
      <c r="FS1" s="32" t="s">
        <v>2198</v>
      </c>
      <c r="FT1" s="32" t="s">
        <v>2199</v>
      </c>
      <c r="FU1" s="32" t="s">
        <v>3292</v>
      </c>
      <c r="FV1" s="32" t="s">
        <v>3293</v>
      </c>
      <c r="FW1" s="32" t="s">
        <v>2200</v>
      </c>
      <c r="FX1" s="32" t="s">
        <v>2201</v>
      </c>
      <c r="FY1" s="32" t="s">
        <v>2202</v>
      </c>
      <c r="FZ1" s="32" t="s">
        <v>2203</v>
      </c>
      <c r="GA1" s="32" t="s">
        <v>2204</v>
      </c>
      <c r="GB1" s="32" t="s">
        <v>3294</v>
      </c>
      <c r="GC1" s="32" t="s">
        <v>2205</v>
      </c>
      <c r="GD1" s="32" t="s">
        <v>2206</v>
      </c>
      <c r="GE1" s="33" t="s">
        <v>3</v>
      </c>
      <c r="GF1" s="1" t="s">
        <v>2208</v>
      </c>
      <c r="GG1" s="60" t="s">
        <v>2207</v>
      </c>
      <c r="GH1" s="1" t="s">
        <v>2209</v>
      </c>
      <c r="GI1" s="60" t="s">
        <v>2210</v>
      </c>
      <c r="GJ1" s="59" t="s">
        <v>2211</v>
      </c>
      <c r="GK1" s="60" t="s">
        <v>2640</v>
      </c>
      <c r="GL1" s="60" t="s">
        <v>2212</v>
      </c>
      <c r="GM1" s="38" t="s">
        <v>4168</v>
      </c>
      <c r="GN1" s="38" t="s">
        <v>4169</v>
      </c>
      <c r="GO1" s="38" t="s">
        <v>4170</v>
      </c>
      <c r="GP1" s="37" t="s">
        <v>4171</v>
      </c>
      <c r="GQ1" s="32" t="s">
        <v>2213</v>
      </c>
      <c r="GR1" s="33" t="s">
        <v>4</v>
      </c>
      <c r="GS1" s="33" t="s">
        <v>2214</v>
      </c>
      <c r="GT1" s="32" t="s">
        <v>2215</v>
      </c>
      <c r="GU1" s="32" t="s">
        <v>2216</v>
      </c>
      <c r="GV1" s="32" t="s">
        <v>2217</v>
      </c>
      <c r="GW1" s="32" t="s">
        <v>2218</v>
      </c>
      <c r="GX1" s="32" t="s">
        <v>2219</v>
      </c>
      <c r="GY1" s="32" t="s">
        <v>2220</v>
      </c>
      <c r="GZ1" s="32" t="s">
        <v>2227</v>
      </c>
      <c r="HA1" s="32" t="s">
        <v>2228</v>
      </c>
      <c r="HB1" s="32" t="s">
        <v>2229</v>
      </c>
      <c r="HC1" s="32" t="s">
        <v>2230</v>
      </c>
      <c r="HD1" s="32" t="s">
        <v>2231</v>
      </c>
      <c r="HE1" s="32" t="s">
        <v>2232</v>
      </c>
      <c r="HF1" s="32" t="s">
        <v>2233</v>
      </c>
      <c r="HG1" s="32" t="s">
        <v>2234</v>
      </c>
      <c r="HH1" s="32" t="s">
        <v>2235</v>
      </c>
      <c r="HI1" s="32" t="s">
        <v>2236</v>
      </c>
      <c r="HJ1" s="32" t="s">
        <v>2237</v>
      </c>
      <c r="HK1" s="32" t="s">
        <v>2238</v>
      </c>
      <c r="HL1" s="32" t="s">
        <v>2239</v>
      </c>
      <c r="HM1" s="32" t="s">
        <v>2240</v>
      </c>
      <c r="HN1" s="32" t="s">
        <v>2641</v>
      </c>
      <c r="HO1" s="32" t="s">
        <v>2642</v>
      </c>
      <c r="HP1" s="32" t="s">
        <v>2643</v>
      </c>
      <c r="HQ1" s="32" t="s">
        <v>2644</v>
      </c>
      <c r="HR1" s="32" t="s">
        <v>2241</v>
      </c>
      <c r="HS1" s="32" t="s">
        <v>2242</v>
      </c>
      <c r="HT1" s="32" t="s">
        <v>2243</v>
      </c>
      <c r="HU1" s="32" t="s">
        <v>2244</v>
      </c>
      <c r="HV1" s="32" t="s">
        <v>2248</v>
      </c>
      <c r="HW1" s="32" t="s">
        <v>2249</v>
      </c>
      <c r="HX1" s="32" t="s">
        <v>2250</v>
      </c>
      <c r="HY1" s="32" t="s">
        <v>2251</v>
      </c>
      <c r="HZ1" s="32" t="s">
        <v>2252</v>
      </c>
      <c r="IA1" s="32" t="s">
        <v>2253</v>
      </c>
      <c r="IB1" s="32" t="s">
        <v>2254</v>
      </c>
      <c r="IC1" s="32" t="s">
        <v>2255</v>
      </c>
      <c r="ID1" s="32" t="s">
        <v>2256</v>
      </c>
      <c r="IE1" s="32" t="s">
        <v>2258</v>
      </c>
      <c r="IF1" s="32" t="s">
        <v>2259</v>
      </c>
      <c r="IG1" s="32" t="s">
        <v>2260</v>
      </c>
      <c r="IH1" s="32" t="s">
        <v>2262</v>
      </c>
      <c r="II1" s="32" t="s">
        <v>2263</v>
      </c>
      <c r="IJ1" s="32" t="s">
        <v>3295</v>
      </c>
      <c r="IK1" s="32" t="s">
        <v>3296</v>
      </c>
      <c r="IL1" s="32" t="s">
        <v>2269</v>
      </c>
      <c r="IM1" s="32" t="s">
        <v>3297</v>
      </c>
      <c r="IN1" s="32" t="s">
        <v>3298</v>
      </c>
      <c r="IO1" s="32" t="s">
        <v>3299</v>
      </c>
      <c r="IP1" s="32" t="s">
        <v>2270</v>
      </c>
      <c r="IQ1" s="32" t="s">
        <v>2271</v>
      </c>
      <c r="IR1" s="32" t="s">
        <v>2273</v>
      </c>
      <c r="IS1" s="32" t="s">
        <v>2275</v>
      </c>
      <c r="IT1" s="32" t="s">
        <v>2276</v>
      </c>
      <c r="IU1" s="32" t="s">
        <v>2277</v>
      </c>
      <c r="IV1" s="32" t="s">
        <v>2278</v>
      </c>
      <c r="IW1" s="32" t="s">
        <v>2279</v>
      </c>
      <c r="IX1" s="32" t="s">
        <v>2280</v>
      </c>
      <c r="IY1" s="32" t="s">
        <v>2281</v>
      </c>
      <c r="IZ1" s="33" t="s">
        <v>2282</v>
      </c>
      <c r="JA1" s="32" t="s">
        <v>2283</v>
      </c>
      <c r="JB1" s="32" t="s">
        <v>3300</v>
      </c>
      <c r="JC1" s="32" t="s">
        <v>2284</v>
      </c>
      <c r="JD1" s="32" t="s">
        <v>2285</v>
      </c>
      <c r="JE1" s="32" t="s">
        <v>2289</v>
      </c>
      <c r="JF1" s="32" t="s">
        <v>2290</v>
      </c>
      <c r="JG1" s="32"/>
      <c r="JH1" s="32"/>
      <c r="JI1" s="33" t="s">
        <v>2291</v>
      </c>
      <c r="JJ1" s="32" t="s">
        <v>2292</v>
      </c>
      <c r="JK1" s="32" t="s">
        <v>2293</v>
      </c>
      <c r="JL1" s="32" t="s">
        <v>2294</v>
      </c>
      <c r="JM1" s="32" t="s">
        <v>2295</v>
      </c>
      <c r="JN1" s="32" t="s">
        <v>2296</v>
      </c>
      <c r="JO1" s="32" t="s">
        <v>2297</v>
      </c>
      <c r="JP1" s="32" t="s">
        <v>2298</v>
      </c>
      <c r="JQ1" s="32" t="s">
        <v>2299</v>
      </c>
      <c r="JR1" s="32" t="s">
        <v>2300</v>
      </c>
      <c r="JS1" s="32" t="s">
        <v>2301</v>
      </c>
      <c r="JT1" s="32" t="s">
        <v>2302</v>
      </c>
      <c r="JU1" s="32"/>
      <c r="JV1" s="33" t="s">
        <v>2303</v>
      </c>
      <c r="JW1" s="32" t="s">
        <v>2304</v>
      </c>
      <c r="JX1" s="32" t="s">
        <v>2305</v>
      </c>
      <c r="JY1" s="32" t="s">
        <v>2306</v>
      </c>
      <c r="JZ1" s="32" t="s">
        <v>2307</v>
      </c>
      <c r="KA1" s="32"/>
      <c r="KB1" s="32"/>
      <c r="KC1" s="32"/>
      <c r="KD1" s="32"/>
      <c r="KE1" s="32"/>
      <c r="KF1" s="32"/>
      <c r="KG1" s="35" t="s">
        <v>2308</v>
      </c>
      <c r="KH1" s="35" t="s">
        <v>2309</v>
      </c>
      <c r="KI1" s="35" t="s">
        <v>2310</v>
      </c>
      <c r="KJ1" s="1" t="s">
        <v>2311</v>
      </c>
      <c r="KK1" s="35" t="s">
        <v>2312</v>
      </c>
      <c r="KL1" s="35" t="s">
        <v>2313</v>
      </c>
      <c r="KM1" s="1" t="s">
        <v>2314</v>
      </c>
      <c r="KN1" s="1" t="s">
        <v>4179</v>
      </c>
      <c r="KO1" s="32" t="s">
        <v>2315</v>
      </c>
      <c r="KP1" s="1" t="s">
        <v>2316</v>
      </c>
      <c r="KQ1" s="32" t="s">
        <v>2317</v>
      </c>
      <c r="KR1" s="32" t="s">
        <v>2318</v>
      </c>
      <c r="KS1" s="32" t="s">
        <v>2319</v>
      </c>
      <c r="KT1" s="32" t="s">
        <v>2320</v>
      </c>
      <c r="KU1" s="32" t="s">
        <v>2321</v>
      </c>
      <c r="KV1" s="32" t="s">
        <v>2322</v>
      </c>
      <c r="KW1" s="32" t="s">
        <v>2323</v>
      </c>
      <c r="KX1" s="32" t="s">
        <v>2324</v>
      </c>
      <c r="KY1" s="32" t="s">
        <v>2325</v>
      </c>
      <c r="KZ1" s="32" t="s">
        <v>2326</v>
      </c>
      <c r="LA1" s="32" t="s">
        <v>2327</v>
      </c>
      <c r="LB1" s="32" t="s">
        <v>2328</v>
      </c>
      <c r="LC1" s="32" t="s">
        <v>2329</v>
      </c>
      <c r="LD1" s="32" t="s">
        <v>2330</v>
      </c>
      <c r="LE1" s="32" t="s">
        <v>2331</v>
      </c>
      <c r="LF1" s="32" t="s">
        <v>2332</v>
      </c>
      <c r="LG1" s="32" t="s">
        <v>2333</v>
      </c>
      <c r="LH1" s="32" t="s">
        <v>2334</v>
      </c>
      <c r="LI1" s="32" t="s">
        <v>2335</v>
      </c>
      <c r="LJ1" s="32" t="s">
        <v>2336</v>
      </c>
      <c r="LK1" s="32" t="s">
        <v>2337</v>
      </c>
      <c r="LL1" s="32" t="s">
        <v>2338</v>
      </c>
      <c r="LM1" s="32" t="s">
        <v>2339</v>
      </c>
      <c r="LN1" s="32" t="s">
        <v>2340</v>
      </c>
      <c r="LO1" s="32" t="s">
        <v>2341</v>
      </c>
      <c r="LP1" s="32" t="s">
        <v>2342</v>
      </c>
      <c r="LQ1" s="32" t="s">
        <v>2343</v>
      </c>
      <c r="LR1" s="32" t="s">
        <v>2344</v>
      </c>
      <c r="LS1" s="32" t="s">
        <v>2345</v>
      </c>
      <c r="LT1" s="32" t="s">
        <v>2346</v>
      </c>
      <c r="LU1" s="32" t="s">
        <v>2347</v>
      </c>
      <c r="LV1" s="32" t="s">
        <v>2348</v>
      </c>
      <c r="LW1" s="32" t="s">
        <v>2349</v>
      </c>
      <c r="LX1" s="32" t="s">
        <v>2350</v>
      </c>
      <c r="LY1" s="32" t="s">
        <v>2351</v>
      </c>
      <c r="LZ1" s="32" t="s">
        <v>2352</v>
      </c>
      <c r="MA1" s="32" t="s">
        <v>2353</v>
      </c>
      <c r="MB1" s="32" t="s">
        <v>2354</v>
      </c>
      <c r="MC1" s="62" t="s">
        <v>2355</v>
      </c>
      <c r="MD1" s="32" t="s">
        <v>2356</v>
      </c>
      <c r="ME1" s="32" t="s">
        <v>2357</v>
      </c>
      <c r="MF1" s="32" t="s">
        <v>2358</v>
      </c>
      <c r="MG1" s="32" t="s">
        <v>2359</v>
      </c>
      <c r="MH1" s="32" t="s">
        <v>2360</v>
      </c>
      <c r="MI1" s="32" t="s">
        <v>2361</v>
      </c>
      <c r="MJ1" s="32" t="s">
        <v>2362</v>
      </c>
      <c r="MK1" s="32" t="s">
        <v>2363</v>
      </c>
      <c r="ML1" s="32" t="s">
        <v>2364</v>
      </c>
      <c r="MM1" s="32" t="s">
        <v>2365</v>
      </c>
      <c r="MN1" s="32" t="s">
        <v>2366</v>
      </c>
      <c r="MO1" s="32" t="s">
        <v>2367</v>
      </c>
      <c r="MP1" s="32" t="s">
        <v>2368</v>
      </c>
      <c r="MQ1" s="32" t="s">
        <v>2369</v>
      </c>
      <c r="MR1" s="32" t="s">
        <v>2370</v>
      </c>
      <c r="MS1" s="32" t="s">
        <v>2371</v>
      </c>
      <c r="MT1" s="32" t="s">
        <v>2372</v>
      </c>
      <c r="MU1" s="32" t="s">
        <v>2373</v>
      </c>
      <c r="MV1" s="32" t="s">
        <v>2374</v>
      </c>
      <c r="MW1" s="32" t="s">
        <v>2375</v>
      </c>
      <c r="MX1" s="32" t="s">
        <v>2376</v>
      </c>
      <c r="MY1" s="32" t="s">
        <v>2377</v>
      </c>
      <c r="MZ1" s="32" t="s">
        <v>2378</v>
      </c>
      <c r="NA1" s="32" t="s">
        <v>2379</v>
      </c>
      <c r="NB1" s="32" t="s">
        <v>2380</v>
      </c>
      <c r="NC1" s="32" t="s">
        <v>2381</v>
      </c>
      <c r="ND1" s="32" t="s">
        <v>2382</v>
      </c>
      <c r="NE1" s="32" t="s">
        <v>2383</v>
      </c>
      <c r="NF1" s="32" t="s">
        <v>2384</v>
      </c>
      <c r="NG1" s="32" t="s">
        <v>2385</v>
      </c>
      <c r="NH1" s="32" t="s">
        <v>2386</v>
      </c>
      <c r="NI1" s="33" t="s">
        <v>2387</v>
      </c>
      <c r="NJ1" s="32"/>
      <c r="NK1" s="32" t="s">
        <v>2388</v>
      </c>
      <c r="NL1" s="32" t="s">
        <v>2389</v>
      </c>
      <c r="NM1" s="62" t="s">
        <v>2390</v>
      </c>
      <c r="NN1" s="32" t="s">
        <v>2391</v>
      </c>
      <c r="NO1" s="62" t="s">
        <v>2392</v>
      </c>
      <c r="NP1" s="32" t="s">
        <v>2393</v>
      </c>
      <c r="NQ1" s="32" t="s">
        <v>2394</v>
      </c>
      <c r="NR1" s="62" t="s">
        <v>2395</v>
      </c>
      <c r="NS1" s="32"/>
      <c r="NT1" s="62" t="s">
        <v>6</v>
      </c>
      <c r="NU1" s="32" t="s">
        <v>2397</v>
      </c>
      <c r="NV1" s="32" t="s">
        <v>2398</v>
      </c>
      <c r="NW1" s="32" t="s">
        <v>2399</v>
      </c>
      <c r="NX1" s="32" t="s">
        <v>2400</v>
      </c>
      <c r="NY1" s="32" t="s">
        <v>2401</v>
      </c>
      <c r="NZ1" s="32" t="s">
        <v>2402</v>
      </c>
      <c r="OA1" s="32" t="s">
        <v>2403</v>
      </c>
      <c r="OB1" s="32" t="s">
        <v>2404</v>
      </c>
      <c r="OC1" s="32" t="s">
        <v>2405</v>
      </c>
      <c r="OD1" s="32" t="s">
        <v>3301</v>
      </c>
      <c r="OE1" s="32" t="s">
        <v>3302</v>
      </c>
      <c r="OF1" s="32" t="s">
        <v>3303</v>
      </c>
      <c r="OG1" s="32" t="s">
        <v>2406</v>
      </c>
      <c r="OH1" s="32" t="s">
        <v>2407</v>
      </c>
      <c r="OI1" s="32" t="s">
        <v>2409</v>
      </c>
      <c r="OJ1" s="32" t="s">
        <v>2410</v>
      </c>
      <c r="OK1" s="32" t="s">
        <v>2413</v>
      </c>
      <c r="OL1" s="32" t="s">
        <v>2414</v>
      </c>
      <c r="OM1" s="32" t="s">
        <v>2415</v>
      </c>
      <c r="ON1" s="32" t="s">
        <v>2416</v>
      </c>
      <c r="OO1" s="32" t="s">
        <v>2417</v>
      </c>
      <c r="OP1" s="32" t="s">
        <v>2418</v>
      </c>
      <c r="OQ1" s="32" t="s">
        <v>2419</v>
      </c>
      <c r="OR1" s="32" t="s">
        <v>2427</v>
      </c>
      <c r="OS1" s="32" t="s">
        <v>2428</v>
      </c>
      <c r="OT1" s="33" t="s">
        <v>2429</v>
      </c>
      <c r="OU1" s="33" t="s">
        <v>2430</v>
      </c>
      <c r="OV1" s="32" t="s">
        <v>2431</v>
      </c>
      <c r="OW1" s="32"/>
      <c r="OX1" s="33" t="s">
        <v>2432</v>
      </c>
      <c r="OY1" s="33" t="s">
        <v>2433</v>
      </c>
      <c r="OZ1" s="32" t="s">
        <v>2434</v>
      </c>
      <c r="PA1" s="32" t="s">
        <v>2435</v>
      </c>
      <c r="PB1" s="32" t="s">
        <v>2645</v>
      </c>
      <c r="PC1" s="32" t="s">
        <v>2646</v>
      </c>
      <c r="PD1" s="32" t="s">
        <v>2436</v>
      </c>
      <c r="PE1" s="32" t="s">
        <v>2437</v>
      </c>
      <c r="PF1" s="32" t="s">
        <v>2438</v>
      </c>
      <c r="PG1" s="32" t="s">
        <v>2439</v>
      </c>
      <c r="PH1" s="32" t="s">
        <v>2440</v>
      </c>
      <c r="PI1" s="32" t="s">
        <v>2441</v>
      </c>
      <c r="PJ1" s="32" t="s">
        <v>2442</v>
      </c>
      <c r="PK1" s="32" t="s">
        <v>2443</v>
      </c>
      <c r="PL1" s="32" t="s">
        <v>2444</v>
      </c>
      <c r="PM1" s="32" t="s">
        <v>2445</v>
      </c>
      <c r="PN1" s="32" t="s">
        <v>2446</v>
      </c>
      <c r="PO1" s="32" t="s">
        <v>2447</v>
      </c>
      <c r="PP1" s="32" t="s">
        <v>2448</v>
      </c>
      <c r="PQ1" s="32" t="s">
        <v>2449</v>
      </c>
      <c r="PR1" s="32" t="s">
        <v>2450</v>
      </c>
      <c r="PS1" s="32" t="s">
        <v>2451</v>
      </c>
      <c r="PT1" s="32" t="s">
        <v>2452</v>
      </c>
      <c r="PU1" s="32" t="s">
        <v>2453</v>
      </c>
      <c r="PV1" s="32" t="s">
        <v>2454</v>
      </c>
      <c r="PW1" s="32" t="s">
        <v>2455</v>
      </c>
      <c r="PX1" s="32" t="s">
        <v>2456</v>
      </c>
      <c r="PY1" s="32" t="s">
        <v>2457</v>
      </c>
      <c r="PZ1" s="32" t="s">
        <v>2458</v>
      </c>
      <c r="QA1" s="32" t="s">
        <v>2459</v>
      </c>
      <c r="QB1" s="32" t="s">
        <v>2460</v>
      </c>
      <c r="QC1" s="32" t="s">
        <v>2461</v>
      </c>
      <c r="QD1" s="32" t="s">
        <v>2462</v>
      </c>
      <c r="QE1" s="32" t="s">
        <v>2463</v>
      </c>
      <c r="QF1" s="32" t="s">
        <v>2464</v>
      </c>
      <c r="QG1" s="32" t="s">
        <v>2465</v>
      </c>
      <c r="QH1" s="32" t="s">
        <v>2466</v>
      </c>
      <c r="QI1" s="32" t="s">
        <v>2467</v>
      </c>
      <c r="QJ1" s="32" t="s">
        <v>2468</v>
      </c>
      <c r="QK1" s="32" t="s">
        <v>2469</v>
      </c>
      <c r="QL1" s="32" t="s">
        <v>2470</v>
      </c>
      <c r="QM1" s="32" t="s">
        <v>2471</v>
      </c>
      <c r="QN1" s="32" t="s">
        <v>2472</v>
      </c>
      <c r="QO1" s="32" t="s">
        <v>2473</v>
      </c>
      <c r="QP1" s="32" t="s">
        <v>2474</v>
      </c>
      <c r="QQ1" s="32" t="s">
        <v>2475</v>
      </c>
      <c r="QR1" s="32" t="s">
        <v>2476</v>
      </c>
      <c r="QS1" s="32" t="s">
        <v>2477</v>
      </c>
      <c r="QT1" s="32" t="s">
        <v>2478</v>
      </c>
      <c r="QU1" s="32" t="s">
        <v>2479</v>
      </c>
      <c r="QV1" s="32" t="s">
        <v>2480</v>
      </c>
      <c r="QW1" s="32" t="s">
        <v>2481</v>
      </c>
      <c r="QX1" s="32" t="s">
        <v>2482</v>
      </c>
      <c r="QY1" s="32" t="s">
        <v>2483</v>
      </c>
      <c r="QZ1" s="32" t="s">
        <v>2484</v>
      </c>
      <c r="RA1" s="32" t="s">
        <v>2485</v>
      </c>
      <c r="RB1" s="32" t="s">
        <v>2486</v>
      </c>
      <c r="RC1" s="32" t="s">
        <v>2487</v>
      </c>
      <c r="RD1" s="32" t="s">
        <v>2488</v>
      </c>
      <c r="RE1" s="32" t="s">
        <v>2489</v>
      </c>
      <c r="RF1" s="32" t="s">
        <v>2490</v>
      </c>
      <c r="RG1" s="32" t="s">
        <v>2491</v>
      </c>
      <c r="RH1" s="32" t="s">
        <v>2492</v>
      </c>
      <c r="RI1" s="32" t="s">
        <v>2493</v>
      </c>
      <c r="RJ1" s="32" t="s">
        <v>2494</v>
      </c>
      <c r="RK1" s="32" t="s">
        <v>2499</v>
      </c>
      <c r="RL1" s="32" t="s">
        <v>2500</v>
      </c>
      <c r="RM1" s="32" t="s">
        <v>2501</v>
      </c>
      <c r="RN1" s="32" t="s">
        <v>2504</v>
      </c>
      <c r="RO1" s="32" t="s">
        <v>2505</v>
      </c>
      <c r="RP1" s="32" t="s">
        <v>2506</v>
      </c>
      <c r="RQ1" s="32" t="s">
        <v>2507</v>
      </c>
      <c r="RR1" s="32" t="s">
        <v>2508</v>
      </c>
      <c r="RS1" s="32" t="s">
        <v>2509</v>
      </c>
      <c r="RT1" s="32" t="s">
        <v>2510</v>
      </c>
      <c r="RU1" s="32" t="s">
        <v>2511</v>
      </c>
      <c r="RV1" s="32" t="s">
        <v>2512</v>
      </c>
      <c r="RW1" s="32" t="s">
        <v>2513</v>
      </c>
      <c r="RX1" s="32" t="s">
        <v>2514</v>
      </c>
      <c r="RY1" s="32" t="s">
        <v>2515</v>
      </c>
      <c r="RZ1" s="32" t="s">
        <v>2516</v>
      </c>
      <c r="SA1" s="32" t="s">
        <v>2517</v>
      </c>
      <c r="SB1" s="32" t="s">
        <v>2518</v>
      </c>
      <c r="SC1" s="32" t="s">
        <v>2519</v>
      </c>
      <c r="SD1" s="32" t="s">
        <v>2520</v>
      </c>
      <c r="SE1" s="32" t="s">
        <v>2521</v>
      </c>
      <c r="SF1" s="32" t="s">
        <v>2522</v>
      </c>
      <c r="SG1" s="32" t="s">
        <v>2523</v>
      </c>
      <c r="SH1" s="32" t="s">
        <v>2524</v>
      </c>
      <c r="SI1" s="32" t="s">
        <v>2525</v>
      </c>
      <c r="SJ1" s="32" t="s">
        <v>2526</v>
      </c>
      <c r="SK1" s="32" t="s">
        <v>2528</v>
      </c>
      <c r="SL1" s="32" t="s">
        <v>2529</v>
      </c>
      <c r="SM1" s="32" t="s">
        <v>2530</v>
      </c>
      <c r="SN1" s="32" t="s">
        <v>2531</v>
      </c>
      <c r="SO1" s="32" t="s">
        <v>2532</v>
      </c>
      <c r="SP1" s="32" t="s">
        <v>2533</v>
      </c>
      <c r="SQ1" s="32" t="s">
        <v>2534</v>
      </c>
      <c r="SR1" s="32" t="s">
        <v>2535</v>
      </c>
      <c r="SS1" s="32" t="s">
        <v>2536</v>
      </c>
      <c r="ST1" s="32" t="s">
        <v>2537</v>
      </c>
      <c r="SU1" s="32" t="s">
        <v>2538</v>
      </c>
      <c r="SV1" s="32" t="s">
        <v>2539</v>
      </c>
      <c r="SW1" s="32" t="s">
        <v>2540</v>
      </c>
      <c r="SX1" s="32" t="s">
        <v>2541</v>
      </c>
      <c r="SY1" s="32" t="s">
        <v>2542</v>
      </c>
      <c r="SZ1" s="32" t="s">
        <v>2543</v>
      </c>
      <c r="TA1" s="32" t="s">
        <v>2544</v>
      </c>
      <c r="TB1" s="32" t="s">
        <v>2545</v>
      </c>
      <c r="TC1" s="32" t="s">
        <v>2546</v>
      </c>
      <c r="TD1" s="32" t="s">
        <v>2547</v>
      </c>
      <c r="TE1" s="32" t="s">
        <v>2548</v>
      </c>
      <c r="TF1" s="32" t="s">
        <v>2549</v>
      </c>
      <c r="TG1" s="32" t="s">
        <v>2550</v>
      </c>
      <c r="TH1" s="32" t="s">
        <v>2551</v>
      </c>
      <c r="TI1" s="32" t="s">
        <v>2552</v>
      </c>
      <c r="TJ1" s="32" t="s">
        <v>2553</v>
      </c>
      <c r="TK1" s="32" t="s">
        <v>2554</v>
      </c>
      <c r="TL1" s="32" t="s">
        <v>2555</v>
      </c>
      <c r="TM1" s="32" t="s">
        <v>2556</v>
      </c>
      <c r="TN1" s="32" t="s">
        <v>2559</v>
      </c>
      <c r="TO1" s="32" t="s">
        <v>2560</v>
      </c>
      <c r="TP1" s="32" t="s">
        <v>2561</v>
      </c>
      <c r="TQ1" s="32" t="s">
        <v>2562</v>
      </c>
      <c r="TR1" s="32" t="s">
        <v>2563</v>
      </c>
      <c r="TS1" s="32" t="s">
        <v>2564</v>
      </c>
      <c r="TT1" s="32" t="s">
        <v>2565</v>
      </c>
      <c r="TU1" s="32" t="s">
        <v>2566</v>
      </c>
      <c r="TV1" s="32" t="s">
        <v>2567</v>
      </c>
      <c r="TW1" s="32" t="s">
        <v>2568</v>
      </c>
      <c r="TX1" s="32" t="s">
        <v>2569</v>
      </c>
      <c r="TY1" s="32" t="s">
        <v>2570</v>
      </c>
      <c r="TZ1" s="32" t="s">
        <v>2571</v>
      </c>
      <c r="UA1" s="32" t="s">
        <v>2572</v>
      </c>
      <c r="UB1" s="32" t="s">
        <v>2573</v>
      </c>
      <c r="UC1" s="32" t="s">
        <v>2574</v>
      </c>
      <c r="UD1" s="32" t="s">
        <v>2575</v>
      </c>
      <c r="UE1" s="32" t="s">
        <v>2576</v>
      </c>
      <c r="UF1" s="32" t="s">
        <v>2577</v>
      </c>
      <c r="UG1" s="32" t="s">
        <v>2578</v>
      </c>
      <c r="UH1" s="32" t="s">
        <v>2579</v>
      </c>
      <c r="UI1" s="32" t="s">
        <v>2580</v>
      </c>
      <c r="UJ1" s="32" t="s">
        <v>2581</v>
      </c>
      <c r="UK1" s="32" t="s">
        <v>2582</v>
      </c>
      <c r="UL1" s="32" t="s">
        <v>2583</v>
      </c>
      <c r="UM1" s="32" t="s">
        <v>2584</v>
      </c>
      <c r="UN1" s="32" t="s">
        <v>2585</v>
      </c>
      <c r="UO1" s="32" t="s">
        <v>2586</v>
      </c>
      <c r="UP1" s="32" t="s">
        <v>2587</v>
      </c>
      <c r="UQ1" s="32" t="s">
        <v>2590</v>
      </c>
      <c r="UR1" s="32" t="s">
        <v>2592</v>
      </c>
      <c r="US1" s="32" t="s">
        <v>2647</v>
      </c>
      <c r="UT1" s="32" t="s">
        <v>2593</v>
      </c>
      <c r="UU1" s="32" t="s">
        <v>2594</v>
      </c>
      <c r="UV1" s="32" t="s">
        <v>2595</v>
      </c>
      <c r="UW1" s="32" t="s">
        <v>2596</v>
      </c>
      <c r="UX1" s="32" t="s">
        <v>2597</v>
      </c>
      <c r="UY1" s="32" t="s">
        <v>2598</v>
      </c>
      <c r="UZ1" s="32" t="s">
        <v>2599</v>
      </c>
      <c r="VA1" s="32" t="s">
        <v>2603</v>
      </c>
      <c r="VB1" s="32" t="s">
        <v>2605</v>
      </c>
      <c r="VC1" s="32" t="s">
        <v>2607</v>
      </c>
      <c r="VD1" s="32" t="s">
        <v>2608</v>
      </c>
      <c r="VE1" s="32" t="s">
        <v>2609</v>
      </c>
      <c r="VF1" s="32" t="s">
        <v>2610</v>
      </c>
      <c r="VG1" s="32" t="s">
        <v>2611</v>
      </c>
      <c r="VH1" s="32" t="s">
        <v>2612</v>
      </c>
      <c r="VI1" s="33" t="s">
        <v>2613</v>
      </c>
      <c r="VJ1" s="32" t="s">
        <v>2614</v>
      </c>
      <c r="VK1" s="32" t="s">
        <v>2615</v>
      </c>
      <c r="VL1" s="1" t="s">
        <v>2634</v>
      </c>
      <c r="VM1" s="1" t="s">
        <v>2635</v>
      </c>
      <c r="VN1" s="1" t="s">
        <v>5406</v>
      </c>
      <c r="VO1" s="1" t="s">
        <v>5443</v>
      </c>
      <c r="VP1" s="1" t="s">
        <v>2616</v>
      </c>
      <c r="VQ1" s="1" t="s">
        <v>4202</v>
      </c>
      <c r="VR1" s="1" t="s">
        <v>2617</v>
      </c>
      <c r="VS1" s="1" t="s">
        <v>2618</v>
      </c>
      <c r="VT1" s="1" t="s">
        <v>2619</v>
      </c>
      <c r="VU1" s="1" t="s">
        <v>2620</v>
      </c>
      <c r="VV1" s="1" t="s">
        <v>2626</v>
      </c>
      <c r="VW1" s="12">
        <v>47</v>
      </c>
      <c r="VX1" s="55" t="s">
        <v>2618</v>
      </c>
      <c r="VY1" s="1" t="s">
        <v>4203</v>
      </c>
      <c r="WA1" s="1" t="s">
        <v>5398</v>
      </c>
      <c r="WB1" s="1" t="s">
        <v>4960</v>
      </c>
      <c r="WC1" s="98" t="s">
        <v>2617</v>
      </c>
      <c r="WD1" s="98" t="s">
        <v>2618</v>
      </c>
      <c r="WE1" s="98" t="s">
        <v>2628</v>
      </c>
      <c r="WF1" s="98" t="s">
        <v>701</v>
      </c>
      <c r="WG1" s="98" t="s">
        <v>5399</v>
      </c>
      <c r="WH1" s="98" t="s">
        <v>5400</v>
      </c>
      <c r="WI1" s="98" t="s">
        <v>4945</v>
      </c>
      <c r="WJ1" s="13"/>
      <c r="WK1" s="25"/>
      <c r="WN1" s="106"/>
      <c r="WO1" s="202"/>
      <c r="WP1" s="382" t="s">
        <v>5416</v>
      </c>
      <c r="WQ1" s="382" t="s">
        <v>2627</v>
      </c>
      <c r="WR1" s="382" t="s">
        <v>2617</v>
      </c>
      <c r="WS1" s="382" t="s">
        <v>2618</v>
      </c>
      <c r="WT1" s="382" t="s">
        <v>5415</v>
      </c>
      <c r="WU1" s="382" t="s">
        <v>2623</v>
      </c>
      <c r="WV1" s="382" t="s">
        <v>2621</v>
      </c>
      <c r="WW1" s="382" t="s">
        <v>2628</v>
      </c>
      <c r="WX1" s="383" t="s">
        <v>4945</v>
      </c>
    </row>
    <row r="2" spans="1:622" x14ac:dyDescent="0.25">
      <c r="A2" s="2">
        <v>9565</v>
      </c>
      <c r="B2" s="2" t="s">
        <v>3304</v>
      </c>
      <c r="C2" s="2" t="s">
        <v>3305</v>
      </c>
      <c r="D2" s="3">
        <v>45100</v>
      </c>
      <c r="E2" s="2" t="s">
        <v>9</v>
      </c>
      <c r="F2" s="2">
        <v>3</v>
      </c>
      <c r="G2" s="2" t="s">
        <v>9</v>
      </c>
      <c r="H2" s="2">
        <v>3</v>
      </c>
      <c r="I2" s="2" t="s">
        <v>9</v>
      </c>
      <c r="J2" s="2">
        <v>2</v>
      </c>
      <c r="K2" s="2" t="s">
        <v>9</v>
      </c>
      <c r="L2" s="2">
        <v>3</v>
      </c>
      <c r="M2" s="2" t="s">
        <v>10</v>
      </c>
      <c r="N2" s="2">
        <v>0</v>
      </c>
      <c r="O2" s="2" t="s">
        <v>10</v>
      </c>
      <c r="P2" s="2">
        <v>0</v>
      </c>
      <c r="Q2" s="2" t="s">
        <v>11</v>
      </c>
      <c r="R2" s="2">
        <v>0</v>
      </c>
      <c r="S2" s="2" t="s">
        <v>9</v>
      </c>
      <c r="T2" s="2">
        <v>2</v>
      </c>
      <c r="U2" s="2" t="s">
        <v>9</v>
      </c>
      <c r="V2" s="2">
        <v>2</v>
      </c>
      <c r="W2" s="2" t="s">
        <v>9</v>
      </c>
      <c r="X2" s="2">
        <v>2</v>
      </c>
      <c r="Y2" s="2" t="s">
        <v>12</v>
      </c>
      <c r="Z2" s="2" t="s">
        <v>15</v>
      </c>
      <c r="AA2" s="2" t="s">
        <v>15</v>
      </c>
      <c r="AB2" s="2" t="s">
        <v>15</v>
      </c>
      <c r="AC2" s="2" t="s">
        <v>15</v>
      </c>
      <c r="AD2" s="2" t="s">
        <v>15</v>
      </c>
      <c r="AE2" s="2" t="s">
        <v>1666</v>
      </c>
      <c r="AF2" s="2">
        <v>0</v>
      </c>
      <c r="AG2" s="2" t="s">
        <v>234</v>
      </c>
      <c r="AH2" s="2" t="s">
        <v>17</v>
      </c>
      <c r="AI2" s="4">
        <v>0.1</v>
      </c>
      <c r="AJ2" s="2" t="s">
        <v>17</v>
      </c>
      <c r="AK2" s="2" t="s">
        <v>9</v>
      </c>
      <c r="AL2" s="2" t="s">
        <v>17</v>
      </c>
      <c r="AM2" s="2" t="s">
        <v>17</v>
      </c>
      <c r="AN2" s="2" t="s">
        <v>17</v>
      </c>
      <c r="AO2" s="2" t="s">
        <v>9</v>
      </c>
      <c r="AP2" s="2" t="s">
        <v>17</v>
      </c>
      <c r="AQ2" s="2" t="s">
        <v>17</v>
      </c>
      <c r="AR2" s="2" t="s">
        <v>17</v>
      </c>
      <c r="AS2" s="2" t="s">
        <v>17</v>
      </c>
      <c r="AT2" s="2">
        <v>5</v>
      </c>
      <c r="AU2" s="5">
        <v>100000</v>
      </c>
      <c r="AV2" s="2" t="s">
        <v>85</v>
      </c>
      <c r="AW2" s="2">
        <v>0</v>
      </c>
      <c r="AX2" s="2">
        <v>11</v>
      </c>
      <c r="AY2" s="2">
        <v>0</v>
      </c>
      <c r="AZ2" s="2">
        <v>18</v>
      </c>
      <c r="BA2" s="2">
        <v>0</v>
      </c>
      <c r="BB2" s="2">
        <v>0</v>
      </c>
      <c r="BC2" s="2">
        <v>1</v>
      </c>
      <c r="BD2" s="2">
        <v>5</v>
      </c>
      <c r="BE2" s="2">
        <v>0</v>
      </c>
      <c r="BF2" s="2">
        <v>1</v>
      </c>
      <c r="BG2" s="2">
        <v>0</v>
      </c>
      <c r="BH2" s="2">
        <v>0</v>
      </c>
      <c r="BI2" s="2">
        <v>13</v>
      </c>
      <c r="BJ2" s="2">
        <v>1</v>
      </c>
      <c r="BK2" s="2">
        <v>0</v>
      </c>
      <c r="BL2" s="2">
        <v>2</v>
      </c>
      <c r="BM2" s="2">
        <v>1</v>
      </c>
      <c r="BN2" s="2">
        <v>10</v>
      </c>
      <c r="BO2" s="2">
        <v>11</v>
      </c>
      <c r="BP2" s="2">
        <v>0</v>
      </c>
      <c r="BQ2" s="2">
        <v>10</v>
      </c>
      <c r="BR2" s="2">
        <v>13.71</v>
      </c>
      <c r="BS2" s="2">
        <v>0</v>
      </c>
      <c r="BT2" s="4">
        <v>0.06</v>
      </c>
      <c r="BU2" s="2" t="s">
        <v>9</v>
      </c>
      <c r="BV2" s="6">
        <v>153137.95000000001</v>
      </c>
      <c r="BW2" s="2" t="s">
        <v>126</v>
      </c>
      <c r="BX2" s="2" t="s">
        <v>17</v>
      </c>
      <c r="BY2" s="2" t="s">
        <v>17</v>
      </c>
      <c r="BZ2" s="2" t="s">
        <v>17</v>
      </c>
      <c r="CA2" s="2" t="s">
        <v>17</v>
      </c>
      <c r="CB2" s="2" t="s">
        <v>17</v>
      </c>
      <c r="CC2" s="2" t="s">
        <v>17</v>
      </c>
      <c r="CD2" s="2" t="s">
        <v>17</v>
      </c>
      <c r="CE2" s="2" t="s">
        <v>3306</v>
      </c>
      <c r="CF2" s="2" t="s">
        <v>9</v>
      </c>
      <c r="CG2" s="2" t="s">
        <v>3307</v>
      </c>
      <c r="CH2" s="2"/>
      <c r="CI2" s="2"/>
      <c r="CJ2" s="2" t="s">
        <v>9</v>
      </c>
      <c r="CK2" s="2" t="s">
        <v>3308</v>
      </c>
      <c r="CL2" s="2" t="s">
        <v>3307</v>
      </c>
      <c r="CM2" s="2" t="s">
        <v>3309</v>
      </c>
      <c r="CN2" s="2" t="s">
        <v>3310</v>
      </c>
      <c r="CO2" s="2" t="s">
        <v>24</v>
      </c>
      <c r="CP2" s="2"/>
      <c r="CQ2" s="2">
        <v>127</v>
      </c>
      <c r="CR2" s="2" t="s">
        <v>3311</v>
      </c>
      <c r="CS2" s="2">
        <v>2015</v>
      </c>
      <c r="CT2" s="2" t="s">
        <v>26</v>
      </c>
      <c r="CU2" s="2" t="s">
        <v>27</v>
      </c>
      <c r="CV2" s="2" t="s">
        <v>3312</v>
      </c>
      <c r="CW2" s="2" t="s">
        <v>3313</v>
      </c>
      <c r="CX2" s="2" t="s">
        <v>24</v>
      </c>
      <c r="CY2" s="2"/>
      <c r="CZ2" s="2">
        <v>92</v>
      </c>
      <c r="DA2" s="2" t="s">
        <v>3311</v>
      </c>
      <c r="DB2" s="2">
        <v>2013</v>
      </c>
      <c r="DC2" s="2" t="s">
        <v>30</v>
      </c>
      <c r="DD2" s="2" t="s">
        <v>27</v>
      </c>
      <c r="DE2" s="2" t="s">
        <v>3314</v>
      </c>
      <c r="DF2" s="2" t="s">
        <v>3315</v>
      </c>
      <c r="DG2" s="2" t="s">
        <v>24</v>
      </c>
      <c r="DH2" s="2"/>
      <c r="DI2" s="2">
        <v>220</v>
      </c>
      <c r="DJ2" s="2" t="s">
        <v>3311</v>
      </c>
      <c r="DK2" s="2">
        <v>2011</v>
      </c>
      <c r="DL2" s="2" t="s">
        <v>243</v>
      </c>
      <c r="DM2" s="2" t="s">
        <v>27</v>
      </c>
      <c r="DN2" s="2" t="s">
        <v>33</v>
      </c>
      <c r="DO2" s="2" t="s">
        <v>34</v>
      </c>
      <c r="DP2" s="2" t="s">
        <v>337</v>
      </c>
      <c r="DQ2" s="2" t="s">
        <v>35</v>
      </c>
      <c r="DR2" s="2" t="s">
        <v>36</v>
      </c>
      <c r="DS2" s="2">
        <v>1</v>
      </c>
      <c r="DT2" s="2" t="s">
        <v>987</v>
      </c>
      <c r="DU2" s="2" t="s">
        <v>38</v>
      </c>
      <c r="DV2" s="2" t="s">
        <v>39</v>
      </c>
      <c r="DW2" s="2">
        <v>32405</v>
      </c>
      <c r="DX2" s="2" t="s">
        <v>3316</v>
      </c>
      <c r="DY2" s="2"/>
      <c r="DZ2" s="2" t="s">
        <v>618</v>
      </c>
      <c r="EA2" s="2" t="s">
        <v>36</v>
      </c>
      <c r="EB2" s="2" t="s">
        <v>1963</v>
      </c>
      <c r="EC2" s="2" t="s">
        <v>2661</v>
      </c>
      <c r="ED2" s="2" t="s">
        <v>44</v>
      </c>
      <c r="EE2" s="2">
        <v>96</v>
      </c>
      <c r="EF2" s="2" t="s">
        <v>3317</v>
      </c>
      <c r="EG2" s="2">
        <v>4</v>
      </c>
      <c r="EH2" s="2" t="s">
        <v>46</v>
      </c>
      <c r="EI2" s="2" t="s">
        <v>47</v>
      </c>
      <c r="EJ2" s="2" t="s">
        <v>3318</v>
      </c>
      <c r="EK2" s="2" t="s">
        <v>330</v>
      </c>
      <c r="EL2" s="2" t="s">
        <v>44</v>
      </c>
      <c r="EM2" s="2">
        <v>98</v>
      </c>
      <c r="EN2" s="2" t="s">
        <v>3317</v>
      </c>
      <c r="EO2" s="2">
        <v>10</v>
      </c>
      <c r="EP2" s="2" t="s">
        <v>46</v>
      </c>
      <c r="EQ2" s="2" t="s">
        <v>47</v>
      </c>
      <c r="ER2" s="2" t="s">
        <v>3319</v>
      </c>
      <c r="ES2" s="2"/>
      <c r="ET2" s="2" t="s">
        <v>3320</v>
      </c>
      <c r="EU2" s="2" t="s">
        <v>3307</v>
      </c>
      <c r="EV2" s="2" t="s">
        <v>3321</v>
      </c>
      <c r="EW2" s="2" t="s">
        <v>3322</v>
      </c>
      <c r="EX2" s="2" t="s">
        <v>39</v>
      </c>
      <c r="EY2" s="2">
        <v>33054</v>
      </c>
      <c r="EZ2" s="2" t="s">
        <v>3323</v>
      </c>
      <c r="FA2" s="2"/>
      <c r="FB2" s="2" t="s">
        <v>3324</v>
      </c>
      <c r="FC2" s="2" t="s">
        <v>3325</v>
      </c>
      <c r="FD2" s="2"/>
      <c r="FE2" s="2" t="s">
        <v>3326</v>
      </c>
      <c r="FF2" s="2" t="s">
        <v>3307</v>
      </c>
      <c r="FG2" s="2" t="s">
        <v>3327</v>
      </c>
      <c r="FH2" s="2" t="s">
        <v>3328</v>
      </c>
      <c r="FI2" s="2" t="s">
        <v>39</v>
      </c>
      <c r="FJ2" s="2">
        <v>33054</v>
      </c>
      <c r="FK2" s="2" t="s">
        <v>3329</v>
      </c>
      <c r="FL2" s="2"/>
      <c r="FM2" s="2" t="s">
        <v>3330</v>
      </c>
      <c r="FN2" s="2" t="s">
        <v>3331</v>
      </c>
      <c r="FO2" s="2" t="s">
        <v>63</v>
      </c>
      <c r="FP2" s="2" t="s">
        <v>64</v>
      </c>
      <c r="FQ2" s="2" t="s">
        <v>9</v>
      </c>
      <c r="FR2" s="2" t="s">
        <v>17</v>
      </c>
      <c r="FS2" s="2" t="s">
        <v>17</v>
      </c>
      <c r="FT2" s="2" t="s">
        <v>9</v>
      </c>
      <c r="FU2" s="2"/>
      <c r="FV2" s="2"/>
      <c r="FW2" s="2">
        <v>0</v>
      </c>
      <c r="FX2" s="2">
        <v>0</v>
      </c>
      <c r="FY2" s="4">
        <v>0</v>
      </c>
      <c r="FZ2" s="4">
        <v>0</v>
      </c>
      <c r="GA2" s="2" t="s">
        <v>65</v>
      </c>
      <c r="GB2" s="2"/>
      <c r="GC2" s="2" t="s">
        <v>66</v>
      </c>
      <c r="GD2" s="2" t="s">
        <v>67</v>
      </c>
      <c r="GE2" s="2" t="s">
        <v>2684</v>
      </c>
      <c r="GF2" s="2"/>
      <c r="GG2" s="2"/>
      <c r="GH2" s="2"/>
      <c r="GI2" s="2"/>
      <c r="GJ2" s="2"/>
      <c r="GK2" s="2">
        <v>145</v>
      </c>
      <c r="GL2" s="2"/>
      <c r="GM2" s="2"/>
      <c r="GN2" s="2"/>
      <c r="GO2" s="2"/>
      <c r="GP2" s="2"/>
      <c r="GQ2" s="2">
        <v>145</v>
      </c>
      <c r="GR2" s="2" t="s">
        <v>3332</v>
      </c>
      <c r="GS2" s="2" t="s">
        <v>2686</v>
      </c>
      <c r="GT2" s="2" t="s">
        <v>3333</v>
      </c>
      <c r="GU2" s="2" t="s">
        <v>3322</v>
      </c>
      <c r="GV2" s="2" t="s">
        <v>9</v>
      </c>
      <c r="GW2" s="2">
        <v>25.901463</v>
      </c>
      <c r="GX2" s="2">
        <v>-80.253352000000007</v>
      </c>
      <c r="GY2" s="2" t="s">
        <v>3334</v>
      </c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>
        <v>25.900096000000001</v>
      </c>
      <c r="HS2" s="2">
        <v>-80.253303000000002</v>
      </c>
      <c r="HT2" s="2">
        <v>0.09</v>
      </c>
      <c r="HU2" s="2">
        <v>6</v>
      </c>
      <c r="HV2" s="2" t="s">
        <v>3335</v>
      </c>
      <c r="HW2" s="2" t="s">
        <v>3336</v>
      </c>
      <c r="HX2" s="2">
        <v>0.19</v>
      </c>
      <c r="HY2" s="2">
        <v>4</v>
      </c>
      <c r="HZ2" s="2" t="s">
        <v>3337</v>
      </c>
      <c r="IA2" s="2" t="s">
        <v>3338</v>
      </c>
      <c r="IB2" s="2">
        <v>0.04</v>
      </c>
      <c r="IC2" s="2">
        <v>4</v>
      </c>
      <c r="ID2" s="2"/>
      <c r="IE2" s="2"/>
      <c r="IF2" s="2"/>
      <c r="IG2" s="2" t="s">
        <v>3339</v>
      </c>
      <c r="IH2" s="2">
        <v>0.35</v>
      </c>
      <c r="II2" s="2">
        <v>4</v>
      </c>
      <c r="IJ2" s="2" t="s">
        <v>17</v>
      </c>
      <c r="IK2" s="2"/>
      <c r="IL2" s="2" t="s">
        <v>79</v>
      </c>
      <c r="IM2" s="2" t="s">
        <v>9</v>
      </c>
      <c r="IN2" s="2" t="s">
        <v>3340</v>
      </c>
      <c r="IO2" s="2" t="s">
        <v>3341</v>
      </c>
      <c r="IP2" s="2">
        <v>6</v>
      </c>
      <c r="IQ2" s="2">
        <v>12</v>
      </c>
      <c r="IR2" s="2">
        <v>18</v>
      </c>
      <c r="IS2" s="2" t="s">
        <v>17</v>
      </c>
      <c r="IT2" s="2" t="s">
        <v>17</v>
      </c>
      <c r="IU2" s="2" t="s">
        <v>9</v>
      </c>
      <c r="IV2" s="2" t="s">
        <v>9</v>
      </c>
      <c r="IW2" s="2" t="s">
        <v>9</v>
      </c>
      <c r="IX2" s="2" t="s">
        <v>9</v>
      </c>
      <c r="IY2" s="2">
        <v>18</v>
      </c>
      <c r="IZ2" s="2">
        <v>145</v>
      </c>
      <c r="JA2" s="2" t="s">
        <v>3085</v>
      </c>
      <c r="JB2" s="2"/>
      <c r="JC2" s="2" t="s">
        <v>173</v>
      </c>
      <c r="JD2" s="7">
        <v>0.1</v>
      </c>
      <c r="JE2" s="7">
        <v>0.9</v>
      </c>
      <c r="JF2" s="7">
        <v>0</v>
      </c>
      <c r="JG2" s="7"/>
      <c r="JH2" s="7"/>
      <c r="JI2" s="2">
        <v>145</v>
      </c>
      <c r="JJ2" s="7">
        <v>1</v>
      </c>
      <c r="JK2" s="2">
        <v>145</v>
      </c>
      <c r="JL2" s="7">
        <v>1</v>
      </c>
      <c r="JM2" s="2"/>
      <c r="JN2" s="2"/>
      <c r="JO2" s="2"/>
      <c r="JP2" s="2"/>
      <c r="JQ2" s="2"/>
      <c r="JR2" s="2"/>
      <c r="JS2" s="2">
        <v>0</v>
      </c>
      <c r="JT2" s="2">
        <v>0</v>
      </c>
      <c r="JU2" s="2"/>
      <c r="JV2" s="2">
        <v>0</v>
      </c>
      <c r="JW2" s="4">
        <v>0</v>
      </c>
      <c r="JX2" s="2">
        <v>0</v>
      </c>
      <c r="JY2" s="4">
        <v>0</v>
      </c>
      <c r="JZ2" s="2">
        <v>0</v>
      </c>
      <c r="KA2" s="2"/>
      <c r="KB2" s="2"/>
      <c r="KC2" s="2"/>
      <c r="KD2" s="2"/>
      <c r="KE2" s="2"/>
      <c r="KF2" s="2"/>
      <c r="KG2" s="2">
        <v>4</v>
      </c>
      <c r="KH2" s="2">
        <v>126</v>
      </c>
      <c r="KI2" s="2"/>
      <c r="KJ2" s="2"/>
      <c r="KK2" s="2">
        <v>15</v>
      </c>
      <c r="KL2" s="2"/>
      <c r="KM2" s="2"/>
      <c r="KN2" s="2"/>
      <c r="KO2" s="2"/>
      <c r="KP2" s="2"/>
      <c r="KQ2" s="2" t="s">
        <v>83</v>
      </c>
      <c r="KR2" s="2"/>
      <c r="KS2" s="2" t="s">
        <v>73</v>
      </c>
      <c r="KT2" s="2">
        <v>2</v>
      </c>
      <c r="KU2" s="2" t="s">
        <v>84</v>
      </c>
      <c r="KV2" s="2" t="s">
        <v>85</v>
      </c>
      <c r="KW2" s="2" t="s">
        <v>530</v>
      </c>
      <c r="KX2" s="2" t="s">
        <v>17</v>
      </c>
      <c r="KY2" s="2" t="s">
        <v>17</v>
      </c>
      <c r="KZ2" s="2" t="s">
        <v>17</v>
      </c>
      <c r="LA2" s="2" t="s">
        <v>17</v>
      </c>
      <c r="LB2" s="2" t="s">
        <v>17</v>
      </c>
      <c r="LC2" s="2" t="s">
        <v>17</v>
      </c>
      <c r="LD2" s="2" t="s">
        <v>17</v>
      </c>
      <c r="LE2" s="2" t="s">
        <v>17</v>
      </c>
      <c r="LF2" s="2" t="s">
        <v>17</v>
      </c>
      <c r="LG2" s="2" t="s">
        <v>17</v>
      </c>
      <c r="LH2" s="2" t="s">
        <v>17</v>
      </c>
      <c r="LI2" s="2" t="s">
        <v>17</v>
      </c>
      <c r="LJ2" s="2" t="s">
        <v>87</v>
      </c>
      <c r="LK2" s="2" t="s">
        <v>17</v>
      </c>
      <c r="LL2" s="2" t="s">
        <v>17</v>
      </c>
      <c r="LM2" s="2">
        <v>0</v>
      </c>
      <c r="LN2" s="2" t="s">
        <v>17</v>
      </c>
      <c r="LO2" s="2" t="s">
        <v>17</v>
      </c>
      <c r="LP2" s="2" t="s">
        <v>17</v>
      </c>
      <c r="LQ2" s="2" t="s">
        <v>17</v>
      </c>
      <c r="LR2" s="2" t="s">
        <v>17</v>
      </c>
      <c r="LS2" s="2" t="s">
        <v>17</v>
      </c>
      <c r="LT2" s="2" t="s">
        <v>9</v>
      </c>
      <c r="LU2" s="2" t="s">
        <v>9</v>
      </c>
      <c r="LV2" s="2" t="s">
        <v>17</v>
      </c>
      <c r="LW2" s="2" t="s">
        <v>17</v>
      </c>
      <c r="LX2" s="2" t="s">
        <v>9</v>
      </c>
      <c r="LY2" s="5">
        <v>6500000</v>
      </c>
      <c r="LZ2" s="5">
        <v>0</v>
      </c>
      <c r="MA2" s="5">
        <v>8400000</v>
      </c>
      <c r="MB2" s="5">
        <v>0</v>
      </c>
      <c r="MC2" s="5">
        <v>0</v>
      </c>
      <c r="MD2" s="5">
        <v>0</v>
      </c>
      <c r="ME2" s="5">
        <v>10000000</v>
      </c>
      <c r="MF2" s="5">
        <v>0</v>
      </c>
      <c r="MG2" s="5">
        <v>0</v>
      </c>
      <c r="MH2" s="5">
        <v>0</v>
      </c>
      <c r="MI2" s="5">
        <v>0</v>
      </c>
      <c r="MJ2" s="5">
        <v>0</v>
      </c>
      <c r="MK2" s="5">
        <v>0</v>
      </c>
      <c r="ML2" s="2">
        <v>0</v>
      </c>
      <c r="MM2" s="5">
        <v>0</v>
      </c>
      <c r="MN2" s="5">
        <v>0</v>
      </c>
      <c r="MO2" s="2">
        <v>0</v>
      </c>
      <c r="MP2" s="2">
        <v>0</v>
      </c>
      <c r="MQ2" s="2">
        <v>0</v>
      </c>
      <c r="MR2" s="5">
        <v>2950000</v>
      </c>
      <c r="MS2" s="5">
        <v>0</v>
      </c>
      <c r="MT2" s="5">
        <v>4600000</v>
      </c>
      <c r="MU2" s="5">
        <v>0</v>
      </c>
      <c r="MV2" s="5">
        <v>0</v>
      </c>
      <c r="MW2" s="5">
        <v>0</v>
      </c>
      <c r="MX2" s="5">
        <v>0</v>
      </c>
      <c r="MY2" s="5">
        <v>2500000</v>
      </c>
      <c r="MZ2" s="5">
        <v>0</v>
      </c>
      <c r="NA2" s="5">
        <v>5000000</v>
      </c>
      <c r="NB2" s="5">
        <v>0</v>
      </c>
      <c r="NC2" s="5">
        <v>0</v>
      </c>
      <c r="ND2" s="5">
        <v>0</v>
      </c>
      <c r="NE2" s="5">
        <v>0</v>
      </c>
      <c r="NF2" s="5">
        <v>0</v>
      </c>
      <c r="NG2" s="5">
        <v>3458400</v>
      </c>
      <c r="NH2" s="5">
        <v>3458400</v>
      </c>
      <c r="NI2" s="5">
        <v>3458400</v>
      </c>
      <c r="NJ2" s="5"/>
      <c r="NK2" s="5">
        <v>0</v>
      </c>
      <c r="NL2" s="2" t="s">
        <v>17</v>
      </c>
      <c r="NM2" s="2" t="s">
        <v>17</v>
      </c>
      <c r="NN2" s="2"/>
      <c r="NO2" s="2" t="s">
        <v>17</v>
      </c>
      <c r="NP2" s="2"/>
      <c r="NQ2" s="2"/>
      <c r="NR2" s="2" t="s">
        <v>17</v>
      </c>
      <c r="NS2" s="2"/>
      <c r="NT2" s="2" t="s">
        <v>9</v>
      </c>
      <c r="NU2" s="2" t="s">
        <v>450</v>
      </c>
      <c r="NV2" s="2">
        <v>5.04</v>
      </c>
      <c r="NW2" s="2" t="s">
        <v>3342</v>
      </c>
      <c r="NX2" s="2" t="s">
        <v>17</v>
      </c>
      <c r="NY2" s="2"/>
      <c r="NZ2" s="2"/>
      <c r="OA2" s="2" t="s">
        <v>118</v>
      </c>
      <c r="OB2" s="2" t="s">
        <v>118</v>
      </c>
      <c r="OC2" s="2" t="s">
        <v>118</v>
      </c>
      <c r="OD2" s="2" t="s">
        <v>3343</v>
      </c>
      <c r="OE2" s="2" t="s">
        <v>3344</v>
      </c>
      <c r="OF2" s="2"/>
      <c r="OG2" s="2" t="s">
        <v>17</v>
      </c>
      <c r="OH2" s="2" t="s">
        <v>119</v>
      </c>
      <c r="OI2" s="2" t="s">
        <v>17</v>
      </c>
      <c r="OJ2" s="2"/>
      <c r="OK2" s="2" t="s">
        <v>17</v>
      </c>
      <c r="OL2" s="2" t="s">
        <v>17</v>
      </c>
      <c r="OM2" s="2" t="s">
        <v>85</v>
      </c>
      <c r="ON2" s="6">
        <v>0</v>
      </c>
      <c r="OO2" s="6">
        <v>0</v>
      </c>
      <c r="OP2" s="2" t="s">
        <v>93</v>
      </c>
      <c r="OQ2" s="2" t="s">
        <v>93</v>
      </c>
      <c r="OR2" s="6">
        <v>0</v>
      </c>
      <c r="OS2" s="4">
        <v>0</v>
      </c>
      <c r="OT2" s="2" t="s">
        <v>17</v>
      </c>
      <c r="OU2" s="2" t="s">
        <v>17</v>
      </c>
      <c r="OV2" s="2"/>
      <c r="OW2" s="2"/>
      <c r="OX2" s="5">
        <v>22205003</v>
      </c>
      <c r="OY2" s="6">
        <v>153137.95000000001</v>
      </c>
      <c r="OZ2" s="2"/>
      <c r="PA2" s="2"/>
      <c r="PB2" s="2"/>
      <c r="PC2" s="2"/>
      <c r="PD2" s="8">
        <v>26710526.32</v>
      </c>
      <c r="PE2" s="8">
        <v>1846842.11</v>
      </c>
      <c r="PF2" s="8">
        <v>28557368.420000002</v>
      </c>
      <c r="PG2" s="2"/>
      <c r="PH2" s="2"/>
      <c r="PI2" s="2"/>
      <c r="PJ2" s="2"/>
      <c r="PK2" s="2"/>
      <c r="PL2" s="2"/>
      <c r="PM2" s="8">
        <v>26710526.32</v>
      </c>
      <c r="PN2" s="8">
        <v>1846842.11</v>
      </c>
      <c r="PO2" s="8">
        <v>28557368.420000002</v>
      </c>
      <c r="PP2" s="8">
        <v>3739473</v>
      </c>
      <c r="PQ2" s="8">
        <v>258557</v>
      </c>
      <c r="PR2" s="8">
        <v>3998030</v>
      </c>
      <c r="PS2" s="6">
        <v>3998031</v>
      </c>
      <c r="PT2" s="8">
        <v>30449999.32</v>
      </c>
      <c r="PU2" s="8">
        <v>2105399.11</v>
      </c>
      <c r="PV2" s="8">
        <v>32555398.420000002</v>
      </c>
      <c r="PW2" s="8">
        <v>1522499</v>
      </c>
      <c r="PX2" s="8">
        <v>105269</v>
      </c>
      <c r="PY2" s="8">
        <v>1627768</v>
      </c>
      <c r="PZ2" s="6">
        <v>1627769.92</v>
      </c>
      <c r="QA2" s="8">
        <v>646780</v>
      </c>
      <c r="QB2" s="8">
        <v>44720</v>
      </c>
      <c r="QC2" s="8">
        <v>691500</v>
      </c>
      <c r="QD2" s="8">
        <v>290688</v>
      </c>
      <c r="QE2" s="8">
        <v>20099</v>
      </c>
      <c r="QF2" s="8">
        <v>310787</v>
      </c>
      <c r="QG2" s="8">
        <v>926755</v>
      </c>
      <c r="QH2" s="8">
        <v>64078</v>
      </c>
      <c r="QI2" s="8">
        <v>990833</v>
      </c>
      <c r="QJ2" s="2"/>
      <c r="QK2" s="8">
        <v>460692</v>
      </c>
      <c r="QL2" s="8">
        <v>460692</v>
      </c>
      <c r="QM2" s="2"/>
      <c r="QN2" s="2"/>
      <c r="QO2" s="2"/>
      <c r="QP2" s="2"/>
      <c r="QQ2" s="8">
        <v>5000</v>
      </c>
      <c r="QR2" s="8">
        <v>5000</v>
      </c>
      <c r="QS2" s="8">
        <v>1864223</v>
      </c>
      <c r="QT2" s="8">
        <v>594589</v>
      </c>
      <c r="QU2" s="8">
        <v>2458812</v>
      </c>
      <c r="QV2" s="8">
        <v>93211</v>
      </c>
      <c r="QW2" s="8">
        <v>29729</v>
      </c>
      <c r="QX2" s="8">
        <v>122940</v>
      </c>
      <c r="QY2" s="6">
        <v>122940.6</v>
      </c>
      <c r="QZ2" s="8">
        <v>1284323</v>
      </c>
      <c r="RA2" s="8">
        <v>88802</v>
      </c>
      <c r="RB2" s="8">
        <v>1373125</v>
      </c>
      <c r="RC2" s="8">
        <v>210000</v>
      </c>
      <c r="RD2" s="8">
        <v>210000</v>
      </c>
      <c r="RE2" s="2"/>
      <c r="RF2" s="8">
        <v>50000</v>
      </c>
      <c r="RG2" s="8">
        <v>50000</v>
      </c>
      <c r="RH2" s="8">
        <v>1284323</v>
      </c>
      <c r="RI2" s="8">
        <v>348802</v>
      </c>
      <c r="RJ2" s="8">
        <v>1633125</v>
      </c>
      <c r="RK2" s="8">
        <v>35214255.32</v>
      </c>
      <c r="RL2" s="8">
        <v>3183788.11</v>
      </c>
      <c r="RM2" s="8">
        <v>38398043.420000002</v>
      </c>
      <c r="RN2" s="2">
        <v>0</v>
      </c>
      <c r="RO2" s="6">
        <v>0</v>
      </c>
      <c r="RP2" s="8">
        <v>5634280</v>
      </c>
      <c r="RQ2" s="8">
        <v>509405</v>
      </c>
      <c r="RR2" s="8">
        <v>6143685</v>
      </c>
      <c r="RS2" s="6">
        <v>6143686</v>
      </c>
      <c r="RT2" s="6">
        <v>0</v>
      </c>
      <c r="RU2" s="8">
        <v>5634280</v>
      </c>
      <c r="RV2" s="8">
        <v>509405</v>
      </c>
      <c r="RW2" s="8">
        <v>6143685</v>
      </c>
      <c r="RX2" s="6">
        <v>6143686</v>
      </c>
      <c r="RY2" s="8">
        <v>507500</v>
      </c>
      <c r="RZ2" s="8">
        <v>507500</v>
      </c>
      <c r="SA2" s="6">
        <v>507500</v>
      </c>
      <c r="SB2" s="8">
        <v>1730000</v>
      </c>
      <c r="SC2" s="8">
        <v>1730000</v>
      </c>
      <c r="SD2" s="8">
        <v>40848535.32</v>
      </c>
      <c r="SE2" s="8">
        <v>5930693.1100000003</v>
      </c>
      <c r="SF2" s="8">
        <v>46779228.420000002</v>
      </c>
      <c r="SG2" s="2"/>
      <c r="SH2" s="2"/>
      <c r="SI2" s="2" t="s">
        <v>3345</v>
      </c>
      <c r="SJ2" s="2" t="s">
        <v>3346</v>
      </c>
      <c r="SK2" s="8">
        <v>25000000</v>
      </c>
      <c r="SL2" s="2" t="s">
        <v>95</v>
      </c>
      <c r="SM2" s="2"/>
      <c r="SN2" s="2"/>
      <c r="SO2" s="2"/>
      <c r="SP2" s="2"/>
      <c r="SQ2" s="2"/>
      <c r="SR2" s="2"/>
      <c r="SS2" s="2" t="s">
        <v>96</v>
      </c>
      <c r="ST2" s="2" t="s">
        <v>96</v>
      </c>
      <c r="SU2" s="2" t="s">
        <v>96</v>
      </c>
      <c r="SV2" s="2" t="s">
        <v>96</v>
      </c>
      <c r="SW2" s="8">
        <v>15907049</v>
      </c>
      <c r="SX2" s="2"/>
      <c r="SY2" s="2"/>
      <c r="SZ2" s="2"/>
      <c r="TA2" s="2"/>
      <c r="TB2" s="2"/>
      <c r="TC2" s="2"/>
      <c r="TD2" s="8">
        <v>5872179.4199999999</v>
      </c>
      <c r="TE2" s="8">
        <v>46779228.420000002</v>
      </c>
      <c r="TF2" s="2">
        <v>0</v>
      </c>
      <c r="TG2" s="2" t="s">
        <v>9</v>
      </c>
      <c r="TH2" s="8">
        <v>13384733</v>
      </c>
      <c r="TI2" s="2" t="s">
        <v>95</v>
      </c>
      <c r="TJ2" s="2"/>
      <c r="TK2" s="2"/>
      <c r="TL2" s="2"/>
      <c r="TM2" s="2"/>
      <c r="TN2" s="2" t="s">
        <v>96</v>
      </c>
      <c r="TO2" s="2" t="s">
        <v>96</v>
      </c>
      <c r="TP2" s="2" t="s">
        <v>96</v>
      </c>
      <c r="TQ2" s="2" t="s">
        <v>96</v>
      </c>
      <c r="TR2" s="8">
        <v>31814098</v>
      </c>
      <c r="TS2" s="2"/>
      <c r="TT2" s="2"/>
      <c r="TU2" s="2"/>
      <c r="TV2" s="2"/>
      <c r="TW2" s="2"/>
      <c r="TX2" s="2"/>
      <c r="TY2" s="8">
        <v>1580397.42</v>
      </c>
      <c r="TZ2" s="8">
        <v>46779228.420000002</v>
      </c>
      <c r="UA2" s="6">
        <v>13384733</v>
      </c>
      <c r="UB2" s="2">
        <v>0</v>
      </c>
      <c r="UC2" s="2" t="s">
        <v>9</v>
      </c>
      <c r="UD2" s="2">
        <v>145</v>
      </c>
      <c r="UE2" s="5">
        <v>310000</v>
      </c>
      <c r="UF2" s="6">
        <v>413333.33</v>
      </c>
      <c r="UG2" s="6">
        <v>413333.33</v>
      </c>
      <c r="UH2" s="6">
        <v>438133.33</v>
      </c>
      <c r="UI2" s="6">
        <v>63529333.329999998</v>
      </c>
      <c r="UJ2" s="6">
        <v>10164693</v>
      </c>
      <c r="UK2" s="2" t="s">
        <v>97</v>
      </c>
      <c r="UL2" s="6">
        <v>10164693</v>
      </c>
      <c r="UM2" s="6">
        <v>73694026.329999998</v>
      </c>
      <c r="UN2" s="6">
        <v>44541728.420000002</v>
      </c>
      <c r="UO2" s="4">
        <v>0.99990000000000001</v>
      </c>
      <c r="UP2" s="2" t="s">
        <v>9</v>
      </c>
      <c r="UQ2" s="6">
        <v>0</v>
      </c>
      <c r="UR2" s="6">
        <v>0</v>
      </c>
      <c r="US2" s="6">
        <v>642406.55000000005</v>
      </c>
      <c r="UT2" s="6">
        <v>642406.55000000005</v>
      </c>
      <c r="UU2" s="6">
        <v>0</v>
      </c>
      <c r="UV2" s="6">
        <v>642406.55000000005</v>
      </c>
      <c r="UW2" s="6">
        <v>0</v>
      </c>
      <c r="UX2" s="6">
        <v>642406.55000000005</v>
      </c>
      <c r="UY2" s="2" t="s">
        <v>3347</v>
      </c>
      <c r="UZ2" s="2" t="s">
        <v>3288</v>
      </c>
      <c r="VA2" s="2" t="s">
        <v>17</v>
      </c>
      <c r="VB2" s="2" t="s">
        <v>17</v>
      </c>
      <c r="VC2" s="2" t="s">
        <v>17</v>
      </c>
      <c r="VD2" s="2" t="s">
        <v>17</v>
      </c>
      <c r="VE2" s="2" t="s">
        <v>17</v>
      </c>
      <c r="VF2" s="2" t="s">
        <v>17</v>
      </c>
      <c r="VG2" s="2" t="s">
        <v>3348</v>
      </c>
      <c r="VH2" s="2"/>
      <c r="VI2" s="388" t="s">
        <v>3308</v>
      </c>
      <c r="VJ2" s="2" t="s">
        <v>98</v>
      </c>
      <c r="VK2" s="2" t="s">
        <v>3349</v>
      </c>
      <c r="VL2" s="23">
        <f t="shared" ref="VL2:VL33" si="0">KG2+KH2+2*(KI2+KK2)+3*KL2</f>
        <v>160</v>
      </c>
      <c r="VM2" s="17">
        <f t="shared" ref="VM2:VM33" si="1">VL2/IZ2</f>
        <v>1.103448275862069</v>
      </c>
      <c r="VN2" s="17" t="str">
        <f t="shared" ref="VN2:VN48" si="2">IF(GG2+GH2=MAX(GG2:GO2),"NC-GA-",IF(GI2+GJ2=MAX(GG2:GO2),"NC-MR-",IF(GK2=MAX(GG2:GO2),"NC-HR-",IF(GL2+GM2=MAX(GG2:GO2),"NC-OT-",IF(GN2+GO2=MAX(GG2:GO2),"AR-GA-","Nothing")))))&amp;IF(BW2="Family","F","E")</f>
        <v>NC-HR-E</v>
      </c>
      <c r="VO2" s="17" t="str">
        <f>VN2&amp;"-"&amp;RIGHT(VX2,3)</f>
        <v>NC-HR-E-ESS</v>
      </c>
      <c r="VP2" s="12">
        <v>9</v>
      </c>
      <c r="VQ2" s="57">
        <v>1</v>
      </c>
      <c r="VR2" s="57">
        <f t="shared" ref="VR2:VR48" si="3">IF(GR2="Broward",Broward_A,1)</f>
        <v>1</v>
      </c>
      <c r="VS2" s="14">
        <f t="shared" ref="VS2:VS48" si="4">IF(OR(OT2="Yes",OU2="Yes"),PHA_A,1)</f>
        <v>1</v>
      </c>
      <c r="VT2" s="12">
        <f t="shared" ref="VT2:VT48" si="5">(GG2*NC_GA_A*ESSC_A+GH2*NC_GA_A+GI2*NC_MR_A*ESSC_A+GJ2*NC_MR_A+GK2*NC_HR_A*ESSC_A+GL2*NC_OT_A*ESSC_A+GM2*NC_OT_A+GN2*1+GO2*1)/(GG2+GH2+GI2+GJ2+GK2+GL2+GM2+GN2+GO2)</f>
        <v>0.88350000000000006</v>
      </c>
      <c r="VU2" s="29">
        <f t="shared" ref="VU2:VU48" si="6">NI2*VP2*VR2*VS2*VT2*IF(BW2="Elderly Non-ALF",Elderly_A,1)</f>
        <v>27499467.600000001</v>
      </c>
      <c r="VV2" s="29">
        <f t="shared" ref="VV2:VV33" si="7">ROUND(VU2/(JI2+JV2),2)</f>
        <v>189651.5</v>
      </c>
      <c r="VW2" s="12" t="str">
        <f>IF(RANK(VV2,VV$2:VV$48,1)&lt;=ROUND(80%*VW$1,0),"A","B")</f>
        <v>A</v>
      </c>
      <c r="VX2" s="12" t="str">
        <f t="shared" ref="VX2:VX33" si="8">IF(GG2=MAX(GG2:GL2),"NC-GA-ESS",IF(GI2=MAX(GG2:GL2),"NC-MR-ESS",IF(GK2=MAX(GG2:GL2),"NC-HR-ESS",IF(GL2=MAX(GG2:GL2),"NC-OT-ESS","Nothing"))))</f>
        <v>NC-HR-ESS</v>
      </c>
      <c r="VY2" s="352">
        <f>IF(RANK(VV2,VV$2:VV$48,1)&lt;=ROUNDUP(10%*VW$1,0),1,IF(RANK(VV2,VV$2:VV$48,1)&lt;=ROUNDUP(30%*VW$1,0),2,IF(RANK(VV2,VV$2:VV$48,1)&lt;=ROUNDUP(50%*VW$1,0),3,IF(RANK(VV2,VV$2:VV$48,1)&lt;=ROUNDUP(70%*VW$1,0),4,5))))</f>
        <v>1</v>
      </c>
      <c r="WA2" s="12">
        <f>IF(BW2="Elderly Non-ALF",1,0)</f>
        <v>1</v>
      </c>
      <c r="WB2" s="12">
        <f>IF(OR(VQ2=1,N(VQ2)=0),0,1)</f>
        <v>0</v>
      </c>
      <c r="WC2" s="12">
        <f>IF(OR(VR2=1,N(VR2)=0),0,1)</f>
        <v>0</v>
      </c>
      <c r="WD2" s="12">
        <f>IF(OR(VS2=1,N(VS2)=0),0,1)</f>
        <v>0</v>
      </c>
      <c r="WE2" s="12">
        <f>IF(GG2+GI2+GK2+GL2&gt;0,1,0)</f>
        <v>1</v>
      </c>
      <c r="WF2" s="12">
        <f t="shared" ref="WF2:WF33" si="9">IF(GG2+GH2&gt;0,1,0)</f>
        <v>0</v>
      </c>
      <c r="WG2" s="12">
        <f t="shared" ref="WG2:WG33" si="10">IF(GI2+GJ2&gt;0,1,0)</f>
        <v>0</v>
      </c>
      <c r="WH2" s="12">
        <f t="shared" ref="WH2:WH33" si="11">IF(GK2&gt;1,1,0)</f>
        <v>1</v>
      </c>
      <c r="WI2" s="31">
        <f t="shared" ref="WI2:WI33" si="12">SUM(WA2:WH2)</f>
        <v>3</v>
      </c>
      <c r="WJ2" s="2"/>
      <c r="WK2" s="444" t="str">
        <f t="shared" ref="WK2:WK10" si="13">VX2&amp;"-"&amp;IF(VQ2&gt;1,"BBY","BBN")&amp;"-"&amp;IF(VR2=1,"BRN","BRY")&amp;"-"&amp;IF(VS2=1,"NPH","PHA")&amp;"-"&amp;IF(BW2="Family","F","E")</f>
        <v>NC-HR-ESS-BBN-BRN-NPH-E</v>
      </c>
      <c r="WL2" s="444"/>
      <c r="WM2" s="444"/>
      <c r="WN2" s="12"/>
      <c r="WO2" s="380" t="s">
        <v>5416</v>
      </c>
      <c r="WP2" s="384"/>
      <c r="WQ2" s="144">
        <f>COUNTIFS($WA$2:$WA$72,"=1",$WB$2:$WB$72,"=1")</f>
        <v>0</v>
      </c>
      <c r="WR2" s="144">
        <f>COUNTIFS($WA$2:$WA$72,"=1",$WC$2:$WC$72,"=1")</f>
        <v>0</v>
      </c>
      <c r="WS2" s="144">
        <f>COUNTIFS($WA$2:$WA$72,"=1",$WD$2:$WD$72,"=1")</f>
        <v>2</v>
      </c>
      <c r="WT2" s="144">
        <f>COUNTIFS($WA$2:$WA$72,"=1",$WF$2:$WF$72,"=1")</f>
        <v>1</v>
      </c>
      <c r="WU2" s="144">
        <f>COUNTIFS($WA$2:$WA$72,"=1",$WG$2:$WG$72,"=1")</f>
        <v>4</v>
      </c>
      <c r="WV2" s="144">
        <f>COUNTIFS($WA$2:$WA$72,"=1",$WH$2:$WH$72,"=1")</f>
        <v>30</v>
      </c>
      <c r="WW2" s="144">
        <f>COUNTIFS($WA$2:$WA$72,"=1",$WE$2:$WE$72,"=1")</f>
        <v>34</v>
      </c>
      <c r="WX2" s="205">
        <f>COUNTIF($WA$2:$WA$72,"=1")</f>
        <v>34</v>
      </c>
    </row>
    <row r="3" spans="1:622" x14ac:dyDescent="0.25">
      <c r="A3" s="2">
        <v>9682</v>
      </c>
      <c r="B3" s="2" t="s">
        <v>3350</v>
      </c>
      <c r="C3" s="2" t="s">
        <v>3305</v>
      </c>
      <c r="D3" s="3">
        <v>45159</v>
      </c>
      <c r="E3" s="2" t="s">
        <v>9</v>
      </c>
      <c r="F3" s="2">
        <v>3</v>
      </c>
      <c r="G3" s="2" t="s">
        <v>9</v>
      </c>
      <c r="H3" s="2">
        <v>3</v>
      </c>
      <c r="I3" s="2" t="s">
        <v>9</v>
      </c>
      <c r="J3" s="2">
        <v>3</v>
      </c>
      <c r="K3" s="2" t="s">
        <v>9</v>
      </c>
      <c r="L3" s="2">
        <v>3</v>
      </c>
      <c r="M3" s="2" t="s">
        <v>10</v>
      </c>
      <c r="N3" s="2">
        <v>0</v>
      </c>
      <c r="O3" s="2" t="s">
        <v>10</v>
      </c>
      <c r="P3" s="2">
        <v>0</v>
      </c>
      <c r="Q3" s="2" t="s">
        <v>11</v>
      </c>
      <c r="R3" s="2">
        <v>0</v>
      </c>
      <c r="S3" s="2" t="s">
        <v>9</v>
      </c>
      <c r="T3" s="2">
        <v>2</v>
      </c>
      <c r="U3" s="2" t="s">
        <v>9</v>
      </c>
      <c r="V3" s="2">
        <v>2</v>
      </c>
      <c r="W3" s="2" t="s">
        <v>9</v>
      </c>
      <c r="X3" s="2">
        <v>2</v>
      </c>
      <c r="Y3" s="2" t="s">
        <v>12</v>
      </c>
      <c r="Z3" s="2" t="s">
        <v>101</v>
      </c>
      <c r="AA3" s="2" t="s">
        <v>1667</v>
      </c>
      <c r="AB3" s="2" t="s">
        <v>786</v>
      </c>
      <c r="AC3" s="2" t="s">
        <v>15</v>
      </c>
      <c r="AD3" s="2" t="s">
        <v>15</v>
      </c>
      <c r="AE3" s="2" t="s">
        <v>15</v>
      </c>
      <c r="AF3" s="2">
        <v>3</v>
      </c>
      <c r="AG3" s="2" t="s">
        <v>787</v>
      </c>
      <c r="AH3" s="2" t="s">
        <v>17</v>
      </c>
      <c r="AI3" s="4">
        <v>0.1</v>
      </c>
      <c r="AJ3" s="2" t="s">
        <v>17</v>
      </c>
      <c r="AK3" s="2" t="s">
        <v>9</v>
      </c>
      <c r="AL3" s="2" t="s">
        <v>17</v>
      </c>
      <c r="AM3" s="2" t="s">
        <v>17</v>
      </c>
      <c r="AN3" s="2" t="s">
        <v>17</v>
      </c>
      <c r="AO3" s="2" t="s">
        <v>17</v>
      </c>
      <c r="AP3" s="2" t="s">
        <v>17</v>
      </c>
      <c r="AQ3" s="2" t="s">
        <v>17</v>
      </c>
      <c r="AR3" s="2" t="s">
        <v>17</v>
      </c>
      <c r="AS3" s="2" t="s">
        <v>17</v>
      </c>
      <c r="AT3" s="2">
        <v>5</v>
      </c>
      <c r="AU3" s="5">
        <v>100000</v>
      </c>
      <c r="AV3" s="2" t="s">
        <v>85</v>
      </c>
      <c r="AW3" s="2">
        <v>0</v>
      </c>
      <c r="AX3" s="2">
        <v>9</v>
      </c>
      <c r="AY3" s="2">
        <v>0</v>
      </c>
      <c r="AZ3" s="2">
        <v>18</v>
      </c>
      <c r="BA3" s="2">
        <v>0</v>
      </c>
      <c r="BB3" s="2">
        <v>0</v>
      </c>
      <c r="BC3" s="2">
        <v>0</v>
      </c>
      <c r="BD3" s="2">
        <v>3</v>
      </c>
      <c r="BE3" s="2">
        <v>0</v>
      </c>
      <c r="BF3" s="2">
        <v>1</v>
      </c>
      <c r="BG3" s="2">
        <v>0</v>
      </c>
      <c r="BH3" s="2">
        <v>0</v>
      </c>
      <c r="BI3" s="2">
        <v>13</v>
      </c>
      <c r="BJ3" s="2">
        <v>1</v>
      </c>
      <c r="BK3" s="2">
        <v>0</v>
      </c>
      <c r="BL3" s="2">
        <v>2</v>
      </c>
      <c r="BM3" s="2">
        <v>1</v>
      </c>
      <c r="BN3" s="2">
        <v>11</v>
      </c>
      <c r="BO3" s="2">
        <v>11</v>
      </c>
      <c r="BP3" s="2">
        <v>0</v>
      </c>
      <c r="BQ3" s="2">
        <v>10</v>
      </c>
      <c r="BR3" s="2">
        <v>14.19</v>
      </c>
      <c r="BS3" s="2">
        <v>0</v>
      </c>
      <c r="BT3" s="4">
        <v>0.06</v>
      </c>
      <c r="BU3" s="2" t="s">
        <v>9</v>
      </c>
      <c r="BV3" s="6">
        <v>153449.21</v>
      </c>
      <c r="BW3" s="2" t="s">
        <v>126</v>
      </c>
      <c r="BX3" s="2" t="s">
        <v>17</v>
      </c>
      <c r="BY3" s="2" t="s">
        <v>17</v>
      </c>
      <c r="BZ3" s="2" t="s">
        <v>17</v>
      </c>
      <c r="CA3" s="2" t="s">
        <v>17</v>
      </c>
      <c r="CB3" s="2" t="s">
        <v>17</v>
      </c>
      <c r="CC3" s="2" t="s">
        <v>17</v>
      </c>
      <c r="CD3" s="2" t="s">
        <v>17</v>
      </c>
      <c r="CE3" s="2" t="s">
        <v>3351</v>
      </c>
      <c r="CF3" s="2" t="s">
        <v>17</v>
      </c>
      <c r="CG3" s="2" t="s">
        <v>3352</v>
      </c>
      <c r="CH3" s="2"/>
      <c r="CI3" s="2"/>
      <c r="CJ3" s="2" t="s">
        <v>9</v>
      </c>
      <c r="CK3" s="2" t="s">
        <v>3353</v>
      </c>
      <c r="CL3" s="2" t="s">
        <v>3354</v>
      </c>
      <c r="CM3" s="2" t="s">
        <v>3355</v>
      </c>
      <c r="CN3" s="2" t="s">
        <v>330</v>
      </c>
      <c r="CO3" s="2" t="s">
        <v>24</v>
      </c>
      <c r="CP3" s="2"/>
      <c r="CQ3" s="2">
        <v>139</v>
      </c>
      <c r="CR3" s="2" t="s">
        <v>3356</v>
      </c>
      <c r="CS3" s="2">
        <v>2018</v>
      </c>
      <c r="CT3" s="2" t="s">
        <v>26</v>
      </c>
      <c r="CU3" s="2" t="s">
        <v>27</v>
      </c>
      <c r="CV3" s="2" t="s">
        <v>3357</v>
      </c>
      <c r="CW3" s="2" t="s">
        <v>330</v>
      </c>
      <c r="CX3" s="2" t="s">
        <v>24</v>
      </c>
      <c r="CY3" s="2"/>
      <c r="CZ3" s="2">
        <v>150</v>
      </c>
      <c r="DA3" s="2" t="s">
        <v>3356</v>
      </c>
      <c r="DB3" s="2">
        <v>2018</v>
      </c>
      <c r="DC3" s="2" t="s">
        <v>30</v>
      </c>
      <c r="DD3" s="2" t="s">
        <v>27</v>
      </c>
      <c r="DE3" s="2" t="s">
        <v>3358</v>
      </c>
      <c r="DF3" s="2" t="s">
        <v>330</v>
      </c>
      <c r="DG3" s="2" t="s">
        <v>24</v>
      </c>
      <c r="DH3" s="2"/>
      <c r="DI3" s="2">
        <v>132</v>
      </c>
      <c r="DJ3" s="2" t="s">
        <v>3356</v>
      </c>
      <c r="DK3" s="2">
        <v>2013</v>
      </c>
      <c r="DL3" s="2" t="s">
        <v>30</v>
      </c>
      <c r="DM3" s="2" t="s">
        <v>27</v>
      </c>
      <c r="DN3" s="2" t="s">
        <v>33</v>
      </c>
      <c r="DO3" s="2" t="s">
        <v>656</v>
      </c>
      <c r="DP3" s="2" t="s">
        <v>3359</v>
      </c>
      <c r="DQ3" s="2" t="s">
        <v>3360</v>
      </c>
      <c r="DR3" s="2" t="s">
        <v>3361</v>
      </c>
      <c r="DS3" s="2">
        <v>1</v>
      </c>
      <c r="DT3" s="2" t="s">
        <v>3362</v>
      </c>
      <c r="DU3" s="2" t="s">
        <v>1144</v>
      </c>
      <c r="DV3" s="2" t="s">
        <v>39</v>
      </c>
      <c r="DW3" s="2">
        <v>33701</v>
      </c>
      <c r="DX3" s="2" t="s">
        <v>3363</v>
      </c>
      <c r="DY3" s="2"/>
      <c r="DZ3" s="2" t="s">
        <v>3364</v>
      </c>
      <c r="EA3" s="2" t="s">
        <v>3361</v>
      </c>
      <c r="EB3" s="2" t="s">
        <v>3365</v>
      </c>
      <c r="EC3" s="2" t="s">
        <v>3366</v>
      </c>
      <c r="ED3" s="2" t="s">
        <v>44</v>
      </c>
      <c r="EE3" s="2">
        <v>110</v>
      </c>
      <c r="EF3" s="2" t="s">
        <v>3367</v>
      </c>
      <c r="EG3" s="2">
        <v>2</v>
      </c>
      <c r="EH3" s="2" t="s">
        <v>46</v>
      </c>
      <c r="EI3" s="2" t="s">
        <v>47</v>
      </c>
      <c r="EJ3" s="2" t="s">
        <v>3368</v>
      </c>
      <c r="EK3" s="2" t="s">
        <v>3369</v>
      </c>
      <c r="EL3" s="2" t="s">
        <v>44</v>
      </c>
      <c r="EM3" s="2">
        <v>104</v>
      </c>
      <c r="EN3" s="2" t="s">
        <v>3367</v>
      </c>
      <c r="EO3" s="2">
        <v>4</v>
      </c>
      <c r="EP3" s="2" t="s">
        <v>46</v>
      </c>
      <c r="EQ3" s="2" t="s">
        <v>47</v>
      </c>
      <c r="ER3" s="2" t="s">
        <v>3370</v>
      </c>
      <c r="ES3" s="2" t="s">
        <v>951</v>
      </c>
      <c r="ET3" s="2" t="s">
        <v>3371</v>
      </c>
      <c r="EU3" s="2" t="s">
        <v>3351</v>
      </c>
      <c r="EV3" s="2" t="s">
        <v>3372</v>
      </c>
      <c r="EW3" s="2" t="s">
        <v>299</v>
      </c>
      <c r="EX3" s="2" t="s">
        <v>39</v>
      </c>
      <c r="EY3" s="2">
        <v>33147</v>
      </c>
      <c r="EZ3" s="2" t="s">
        <v>3373</v>
      </c>
      <c r="FA3" s="2"/>
      <c r="FB3" s="2" t="s">
        <v>3374</v>
      </c>
      <c r="FC3" s="2" t="s">
        <v>3375</v>
      </c>
      <c r="FD3" s="2" t="s">
        <v>295</v>
      </c>
      <c r="FE3" s="2" t="s">
        <v>3376</v>
      </c>
      <c r="FF3" s="2" t="s">
        <v>3351</v>
      </c>
      <c r="FG3" s="2" t="s">
        <v>3372</v>
      </c>
      <c r="FH3" s="2" t="s">
        <v>299</v>
      </c>
      <c r="FI3" s="2" t="s">
        <v>39</v>
      </c>
      <c r="FJ3" s="2">
        <v>33147</v>
      </c>
      <c r="FK3" s="2" t="s">
        <v>3373</v>
      </c>
      <c r="FL3" s="2"/>
      <c r="FM3" s="2" t="s">
        <v>3377</v>
      </c>
      <c r="FN3" s="2" t="s">
        <v>3378</v>
      </c>
      <c r="FO3" s="2" t="s">
        <v>63</v>
      </c>
      <c r="FP3" s="2" t="s">
        <v>64</v>
      </c>
      <c r="FQ3" s="2" t="s">
        <v>9</v>
      </c>
      <c r="FR3" s="2" t="s">
        <v>17</v>
      </c>
      <c r="FS3" s="2" t="s">
        <v>17</v>
      </c>
      <c r="FT3" s="2" t="s">
        <v>9</v>
      </c>
      <c r="FU3" s="2"/>
      <c r="FV3" s="2"/>
      <c r="FW3" s="2">
        <v>0</v>
      </c>
      <c r="FX3" s="2">
        <v>0</v>
      </c>
      <c r="FY3" s="4">
        <v>0</v>
      </c>
      <c r="FZ3" s="4">
        <v>0</v>
      </c>
      <c r="GA3" s="2" t="s">
        <v>65</v>
      </c>
      <c r="GB3" s="2"/>
      <c r="GC3" s="2" t="s">
        <v>66</v>
      </c>
      <c r="GD3" s="2" t="s">
        <v>67</v>
      </c>
      <c r="GE3" s="2" t="s">
        <v>1612</v>
      </c>
      <c r="GF3" s="2"/>
      <c r="GG3" s="2"/>
      <c r="GH3" s="2"/>
      <c r="GI3" s="2">
        <v>150</v>
      </c>
      <c r="GJ3" s="2"/>
      <c r="GK3" s="2"/>
      <c r="GL3" s="2"/>
      <c r="GM3" s="2"/>
      <c r="GN3" s="2"/>
      <c r="GO3" s="2"/>
      <c r="GP3" s="2"/>
      <c r="GQ3" s="2">
        <v>150</v>
      </c>
      <c r="GR3" s="2" t="s">
        <v>3332</v>
      </c>
      <c r="GS3" s="2" t="s">
        <v>2686</v>
      </c>
      <c r="GT3" s="2" t="s">
        <v>3379</v>
      </c>
      <c r="GU3" s="2" t="s">
        <v>3380</v>
      </c>
      <c r="GV3" s="2" t="s">
        <v>17</v>
      </c>
      <c r="GW3" s="2">
        <v>25.943999999999999</v>
      </c>
      <c r="GX3" s="2">
        <v>-80.222399999999993</v>
      </c>
      <c r="GY3" s="2"/>
      <c r="GZ3" s="2">
        <v>25.942568999999999</v>
      </c>
      <c r="HA3" s="2">
        <v>-80.221352999999993</v>
      </c>
      <c r="HB3" s="2">
        <v>0.12</v>
      </c>
      <c r="HC3" s="2">
        <v>6</v>
      </c>
      <c r="HD3" s="2">
        <v>25.944548999999999</v>
      </c>
      <c r="HE3" s="2">
        <v>-80.221267999999995</v>
      </c>
      <c r="HF3" s="2">
        <v>0.08</v>
      </c>
      <c r="HG3" s="2">
        <v>25.942021</v>
      </c>
      <c r="HH3" s="2">
        <v>-80.220877999999999</v>
      </c>
      <c r="HI3" s="2">
        <v>0.17</v>
      </c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 t="s">
        <v>3164</v>
      </c>
      <c r="HW3" s="2" t="s">
        <v>3381</v>
      </c>
      <c r="HX3" s="2">
        <v>0.48</v>
      </c>
      <c r="HY3" s="2">
        <v>3.5</v>
      </c>
      <c r="HZ3" s="2" t="s">
        <v>3382</v>
      </c>
      <c r="IA3" s="2" t="s">
        <v>3383</v>
      </c>
      <c r="IB3" s="2">
        <v>1.49</v>
      </c>
      <c r="IC3" s="2">
        <v>1.5</v>
      </c>
      <c r="ID3" s="2" t="s">
        <v>224</v>
      </c>
      <c r="IE3" s="2">
        <v>0.62</v>
      </c>
      <c r="IF3" s="2">
        <v>3</v>
      </c>
      <c r="IG3" s="2"/>
      <c r="IH3" s="2"/>
      <c r="II3" s="2"/>
      <c r="IJ3" s="2" t="s">
        <v>17</v>
      </c>
      <c r="IK3" s="2"/>
      <c r="IL3" s="2" t="s">
        <v>79</v>
      </c>
      <c r="IM3" s="2" t="s">
        <v>17</v>
      </c>
      <c r="IN3" s="2"/>
      <c r="IO3" s="2" t="s">
        <v>79</v>
      </c>
      <c r="IP3" s="2">
        <v>6</v>
      </c>
      <c r="IQ3" s="2">
        <v>8</v>
      </c>
      <c r="IR3" s="2">
        <v>14</v>
      </c>
      <c r="IS3" s="2" t="s">
        <v>17</v>
      </c>
      <c r="IT3" s="2" t="s">
        <v>17</v>
      </c>
      <c r="IU3" s="2" t="s">
        <v>17</v>
      </c>
      <c r="IV3" s="2" t="s">
        <v>9</v>
      </c>
      <c r="IW3" s="2" t="s">
        <v>9</v>
      </c>
      <c r="IX3" s="2" t="s">
        <v>9</v>
      </c>
      <c r="IY3" s="2">
        <v>14</v>
      </c>
      <c r="IZ3" s="2">
        <v>150</v>
      </c>
      <c r="JA3" s="2" t="s">
        <v>3085</v>
      </c>
      <c r="JB3" s="2"/>
      <c r="JC3" s="2" t="s">
        <v>173</v>
      </c>
      <c r="JD3" s="7">
        <v>0.1</v>
      </c>
      <c r="JE3" s="7">
        <v>0.9</v>
      </c>
      <c r="JF3" s="7">
        <v>0</v>
      </c>
      <c r="JG3" s="7"/>
      <c r="JH3" s="7"/>
      <c r="JI3" s="2">
        <v>150</v>
      </c>
      <c r="JJ3" s="7">
        <v>1</v>
      </c>
      <c r="JK3" s="2">
        <v>150</v>
      </c>
      <c r="JL3" s="7">
        <v>1</v>
      </c>
      <c r="JM3" s="2"/>
      <c r="JN3" s="2"/>
      <c r="JO3" s="2"/>
      <c r="JP3" s="2"/>
      <c r="JQ3" s="2"/>
      <c r="JR3" s="2"/>
      <c r="JS3" s="2">
        <v>0</v>
      </c>
      <c r="JT3" s="2">
        <v>0</v>
      </c>
      <c r="JU3" s="2"/>
      <c r="JV3" s="2">
        <v>0</v>
      </c>
      <c r="JW3" s="4">
        <v>0</v>
      </c>
      <c r="JX3" s="2">
        <v>0</v>
      </c>
      <c r="JY3" s="4">
        <v>0</v>
      </c>
      <c r="JZ3" s="2">
        <v>0</v>
      </c>
      <c r="KA3" s="2"/>
      <c r="KB3" s="2"/>
      <c r="KC3" s="2"/>
      <c r="KD3" s="2"/>
      <c r="KE3" s="2"/>
      <c r="KF3" s="2"/>
      <c r="KG3" s="2"/>
      <c r="KH3" s="2">
        <v>128</v>
      </c>
      <c r="KI3" s="2"/>
      <c r="KJ3" s="2"/>
      <c r="KK3" s="2">
        <v>22</v>
      </c>
      <c r="KL3" s="2"/>
      <c r="KM3" s="2"/>
      <c r="KN3" s="2"/>
      <c r="KO3" s="2"/>
      <c r="KP3" s="2"/>
      <c r="KQ3" s="2" t="s">
        <v>83</v>
      </c>
      <c r="KR3" s="2"/>
      <c r="KS3" s="2" t="s">
        <v>73</v>
      </c>
      <c r="KT3" s="2">
        <v>2</v>
      </c>
      <c r="KU3" s="2" t="s">
        <v>84</v>
      </c>
      <c r="KV3" s="2" t="s">
        <v>85</v>
      </c>
      <c r="KW3" s="2" t="s">
        <v>86</v>
      </c>
      <c r="KX3" s="2" t="s">
        <v>17</v>
      </c>
      <c r="KY3" s="2" t="s">
        <v>17</v>
      </c>
      <c r="KZ3" s="2" t="s">
        <v>17</v>
      </c>
      <c r="LA3" s="2" t="s">
        <v>17</v>
      </c>
      <c r="LB3" s="2" t="s">
        <v>17</v>
      </c>
      <c r="LC3" s="2" t="s">
        <v>17</v>
      </c>
      <c r="LD3" s="2" t="s">
        <v>17</v>
      </c>
      <c r="LE3" s="2" t="s">
        <v>17</v>
      </c>
      <c r="LF3" s="2" t="s">
        <v>17</v>
      </c>
      <c r="LG3" s="2" t="s">
        <v>17</v>
      </c>
      <c r="LH3" s="2" t="s">
        <v>17</v>
      </c>
      <c r="LI3" s="2" t="s">
        <v>17</v>
      </c>
      <c r="LJ3" s="2" t="s">
        <v>87</v>
      </c>
      <c r="LK3" s="2" t="s">
        <v>17</v>
      </c>
      <c r="LL3" s="2" t="s">
        <v>17</v>
      </c>
      <c r="LM3" s="2">
        <v>0</v>
      </c>
      <c r="LN3" s="2" t="s">
        <v>17</v>
      </c>
      <c r="LO3" s="2" t="s">
        <v>17</v>
      </c>
      <c r="LP3" s="2" t="s">
        <v>17</v>
      </c>
      <c r="LQ3" s="2" t="s">
        <v>17</v>
      </c>
      <c r="LR3" s="2" t="s">
        <v>17</v>
      </c>
      <c r="LS3" s="2" t="s">
        <v>17</v>
      </c>
      <c r="LT3" s="2" t="s">
        <v>9</v>
      </c>
      <c r="LU3" s="2" t="s">
        <v>9</v>
      </c>
      <c r="LV3" s="2" t="s">
        <v>9</v>
      </c>
      <c r="LW3" s="2" t="s">
        <v>17</v>
      </c>
      <c r="LX3" s="2" t="s">
        <v>17</v>
      </c>
      <c r="LY3" s="5">
        <v>6500000</v>
      </c>
      <c r="LZ3" s="5">
        <v>0</v>
      </c>
      <c r="MA3" s="5">
        <v>8400000</v>
      </c>
      <c r="MB3" s="5">
        <v>0</v>
      </c>
      <c r="MC3" s="5">
        <v>0</v>
      </c>
      <c r="MD3" s="5">
        <v>0</v>
      </c>
      <c r="ME3" s="5">
        <v>10000000</v>
      </c>
      <c r="MF3" s="5">
        <v>0</v>
      </c>
      <c r="MG3" s="5">
        <v>0</v>
      </c>
      <c r="MH3" s="5">
        <v>0</v>
      </c>
      <c r="MI3" s="5">
        <v>0</v>
      </c>
      <c r="MJ3" s="5">
        <v>0</v>
      </c>
      <c r="MK3" s="5">
        <v>0</v>
      </c>
      <c r="ML3" s="2">
        <v>0</v>
      </c>
      <c r="MM3" s="5">
        <v>0</v>
      </c>
      <c r="MN3" s="5">
        <v>0</v>
      </c>
      <c r="MO3" s="2">
        <v>0</v>
      </c>
      <c r="MP3" s="2">
        <v>0</v>
      </c>
      <c r="MQ3" s="2">
        <v>0</v>
      </c>
      <c r="MR3" s="5">
        <v>2950000</v>
      </c>
      <c r="MS3" s="5">
        <v>0</v>
      </c>
      <c r="MT3" s="5">
        <v>4600000</v>
      </c>
      <c r="MU3" s="5">
        <v>0</v>
      </c>
      <c r="MV3" s="5">
        <v>0</v>
      </c>
      <c r="MW3" s="5">
        <v>0</v>
      </c>
      <c r="MX3" s="5">
        <v>0</v>
      </c>
      <c r="MY3" s="5">
        <v>2500000</v>
      </c>
      <c r="MZ3" s="5">
        <v>0</v>
      </c>
      <c r="NA3" s="5">
        <v>5000000</v>
      </c>
      <c r="NB3" s="5">
        <v>0</v>
      </c>
      <c r="NC3" s="5">
        <v>0</v>
      </c>
      <c r="ND3" s="5">
        <v>0</v>
      </c>
      <c r="NE3" s="5">
        <v>0</v>
      </c>
      <c r="NF3" s="5">
        <v>0</v>
      </c>
      <c r="NG3" s="5">
        <v>3458400</v>
      </c>
      <c r="NH3" s="5">
        <v>3458400</v>
      </c>
      <c r="NI3" s="5">
        <v>3458400</v>
      </c>
      <c r="NJ3" s="5"/>
      <c r="NK3" s="5">
        <v>0</v>
      </c>
      <c r="NL3" s="2" t="s">
        <v>17</v>
      </c>
      <c r="NM3" s="2" t="s">
        <v>17</v>
      </c>
      <c r="NN3" s="2"/>
      <c r="NO3" s="2" t="s">
        <v>17</v>
      </c>
      <c r="NP3" s="2"/>
      <c r="NQ3" s="2"/>
      <c r="NR3" s="2" t="s">
        <v>17</v>
      </c>
      <c r="NS3" s="2"/>
      <c r="NT3" s="2" t="s">
        <v>17</v>
      </c>
      <c r="NU3" s="2"/>
      <c r="NV3" s="2"/>
      <c r="NW3" s="2"/>
      <c r="NX3" s="2" t="s">
        <v>17</v>
      </c>
      <c r="NY3" s="2"/>
      <c r="NZ3" s="2"/>
      <c r="OA3" s="2" t="s">
        <v>118</v>
      </c>
      <c r="OB3" s="2" t="s">
        <v>118</v>
      </c>
      <c r="OC3" s="2" t="s">
        <v>118</v>
      </c>
      <c r="OD3" s="2" t="s">
        <v>3384</v>
      </c>
      <c r="OE3" s="2" t="s">
        <v>85</v>
      </c>
      <c r="OF3" s="2" t="s">
        <v>17</v>
      </c>
      <c r="OG3" s="2" t="s">
        <v>17</v>
      </c>
      <c r="OH3" s="2"/>
      <c r="OI3" s="2" t="s">
        <v>17</v>
      </c>
      <c r="OJ3" s="2"/>
      <c r="OK3" s="2" t="s">
        <v>17</v>
      </c>
      <c r="OL3" s="2" t="s">
        <v>17</v>
      </c>
      <c r="OM3" s="2" t="s">
        <v>85</v>
      </c>
      <c r="ON3" s="6">
        <v>0</v>
      </c>
      <c r="OO3" s="6">
        <v>0</v>
      </c>
      <c r="OP3" s="2" t="s">
        <v>93</v>
      </c>
      <c r="OQ3" s="2" t="s">
        <v>93</v>
      </c>
      <c r="OR3" s="6">
        <v>0</v>
      </c>
      <c r="OS3" s="4">
        <v>0</v>
      </c>
      <c r="OT3" s="2" t="s">
        <v>17</v>
      </c>
      <c r="OU3" s="2" t="s">
        <v>17</v>
      </c>
      <c r="OV3" s="2"/>
      <c r="OW3" s="2"/>
      <c r="OX3" s="5">
        <v>23017381</v>
      </c>
      <c r="OY3" s="6">
        <v>153449.21</v>
      </c>
      <c r="OZ3" s="2"/>
      <c r="PA3" s="2"/>
      <c r="PB3" s="2"/>
      <c r="PC3" s="2"/>
      <c r="PD3" s="8">
        <v>30949790</v>
      </c>
      <c r="PE3" s="2"/>
      <c r="PF3" s="8">
        <v>30949790</v>
      </c>
      <c r="PG3" s="2"/>
      <c r="PH3" s="2"/>
      <c r="PI3" s="2"/>
      <c r="PJ3" s="2"/>
      <c r="PK3" s="2"/>
      <c r="PL3" s="2"/>
      <c r="PM3" s="8">
        <v>30949790</v>
      </c>
      <c r="PN3" s="2"/>
      <c r="PO3" s="8">
        <v>30949790</v>
      </c>
      <c r="PP3" s="8">
        <v>4332970</v>
      </c>
      <c r="PQ3" s="2"/>
      <c r="PR3" s="8">
        <v>4332970</v>
      </c>
      <c r="PS3" s="6">
        <v>4332970</v>
      </c>
      <c r="PT3" s="8">
        <v>35282760</v>
      </c>
      <c r="PU3" s="2"/>
      <c r="PV3" s="8">
        <v>35282760</v>
      </c>
      <c r="PW3" s="8">
        <v>1764138</v>
      </c>
      <c r="PX3" s="2"/>
      <c r="PY3" s="8">
        <v>1764138</v>
      </c>
      <c r="PZ3" s="6">
        <v>1764138</v>
      </c>
      <c r="QA3" s="8">
        <v>1289919</v>
      </c>
      <c r="QB3" s="8">
        <v>95000</v>
      </c>
      <c r="QC3" s="8">
        <v>1384919</v>
      </c>
      <c r="QD3" s="8">
        <v>927500</v>
      </c>
      <c r="QE3" s="2"/>
      <c r="QF3" s="8">
        <v>927500</v>
      </c>
      <c r="QG3" s="8">
        <v>1017994</v>
      </c>
      <c r="QH3" s="2"/>
      <c r="QI3" s="8">
        <v>1017994</v>
      </c>
      <c r="QJ3" s="2"/>
      <c r="QK3" s="8">
        <v>481086</v>
      </c>
      <c r="QL3" s="8">
        <v>481086</v>
      </c>
      <c r="QM3" s="2"/>
      <c r="QN3" s="2"/>
      <c r="QO3" s="2"/>
      <c r="QP3" s="2"/>
      <c r="QQ3" s="8">
        <v>150000</v>
      </c>
      <c r="QR3" s="8">
        <v>150000</v>
      </c>
      <c r="QS3" s="8">
        <v>3235413</v>
      </c>
      <c r="QT3" s="8">
        <v>726086</v>
      </c>
      <c r="QU3" s="8">
        <v>3961499</v>
      </c>
      <c r="QV3" s="8">
        <v>195104</v>
      </c>
      <c r="QW3" s="2"/>
      <c r="QX3" s="8">
        <v>195104</v>
      </c>
      <c r="QY3" s="6">
        <v>198074.95</v>
      </c>
      <c r="QZ3" s="8">
        <v>4420000</v>
      </c>
      <c r="RA3" s="8">
        <v>848348</v>
      </c>
      <c r="RB3" s="8">
        <v>5268348</v>
      </c>
      <c r="RC3" s="2"/>
      <c r="RD3" s="2"/>
      <c r="RE3" s="2"/>
      <c r="RF3" s="2"/>
      <c r="RG3" s="2"/>
      <c r="RH3" s="8">
        <v>4420000</v>
      </c>
      <c r="RI3" s="8">
        <v>848348</v>
      </c>
      <c r="RJ3" s="8">
        <v>5268348</v>
      </c>
      <c r="RK3" s="8">
        <v>44897415</v>
      </c>
      <c r="RL3" s="8">
        <v>1574434</v>
      </c>
      <c r="RM3" s="8">
        <v>46471849</v>
      </c>
      <c r="RN3" s="2">
        <v>0</v>
      </c>
      <c r="RO3" s="6">
        <v>0</v>
      </c>
      <c r="RP3" s="8">
        <v>7435495</v>
      </c>
      <c r="RQ3" s="2"/>
      <c r="RR3" s="8">
        <v>7435495</v>
      </c>
      <c r="RS3" s="6">
        <v>7435495</v>
      </c>
      <c r="RT3" s="6">
        <v>0</v>
      </c>
      <c r="RU3" s="8">
        <v>7435495</v>
      </c>
      <c r="RV3" s="2"/>
      <c r="RW3" s="8">
        <v>7435495</v>
      </c>
      <c r="RX3" s="6">
        <v>7435495</v>
      </c>
      <c r="RY3" s="2"/>
      <c r="RZ3" s="2"/>
      <c r="SA3" s="6">
        <v>525000</v>
      </c>
      <c r="SB3" s="8">
        <v>3000120</v>
      </c>
      <c r="SC3" s="8">
        <v>3000120</v>
      </c>
      <c r="SD3" s="8">
        <v>52332910</v>
      </c>
      <c r="SE3" s="8">
        <v>4574554</v>
      </c>
      <c r="SF3" s="8">
        <v>56907464</v>
      </c>
      <c r="SG3" s="2"/>
      <c r="SH3" s="2"/>
      <c r="SI3" s="2" t="s">
        <v>3385</v>
      </c>
      <c r="SJ3" s="2"/>
      <c r="SK3" s="8">
        <v>34000000</v>
      </c>
      <c r="SL3" s="2" t="s">
        <v>95</v>
      </c>
      <c r="SM3" s="8">
        <v>3750000</v>
      </c>
      <c r="SN3" s="2" t="s">
        <v>180</v>
      </c>
      <c r="SO3" s="8">
        <v>2100000</v>
      </c>
      <c r="SP3" s="2" t="s">
        <v>180</v>
      </c>
      <c r="SQ3" s="2"/>
      <c r="SR3" s="2"/>
      <c r="SS3" s="2" t="s">
        <v>96</v>
      </c>
      <c r="ST3" s="2" t="s">
        <v>96</v>
      </c>
      <c r="SU3" s="2" t="s">
        <v>96</v>
      </c>
      <c r="SV3" s="2" t="s">
        <v>96</v>
      </c>
      <c r="SW3" s="8">
        <v>9935006</v>
      </c>
      <c r="SX3" s="2" t="s">
        <v>3386</v>
      </c>
      <c r="SY3" s="8">
        <v>3500000</v>
      </c>
      <c r="SZ3" s="2" t="s">
        <v>95</v>
      </c>
      <c r="TA3" s="2"/>
      <c r="TB3" s="2"/>
      <c r="TC3" s="2"/>
      <c r="TD3" s="8">
        <v>3622458</v>
      </c>
      <c r="TE3" s="8">
        <v>56907464</v>
      </c>
      <c r="TF3" s="2">
        <v>0</v>
      </c>
      <c r="TG3" s="2" t="s">
        <v>9</v>
      </c>
      <c r="TH3" s="8">
        <v>15500000</v>
      </c>
      <c r="TI3" s="2" t="s">
        <v>95</v>
      </c>
      <c r="TJ3" s="8">
        <v>3750000</v>
      </c>
      <c r="TK3" s="2" t="s">
        <v>180</v>
      </c>
      <c r="TL3" s="8">
        <v>2100000</v>
      </c>
      <c r="TM3" s="2" t="s">
        <v>180</v>
      </c>
      <c r="TN3" s="2" t="s">
        <v>96</v>
      </c>
      <c r="TO3" s="2" t="s">
        <v>96</v>
      </c>
      <c r="TP3" s="2" t="s">
        <v>96</v>
      </c>
      <c r="TQ3" s="2" t="s">
        <v>96</v>
      </c>
      <c r="TR3" s="8">
        <v>33116688</v>
      </c>
      <c r="TS3" s="2"/>
      <c r="TT3" s="2"/>
      <c r="TU3" s="2"/>
      <c r="TV3" s="2"/>
      <c r="TW3" s="2"/>
      <c r="TX3" s="2"/>
      <c r="TY3" s="8">
        <v>2440776</v>
      </c>
      <c r="TZ3" s="8">
        <v>56907464</v>
      </c>
      <c r="UA3" s="6">
        <v>21350000</v>
      </c>
      <c r="UB3" s="2">
        <v>0</v>
      </c>
      <c r="UC3" s="2" t="s">
        <v>9</v>
      </c>
      <c r="UD3" s="2">
        <v>150</v>
      </c>
      <c r="UE3" s="5">
        <v>290000</v>
      </c>
      <c r="UF3" s="6">
        <v>386666.67</v>
      </c>
      <c r="UG3" s="6">
        <v>386666.67</v>
      </c>
      <c r="UH3" s="6">
        <v>409866.67</v>
      </c>
      <c r="UI3" s="6">
        <v>61480000</v>
      </c>
      <c r="UJ3" s="6">
        <v>9836800</v>
      </c>
      <c r="UK3" s="2" t="s">
        <v>97</v>
      </c>
      <c r="UL3" s="6">
        <v>9836800</v>
      </c>
      <c r="UM3" s="6">
        <v>71316800</v>
      </c>
      <c r="UN3" s="6">
        <v>53907344</v>
      </c>
      <c r="UO3" s="4">
        <v>0.99990000000000001</v>
      </c>
      <c r="UP3" s="2" t="s">
        <v>9</v>
      </c>
      <c r="UQ3" s="6">
        <v>0</v>
      </c>
      <c r="UR3" s="6">
        <v>0</v>
      </c>
      <c r="US3" s="6">
        <v>731609.43</v>
      </c>
      <c r="UT3" s="6">
        <v>731609.43</v>
      </c>
      <c r="UU3" s="6">
        <v>0</v>
      </c>
      <c r="UV3" s="6">
        <v>731609.43</v>
      </c>
      <c r="UW3" s="6">
        <v>0</v>
      </c>
      <c r="UX3" s="6">
        <v>731609.43</v>
      </c>
      <c r="UY3" s="2" t="s">
        <v>3387</v>
      </c>
      <c r="UZ3" s="2" t="s">
        <v>3288</v>
      </c>
      <c r="VA3" s="2" t="s">
        <v>17</v>
      </c>
      <c r="VB3" s="2" t="s">
        <v>17</v>
      </c>
      <c r="VC3" s="2" t="s">
        <v>17</v>
      </c>
      <c r="VD3" s="2" t="s">
        <v>17</v>
      </c>
      <c r="VE3" s="2" t="s">
        <v>17</v>
      </c>
      <c r="VF3" s="2" t="s">
        <v>17</v>
      </c>
      <c r="VG3" s="2" t="s">
        <v>3388</v>
      </c>
      <c r="VH3" s="2"/>
      <c r="VI3" s="388" t="s">
        <v>3353</v>
      </c>
      <c r="VJ3" s="2" t="s">
        <v>98</v>
      </c>
      <c r="VK3" s="2" t="s">
        <v>1606</v>
      </c>
      <c r="VL3" s="23">
        <f t="shared" si="0"/>
        <v>172</v>
      </c>
      <c r="VM3" s="17">
        <f t="shared" si="1"/>
        <v>1.1466666666666667</v>
      </c>
      <c r="VN3" s="17" t="str">
        <f t="shared" si="2"/>
        <v>NC-MR-E</v>
      </c>
      <c r="VO3" s="17" t="str">
        <f t="shared" ref="VO3:VO48" si="14">VN3&amp;"-"&amp;RIGHT(VX3,3)</f>
        <v>NC-MR-E-ESS</v>
      </c>
      <c r="VP3" s="12">
        <v>9</v>
      </c>
      <c r="VQ3" s="57">
        <v>1</v>
      </c>
      <c r="VR3" s="57">
        <f t="shared" si="3"/>
        <v>1</v>
      </c>
      <c r="VS3" s="14">
        <f t="shared" si="4"/>
        <v>1</v>
      </c>
      <c r="VT3" s="12">
        <f t="shared" si="5"/>
        <v>0.90210000000000001</v>
      </c>
      <c r="VU3" s="29">
        <f t="shared" si="6"/>
        <v>28078403.760000002</v>
      </c>
      <c r="VV3" s="29">
        <f t="shared" si="7"/>
        <v>187189.36</v>
      </c>
      <c r="VW3" s="12" t="str">
        <f t="shared" ref="VW3:VW48" si="15">IF(RANK(VV3,VV$2:VV$48,1)&lt;=ROUND(80%*VW$1,0),"A","B")</f>
        <v>A</v>
      </c>
      <c r="VX3" s="12" t="str">
        <f t="shared" si="8"/>
        <v>NC-MR-ESS</v>
      </c>
      <c r="VY3" s="352">
        <f t="shared" ref="VY3:VY48" si="16">IF(RANK(VV3,VV$2:VV$48,1)&lt;=ROUNDUP(10%*VW$1,0),1,IF(RANK(VV3,VV$2:VV$48,1)&lt;=ROUNDUP(30%*VW$1,0),2,IF(RANK(VV3,VV$2:VV$48,1)&lt;=ROUNDUP(50%*VW$1,0),3,IF(RANK(VV3,VV$2:VV$48,1)&lt;=ROUNDUP(70%*VW$1,0),4,5))))</f>
        <v>1</v>
      </c>
      <c r="WA3" s="12">
        <f t="shared" ref="WA3:WA48" si="17">IF(BW3="Elderly Non-ALF",1,0)</f>
        <v>1</v>
      </c>
      <c r="WB3" s="12">
        <f t="shared" ref="WB3:WD48" si="18">IF(OR(VQ3=1,N(VQ3)=0),0,1)</f>
        <v>0</v>
      </c>
      <c r="WC3" s="12">
        <f t="shared" si="18"/>
        <v>0</v>
      </c>
      <c r="WD3" s="12">
        <f t="shared" si="18"/>
        <v>0</v>
      </c>
      <c r="WE3" s="12">
        <f t="shared" ref="WE3:WE48" si="19">IF(GG3+GI3+GK3+GL3&gt;0,1,0)</f>
        <v>1</v>
      </c>
      <c r="WF3" s="12">
        <f t="shared" si="9"/>
        <v>0</v>
      </c>
      <c r="WG3" s="12">
        <f t="shared" si="10"/>
        <v>1</v>
      </c>
      <c r="WH3" s="12">
        <f t="shared" si="11"/>
        <v>0</v>
      </c>
      <c r="WI3" s="31">
        <f t="shared" si="12"/>
        <v>3</v>
      </c>
      <c r="WJ3" s="2"/>
      <c r="WK3" s="444" t="str">
        <f t="shared" si="13"/>
        <v>NC-MR-ESS-BBN-BRN-NPH-E</v>
      </c>
      <c r="WL3" s="444"/>
      <c r="WM3" s="444"/>
      <c r="WN3" s="12"/>
      <c r="WO3" s="380" t="s">
        <v>2627</v>
      </c>
      <c r="WP3" s="144">
        <f>COUNTIFS($WB$2:$WB$72,"=1",$WA$2:$WA$72,"=1")</f>
        <v>0</v>
      </c>
      <c r="WQ3" s="384"/>
      <c r="WR3" s="144">
        <f>COUNTIFS($WB$2:$WB$72,"=1",$WC$2:$WC$72,"=1")</f>
        <v>0</v>
      </c>
      <c r="WS3" s="144">
        <f>COUNTIFS($WB$2:$WB$72,"=1",$WD$2:$WD$72,"=1")</f>
        <v>0</v>
      </c>
      <c r="WT3" s="144">
        <f>COUNTIFS($WB$2:$WB$72,"=1",$WF$2:$WF$72,"=1")</f>
        <v>0</v>
      </c>
      <c r="WU3" s="144">
        <f>COUNTIFS($WB$2:$WB$72,"=1",$WG$2:$WG$72,"=1")</f>
        <v>0</v>
      </c>
      <c r="WV3" s="144">
        <f>COUNTIFS($WB$2:$WB$72,"=1",$WH$2:$WH$72,"=1")</f>
        <v>0</v>
      </c>
      <c r="WW3" s="144">
        <f>COUNTIFS($WB$2:$WB$72,"=1",$WE$2:$WE$72,"=1")</f>
        <v>0</v>
      </c>
      <c r="WX3" s="205">
        <f>COUNTIF($WB$2:$WB$72,"=1")</f>
        <v>0</v>
      </c>
    </row>
    <row r="4" spans="1:622" x14ac:dyDescent="0.25">
      <c r="A4" s="2">
        <v>9661</v>
      </c>
      <c r="B4" s="2" t="s">
        <v>3389</v>
      </c>
      <c r="C4" s="2" t="s">
        <v>3305</v>
      </c>
      <c r="D4" s="3">
        <v>45159</v>
      </c>
      <c r="E4" s="2" t="s">
        <v>9</v>
      </c>
      <c r="F4" s="2">
        <v>3</v>
      </c>
      <c r="G4" s="2" t="s">
        <v>9</v>
      </c>
      <c r="H4" s="2">
        <v>3</v>
      </c>
      <c r="I4" s="2" t="s">
        <v>9</v>
      </c>
      <c r="J4" s="2">
        <v>3</v>
      </c>
      <c r="K4" s="2" t="s">
        <v>9</v>
      </c>
      <c r="L4" s="2">
        <v>3</v>
      </c>
      <c r="M4" s="2" t="s">
        <v>10</v>
      </c>
      <c r="N4" s="2">
        <v>0</v>
      </c>
      <c r="O4" s="2" t="s">
        <v>10</v>
      </c>
      <c r="P4" s="2">
        <v>0</v>
      </c>
      <c r="Q4" s="2" t="s">
        <v>11</v>
      </c>
      <c r="R4" s="2">
        <v>0</v>
      </c>
      <c r="S4" s="2" t="s">
        <v>9</v>
      </c>
      <c r="T4" s="2">
        <v>2</v>
      </c>
      <c r="U4" s="2" t="s">
        <v>9</v>
      </c>
      <c r="V4" s="2">
        <v>2</v>
      </c>
      <c r="W4" s="2" t="s">
        <v>9</v>
      </c>
      <c r="X4" s="2">
        <v>2</v>
      </c>
      <c r="Y4" s="2" t="s">
        <v>12</v>
      </c>
      <c r="Z4" s="2" t="s">
        <v>15</v>
      </c>
      <c r="AA4" s="2" t="s">
        <v>15</v>
      </c>
      <c r="AB4" s="2" t="s">
        <v>15</v>
      </c>
      <c r="AC4" s="2" t="s">
        <v>15</v>
      </c>
      <c r="AD4" s="2" t="s">
        <v>3390</v>
      </c>
      <c r="AE4" s="2" t="s">
        <v>15</v>
      </c>
      <c r="AF4" s="2">
        <v>0</v>
      </c>
      <c r="AG4" s="2" t="s">
        <v>234</v>
      </c>
      <c r="AH4" s="2" t="s">
        <v>17</v>
      </c>
      <c r="AI4" s="4">
        <v>0.15151999999999999</v>
      </c>
      <c r="AJ4" s="2" t="s">
        <v>17</v>
      </c>
      <c r="AK4" s="2" t="s">
        <v>9</v>
      </c>
      <c r="AL4" s="2" t="s">
        <v>17</v>
      </c>
      <c r="AM4" s="2" t="s">
        <v>17</v>
      </c>
      <c r="AN4" s="2" t="s">
        <v>17</v>
      </c>
      <c r="AO4" s="2" t="s">
        <v>17</v>
      </c>
      <c r="AP4" s="2" t="s">
        <v>9</v>
      </c>
      <c r="AQ4" s="2" t="s">
        <v>9</v>
      </c>
      <c r="AR4" s="2" t="s">
        <v>17</v>
      </c>
      <c r="AS4" s="2" t="s">
        <v>17</v>
      </c>
      <c r="AT4" s="2">
        <v>5</v>
      </c>
      <c r="AU4" s="5">
        <v>100000</v>
      </c>
      <c r="AV4" s="2" t="s">
        <v>85</v>
      </c>
      <c r="AW4" s="2">
        <v>0</v>
      </c>
      <c r="AX4" s="2">
        <v>9</v>
      </c>
      <c r="AY4" s="2">
        <v>0</v>
      </c>
      <c r="AZ4" s="2">
        <v>18</v>
      </c>
      <c r="BA4" s="2">
        <v>0</v>
      </c>
      <c r="BB4" s="2">
        <v>0</v>
      </c>
      <c r="BC4" s="2">
        <v>1</v>
      </c>
      <c r="BD4" s="2">
        <v>5</v>
      </c>
      <c r="BE4" s="2">
        <v>0</v>
      </c>
      <c r="BF4" s="2">
        <v>1</v>
      </c>
      <c r="BG4" s="2">
        <v>0</v>
      </c>
      <c r="BH4" s="2">
        <v>0</v>
      </c>
      <c r="BI4" s="2">
        <v>13</v>
      </c>
      <c r="BJ4" s="2">
        <v>1</v>
      </c>
      <c r="BK4" s="2">
        <v>0</v>
      </c>
      <c r="BL4" s="2">
        <v>2</v>
      </c>
      <c r="BM4" s="2">
        <v>1</v>
      </c>
      <c r="BN4" s="2">
        <v>13</v>
      </c>
      <c r="BO4" s="2">
        <v>11</v>
      </c>
      <c r="BP4" s="2">
        <v>0</v>
      </c>
      <c r="BQ4" s="2">
        <v>10</v>
      </c>
      <c r="BR4" s="2">
        <v>12.49</v>
      </c>
      <c r="BS4" s="2">
        <v>0</v>
      </c>
      <c r="BT4" s="4">
        <v>0.06</v>
      </c>
      <c r="BU4" s="2" t="s">
        <v>9</v>
      </c>
      <c r="BV4" s="6">
        <v>168219.72</v>
      </c>
      <c r="BW4" s="2" t="s">
        <v>126</v>
      </c>
      <c r="BX4" s="2" t="s">
        <v>17</v>
      </c>
      <c r="BY4" s="2" t="s">
        <v>17</v>
      </c>
      <c r="BZ4" s="2" t="s">
        <v>17</v>
      </c>
      <c r="CA4" s="2" t="s">
        <v>17</v>
      </c>
      <c r="CB4" s="2" t="s">
        <v>17</v>
      </c>
      <c r="CC4" s="2" t="s">
        <v>17</v>
      </c>
      <c r="CD4" s="2" t="s">
        <v>17</v>
      </c>
      <c r="CE4" s="2" t="s">
        <v>3391</v>
      </c>
      <c r="CF4" s="2" t="s">
        <v>17</v>
      </c>
      <c r="CG4" s="2" t="s">
        <v>2702</v>
      </c>
      <c r="CH4" s="2"/>
      <c r="CI4" s="2"/>
      <c r="CJ4" s="2" t="s">
        <v>9</v>
      </c>
      <c r="CK4" s="2" t="s">
        <v>2703</v>
      </c>
      <c r="CL4" s="2" t="s">
        <v>2702</v>
      </c>
      <c r="CM4" s="2" t="s">
        <v>2704</v>
      </c>
      <c r="CN4" s="2" t="s">
        <v>2705</v>
      </c>
      <c r="CO4" s="2" t="s">
        <v>24</v>
      </c>
      <c r="CP4" s="2"/>
      <c r="CQ4" s="2">
        <v>190</v>
      </c>
      <c r="CR4" s="2" t="s">
        <v>3392</v>
      </c>
      <c r="CS4" s="2">
        <v>2021</v>
      </c>
      <c r="CT4" s="2" t="s">
        <v>26</v>
      </c>
      <c r="CU4" s="2" t="s">
        <v>27</v>
      </c>
      <c r="CV4" s="2" t="s">
        <v>2706</v>
      </c>
      <c r="CW4" s="2" t="s">
        <v>2707</v>
      </c>
      <c r="CX4" s="2" t="s">
        <v>24</v>
      </c>
      <c r="CY4" s="2"/>
      <c r="CZ4" s="2">
        <v>123</v>
      </c>
      <c r="DA4" s="2" t="s">
        <v>3392</v>
      </c>
      <c r="DB4" s="2">
        <v>2020</v>
      </c>
      <c r="DC4" s="2" t="s">
        <v>30</v>
      </c>
      <c r="DD4" s="2" t="s">
        <v>27</v>
      </c>
      <c r="DE4" s="2" t="s">
        <v>2708</v>
      </c>
      <c r="DF4" s="2" t="s">
        <v>2705</v>
      </c>
      <c r="DG4" s="2" t="s">
        <v>24</v>
      </c>
      <c r="DH4" s="2"/>
      <c r="DI4" s="2">
        <v>134</v>
      </c>
      <c r="DJ4" s="2" t="s">
        <v>3392</v>
      </c>
      <c r="DK4" s="2">
        <v>2020</v>
      </c>
      <c r="DL4" s="2" t="s">
        <v>30</v>
      </c>
      <c r="DM4" s="2" t="s">
        <v>27</v>
      </c>
      <c r="DN4" s="2" t="s">
        <v>33</v>
      </c>
      <c r="DO4" s="2" t="s">
        <v>2709</v>
      </c>
      <c r="DP4" s="2" t="s">
        <v>2710</v>
      </c>
      <c r="DQ4" s="2" t="s">
        <v>2711</v>
      </c>
      <c r="DR4" s="2" t="s">
        <v>2712</v>
      </c>
      <c r="DS4" s="2">
        <v>1</v>
      </c>
      <c r="DT4" s="2" t="s">
        <v>2713</v>
      </c>
      <c r="DU4" s="2" t="s">
        <v>2714</v>
      </c>
      <c r="DV4" s="2" t="s">
        <v>39</v>
      </c>
      <c r="DW4" s="2">
        <v>33016</v>
      </c>
      <c r="DX4" s="2" t="s">
        <v>2715</v>
      </c>
      <c r="DY4" s="2"/>
      <c r="DZ4" s="2" t="s">
        <v>2716</v>
      </c>
      <c r="EA4" s="2" t="s">
        <v>2717</v>
      </c>
      <c r="EB4" s="2" t="s">
        <v>2718</v>
      </c>
      <c r="EC4" s="2" t="s">
        <v>330</v>
      </c>
      <c r="ED4" s="2" t="s">
        <v>44</v>
      </c>
      <c r="EE4" s="2">
        <v>336</v>
      </c>
      <c r="EF4" s="2" t="s">
        <v>3393</v>
      </c>
      <c r="EG4" s="2">
        <v>20</v>
      </c>
      <c r="EH4" s="2" t="s">
        <v>46</v>
      </c>
      <c r="EI4" s="2" t="s">
        <v>47</v>
      </c>
      <c r="EJ4" s="2" t="s">
        <v>2719</v>
      </c>
      <c r="EK4" s="2" t="s">
        <v>2705</v>
      </c>
      <c r="EL4" s="2" t="s">
        <v>44</v>
      </c>
      <c r="EM4" s="2">
        <v>150</v>
      </c>
      <c r="EN4" s="2" t="s">
        <v>3393</v>
      </c>
      <c r="EO4" s="2">
        <v>8</v>
      </c>
      <c r="EP4" s="2" t="s">
        <v>46</v>
      </c>
      <c r="EQ4" s="2" t="s">
        <v>47</v>
      </c>
      <c r="ER4" s="2" t="s">
        <v>2709</v>
      </c>
      <c r="ES4" s="2" t="s">
        <v>2710</v>
      </c>
      <c r="ET4" s="2" t="s">
        <v>2711</v>
      </c>
      <c r="EU4" s="2" t="s">
        <v>2712</v>
      </c>
      <c r="EV4" s="2" t="s">
        <v>2713</v>
      </c>
      <c r="EW4" s="2" t="s">
        <v>2714</v>
      </c>
      <c r="EX4" s="2" t="s">
        <v>39</v>
      </c>
      <c r="EY4" s="2">
        <v>33016</v>
      </c>
      <c r="EZ4" s="2" t="s">
        <v>2715</v>
      </c>
      <c r="FA4" s="2"/>
      <c r="FB4" s="2" t="s">
        <v>2716</v>
      </c>
      <c r="FC4" s="2" t="s">
        <v>2721</v>
      </c>
      <c r="FD4" s="2" t="s">
        <v>400</v>
      </c>
      <c r="FE4" s="2" t="s">
        <v>2722</v>
      </c>
      <c r="FF4" s="2" t="s">
        <v>2712</v>
      </c>
      <c r="FG4" s="2" t="s">
        <v>2713</v>
      </c>
      <c r="FH4" s="2" t="s">
        <v>2714</v>
      </c>
      <c r="FI4" s="2" t="s">
        <v>39</v>
      </c>
      <c r="FJ4" s="2">
        <v>33016</v>
      </c>
      <c r="FK4" s="2" t="s">
        <v>2723</v>
      </c>
      <c r="FL4" s="2"/>
      <c r="FM4" s="2" t="s">
        <v>2724</v>
      </c>
      <c r="FN4" s="2" t="s">
        <v>3394</v>
      </c>
      <c r="FO4" s="2" t="s">
        <v>63</v>
      </c>
      <c r="FP4" s="2" t="s">
        <v>64</v>
      </c>
      <c r="FQ4" s="2" t="s">
        <v>9</v>
      </c>
      <c r="FR4" s="2" t="s">
        <v>17</v>
      </c>
      <c r="FS4" s="2" t="s">
        <v>17</v>
      </c>
      <c r="FT4" s="2" t="s">
        <v>9</v>
      </c>
      <c r="FU4" s="2"/>
      <c r="FV4" s="2"/>
      <c r="FW4" s="2">
        <v>0</v>
      </c>
      <c r="FX4" s="2">
        <v>0</v>
      </c>
      <c r="FY4" s="4">
        <v>0</v>
      </c>
      <c r="FZ4" s="4">
        <v>0</v>
      </c>
      <c r="GA4" s="2" t="s">
        <v>65</v>
      </c>
      <c r="GB4" s="2"/>
      <c r="GC4" s="2" t="s">
        <v>66</v>
      </c>
      <c r="GD4" s="2" t="s">
        <v>67</v>
      </c>
      <c r="GE4" s="2" t="s">
        <v>2684</v>
      </c>
      <c r="GF4" s="2"/>
      <c r="GG4" s="2"/>
      <c r="GH4" s="2"/>
      <c r="GI4" s="2"/>
      <c r="GJ4" s="2"/>
      <c r="GK4" s="2">
        <v>132</v>
      </c>
      <c r="GL4" s="2"/>
      <c r="GM4" s="2"/>
      <c r="GN4" s="2"/>
      <c r="GO4" s="2"/>
      <c r="GP4" s="2"/>
      <c r="GQ4" s="2">
        <v>132</v>
      </c>
      <c r="GR4" s="2" t="s">
        <v>3332</v>
      </c>
      <c r="GS4" s="2" t="s">
        <v>2686</v>
      </c>
      <c r="GT4" s="2" t="s">
        <v>3395</v>
      </c>
      <c r="GU4" s="2" t="s">
        <v>2720</v>
      </c>
      <c r="GV4" s="2" t="s">
        <v>17</v>
      </c>
      <c r="GW4" s="2">
        <v>25.534264</v>
      </c>
      <c r="GX4" s="2">
        <v>-80.415367000000003</v>
      </c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>
        <v>25.53988</v>
      </c>
      <c r="HO4" s="2">
        <v>-80.408010000000004</v>
      </c>
      <c r="HP4" s="2">
        <v>0.6</v>
      </c>
      <c r="HQ4" s="2">
        <v>5</v>
      </c>
      <c r="HR4" s="2"/>
      <c r="HS4" s="2"/>
      <c r="HT4" s="2"/>
      <c r="HU4" s="2"/>
      <c r="HV4" s="2" t="s">
        <v>406</v>
      </c>
      <c r="HW4" s="2" t="s">
        <v>3396</v>
      </c>
      <c r="HX4" s="2">
        <v>1.06</v>
      </c>
      <c r="HY4" s="2">
        <v>2</v>
      </c>
      <c r="HZ4" s="2"/>
      <c r="IA4" s="2"/>
      <c r="IB4" s="2"/>
      <c r="IC4" s="2"/>
      <c r="ID4" s="2" t="s">
        <v>406</v>
      </c>
      <c r="IE4" s="2">
        <v>1.06</v>
      </c>
      <c r="IF4" s="2">
        <v>2</v>
      </c>
      <c r="IG4" s="2" t="s">
        <v>3397</v>
      </c>
      <c r="IH4" s="2">
        <v>0.47</v>
      </c>
      <c r="II4" s="2">
        <v>4</v>
      </c>
      <c r="IJ4" s="2" t="s">
        <v>9</v>
      </c>
      <c r="IK4" s="2" t="s">
        <v>3398</v>
      </c>
      <c r="IL4" s="2" t="s">
        <v>3341</v>
      </c>
      <c r="IM4" s="2" t="s">
        <v>17</v>
      </c>
      <c r="IN4" s="2"/>
      <c r="IO4" s="2" t="s">
        <v>79</v>
      </c>
      <c r="IP4" s="2">
        <v>5</v>
      </c>
      <c r="IQ4" s="2">
        <v>8</v>
      </c>
      <c r="IR4" s="2">
        <v>13</v>
      </c>
      <c r="IS4" s="2" t="s">
        <v>17</v>
      </c>
      <c r="IT4" s="2" t="s">
        <v>17</v>
      </c>
      <c r="IU4" s="2" t="s">
        <v>9</v>
      </c>
      <c r="IV4" s="2" t="s">
        <v>9</v>
      </c>
      <c r="IW4" s="2" t="s">
        <v>9</v>
      </c>
      <c r="IX4" s="2" t="s">
        <v>9</v>
      </c>
      <c r="IY4" s="2">
        <v>13</v>
      </c>
      <c r="IZ4" s="2">
        <v>132</v>
      </c>
      <c r="JA4" s="2" t="s">
        <v>3399</v>
      </c>
      <c r="JB4" s="2"/>
      <c r="JC4" s="2" t="s">
        <v>82</v>
      </c>
      <c r="JD4" s="2"/>
      <c r="JE4" s="2"/>
      <c r="JF4" s="7">
        <v>0</v>
      </c>
      <c r="JG4" s="7"/>
      <c r="JH4" s="7"/>
      <c r="JI4" s="2">
        <v>0</v>
      </c>
      <c r="JJ4" s="7">
        <v>0</v>
      </c>
      <c r="JK4" s="2">
        <v>0</v>
      </c>
      <c r="JL4" s="7">
        <v>0</v>
      </c>
      <c r="JM4" s="2">
        <v>20</v>
      </c>
      <c r="JN4" s="2"/>
      <c r="JO4" s="2"/>
      <c r="JP4" s="2">
        <v>52</v>
      </c>
      <c r="JQ4" s="2">
        <v>60</v>
      </c>
      <c r="JR4" s="2"/>
      <c r="JS4" s="2">
        <v>0</v>
      </c>
      <c r="JT4" s="2">
        <v>0</v>
      </c>
      <c r="JU4" s="2"/>
      <c r="JV4" s="2">
        <v>132</v>
      </c>
      <c r="JW4" s="4">
        <v>1</v>
      </c>
      <c r="JX4" s="2">
        <v>132</v>
      </c>
      <c r="JY4" s="4">
        <v>0.6</v>
      </c>
      <c r="JZ4" s="2">
        <v>0</v>
      </c>
      <c r="KA4" s="2"/>
      <c r="KB4" s="2"/>
      <c r="KC4" s="2"/>
      <c r="KD4" s="2"/>
      <c r="KE4" s="2"/>
      <c r="KF4" s="2"/>
      <c r="KG4" s="2"/>
      <c r="KH4" s="2">
        <v>82</v>
      </c>
      <c r="KI4" s="2"/>
      <c r="KJ4" s="2"/>
      <c r="KK4" s="2">
        <v>50</v>
      </c>
      <c r="KL4" s="2"/>
      <c r="KM4" s="2"/>
      <c r="KN4" s="2"/>
      <c r="KO4" s="2"/>
      <c r="KP4" s="2"/>
      <c r="KQ4" s="2" t="s">
        <v>83</v>
      </c>
      <c r="KR4" s="2"/>
      <c r="KS4" s="2" t="s">
        <v>73</v>
      </c>
      <c r="KT4" s="2">
        <v>1</v>
      </c>
      <c r="KU4" s="2" t="s">
        <v>84</v>
      </c>
      <c r="KV4" s="2" t="s">
        <v>85</v>
      </c>
      <c r="KW4" s="2" t="s">
        <v>86</v>
      </c>
      <c r="KX4" s="2" t="s">
        <v>17</v>
      </c>
      <c r="KY4" s="2" t="s">
        <v>17</v>
      </c>
      <c r="KZ4" s="2" t="s">
        <v>17</v>
      </c>
      <c r="LA4" s="2" t="s">
        <v>17</v>
      </c>
      <c r="LB4" s="2" t="s">
        <v>17</v>
      </c>
      <c r="LC4" s="2" t="s">
        <v>17</v>
      </c>
      <c r="LD4" s="2" t="s">
        <v>17</v>
      </c>
      <c r="LE4" s="2" t="s">
        <v>17</v>
      </c>
      <c r="LF4" s="2" t="s">
        <v>17</v>
      </c>
      <c r="LG4" s="2" t="s">
        <v>17</v>
      </c>
      <c r="LH4" s="2" t="s">
        <v>17</v>
      </c>
      <c r="LI4" s="2" t="s">
        <v>17</v>
      </c>
      <c r="LJ4" s="2" t="s">
        <v>87</v>
      </c>
      <c r="LK4" s="2" t="s">
        <v>17</v>
      </c>
      <c r="LL4" s="2" t="s">
        <v>17</v>
      </c>
      <c r="LM4" s="2">
        <v>0</v>
      </c>
      <c r="LN4" s="2" t="s">
        <v>17</v>
      </c>
      <c r="LO4" s="2" t="s">
        <v>17</v>
      </c>
      <c r="LP4" s="2" t="s">
        <v>17</v>
      </c>
      <c r="LQ4" s="2" t="s">
        <v>17</v>
      </c>
      <c r="LR4" s="2" t="s">
        <v>17</v>
      </c>
      <c r="LS4" s="2" t="s">
        <v>17</v>
      </c>
      <c r="LT4" s="2" t="s">
        <v>9</v>
      </c>
      <c r="LU4" s="2" t="s">
        <v>9</v>
      </c>
      <c r="LV4" s="2" t="s">
        <v>17</v>
      </c>
      <c r="LW4" s="2" t="s">
        <v>17</v>
      </c>
      <c r="LX4" s="2" t="s">
        <v>9</v>
      </c>
      <c r="LY4" s="5">
        <v>6500000</v>
      </c>
      <c r="LZ4" s="5">
        <v>0</v>
      </c>
      <c r="MA4" s="5">
        <v>8400000</v>
      </c>
      <c r="MB4" s="5">
        <v>0</v>
      </c>
      <c r="MC4" s="5">
        <v>0</v>
      </c>
      <c r="MD4" s="5">
        <v>0</v>
      </c>
      <c r="ME4" s="5">
        <v>10000000</v>
      </c>
      <c r="MF4" s="5">
        <v>0</v>
      </c>
      <c r="MG4" s="5">
        <v>0</v>
      </c>
      <c r="MH4" s="5">
        <v>0</v>
      </c>
      <c r="MI4" s="5">
        <v>0</v>
      </c>
      <c r="MJ4" s="5">
        <v>0</v>
      </c>
      <c r="MK4" s="5">
        <v>0</v>
      </c>
      <c r="ML4" s="2">
        <v>0</v>
      </c>
      <c r="MM4" s="5">
        <v>0</v>
      </c>
      <c r="MN4" s="5">
        <v>0</v>
      </c>
      <c r="MO4" s="2">
        <v>0</v>
      </c>
      <c r="MP4" s="2">
        <v>0</v>
      </c>
      <c r="MQ4" s="2">
        <v>0</v>
      </c>
      <c r="MR4" s="5">
        <v>2950000</v>
      </c>
      <c r="MS4" s="5">
        <v>0</v>
      </c>
      <c r="MT4" s="5">
        <v>4600000</v>
      </c>
      <c r="MU4" s="5">
        <v>0</v>
      </c>
      <c r="MV4" s="5">
        <v>0</v>
      </c>
      <c r="MW4" s="5">
        <v>0</v>
      </c>
      <c r="MX4" s="5">
        <v>0</v>
      </c>
      <c r="MY4" s="5">
        <v>2500000</v>
      </c>
      <c r="MZ4" s="5">
        <v>0</v>
      </c>
      <c r="NA4" s="5">
        <v>5000000</v>
      </c>
      <c r="NB4" s="5">
        <v>0</v>
      </c>
      <c r="NC4" s="5">
        <v>0</v>
      </c>
      <c r="ND4" s="5">
        <v>0</v>
      </c>
      <c r="NE4" s="5">
        <v>0</v>
      </c>
      <c r="NF4" s="5">
        <v>0</v>
      </c>
      <c r="NG4" s="5">
        <v>3458400</v>
      </c>
      <c r="NH4" s="5">
        <v>3458400</v>
      </c>
      <c r="NI4" s="5">
        <v>3458400</v>
      </c>
      <c r="NJ4" s="5"/>
      <c r="NK4" s="5">
        <v>0</v>
      </c>
      <c r="NL4" s="2" t="s">
        <v>17</v>
      </c>
      <c r="NM4" s="2" t="s">
        <v>17</v>
      </c>
      <c r="NN4" s="2"/>
      <c r="NO4" s="2" t="s">
        <v>17</v>
      </c>
      <c r="NP4" s="2"/>
      <c r="NQ4" s="2"/>
      <c r="NR4" s="2" t="s">
        <v>17</v>
      </c>
      <c r="NS4" s="2"/>
      <c r="NT4" s="2" t="s">
        <v>17</v>
      </c>
      <c r="NU4" s="2"/>
      <c r="NV4" s="2"/>
      <c r="NW4" s="2"/>
      <c r="NX4" s="2" t="s">
        <v>9</v>
      </c>
      <c r="NY4" s="2" t="s">
        <v>88</v>
      </c>
      <c r="NZ4" s="2">
        <v>104</v>
      </c>
      <c r="OA4" s="2" t="s">
        <v>3400</v>
      </c>
      <c r="OB4" s="2" t="s">
        <v>3401</v>
      </c>
      <c r="OC4" s="2" t="s">
        <v>3401</v>
      </c>
      <c r="OD4" s="2" t="s">
        <v>3343</v>
      </c>
      <c r="OE4" s="2" t="s">
        <v>3402</v>
      </c>
      <c r="OF4" s="2" t="s">
        <v>9</v>
      </c>
      <c r="OG4" s="2" t="s">
        <v>17</v>
      </c>
      <c r="OH4" s="2"/>
      <c r="OI4" s="2" t="s">
        <v>17</v>
      </c>
      <c r="OJ4" s="2"/>
      <c r="OK4" s="2" t="s">
        <v>17</v>
      </c>
      <c r="OL4" s="2" t="s">
        <v>17</v>
      </c>
      <c r="OM4" s="2" t="s">
        <v>85</v>
      </c>
      <c r="ON4" s="6">
        <v>0</v>
      </c>
      <c r="OO4" s="6">
        <v>0</v>
      </c>
      <c r="OP4" s="2" t="s">
        <v>93</v>
      </c>
      <c r="OQ4" s="2" t="s">
        <v>93</v>
      </c>
      <c r="OR4" s="6">
        <v>0</v>
      </c>
      <c r="OS4" s="4">
        <v>0</v>
      </c>
      <c r="OT4" s="2" t="s">
        <v>17</v>
      </c>
      <c r="OU4" s="2" t="s">
        <v>17</v>
      </c>
      <c r="OV4" s="2"/>
      <c r="OW4" s="2"/>
      <c r="OX4" s="5">
        <v>22205003</v>
      </c>
      <c r="OY4" s="6">
        <v>168219.72</v>
      </c>
      <c r="OZ4" s="2"/>
      <c r="PA4" s="2"/>
      <c r="PB4" s="2"/>
      <c r="PC4" s="2"/>
      <c r="PD4" s="8">
        <v>23866800</v>
      </c>
      <c r="PE4" s="8">
        <v>450000</v>
      </c>
      <c r="PF4" s="8">
        <v>24316800</v>
      </c>
      <c r="PG4" s="2"/>
      <c r="PH4" s="2"/>
      <c r="PI4" s="2"/>
      <c r="PJ4" s="2"/>
      <c r="PK4" s="2"/>
      <c r="PL4" s="2"/>
      <c r="PM4" s="8">
        <v>23866800</v>
      </c>
      <c r="PN4" s="8">
        <v>450000</v>
      </c>
      <c r="PO4" s="8">
        <v>24316800</v>
      </c>
      <c r="PP4" s="8">
        <v>3341352</v>
      </c>
      <c r="PQ4" s="8">
        <v>62999</v>
      </c>
      <c r="PR4" s="8">
        <v>3404351</v>
      </c>
      <c r="PS4" s="6">
        <v>3404352</v>
      </c>
      <c r="PT4" s="8">
        <v>27208152</v>
      </c>
      <c r="PU4" s="8">
        <v>512999</v>
      </c>
      <c r="PV4" s="8">
        <v>27721151</v>
      </c>
      <c r="PW4" s="8">
        <v>1386057</v>
      </c>
      <c r="PX4" s="2"/>
      <c r="PY4" s="8">
        <v>1386057</v>
      </c>
      <c r="PZ4" s="6">
        <v>1386057.55</v>
      </c>
      <c r="QA4" s="8">
        <v>1245100</v>
      </c>
      <c r="QB4" s="8">
        <v>170000</v>
      </c>
      <c r="QC4" s="8">
        <v>1415100</v>
      </c>
      <c r="QD4" s="8">
        <v>158400</v>
      </c>
      <c r="QE4" s="2"/>
      <c r="QF4" s="8">
        <v>158400</v>
      </c>
      <c r="QG4" s="8">
        <v>785400</v>
      </c>
      <c r="QH4" s="2"/>
      <c r="QI4" s="8">
        <v>785400</v>
      </c>
      <c r="QJ4" s="2"/>
      <c r="QK4" s="8">
        <v>535600</v>
      </c>
      <c r="QL4" s="8">
        <v>535600</v>
      </c>
      <c r="QM4" s="2"/>
      <c r="QN4" s="2"/>
      <c r="QO4" s="2"/>
      <c r="QP4" s="8">
        <v>250800</v>
      </c>
      <c r="QQ4" s="2"/>
      <c r="QR4" s="8">
        <v>250800</v>
      </c>
      <c r="QS4" s="8">
        <v>2439700</v>
      </c>
      <c r="QT4" s="8">
        <v>705600</v>
      </c>
      <c r="QU4" s="8">
        <v>3145300</v>
      </c>
      <c r="QV4" s="2"/>
      <c r="QW4" s="8">
        <v>157264</v>
      </c>
      <c r="QX4" s="8">
        <v>157264</v>
      </c>
      <c r="QY4" s="6">
        <v>157265</v>
      </c>
      <c r="QZ4" s="8">
        <v>1798500</v>
      </c>
      <c r="RA4" s="2"/>
      <c r="RB4" s="8">
        <v>1798500</v>
      </c>
      <c r="RC4" s="8">
        <v>176750</v>
      </c>
      <c r="RD4" s="8">
        <v>176750</v>
      </c>
      <c r="RE4" s="2"/>
      <c r="RF4" s="8">
        <v>40000</v>
      </c>
      <c r="RG4" s="8">
        <v>40000</v>
      </c>
      <c r="RH4" s="8">
        <v>1798500</v>
      </c>
      <c r="RI4" s="8">
        <v>216750</v>
      </c>
      <c r="RJ4" s="8">
        <v>2015250</v>
      </c>
      <c r="RK4" s="8">
        <v>32832409</v>
      </c>
      <c r="RL4" s="8">
        <v>1592613</v>
      </c>
      <c r="RM4" s="8">
        <v>34425022</v>
      </c>
      <c r="RN4" s="2">
        <v>0</v>
      </c>
      <c r="RO4" s="6">
        <v>0</v>
      </c>
      <c r="RP4" s="8">
        <v>5508002</v>
      </c>
      <c r="RQ4" s="2"/>
      <c r="RR4" s="8">
        <v>5508002</v>
      </c>
      <c r="RS4" s="6">
        <v>5508003</v>
      </c>
      <c r="RT4" s="6">
        <v>0</v>
      </c>
      <c r="RU4" s="8">
        <v>5508002</v>
      </c>
      <c r="RV4" s="2"/>
      <c r="RW4" s="8">
        <v>5508002</v>
      </c>
      <c r="RX4" s="6">
        <v>5508003</v>
      </c>
      <c r="RY4" s="8">
        <v>408542</v>
      </c>
      <c r="RZ4" s="8">
        <v>408542</v>
      </c>
      <c r="SA4" s="6">
        <v>462000</v>
      </c>
      <c r="SB4" s="8">
        <v>3960000</v>
      </c>
      <c r="SC4" s="8">
        <v>3960000</v>
      </c>
      <c r="SD4" s="8">
        <v>38340411</v>
      </c>
      <c r="SE4" s="8">
        <v>5961155</v>
      </c>
      <c r="SF4" s="8">
        <v>44301566</v>
      </c>
      <c r="SG4" s="2"/>
      <c r="SH4" s="2"/>
      <c r="SI4" s="2" t="s">
        <v>3403</v>
      </c>
      <c r="SJ4" s="2" t="s">
        <v>3404</v>
      </c>
      <c r="SK4" s="8">
        <v>28000000</v>
      </c>
      <c r="SL4" s="2" t="s">
        <v>95</v>
      </c>
      <c r="SM4" s="2"/>
      <c r="SN4" s="2"/>
      <c r="SO4" s="2"/>
      <c r="SP4" s="2"/>
      <c r="SQ4" s="2"/>
      <c r="SR4" s="2"/>
      <c r="SS4" s="2" t="s">
        <v>96</v>
      </c>
      <c r="ST4" s="2" t="s">
        <v>96</v>
      </c>
      <c r="SU4" s="2" t="s">
        <v>96</v>
      </c>
      <c r="SV4" s="2" t="s">
        <v>96</v>
      </c>
      <c r="SW4" s="8">
        <v>12873547</v>
      </c>
      <c r="SX4" s="2"/>
      <c r="SY4" s="2"/>
      <c r="SZ4" s="2"/>
      <c r="TA4" s="2"/>
      <c r="TB4" s="2"/>
      <c r="TC4" s="2"/>
      <c r="TD4" s="8">
        <v>3428019</v>
      </c>
      <c r="TE4" s="8">
        <v>44301566</v>
      </c>
      <c r="TF4" s="2">
        <v>0</v>
      </c>
      <c r="TG4" s="2" t="s">
        <v>9</v>
      </c>
      <c r="TH4" s="8">
        <v>11550000</v>
      </c>
      <c r="TI4" s="2" t="s">
        <v>95</v>
      </c>
      <c r="TJ4" s="2"/>
      <c r="TK4" s="2"/>
      <c r="TL4" s="2"/>
      <c r="TM4" s="2"/>
      <c r="TN4" s="2" t="s">
        <v>96</v>
      </c>
      <c r="TO4" s="2" t="s">
        <v>96</v>
      </c>
      <c r="TP4" s="2" t="s">
        <v>96</v>
      </c>
      <c r="TQ4" s="2" t="s">
        <v>96</v>
      </c>
      <c r="TR4" s="8">
        <v>32183870</v>
      </c>
      <c r="TS4" s="2"/>
      <c r="TT4" s="2"/>
      <c r="TU4" s="2"/>
      <c r="TV4" s="2"/>
      <c r="TW4" s="2"/>
      <c r="TX4" s="2"/>
      <c r="TY4" s="8">
        <v>567696</v>
      </c>
      <c r="TZ4" s="8">
        <v>44301566</v>
      </c>
      <c r="UA4" s="6">
        <v>11550000</v>
      </c>
      <c r="UB4" s="2">
        <v>0</v>
      </c>
      <c r="UC4" s="2" t="s">
        <v>9</v>
      </c>
      <c r="UD4" s="2">
        <v>132</v>
      </c>
      <c r="UE4" s="5">
        <v>310000</v>
      </c>
      <c r="UF4" s="6">
        <v>413333.33</v>
      </c>
      <c r="UG4" s="6">
        <v>413333.33</v>
      </c>
      <c r="UH4" s="6">
        <v>438133.33</v>
      </c>
      <c r="UI4" s="6">
        <v>57833600</v>
      </c>
      <c r="UJ4" s="6">
        <v>9253376</v>
      </c>
      <c r="UK4" s="2" t="s">
        <v>97</v>
      </c>
      <c r="UL4" s="6">
        <v>9253376</v>
      </c>
      <c r="UM4" s="6">
        <v>67086976</v>
      </c>
      <c r="UN4" s="6">
        <v>39933024</v>
      </c>
      <c r="UO4" s="4">
        <v>0.99990000000000001</v>
      </c>
      <c r="UP4" s="2" t="s">
        <v>9</v>
      </c>
      <c r="UQ4" s="6">
        <v>0</v>
      </c>
      <c r="UR4" s="6">
        <v>0</v>
      </c>
      <c r="US4" s="6">
        <v>905945.04</v>
      </c>
      <c r="UT4" s="6">
        <v>905945.04</v>
      </c>
      <c r="UU4" s="6">
        <v>0</v>
      </c>
      <c r="UV4" s="6">
        <v>905945.04</v>
      </c>
      <c r="UW4" s="6">
        <v>0</v>
      </c>
      <c r="UX4" s="6">
        <v>905945.04</v>
      </c>
      <c r="UY4" s="2" t="s">
        <v>3387</v>
      </c>
      <c r="UZ4" s="2" t="s">
        <v>3288</v>
      </c>
      <c r="VA4" s="2" t="s">
        <v>17</v>
      </c>
      <c r="VB4" s="2" t="s">
        <v>17</v>
      </c>
      <c r="VC4" s="2" t="s">
        <v>17</v>
      </c>
      <c r="VD4" s="2" t="s">
        <v>17</v>
      </c>
      <c r="VE4" s="2" t="s">
        <v>17</v>
      </c>
      <c r="VF4" s="2" t="s">
        <v>17</v>
      </c>
      <c r="VG4" s="2" t="s">
        <v>3405</v>
      </c>
      <c r="VH4" s="2"/>
      <c r="VI4" s="388" t="s">
        <v>2742</v>
      </c>
      <c r="VJ4" s="2" t="s">
        <v>98</v>
      </c>
      <c r="VK4" s="2" t="s">
        <v>536</v>
      </c>
      <c r="VL4" s="23">
        <f t="shared" si="0"/>
        <v>182</v>
      </c>
      <c r="VM4" s="17">
        <f t="shared" si="1"/>
        <v>1.3787878787878789</v>
      </c>
      <c r="VN4" s="17" t="str">
        <f t="shared" si="2"/>
        <v>NC-HR-E</v>
      </c>
      <c r="VO4" s="17" t="str">
        <f t="shared" si="14"/>
        <v>NC-HR-E-ESS</v>
      </c>
      <c r="VP4" s="12">
        <v>9</v>
      </c>
      <c r="VQ4" s="57">
        <v>1</v>
      </c>
      <c r="VR4" s="57">
        <f t="shared" si="3"/>
        <v>1</v>
      </c>
      <c r="VS4" s="14">
        <f t="shared" si="4"/>
        <v>1</v>
      </c>
      <c r="VT4" s="12">
        <f t="shared" si="5"/>
        <v>0.88349999999999995</v>
      </c>
      <c r="VU4" s="29">
        <f t="shared" si="6"/>
        <v>27499467.599999998</v>
      </c>
      <c r="VV4" s="29">
        <f t="shared" si="7"/>
        <v>208329.3</v>
      </c>
      <c r="VW4" s="12" t="str">
        <f t="shared" si="15"/>
        <v>A</v>
      </c>
      <c r="VX4" s="12" t="str">
        <f t="shared" si="8"/>
        <v>NC-HR-ESS</v>
      </c>
      <c r="VY4" s="352">
        <f t="shared" si="16"/>
        <v>1</v>
      </c>
      <c r="WA4" s="12">
        <f t="shared" si="17"/>
        <v>1</v>
      </c>
      <c r="WB4" s="12">
        <f t="shared" si="18"/>
        <v>0</v>
      </c>
      <c r="WC4" s="12">
        <f t="shared" si="18"/>
        <v>0</v>
      </c>
      <c r="WD4" s="12">
        <f t="shared" si="18"/>
        <v>0</v>
      </c>
      <c r="WE4" s="12">
        <f t="shared" si="19"/>
        <v>1</v>
      </c>
      <c r="WF4" s="12">
        <f t="shared" si="9"/>
        <v>0</v>
      </c>
      <c r="WG4" s="12">
        <f t="shared" si="10"/>
        <v>0</v>
      </c>
      <c r="WH4" s="12">
        <f t="shared" si="11"/>
        <v>1</v>
      </c>
      <c r="WI4" s="31">
        <f t="shared" si="12"/>
        <v>3</v>
      </c>
      <c r="WJ4" s="2"/>
      <c r="WK4" s="444" t="str">
        <f t="shared" si="13"/>
        <v>NC-HR-ESS-BBN-BRN-NPH-E</v>
      </c>
      <c r="WL4" s="444"/>
      <c r="WM4" s="444"/>
      <c r="WN4" s="12"/>
      <c r="WO4" s="380" t="s">
        <v>2617</v>
      </c>
      <c r="WP4" s="144">
        <f>COUNTIFS($WC$2:$WC$72,"=1",$WA$2:$WA$72,"=1")</f>
        <v>0</v>
      </c>
      <c r="WQ4" s="144">
        <f>COUNTIFS($WC$2:$WC$72,"=1",$WB$2:$WB$72,"=1")</f>
        <v>0</v>
      </c>
      <c r="WR4" s="384"/>
      <c r="WS4" s="144">
        <f>COUNTIFS($WC$2:$WC$72,"=1",$WD$2:$WD$72,"=1")</f>
        <v>0</v>
      </c>
      <c r="WT4" s="144">
        <f>COUNTIFS($WC$2:$WC$72,"=1",$WF$2:$WF$72,"=1")</f>
        <v>0</v>
      </c>
      <c r="WU4" s="144">
        <f>COUNTIFS($WC$2:$WC$72,"=1",$WG$2:$WG$72,"=1")</f>
        <v>0</v>
      </c>
      <c r="WV4" s="144">
        <f>COUNTIFS($WC$2:$WC$72,"=1",$WH$2:$WH$72,"=1")</f>
        <v>0</v>
      </c>
      <c r="WW4" s="144">
        <f>COUNTIFS($WA$2:$WA$72,"=1",$WE$2:$WE$72,"=1")</f>
        <v>34</v>
      </c>
      <c r="WX4" s="205">
        <f>COUNTIF($WC$2:$WC$72,"=1")</f>
        <v>0</v>
      </c>
    </row>
    <row r="5" spans="1:622" x14ac:dyDescent="0.25">
      <c r="A5" s="2">
        <v>9665</v>
      </c>
      <c r="B5" s="2" t="s">
        <v>3406</v>
      </c>
      <c r="C5" s="2" t="s">
        <v>3305</v>
      </c>
      <c r="D5" s="3">
        <v>45159</v>
      </c>
      <c r="E5" s="2" t="s">
        <v>9</v>
      </c>
      <c r="F5" s="2">
        <v>3</v>
      </c>
      <c r="G5" s="2" t="s">
        <v>9</v>
      </c>
      <c r="H5" s="2">
        <v>3</v>
      </c>
      <c r="I5" s="2" t="s">
        <v>9</v>
      </c>
      <c r="J5" s="2">
        <v>3</v>
      </c>
      <c r="K5" s="2" t="s">
        <v>9</v>
      </c>
      <c r="L5" s="2">
        <v>3</v>
      </c>
      <c r="M5" s="2" t="s">
        <v>10</v>
      </c>
      <c r="N5" s="2">
        <v>0</v>
      </c>
      <c r="O5" s="2" t="s">
        <v>10</v>
      </c>
      <c r="P5" s="2">
        <v>0</v>
      </c>
      <c r="Q5" s="2" t="s">
        <v>11</v>
      </c>
      <c r="R5" s="2">
        <v>0</v>
      </c>
      <c r="S5" s="2" t="s">
        <v>9</v>
      </c>
      <c r="T5" s="2">
        <v>2</v>
      </c>
      <c r="U5" s="2" t="s">
        <v>9</v>
      </c>
      <c r="V5" s="2">
        <v>2</v>
      </c>
      <c r="W5" s="2" t="s">
        <v>9</v>
      </c>
      <c r="X5" s="2">
        <v>2</v>
      </c>
      <c r="Y5" s="2" t="s">
        <v>12</v>
      </c>
      <c r="Z5" s="2" t="s">
        <v>15</v>
      </c>
      <c r="AA5" s="2" t="s">
        <v>15</v>
      </c>
      <c r="AB5" s="2" t="s">
        <v>15</v>
      </c>
      <c r="AC5" s="2" t="s">
        <v>15</v>
      </c>
      <c r="AD5" s="2" t="s">
        <v>1517</v>
      </c>
      <c r="AE5" s="2" t="s">
        <v>15</v>
      </c>
      <c r="AF5" s="2">
        <v>0</v>
      </c>
      <c r="AG5" s="2" t="s">
        <v>234</v>
      </c>
      <c r="AH5" s="2" t="s">
        <v>17</v>
      </c>
      <c r="AI5" s="4">
        <v>0.15151999999999999</v>
      </c>
      <c r="AJ5" s="2" t="s">
        <v>17</v>
      </c>
      <c r="AK5" s="2" t="s">
        <v>9</v>
      </c>
      <c r="AL5" s="2" t="s">
        <v>17</v>
      </c>
      <c r="AM5" s="2" t="s">
        <v>17</v>
      </c>
      <c r="AN5" s="2" t="s">
        <v>17</v>
      </c>
      <c r="AO5" s="2" t="s">
        <v>9</v>
      </c>
      <c r="AP5" s="2" t="s">
        <v>17</v>
      </c>
      <c r="AQ5" s="2" t="s">
        <v>17</v>
      </c>
      <c r="AR5" s="2" t="s">
        <v>17</v>
      </c>
      <c r="AS5" s="2" t="s">
        <v>17</v>
      </c>
      <c r="AT5" s="2">
        <v>5</v>
      </c>
      <c r="AU5" s="5">
        <v>100000</v>
      </c>
      <c r="AV5" s="2" t="s">
        <v>85</v>
      </c>
      <c r="AW5" s="2">
        <v>0</v>
      </c>
      <c r="AX5" s="2">
        <v>9</v>
      </c>
      <c r="AY5" s="2">
        <v>0</v>
      </c>
      <c r="AZ5" s="2">
        <v>18</v>
      </c>
      <c r="BA5" s="2">
        <v>0</v>
      </c>
      <c r="BB5" s="2">
        <v>0</v>
      </c>
      <c r="BC5" s="2">
        <v>1</v>
      </c>
      <c r="BD5" s="2">
        <v>5</v>
      </c>
      <c r="BE5" s="2">
        <v>0</v>
      </c>
      <c r="BF5" s="2">
        <v>1</v>
      </c>
      <c r="BG5" s="2">
        <v>0</v>
      </c>
      <c r="BH5" s="2">
        <v>0</v>
      </c>
      <c r="BI5" s="2">
        <v>13</v>
      </c>
      <c r="BJ5" s="2">
        <v>1</v>
      </c>
      <c r="BK5" s="2">
        <v>0</v>
      </c>
      <c r="BL5" s="2">
        <v>2</v>
      </c>
      <c r="BM5" s="2">
        <v>1</v>
      </c>
      <c r="BN5" s="2">
        <v>10</v>
      </c>
      <c r="BO5" s="2">
        <v>11</v>
      </c>
      <c r="BP5" s="2">
        <v>0</v>
      </c>
      <c r="BQ5" s="2">
        <v>10</v>
      </c>
      <c r="BR5" s="2">
        <v>12.49</v>
      </c>
      <c r="BS5" s="2">
        <v>0</v>
      </c>
      <c r="BT5" s="4">
        <v>0.06</v>
      </c>
      <c r="BU5" s="2" t="s">
        <v>9</v>
      </c>
      <c r="BV5" s="6">
        <v>168219.72</v>
      </c>
      <c r="BW5" s="2" t="s">
        <v>126</v>
      </c>
      <c r="BX5" s="2" t="s">
        <v>17</v>
      </c>
      <c r="BY5" s="2" t="s">
        <v>17</v>
      </c>
      <c r="BZ5" s="2" t="s">
        <v>17</v>
      </c>
      <c r="CA5" s="2" t="s">
        <v>17</v>
      </c>
      <c r="CB5" s="2" t="s">
        <v>17</v>
      </c>
      <c r="CC5" s="2" t="s">
        <v>17</v>
      </c>
      <c r="CD5" s="2" t="s">
        <v>17</v>
      </c>
      <c r="CE5" s="2" t="s">
        <v>3407</v>
      </c>
      <c r="CF5" s="2" t="s">
        <v>17</v>
      </c>
      <c r="CG5" s="2" t="s">
        <v>2702</v>
      </c>
      <c r="CH5" s="2"/>
      <c r="CI5" s="2"/>
      <c r="CJ5" s="2" t="s">
        <v>9</v>
      </c>
      <c r="CK5" s="2" t="s">
        <v>2703</v>
      </c>
      <c r="CL5" s="2" t="s">
        <v>2702</v>
      </c>
      <c r="CM5" s="2" t="s">
        <v>2704</v>
      </c>
      <c r="CN5" s="2" t="s">
        <v>2705</v>
      </c>
      <c r="CO5" s="2" t="s">
        <v>24</v>
      </c>
      <c r="CP5" s="2"/>
      <c r="CQ5" s="2">
        <v>190</v>
      </c>
      <c r="CR5" s="2" t="s">
        <v>3392</v>
      </c>
      <c r="CS5" s="2">
        <v>2021</v>
      </c>
      <c r="CT5" s="2" t="s">
        <v>26</v>
      </c>
      <c r="CU5" s="2" t="s">
        <v>27</v>
      </c>
      <c r="CV5" s="2" t="s">
        <v>2706</v>
      </c>
      <c r="CW5" s="2" t="s">
        <v>2707</v>
      </c>
      <c r="CX5" s="2" t="s">
        <v>24</v>
      </c>
      <c r="CY5" s="2"/>
      <c r="CZ5" s="2">
        <v>123</v>
      </c>
      <c r="DA5" s="2" t="s">
        <v>3392</v>
      </c>
      <c r="DB5" s="2">
        <v>2020</v>
      </c>
      <c r="DC5" s="2" t="s">
        <v>30</v>
      </c>
      <c r="DD5" s="2" t="s">
        <v>27</v>
      </c>
      <c r="DE5" s="2" t="s">
        <v>2708</v>
      </c>
      <c r="DF5" s="2" t="s">
        <v>2705</v>
      </c>
      <c r="DG5" s="2" t="s">
        <v>24</v>
      </c>
      <c r="DH5" s="2"/>
      <c r="DI5" s="2">
        <v>134</v>
      </c>
      <c r="DJ5" s="2" t="s">
        <v>3392</v>
      </c>
      <c r="DK5" s="2">
        <v>2020</v>
      </c>
      <c r="DL5" s="2" t="s">
        <v>30</v>
      </c>
      <c r="DM5" s="2" t="s">
        <v>27</v>
      </c>
      <c r="DN5" s="2" t="s">
        <v>33</v>
      </c>
      <c r="DO5" s="2" t="s">
        <v>2709</v>
      </c>
      <c r="DP5" s="2" t="s">
        <v>2710</v>
      </c>
      <c r="DQ5" s="2" t="s">
        <v>2711</v>
      </c>
      <c r="DR5" s="2" t="s">
        <v>2712</v>
      </c>
      <c r="DS5" s="2">
        <v>1</v>
      </c>
      <c r="DT5" s="2" t="s">
        <v>2713</v>
      </c>
      <c r="DU5" s="2" t="s">
        <v>2714</v>
      </c>
      <c r="DV5" s="2" t="s">
        <v>39</v>
      </c>
      <c r="DW5" s="2">
        <v>33016</v>
      </c>
      <c r="DX5" s="2" t="s">
        <v>2715</v>
      </c>
      <c r="DY5" s="2"/>
      <c r="DZ5" s="2" t="s">
        <v>2716</v>
      </c>
      <c r="EA5" s="2" t="s">
        <v>2717</v>
      </c>
      <c r="EB5" s="2" t="s">
        <v>2718</v>
      </c>
      <c r="EC5" s="2" t="s">
        <v>330</v>
      </c>
      <c r="ED5" s="2" t="s">
        <v>44</v>
      </c>
      <c r="EE5" s="2">
        <v>336</v>
      </c>
      <c r="EF5" s="2" t="s">
        <v>3393</v>
      </c>
      <c r="EG5" s="2">
        <v>20</v>
      </c>
      <c r="EH5" s="2" t="s">
        <v>46</v>
      </c>
      <c r="EI5" s="2" t="s">
        <v>47</v>
      </c>
      <c r="EJ5" s="2" t="s">
        <v>2719</v>
      </c>
      <c r="EK5" s="2" t="s">
        <v>2705</v>
      </c>
      <c r="EL5" s="2" t="s">
        <v>44</v>
      </c>
      <c r="EM5" s="2">
        <v>150</v>
      </c>
      <c r="EN5" s="2" t="s">
        <v>3393</v>
      </c>
      <c r="EO5" s="2">
        <v>8</v>
      </c>
      <c r="EP5" s="2" t="s">
        <v>46</v>
      </c>
      <c r="EQ5" s="2" t="s">
        <v>47</v>
      </c>
      <c r="ER5" s="2" t="s">
        <v>2709</v>
      </c>
      <c r="ES5" s="2" t="s">
        <v>2710</v>
      </c>
      <c r="ET5" s="2" t="s">
        <v>2711</v>
      </c>
      <c r="EU5" s="2" t="s">
        <v>2712</v>
      </c>
      <c r="EV5" s="2" t="s">
        <v>2713</v>
      </c>
      <c r="EW5" s="2" t="s">
        <v>2714</v>
      </c>
      <c r="EX5" s="2" t="s">
        <v>39</v>
      </c>
      <c r="EY5" s="2">
        <v>33016</v>
      </c>
      <c r="EZ5" s="2" t="s">
        <v>2715</v>
      </c>
      <c r="FA5" s="2"/>
      <c r="FB5" s="2" t="s">
        <v>2716</v>
      </c>
      <c r="FC5" s="2" t="s">
        <v>2721</v>
      </c>
      <c r="FD5" s="2" t="s">
        <v>400</v>
      </c>
      <c r="FE5" s="2" t="s">
        <v>2722</v>
      </c>
      <c r="FF5" s="2" t="s">
        <v>2712</v>
      </c>
      <c r="FG5" s="2" t="s">
        <v>2713</v>
      </c>
      <c r="FH5" s="2" t="s">
        <v>2714</v>
      </c>
      <c r="FI5" s="2" t="s">
        <v>39</v>
      </c>
      <c r="FJ5" s="2">
        <v>33016</v>
      </c>
      <c r="FK5" s="2" t="s">
        <v>2723</v>
      </c>
      <c r="FL5" s="2"/>
      <c r="FM5" s="2" t="s">
        <v>2724</v>
      </c>
      <c r="FN5" s="2" t="s">
        <v>3408</v>
      </c>
      <c r="FO5" s="2" t="s">
        <v>63</v>
      </c>
      <c r="FP5" s="2" t="s">
        <v>64</v>
      </c>
      <c r="FQ5" s="2" t="s">
        <v>9</v>
      </c>
      <c r="FR5" s="2" t="s">
        <v>17</v>
      </c>
      <c r="FS5" s="2" t="s">
        <v>17</v>
      </c>
      <c r="FT5" s="2" t="s">
        <v>9</v>
      </c>
      <c r="FU5" s="2"/>
      <c r="FV5" s="2"/>
      <c r="FW5" s="2">
        <v>0</v>
      </c>
      <c r="FX5" s="2">
        <v>0</v>
      </c>
      <c r="FY5" s="4">
        <v>0</v>
      </c>
      <c r="FZ5" s="4">
        <v>0</v>
      </c>
      <c r="GA5" s="2" t="s">
        <v>65</v>
      </c>
      <c r="GB5" s="2"/>
      <c r="GC5" s="2" t="s">
        <v>66</v>
      </c>
      <c r="GD5" s="2" t="s">
        <v>67</v>
      </c>
      <c r="GE5" s="2" t="s">
        <v>2684</v>
      </c>
      <c r="GF5" s="2"/>
      <c r="GG5" s="2"/>
      <c r="GH5" s="2"/>
      <c r="GI5" s="2"/>
      <c r="GJ5" s="2"/>
      <c r="GK5" s="2">
        <v>132</v>
      </c>
      <c r="GL5" s="2"/>
      <c r="GM5" s="2"/>
      <c r="GN5" s="2"/>
      <c r="GO5" s="2"/>
      <c r="GP5" s="2"/>
      <c r="GQ5" s="2">
        <v>132</v>
      </c>
      <c r="GR5" s="2" t="s">
        <v>3332</v>
      </c>
      <c r="GS5" s="2" t="s">
        <v>2686</v>
      </c>
      <c r="GT5" s="2" t="s">
        <v>3409</v>
      </c>
      <c r="GU5" s="2" t="s">
        <v>2720</v>
      </c>
      <c r="GV5" s="2" t="s">
        <v>17</v>
      </c>
      <c r="GW5" s="2">
        <v>25.505153</v>
      </c>
      <c r="GX5" s="2">
        <v>-80.435292000000004</v>
      </c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>
        <v>25.506368999999999</v>
      </c>
      <c r="HO5" s="2">
        <v>-80.440749999999994</v>
      </c>
      <c r="HP5" s="2">
        <v>0.35</v>
      </c>
      <c r="HQ5" s="2">
        <v>5.5</v>
      </c>
      <c r="HR5" s="2"/>
      <c r="HS5" s="2"/>
      <c r="HT5" s="2"/>
      <c r="HU5" s="2"/>
      <c r="HV5" s="2" t="s">
        <v>3410</v>
      </c>
      <c r="HW5" s="2" t="s">
        <v>3411</v>
      </c>
      <c r="HX5" s="2">
        <v>0.56000000000000005</v>
      </c>
      <c r="HY5" s="2">
        <v>3</v>
      </c>
      <c r="HZ5" s="2"/>
      <c r="IA5" s="2"/>
      <c r="IB5" s="2"/>
      <c r="IC5" s="2"/>
      <c r="ID5" s="2" t="s">
        <v>224</v>
      </c>
      <c r="IE5" s="2">
        <v>0.82</v>
      </c>
      <c r="IF5" s="2">
        <v>2.5</v>
      </c>
      <c r="IG5" s="2" t="s">
        <v>3412</v>
      </c>
      <c r="IH5" s="2">
        <v>0.49</v>
      </c>
      <c r="II5" s="2">
        <v>4</v>
      </c>
      <c r="IJ5" s="2" t="s">
        <v>9</v>
      </c>
      <c r="IK5" s="2" t="s">
        <v>3413</v>
      </c>
      <c r="IL5" s="2" t="s">
        <v>3414</v>
      </c>
      <c r="IM5" s="2" t="s">
        <v>17</v>
      </c>
      <c r="IN5" s="2"/>
      <c r="IO5" s="2" t="s">
        <v>79</v>
      </c>
      <c r="IP5" s="2">
        <v>5.5</v>
      </c>
      <c r="IQ5" s="2">
        <v>9.5</v>
      </c>
      <c r="IR5" s="2">
        <v>15</v>
      </c>
      <c r="IS5" s="2" t="s">
        <v>17</v>
      </c>
      <c r="IT5" s="2" t="s">
        <v>17</v>
      </c>
      <c r="IU5" s="2" t="s">
        <v>9</v>
      </c>
      <c r="IV5" s="2" t="s">
        <v>9</v>
      </c>
      <c r="IW5" s="2" t="s">
        <v>9</v>
      </c>
      <c r="IX5" s="2" t="s">
        <v>9</v>
      </c>
      <c r="IY5" s="2">
        <v>15</v>
      </c>
      <c r="IZ5" s="2">
        <v>132</v>
      </c>
      <c r="JA5" s="2" t="s">
        <v>3399</v>
      </c>
      <c r="JB5" s="2"/>
      <c r="JC5" s="2" t="s">
        <v>82</v>
      </c>
      <c r="JD5" s="2"/>
      <c r="JE5" s="2"/>
      <c r="JF5" s="7">
        <v>0</v>
      </c>
      <c r="JG5" s="7"/>
      <c r="JH5" s="7"/>
      <c r="JI5" s="2">
        <v>0</v>
      </c>
      <c r="JJ5" s="7">
        <v>0</v>
      </c>
      <c r="JK5" s="2">
        <v>0</v>
      </c>
      <c r="JL5" s="7">
        <v>0</v>
      </c>
      <c r="JM5" s="2">
        <v>20</v>
      </c>
      <c r="JN5" s="2"/>
      <c r="JO5" s="2"/>
      <c r="JP5" s="2">
        <v>52</v>
      </c>
      <c r="JQ5" s="2">
        <v>60</v>
      </c>
      <c r="JR5" s="2"/>
      <c r="JS5" s="2">
        <v>0</v>
      </c>
      <c r="JT5" s="2">
        <v>0</v>
      </c>
      <c r="JU5" s="2"/>
      <c r="JV5" s="2">
        <v>132</v>
      </c>
      <c r="JW5" s="4">
        <v>1</v>
      </c>
      <c r="JX5" s="2">
        <v>132</v>
      </c>
      <c r="JY5" s="4">
        <v>0.6</v>
      </c>
      <c r="JZ5" s="2">
        <v>0</v>
      </c>
      <c r="KA5" s="2"/>
      <c r="KB5" s="2"/>
      <c r="KC5" s="2"/>
      <c r="KD5" s="2"/>
      <c r="KE5" s="2"/>
      <c r="KF5" s="2"/>
      <c r="KG5" s="2"/>
      <c r="KH5" s="2">
        <v>82</v>
      </c>
      <c r="KI5" s="2"/>
      <c r="KJ5" s="2"/>
      <c r="KK5" s="2">
        <v>50</v>
      </c>
      <c r="KL5" s="2"/>
      <c r="KM5" s="2"/>
      <c r="KN5" s="2"/>
      <c r="KO5" s="2"/>
      <c r="KP5" s="2"/>
      <c r="KQ5" s="2" t="s">
        <v>83</v>
      </c>
      <c r="KR5" s="2"/>
      <c r="KS5" s="2" t="s">
        <v>73</v>
      </c>
      <c r="KT5" s="2">
        <v>1</v>
      </c>
      <c r="KU5" s="2" t="s">
        <v>84</v>
      </c>
      <c r="KV5" s="2" t="s">
        <v>85</v>
      </c>
      <c r="KW5" s="2" t="s">
        <v>86</v>
      </c>
      <c r="KX5" s="2" t="s">
        <v>17</v>
      </c>
      <c r="KY5" s="2" t="s">
        <v>17</v>
      </c>
      <c r="KZ5" s="2" t="s">
        <v>17</v>
      </c>
      <c r="LA5" s="2" t="s">
        <v>17</v>
      </c>
      <c r="LB5" s="2" t="s">
        <v>17</v>
      </c>
      <c r="LC5" s="2" t="s">
        <v>17</v>
      </c>
      <c r="LD5" s="2" t="s">
        <v>17</v>
      </c>
      <c r="LE5" s="2" t="s">
        <v>17</v>
      </c>
      <c r="LF5" s="2" t="s">
        <v>17</v>
      </c>
      <c r="LG5" s="2" t="s">
        <v>17</v>
      </c>
      <c r="LH5" s="2" t="s">
        <v>17</v>
      </c>
      <c r="LI5" s="2" t="s">
        <v>17</v>
      </c>
      <c r="LJ5" s="2" t="s">
        <v>87</v>
      </c>
      <c r="LK5" s="2" t="s">
        <v>17</v>
      </c>
      <c r="LL5" s="2" t="s">
        <v>17</v>
      </c>
      <c r="LM5" s="2">
        <v>0</v>
      </c>
      <c r="LN5" s="2" t="s">
        <v>17</v>
      </c>
      <c r="LO5" s="2" t="s">
        <v>17</v>
      </c>
      <c r="LP5" s="2" t="s">
        <v>17</v>
      </c>
      <c r="LQ5" s="2" t="s">
        <v>17</v>
      </c>
      <c r="LR5" s="2" t="s">
        <v>17</v>
      </c>
      <c r="LS5" s="2" t="s">
        <v>17</v>
      </c>
      <c r="LT5" s="2" t="s">
        <v>9</v>
      </c>
      <c r="LU5" s="2" t="s">
        <v>9</v>
      </c>
      <c r="LV5" s="2" t="s">
        <v>17</v>
      </c>
      <c r="LW5" s="2" t="s">
        <v>17</v>
      </c>
      <c r="LX5" s="2" t="s">
        <v>9</v>
      </c>
      <c r="LY5" s="5">
        <v>6500000</v>
      </c>
      <c r="LZ5" s="5">
        <v>0</v>
      </c>
      <c r="MA5" s="5">
        <v>8400000</v>
      </c>
      <c r="MB5" s="5">
        <v>0</v>
      </c>
      <c r="MC5" s="5">
        <v>0</v>
      </c>
      <c r="MD5" s="5">
        <v>0</v>
      </c>
      <c r="ME5" s="5">
        <v>10000000</v>
      </c>
      <c r="MF5" s="5">
        <v>0</v>
      </c>
      <c r="MG5" s="5">
        <v>0</v>
      </c>
      <c r="MH5" s="5">
        <v>0</v>
      </c>
      <c r="MI5" s="5">
        <v>0</v>
      </c>
      <c r="MJ5" s="5">
        <v>0</v>
      </c>
      <c r="MK5" s="5">
        <v>0</v>
      </c>
      <c r="ML5" s="2">
        <v>0</v>
      </c>
      <c r="MM5" s="5">
        <v>0</v>
      </c>
      <c r="MN5" s="5">
        <v>0</v>
      </c>
      <c r="MO5" s="2">
        <v>0</v>
      </c>
      <c r="MP5" s="2">
        <v>0</v>
      </c>
      <c r="MQ5" s="2">
        <v>0</v>
      </c>
      <c r="MR5" s="5">
        <v>2950000</v>
      </c>
      <c r="MS5" s="5">
        <v>0</v>
      </c>
      <c r="MT5" s="5">
        <v>4600000</v>
      </c>
      <c r="MU5" s="5">
        <v>0</v>
      </c>
      <c r="MV5" s="5">
        <v>0</v>
      </c>
      <c r="MW5" s="5">
        <v>0</v>
      </c>
      <c r="MX5" s="5">
        <v>0</v>
      </c>
      <c r="MY5" s="5">
        <v>2500000</v>
      </c>
      <c r="MZ5" s="5">
        <v>0</v>
      </c>
      <c r="NA5" s="5">
        <v>5000000</v>
      </c>
      <c r="NB5" s="5">
        <v>0</v>
      </c>
      <c r="NC5" s="5">
        <v>0</v>
      </c>
      <c r="ND5" s="5">
        <v>0</v>
      </c>
      <c r="NE5" s="5">
        <v>0</v>
      </c>
      <c r="NF5" s="5">
        <v>0</v>
      </c>
      <c r="NG5" s="5">
        <v>3458400</v>
      </c>
      <c r="NH5" s="5">
        <v>3458400</v>
      </c>
      <c r="NI5" s="5">
        <v>3458400</v>
      </c>
      <c r="NJ5" s="5"/>
      <c r="NK5" s="5">
        <v>0</v>
      </c>
      <c r="NL5" s="2" t="s">
        <v>17</v>
      </c>
      <c r="NM5" s="2" t="s">
        <v>17</v>
      </c>
      <c r="NN5" s="2"/>
      <c r="NO5" s="2" t="s">
        <v>17</v>
      </c>
      <c r="NP5" s="2"/>
      <c r="NQ5" s="2"/>
      <c r="NR5" s="2" t="s">
        <v>17</v>
      </c>
      <c r="NS5" s="2"/>
      <c r="NT5" s="2" t="s">
        <v>9</v>
      </c>
      <c r="NU5" s="2" t="s">
        <v>450</v>
      </c>
      <c r="NV5" s="2">
        <v>108.05</v>
      </c>
      <c r="NW5" s="2" t="s">
        <v>3342</v>
      </c>
      <c r="NX5" s="2" t="s">
        <v>17</v>
      </c>
      <c r="NY5" s="2"/>
      <c r="NZ5" s="2"/>
      <c r="OA5" s="2" t="s">
        <v>118</v>
      </c>
      <c r="OB5" s="2" t="s">
        <v>118</v>
      </c>
      <c r="OC5" s="2" t="s">
        <v>118</v>
      </c>
      <c r="OD5" s="2" t="s">
        <v>3343</v>
      </c>
      <c r="OE5" s="2" t="s">
        <v>3415</v>
      </c>
      <c r="OF5" s="2"/>
      <c r="OG5" s="2" t="s">
        <v>17</v>
      </c>
      <c r="OH5" s="2" t="s">
        <v>119</v>
      </c>
      <c r="OI5" s="2" t="s">
        <v>17</v>
      </c>
      <c r="OJ5" s="2"/>
      <c r="OK5" s="2" t="s">
        <v>17</v>
      </c>
      <c r="OL5" s="2" t="s">
        <v>17</v>
      </c>
      <c r="OM5" s="2" t="s">
        <v>85</v>
      </c>
      <c r="ON5" s="6">
        <v>0</v>
      </c>
      <c r="OO5" s="6">
        <v>0</v>
      </c>
      <c r="OP5" s="2" t="s">
        <v>93</v>
      </c>
      <c r="OQ5" s="2" t="s">
        <v>93</v>
      </c>
      <c r="OR5" s="6">
        <v>0</v>
      </c>
      <c r="OS5" s="4">
        <v>0</v>
      </c>
      <c r="OT5" s="2" t="s">
        <v>17</v>
      </c>
      <c r="OU5" s="2" t="s">
        <v>17</v>
      </c>
      <c r="OV5" s="2"/>
      <c r="OW5" s="2"/>
      <c r="OX5" s="5">
        <v>22205003</v>
      </c>
      <c r="OY5" s="6">
        <v>168219.72</v>
      </c>
      <c r="OZ5" s="2"/>
      <c r="PA5" s="2"/>
      <c r="PB5" s="2"/>
      <c r="PC5" s="2"/>
      <c r="PD5" s="8">
        <v>23866800</v>
      </c>
      <c r="PE5" s="8">
        <v>450000</v>
      </c>
      <c r="PF5" s="8">
        <v>24316800</v>
      </c>
      <c r="PG5" s="2"/>
      <c r="PH5" s="2"/>
      <c r="PI5" s="2"/>
      <c r="PJ5" s="2"/>
      <c r="PK5" s="2"/>
      <c r="PL5" s="2"/>
      <c r="PM5" s="8">
        <v>23866800</v>
      </c>
      <c r="PN5" s="8">
        <v>450000</v>
      </c>
      <c r="PO5" s="8">
        <v>24316800</v>
      </c>
      <c r="PP5" s="8">
        <v>3341352</v>
      </c>
      <c r="PQ5" s="8">
        <v>62999</v>
      </c>
      <c r="PR5" s="8">
        <v>3404351</v>
      </c>
      <c r="PS5" s="6">
        <v>3404352</v>
      </c>
      <c r="PT5" s="8">
        <v>27208152</v>
      </c>
      <c r="PU5" s="8">
        <v>512999</v>
      </c>
      <c r="PV5" s="8">
        <v>27721151</v>
      </c>
      <c r="PW5" s="8">
        <v>1386057</v>
      </c>
      <c r="PX5" s="2"/>
      <c r="PY5" s="8">
        <v>1386057</v>
      </c>
      <c r="PZ5" s="6">
        <v>1386057.55</v>
      </c>
      <c r="QA5" s="8">
        <v>1245100</v>
      </c>
      <c r="QB5" s="8">
        <v>170000</v>
      </c>
      <c r="QC5" s="8">
        <v>1415100</v>
      </c>
      <c r="QD5" s="8">
        <v>158400</v>
      </c>
      <c r="QE5" s="2"/>
      <c r="QF5" s="8">
        <v>158400</v>
      </c>
      <c r="QG5" s="8">
        <v>785400</v>
      </c>
      <c r="QH5" s="2"/>
      <c r="QI5" s="8">
        <v>785400</v>
      </c>
      <c r="QJ5" s="2"/>
      <c r="QK5" s="8">
        <v>535600</v>
      </c>
      <c r="QL5" s="8">
        <v>535600</v>
      </c>
      <c r="QM5" s="2"/>
      <c r="QN5" s="2"/>
      <c r="QO5" s="2"/>
      <c r="QP5" s="8">
        <v>250800</v>
      </c>
      <c r="QQ5" s="2"/>
      <c r="QR5" s="8">
        <v>250800</v>
      </c>
      <c r="QS5" s="8">
        <v>2439700</v>
      </c>
      <c r="QT5" s="8">
        <v>705600</v>
      </c>
      <c r="QU5" s="8">
        <v>3145300</v>
      </c>
      <c r="QV5" s="2"/>
      <c r="QW5" s="8">
        <v>157264</v>
      </c>
      <c r="QX5" s="8">
        <v>157264</v>
      </c>
      <c r="QY5" s="6">
        <v>157265</v>
      </c>
      <c r="QZ5" s="8">
        <v>1798500</v>
      </c>
      <c r="RA5" s="2"/>
      <c r="RB5" s="8">
        <v>1798500</v>
      </c>
      <c r="RC5" s="8">
        <v>176750</v>
      </c>
      <c r="RD5" s="8">
        <v>176750</v>
      </c>
      <c r="RE5" s="2"/>
      <c r="RF5" s="8">
        <v>40000</v>
      </c>
      <c r="RG5" s="8">
        <v>40000</v>
      </c>
      <c r="RH5" s="8">
        <v>1798500</v>
      </c>
      <c r="RI5" s="8">
        <v>216750</v>
      </c>
      <c r="RJ5" s="8">
        <v>2015250</v>
      </c>
      <c r="RK5" s="8">
        <v>32832409</v>
      </c>
      <c r="RL5" s="8">
        <v>1592613</v>
      </c>
      <c r="RM5" s="8">
        <v>34425022</v>
      </c>
      <c r="RN5" s="2">
        <v>0</v>
      </c>
      <c r="RO5" s="6">
        <v>0</v>
      </c>
      <c r="RP5" s="8">
        <v>5508002</v>
      </c>
      <c r="RQ5" s="2"/>
      <c r="RR5" s="8">
        <v>5508002</v>
      </c>
      <c r="RS5" s="6">
        <v>5508003</v>
      </c>
      <c r="RT5" s="6">
        <v>0</v>
      </c>
      <c r="RU5" s="8">
        <v>5508002</v>
      </c>
      <c r="RV5" s="2"/>
      <c r="RW5" s="8">
        <v>5508002</v>
      </c>
      <c r="RX5" s="6">
        <v>5508003</v>
      </c>
      <c r="RY5" s="8">
        <v>408542</v>
      </c>
      <c r="RZ5" s="8">
        <v>408542</v>
      </c>
      <c r="SA5" s="6">
        <v>462000</v>
      </c>
      <c r="SB5" s="8">
        <v>3960000</v>
      </c>
      <c r="SC5" s="8">
        <v>3960000</v>
      </c>
      <c r="SD5" s="8">
        <v>38340411</v>
      </c>
      <c r="SE5" s="8">
        <v>5961155</v>
      </c>
      <c r="SF5" s="8">
        <v>44301566</v>
      </c>
      <c r="SG5" s="2"/>
      <c r="SH5" s="2"/>
      <c r="SI5" s="2" t="s">
        <v>3403</v>
      </c>
      <c r="SJ5" s="2" t="s">
        <v>3404</v>
      </c>
      <c r="SK5" s="8">
        <v>28000000</v>
      </c>
      <c r="SL5" s="2" t="s">
        <v>95</v>
      </c>
      <c r="SM5" s="2"/>
      <c r="SN5" s="2"/>
      <c r="SO5" s="2"/>
      <c r="SP5" s="2"/>
      <c r="SQ5" s="2"/>
      <c r="SR5" s="2"/>
      <c r="SS5" s="2" t="s">
        <v>96</v>
      </c>
      <c r="ST5" s="2" t="s">
        <v>96</v>
      </c>
      <c r="SU5" s="2" t="s">
        <v>96</v>
      </c>
      <c r="SV5" s="2" t="s">
        <v>96</v>
      </c>
      <c r="SW5" s="8">
        <v>12873547</v>
      </c>
      <c r="SX5" s="2"/>
      <c r="SY5" s="2"/>
      <c r="SZ5" s="2"/>
      <c r="TA5" s="2"/>
      <c r="TB5" s="2"/>
      <c r="TC5" s="2"/>
      <c r="TD5" s="8">
        <v>3428019</v>
      </c>
      <c r="TE5" s="8">
        <v>44301566</v>
      </c>
      <c r="TF5" s="2">
        <v>0</v>
      </c>
      <c r="TG5" s="2" t="s">
        <v>9</v>
      </c>
      <c r="TH5" s="8">
        <v>11550000</v>
      </c>
      <c r="TI5" s="2" t="s">
        <v>95</v>
      </c>
      <c r="TJ5" s="2"/>
      <c r="TK5" s="2"/>
      <c r="TL5" s="2"/>
      <c r="TM5" s="2"/>
      <c r="TN5" s="2" t="s">
        <v>96</v>
      </c>
      <c r="TO5" s="2" t="s">
        <v>96</v>
      </c>
      <c r="TP5" s="2" t="s">
        <v>96</v>
      </c>
      <c r="TQ5" s="2" t="s">
        <v>96</v>
      </c>
      <c r="TR5" s="8">
        <v>32183870</v>
      </c>
      <c r="TS5" s="2"/>
      <c r="TT5" s="2"/>
      <c r="TU5" s="2"/>
      <c r="TV5" s="2"/>
      <c r="TW5" s="2"/>
      <c r="TX5" s="2"/>
      <c r="TY5" s="8">
        <v>567696</v>
      </c>
      <c r="TZ5" s="8">
        <v>44301566</v>
      </c>
      <c r="UA5" s="6">
        <v>11550000</v>
      </c>
      <c r="UB5" s="2">
        <v>0</v>
      </c>
      <c r="UC5" s="2" t="s">
        <v>9</v>
      </c>
      <c r="UD5" s="2">
        <v>132</v>
      </c>
      <c r="UE5" s="5">
        <v>310000</v>
      </c>
      <c r="UF5" s="6">
        <v>413333.33</v>
      </c>
      <c r="UG5" s="6">
        <v>413333.33</v>
      </c>
      <c r="UH5" s="6">
        <v>438133.33</v>
      </c>
      <c r="UI5" s="6">
        <v>57833600</v>
      </c>
      <c r="UJ5" s="6">
        <v>9253376</v>
      </c>
      <c r="UK5" s="2" t="s">
        <v>97</v>
      </c>
      <c r="UL5" s="6">
        <v>9253376</v>
      </c>
      <c r="UM5" s="6">
        <v>67086976</v>
      </c>
      <c r="UN5" s="6">
        <v>39933024</v>
      </c>
      <c r="UO5" s="4">
        <v>0.99990000000000001</v>
      </c>
      <c r="UP5" s="2" t="s">
        <v>9</v>
      </c>
      <c r="UQ5" s="6">
        <v>0</v>
      </c>
      <c r="UR5" s="6">
        <v>0</v>
      </c>
      <c r="US5" s="6">
        <v>905945.04</v>
      </c>
      <c r="UT5" s="6">
        <v>905945.04</v>
      </c>
      <c r="UU5" s="6">
        <v>0</v>
      </c>
      <c r="UV5" s="6">
        <v>905945.04</v>
      </c>
      <c r="UW5" s="6">
        <v>0</v>
      </c>
      <c r="UX5" s="6">
        <v>905945.04</v>
      </c>
      <c r="UY5" s="2" t="s">
        <v>3387</v>
      </c>
      <c r="UZ5" s="2" t="s">
        <v>3288</v>
      </c>
      <c r="VA5" s="2" t="s">
        <v>17</v>
      </c>
      <c r="VB5" s="2" t="s">
        <v>17</v>
      </c>
      <c r="VC5" s="2" t="s">
        <v>17</v>
      </c>
      <c r="VD5" s="2" t="s">
        <v>17</v>
      </c>
      <c r="VE5" s="2" t="s">
        <v>17</v>
      </c>
      <c r="VF5" s="2" t="s">
        <v>17</v>
      </c>
      <c r="VG5" s="2" t="s">
        <v>3416</v>
      </c>
      <c r="VH5" s="2"/>
      <c r="VI5" s="388" t="s">
        <v>2742</v>
      </c>
      <c r="VJ5" s="2" t="s">
        <v>98</v>
      </c>
      <c r="VK5" s="2" t="s">
        <v>1168</v>
      </c>
      <c r="VL5" s="23">
        <f t="shared" si="0"/>
        <v>182</v>
      </c>
      <c r="VM5" s="17">
        <f t="shared" si="1"/>
        <v>1.3787878787878789</v>
      </c>
      <c r="VN5" s="17" t="str">
        <f t="shared" si="2"/>
        <v>NC-HR-E</v>
      </c>
      <c r="VO5" s="17" t="str">
        <f t="shared" si="14"/>
        <v>NC-HR-E-ESS</v>
      </c>
      <c r="VP5" s="12">
        <v>9</v>
      </c>
      <c r="VQ5" s="57">
        <v>1</v>
      </c>
      <c r="VR5" s="57">
        <f t="shared" si="3"/>
        <v>1</v>
      </c>
      <c r="VS5" s="14">
        <f t="shared" si="4"/>
        <v>1</v>
      </c>
      <c r="VT5" s="12">
        <f t="shared" si="5"/>
        <v>0.88349999999999995</v>
      </c>
      <c r="VU5" s="29">
        <f t="shared" si="6"/>
        <v>27499467.599999998</v>
      </c>
      <c r="VV5" s="29">
        <f t="shared" si="7"/>
        <v>208329.3</v>
      </c>
      <c r="VW5" s="12" t="str">
        <f t="shared" si="15"/>
        <v>A</v>
      </c>
      <c r="VX5" s="12" t="str">
        <f t="shared" si="8"/>
        <v>NC-HR-ESS</v>
      </c>
      <c r="VY5" s="352">
        <f t="shared" si="16"/>
        <v>1</v>
      </c>
      <c r="WA5" s="12">
        <f t="shared" si="17"/>
        <v>1</v>
      </c>
      <c r="WB5" s="12">
        <f t="shared" si="18"/>
        <v>0</v>
      </c>
      <c r="WC5" s="12">
        <f t="shared" si="18"/>
        <v>0</v>
      </c>
      <c r="WD5" s="12">
        <f t="shared" si="18"/>
        <v>0</v>
      </c>
      <c r="WE5" s="12">
        <f t="shared" si="19"/>
        <v>1</v>
      </c>
      <c r="WF5" s="12">
        <f t="shared" si="9"/>
        <v>0</v>
      </c>
      <c r="WG5" s="12">
        <f t="shared" si="10"/>
        <v>0</v>
      </c>
      <c r="WH5" s="12">
        <f t="shared" si="11"/>
        <v>1</v>
      </c>
      <c r="WI5" s="31">
        <f t="shared" si="12"/>
        <v>3</v>
      </c>
      <c r="WJ5" s="2"/>
      <c r="WK5" s="444" t="str">
        <f t="shared" si="13"/>
        <v>NC-HR-ESS-BBN-BRN-NPH-E</v>
      </c>
      <c r="WL5" s="444"/>
      <c r="WM5" s="444"/>
      <c r="WN5" s="12"/>
      <c r="WO5" s="380" t="s">
        <v>2618</v>
      </c>
      <c r="WP5" s="144">
        <f>COUNTIFS($WD$2:$WD$72,"=1",$WA$2:$WA$72,"=1")</f>
        <v>2</v>
      </c>
      <c r="WQ5" s="144">
        <f>COUNTIFS($WD$2:$WD$72,"=1",$WB$2:$WB$72,"=1")</f>
        <v>0</v>
      </c>
      <c r="WR5" s="144">
        <f>COUNTIFS($WD$2:$WD$72,"=1",$WC$2:$WC$72,"=1")</f>
        <v>0</v>
      </c>
      <c r="WS5" s="384"/>
      <c r="WT5" s="144">
        <f>COUNTIFS($WD$2:$WD$72,"=1",$WF$2:$WF$72,"=1")</f>
        <v>0</v>
      </c>
      <c r="WU5" s="144">
        <f>COUNTIFS($WD$2:$WD$72,"=1",$WG$2:$WG$72,"=1")</f>
        <v>0</v>
      </c>
      <c r="WV5" s="144">
        <f>COUNTIFS($WD$2:$WD$72,"=1",$WH$2:$WH$72,"=1")</f>
        <v>2</v>
      </c>
      <c r="WW5" s="144">
        <f>COUNTIFS($WD$2:$WD$72,"=1",$WE$2:$WE$72,"=1")</f>
        <v>2</v>
      </c>
      <c r="WX5" s="205">
        <f>COUNTIF($WD$2:$WD$72,"=1")</f>
        <v>2</v>
      </c>
    </row>
    <row r="6" spans="1:622" x14ac:dyDescent="0.25">
      <c r="A6" s="2">
        <v>9651</v>
      </c>
      <c r="B6" s="2" t="s">
        <v>3417</v>
      </c>
      <c r="C6" s="2" t="s">
        <v>3305</v>
      </c>
      <c r="D6" s="3">
        <v>45159</v>
      </c>
      <c r="E6" s="2" t="s">
        <v>9</v>
      </c>
      <c r="F6" s="2">
        <v>3</v>
      </c>
      <c r="G6" s="2" t="s">
        <v>9</v>
      </c>
      <c r="H6" s="2">
        <v>3</v>
      </c>
      <c r="I6" s="2" t="s">
        <v>9</v>
      </c>
      <c r="J6" s="2">
        <v>2</v>
      </c>
      <c r="K6" s="2" t="s">
        <v>9</v>
      </c>
      <c r="L6" s="2">
        <v>3</v>
      </c>
      <c r="M6" s="2" t="s">
        <v>10</v>
      </c>
      <c r="N6" s="2">
        <v>0</v>
      </c>
      <c r="O6" s="2" t="s">
        <v>10</v>
      </c>
      <c r="P6" s="2">
        <v>0</v>
      </c>
      <c r="Q6" s="2" t="s">
        <v>11</v>
      </c>
      <c r="R6" s="2">
        <v>0</v>
      </c>
      <c r="S6" s="2" t="s">
        <v>9</v>
      </c>
      <c r="T6" s="2">
        <v>2</v>
      </c>
      <c r="U6" s="2" t="s">
        <v>9</v>
      </c>
      <c r="V6" s="2">
        <v>2</v>
      </c>
      <c r="W6" s="2" t="s">
        <v>9</v>
      </c>
      <c r="X6" s="2">
        <v>2</v>
      </c>
      <c r="Y6" s="2" t="s">
        <v>12</v>
      </c>
      <c r="Z6" s="2" t="s">
        <v>188</v>
      </c>
      <c r="AA6" s="2" t="s">
        <v>188</v>
      </c>
      <c r="AB6" s="2" t="s">
        <v>3418</v>
      </c>
      <c r="AC6" s="2" t="s">
        <v>15</v>
      </c>
      <c r="AD6" s="2" t="s">
        <v>15</v>
      </c>
      <c r="AE6" s="2" t="s">
        <v>15</v>
      </c>
      <c r="AF6" s="2">
        <v>3</v>
      </c>
      <c r="AG6" s="2" t="s">
        <v>3419</v>
      </c>
      <c r="AH6" s="2" t="s">
        <v>17</v>
      </c>
      <c r="AI6" s="4">
        <v>0.16667000000000001</v>
      </c>
      <c r="AJ6" s="2" t="s">
        <v>17</v>
      </c>
      <c r="AK6" s="2" t="s">
        <v>9</v>
      </c>
      <c r="AL6" s="2" t="s">
        <v>17</v>
      </c>
      <c r="AM6" s="2" t="s">
        <v>17</v>
      </c>
      <c r="AN6" s="2" t="s">
        <v>17</v>
      </c>
      <c r="AO6" s="2" t="s">
        <v>9</v>
      </c>
      <c r="AP6" s="2" t="s">
        <v>17</v>
      </c>
      <c r="AQ6" s="2" t="s">
        <v>17</v>
      </c>
      <c r="AR6" s="2" t="s">
        <v>17</v>
      </c>
      <c r="AS6" s="2" t="s">
        <v>17</v>
      </c>
      <c r="AT6" s="2">
        <v>5</v>
      </c>
      <c r="AU6" s="5">
        <v>100000</v>
      </c>
      <c r="AV6" s="2" t="s">
        <v>85</v>
      </c>
      <c r="AW6" s="2">
        <v>0</v>
      </c>
      <c r="AX6" s="2">
        <v>10</v>
      </c>
      <c r="AY6" s="2">
        <v>0</v>
      </c>
      <c r="AZ6" s="2">
        <v>18</v>
      </c>
      <c r="BA6" s="2">
        <v>0</v>
      </c>
      <c r="BB6" s="2">
        <v>0</v>
      </c>
      <c r="BC6" s="2">
        <v>1</v>
      </c>
      <c r="BD6" s="2">
        <v>3</v>
      </c>
      <c r="BE6" s="2">
        <v>0</v>
      </c>
      <c r="BF6" s="2">
        <v>1</v>
      </c>
      <c r="BG6" s="2">
        <v>0</v>
      </c>
      <c r="BH6" s="2">
        <v>0</v>
      </c>
      <c r="BI6" s="2">
        <v>13</v>
      </c>
      <c r="BJ6" s="2">
        <v>1</v>
      </c>
      <c r="BK6" s="2">
        <v>0</v>
      </c>
      <c r="BL6" s="2">
        <v>2</v>
      </c>
      <c r="BM6" s="2">
        <v>1</v>
      </c>
      <c r="BN6" s="2">
        <v>10</v>
      </c>
      <c r="BO6" s="2">
        <v>11</v>
      </c>
      <c r="BP6" s="2">
        <v>0</v>
      </c>
      <c r="BQ6" s="2">
        <v>10</v>
      </c>
      <c r="BR6" s="2">
        <v>12.49</v>
      </c>
      <c r="BS6" s="2">
        <v>0</v>
      </c>
      <c r="BT6" s="4">
        <v>0.06</v>
      </c>
      <c r="BU6" s="2" t="s">
        <v>9</v>
      </c>
      <c r="BV6" s="6">
        <v>168219.72</v>
      </c>
      <c r="BW6" s="2" t="s">
        <v>126</v>
      </c>
      <c r="BX6" s="2" t="s">
        <v>17</v>
      </c>
      <c r="BY6" s="2" t="s">
        <v>17</v>
      </c>
      <c r="BZ6" s="2" t="s">
        <v>17</v>
      </c>
      <c r="CA6" s="2" t="s">
        <v>17</v>
      </c>
      <c r="CB6" s="2" t="s">
        <v>17</v>
      </c>
      <c r="CC6" s="2" t="s">
        <v>17</v>
      </c>
      <c r="CD6" s="2" t="s">
        <v>17</v>
      </c>
      <c r="CE6" s="2" t="s">
        <v>3420</v>
      </c>
      <c r="CF6" s="2" t="s">
        <v>17</v>
      </c>
      <c r="CG6" s="2" t="s">
        <v>3421</v>
      </c>
      <c r="CH6" s="2"/>
      <c r="CI6" s="2"/>
      <c r="CJ6" s="2" t="s">
        <v>9</v>
      </c>
      <c r="CK6" s="2" t="s">
        <v>1085</v>
      </c>
      <c r="CL6" s="2" t="s">
        <v>3421</v>
      </c>
      <c r="CM6" s="2" t="s">
        <v>1087</v>
      </c>
      <c r="CN6" s="2" t="s">
        <v>147</v>
      </c>
      <c r="CO6" s="2" t="s">
        <v>24</v>
      </c>
      <c r="CP6" s="2"/>
      <c r="CQ6" s="2">
        <v>112</v>
      </c>
      <c r="CR6" s="2" t="s">
        <v>3392</v>
      </c>
      <c r="CS6" s="2">
        <v>2014</v>
      </c>
      <c r="CT6" s="2" t="s">
        <v>26</v>
      </c>
      <c r="CU6" s="2" t="s">
        <v>27</v>
      </c>
      <c r="CV6" s="2" t="s">
        <v>1088</v>
      </c>
      <c r="CW6" s="2" t="s">
        <v>3422</v>
      </c>
      <c r="CX6" s="2" t="s">
        <v>24</v>
      </c>
      <c r="CY6" s="2"/>
      <c r="CZ6" s="2">
        <v>73</v>
      </c>
      <c r="DA6" s="2" t="s">
        <v>3392</v>
      </c>
      <c r="DB6" s="2">
        <v>2017</v>
      </c>
      <c r="DC6" s="2" t="s">
        <v>30</v>
      </c>
      <c r="DD6" s="2" t="s">
        <v>27</v>
      </c>
      <c r="DE6" s="2" t="s">
        <v>1090</v>
      </c>
      <c r="DF6" s="2" t="s">
        <v>330</v>
      </c>
      <c r="DG6" s="2" t="s">
        <v>24</v>
      </c>
      <c r="DH6" s="2"/>
      <c r="DI6" s="2">
        <v>99</v>
      </c>
      <c r="DJ6" s="2" t="s">
        <v>3392</v>
      </c>
      <c r="DK6" s="2">
        <v>2012</v>
      </c>
      <c r="DL6" s="2" t="s">
        <v>243</v>
      </c>
      <c r="DM6" s="2" t="s">
        <v>27</v>
      </c>
      <c r="DN6" s="2" t="s">
        <v>33</v>
      </c>
      <c r="DO6" s="2" t="s">
        <v>1091</v>
      </c>
      <c r="DP6" s="2"/>
      <c r="DQ6" s="2" t="s">
        <v>1092</v>
      </c>
      <c r="DR6" s="2" t="s">
        <v>1093</v>
      </c>
      <c r="DS6" s="2">
        <v>1</v>
      </c>
      <c r="DT6" s="2" t="s">
        <v>1388</v>
      </c>
      <c r="DU6" s="2" t="s">
        <v>1095</v>
      </c>
      <c r="DV6" s="2" t="s">
        <v>260</v>
      </c>
      <c r="DW6" s="2">
        <v>77024</v>
      </c>
      <c r="DX6" s="2" t="s">
        <v>1096</v>
      </c>
      <c r="DY6" s="2"/>
      <c r="DZ6" s="2" t="s">
        <v>1097</v>
      </c>
      <c r="EA6" s="2" t="s">
        <v>1093</v>
      </c>
      <c r="EB6" s="2" t="s">
        <v>1098</v>
      </c>
      <c r="EC6" s="2" t="s">
        <v>333</v>
      </c>
      <c r="ED6" s="2" t="s">
        <v>44</v>
      </c>
      <c r="EE6" s="2">
        <v>188</v>
      </c>
      <c r="EF6" s="2" t="s">
        <v>3393</v>
      </c>
      <c r="EG6" s="2">
        <v>7</v>
      </c>
      <c r="EH6" s="2" t="s">
        <v>46</v>
      </c>
      <c r="EI6" s="2" t="s">
        <v>47</v>
      </c>
      <c r="EJ6" s="2" t="s">
        <v>1099</v>
      </c>
      <c r="EK6" s="2" t="s">
        <v>389</v>
      </c>
      <c r="EL6" s="2" t="s">
        <v>44</v>
      </c>
      <c r="EM6" s="2">
        <v>160</v>
      </c>
      <c r="EN6" s="2" t="s">
        <v>3393</v>
      </c>
      <c r="EO6" s="2">
        <v>3</v>
      </c>
      <c r="EP6" s="2" t="s">
        <v>46</v>
      </c>
      <c r="EQ6" s="2" t="s">
        <v>47</v>
      </c>
      <c r="ER6" s="2" t="s">
        <v>1100</v>
      </c>
      <c r="ES6" s="2" t="s">
        <v>951</v>
      </c>
      <c r="ET6" s="2" t="s">
        <v>1101</v>
      </c>
      <c r="EU6" s="2" t="s">
        <v>1102</v>
      </c>
      <c r="EV6" s="2" t="s">
        <v>1103</v>
      </c>
      <c r="EW6" s="2" t="s">
        <v>299</v>
      </c>
      <c r="EX6" s="2" t="s">
        <v>39</v>
      </c>
      <c r="EY6" s="2">
        <v>33131</v>
      </c>
      <c r="EZ6" s="2" t="s">
        <v>1390</v>
      </c>
      <c r="FA6" s="2"/>
      <c r="FB6" s="2" t="s">
        <v>1105</v>
      </c>
      <c r="FC6" s="2" t="s">
        <v>3423</v>
      </c>
      <c r="FD6" s="2"/>
      <c r="FE6" s="2" t="s">
        <v>1294</v>
      </c>
      <c r="FF6" s="2" t="s">
        <v>1102</v>
      </c>
      <c r="FG6" s="2" t="s">
        <v>1103</v>
      </c>
      <c r="FH6" s="2" t="s">
        <v>299</v>
      </c>
      <c r="FI6" s="2" t="s">
        <v>39</v>
      </c>
      <c r="FJ6" s="2">
        <v>33131</v>
      </c>
      <c r="FK6" s="2" t="s">
        <v>2784</v>
      </c>
      <c r="FL6" s="2"/>
      <c r="FM6" s="2" t="s">
        <v>1904</v>
      </c>
      <c r="FN6" s="2" t="s">
        <v>3424</v>
      </c>
      <c r="FO6" s="2" t="s">
        <v>63</v>
      </c>
      <c r="FP6" s="2" t="s">
        <v>64</v>
      </c>
      <c r="FQ6" s="2" t="s">
        <v>9</v>
      </c>
      <c r="FR6" s="2" t="s">
        <v>17</v>
      </c>
      <c r="FS6" s="2" t="s">
        <v>17</v>
      </c>
      <c r="FT6" s="2" t="s">
        <v>9</v>
      </c>
      <c r="FU6" s="2"/>
      <c r="FV6" s="2"/>
      <c r="FW6" s="2">
        <v>0</v>
      </c>
      <c r="FX6" s="2">
        <v>0</v>
      </c>
      <c r="FY6" s="4">
        <v>0</v>
      </c>
      <c r="FZ6" s="4">
        <v>0</v>
      </c>
      <c r="GA6" s="2" t="s">
        <v>65</v>
      </c>
      <c r="GB6" s="2"/>
      <c r="GC6" s="2" t="s">
        <v>66</v>
      </c>
      <c r="GD6" s="2" t="s">
        <v>67</v>
      </c>
      <c r="GE6" s="2" t="s">
        <v>2684</v>
      </c>
      <c r="GF6" s="2"/>
      <c r="GG6" s="2"/>
      <c r="GH6" s="2"/>
      <c r="GI6" s="2"/>
      <c r="GJ6" s="2"/>
      <c r="GK6" s="2">
        <v>132</v>
      </c>
      <c r="GL6" s="2"/>
      <c r="GM6" s="2"/>
      <c r="GN6" s="2"/>
      <c r="GO6" s="2"/>
      <c r="GP6" s="2"/>
      <c r="GQ6" s="2">
        <v>132</v>
      </c>
      <c r="GR6" s="2" t="s">
        <v>3332</v>
      </c>
      <c r="GS6" s="2" t="s">
        <v>2686</v>
      </c>
      <c r="GT6" s="2" t="s">
        <v>3425</v>
      </c>
      <c r="GU6" s="2" t="s">
        <v>2720</v>
      </c>
      <c r="GV6" s="2" t="s">
        <v>17</v>
      </c>
      <c r="GW6" s="2">
        <v>25.568556000000001</v>
      </c>
      <c r="GX6" s="2">
        <v>-80.381072000000003</v>
      </c>
      <c r="GY6" s="2"/>
      <c r="GZ6" s="2">
        <v>25.566210999999999</v>
      </c>
      <c r="HA6" s="2">
        <v>-80.380595999999997</v>
      </c>
      <c r="HB6" s="2">
        <v>0.17</v>
      </c>
      <c r="HC6" s="2">
        <v>5.5</v>
      </c>
      <c r="HD6" s="2">
        <v>25.566420000000001</v>
      </c>
      <c r="HE6" s="2">
        <v>-80.380218999999997</v>
      </c>
      <c r="HF6" s="2">
        <v>0.16</v>
      </c>
      <c r="HG6" s="2">
        <v>25.571038000000001</v>
      </c>
      <c r="HH6" s="2">
        <v>-80.374775999999997</v>
      </c>
      <c r="HI6" s="2">
        <v>0.43</v>
      </c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 t="s">
        <v>74</v>
      </c>
      <c r="HW6" s="2" t="s">
        <v>3426</v>
      </c>
      <c r="HX6" s="2">
        <v>0.38</v>
      </c>
      <c r="HY6" s="2">
        <v>3.5</v>
      </c>
      <c r="HZ6" s="2"/>
      <c r="IA6" s="2"/>
      <c r="IB6" s="2"/>
      <c r="IC6" s="2"/>
      <c r="ID6" s="2" t="s">
        <v>76</v>
      </c>
      <c r="IE6" s="2">
        <v>0.38</v>
      </c>
      <c r="IF6" s="2">
        <v>3.5</v>
      </c>
      <c r="IG6" s="2" t="s">
        <v>3427</v>
      </c>
      <c r="IH6" s="2">
        <v>0.28999999999999998</v>
      </c>
      <c r="II6" s="2">
        <v>4</v>
      </c>
      <c r="IJ6" s="2" t="s">
        <v>9</v>
      </c>
      <c r="IK6" s="2" t="s">
        <v>3428</v>
      </c>
      <c r="IL6" s="2" t="s">
        <v>3341</v>
      </c>
      <c r="IM6" s="2" t="s">
        <v>17</v>
      </c>
      <c r="IN6" s="2"/>
      <c r="IO6" s="2" t="s">
        <v>79</v>
      </c>
      <c r="IP6" s="2">
        <v>5.5</v>
      </c>
      <c r="IQ6" s="2">
        <v>11</v>
      </c>
      <c r="IR6" s="2">
        <v>16.5</v>
      </c>
      <c r="IS6" s="2" t="s">
        <v>17</v>
      </c>
      <c r="IT6" s="2" t="s">
        <v>17</v>
      </c>
      <c r="IU6" s="2" t="s">
        <v>9</v>
      </c>
      <c r="IV6" s="2" t="s">
        <v>9</v>
      </c>
      <c r="IW6" s="2" t="s">
        <v>9</v>
      </c>
      <c r="IX6" s="2" t="s">
        <v>9</v>
      </c>
      <c r="IY6" s="2">
        <v>16.5</v>
      </c>
      <c r="IZ6" s="2">
        <v>132</v>
      </c>
      <c r="JA6" s="2" t="s">
        <v>3085</v>
      </c>
      <c r="JB6" s="2"/>
      <c r="JC6" s="2" t="s">
        <v>82</v>
      </c>
      <c r="JD6" s="2"/>
      <c r="JE6" s="2"/>
      <c r="JF6" s="7">
        <v>0</v>
      </c>
      <c r="JG6" s="7"/>
      <c r="JH6" s="7"/>
      <c r="JI6" s="2">
        <v>0</v>
      </c>
      <c r="JJ6" s="7">
        <v>0</v>
      </c>
      <c r="JK6" s="2">
        <v>0</v>
      </c>
      <c r="JL6" s="7">
        <v>0</v>
      </c>
      <c r="JM6" s="2">
        <v>22</v>
      </c>
      <c r="JN6" s="2"/>
      <c r="JO6" s="2"/>
      <c r="JP6" s="2">
        <v>44</v>
      </c>
      <c r="JQ6" s="2">
        <v>66</v>
      </c>
      <c r="JR6" s="2"/>
      <c r="JS6" s="2">
        <v>0</v>
      </c>
      <c r="JT6" s="2">
        <v>0</v>
      </c>
      <c r="JU6" s="2"/>
      <c r="JV6" s="2">
        <v>132</v>
      </c>
      <c r="JW6" s="4">
        <v>1</v>
      </c>
      <c r="JX6" s="2">
        <v>132</v>
      </c>
      <c r="JY6" s="4">
        <v>0.6</v>
      </c>
      <c r="JZ6" s="2">
        <v>0</v>
      </c>
      <c r="KA6" s="2"/>
      <c r="KB6" s="2"/>
      <c r="KC6" s="2"/>
      <c r="KD6" s="2"/>
      <c r="KE6" s="2"/>
      <c r="KF6" s="2"/>
      <c r="KG6" s="2"/>
      <c r="KH6" s="2">
        <v>124</v>
      </c>
      <c r="KI6" s="2"/>
      <c r="KJ6" s="2"/>
      <c r="KK6" s="2">
        <v>8</v>
      </c>
      <c r="KL6" s="2"/>
      <c r="KM6" s="2"/>
      <c r="KN6" s="2"/>
      <c r="KO6" s="2"/>
      <c r="KP6" s="2"/>
      <c r="KQ6" s="2" t="s">
        <v>83</v>
      </c>
      <c r="KR6" s="2"/>
      <c r="KS6" s="2" t="s">
        <v>73</v>
      </c>
      <c r="KT6" s="2">
        <v>1</v>
      </c>
      <c r="KU6" s="2" t="s">
        <v>84</v>
      </c>
      <c r="KV6" s="2" t="s">
        <v>85</v>
      </c>
      <c r="KW6" s="2" t="s">
        <v>86</v>
      </c>
      <c r="KX6" s="2" t="s">
        <v>17</v>
      </c>
      <c r="KY6" s="2" t="s">
        <v>17</v>
      </c>
      <c r="KZ6" s="2" t="s">
        <v>17</v>
      </c>
      <c r="LA6" s="2" t="s">
        <v>17</v>
      </c>
      <c r="LB6" s="2" t="s">
        <v>17</v>
      </c>
      <c r="LC6" s="2" t="s">
        <v>17</v>
      </c>
      <c r="LD6" s="2" t="s">
        <v>17</v>
      </c>
      <c r="LE6" s="2" t="s">
        <v>17</v>
      </c>
      <c r="LF6" s="2" t="s">
        <v>17</v>
      </c>
      <c r="LG6" s="2" t="s">
        <v>17</v>
      </c>
      <c r="LH6" s="2" t="s">
        <v>17</v>
      </c>
      <c r="LI6" s="2" t="s">
        <v>17</v>
      </c>
      <c r="LJ6" s="2" t="s">
        <v>87</v>
      </c>
      <c r="LK6" s="2" t="s">
        <v>17</v>
      </c>
      <c r="LL6" s="2" t="s">
        <v>17</v>
      </c>
      <c r="LM6" s="2">
        <v>0</v>
      </c>
      <c r="LN6" s="2" t="s">
        <v>17</v>
      </c>
      <c r="LO6" s="2" t="s">
        <v>17</v>
      </c>
      <c r="LP6" s="2" t="s">
        <v>17</v>
      </c>
      <c r="LQ6" s="2" t="s">
        <v>17</v>
      </c>
      <c r="LR6" s="2" t="s">
        <v>17</v>
      </c>
      <c r="LS6" s="2" t="s">
        <v>17</v>
      </c>
      <c r="LT6" s="2" t="s">
        <v>9</v>
      </c>
      <c r="LU6" s="2" t="s">
        <v>17</v>
      </c>
      <c r="LV6" s="2" t="s">
        <v>9</v>
      </c>
      <c r="LW6" s="2" t="s">
        <v>9</v>
      </c>
      <c r="LX6" s="2" t="s">
        <v>17</v>
      </c>
      <c r="LY6" s="5">
        <v>6500000</v>
      </c>
      <c r="LZ6" s="5">
        <v>0</v>
      </c>
      <c r="MA6" s="5">
        <v>8400000</v>
      </c>
      <c r="MB6" s="5">
        <v>0</v>
      </c>
      <c r="MC6" s="5">
        <v>0</v>
      </c>
      <c r="MD6" s="5">
        <v>0</v>
      </c>
      <c r="ME6" s="5">
        <v>10000000</v>
      </c>
      <c r="MF6" s="5">
        <v>0</v>
      </c>
      <c r="MG6" s="5">
        <v>0</v>
      </c>
      <c r="MH6" s="5">
        <v>0</v>
      </c>
      <c r="MI6" s="5">
        <v>0</v>
      </c>
      <c r="MJ6" s="5">
        <v>0</v>
      </c>
      <c r="MK6" s="5">
        <v>0</v>
      </c>
      <c r="ML6" s="2">
        <v>0</v>
      </c>
      <c r="MM6" s="5">
        <v>0</v>
      </c>
      <c r="MN6" s="5">
        <v>0</v>
      </c>
      <c r="MO6" s="2">
        <v>0</v>
      </c>
      <c r="MP6" s="2">
        <v>0</v>
      </c>
      <c r="MQ6" s="2">
        <v>0</v>
      </c>
      <c r="MR6" s="5">
        <v>2950000</v>
      </c>
      <c r="MS6" s="5">
        <v>0</v>
      </c>
      <c r="MT6" s="5">
        <v>4600000</v>
      </c>
      <c r="MU6" s="5">
        <v>0</v>
      </c>
      <c r="MV6" s="5">
        <v>0</v>
      </c>
      <c r="MW6" s="5">
        <v>0</v>
      </c>
      <c r="MX6" s="5">
        <v>0</v>
      </c>
      <c r="MY6" s="5">
        <v>2500000</v>
      </c>
      <c r="MZ6" s="5">
        <v>0</v>
      </c>
      <c r="NA6" s="5">
        <v>5000000</v>
      </c>
      <c r="NB6" s="5">
        <v>0</v>
      </c>
      <c r="NC6" s="5">
        <v>0</v>
      </c>
      <c r="ND6" s="5">
        <v>0</v>
      </c>
      <c r="NE6" s="5">
        <v>0</v>
      </c>
      <c r="NF6" s="5">
        <v>0</v>
      </c>
      <c r="NG6" s="5">
        <v>3458400</v>
      </c>
      <c r="NH6" s="5">
        <v>3458400</v>
      </c>
      <c r="NI6" s="5">
        <v>3458400</v>
      </c>
      <c r="NJ6" s="5"/>
      <c r="NK6" s="5">
        <v>0</v>
      </c>
      <c r="NL6" s="2" t="s">
        <v>17</v>
      </c>
      <c r="NM6" s="2" t="s">
        <v>17</v>
      </c>
      <c r="NN6" s="2"/>
      <c r="NO6" s="2" t="s">
        <v>17</v>
      </c>
      <c r="NP6" s="2"/>
      <c r="NQ6" s="2"/>
      <c r="NR6" s="2" t="s">
        <v>17</v>
      </c>
      <c r="NS6" s="2"/>
      <c r="NT6" s="2" t="s">
        <v>9</v>
      </c>
      <c r="NU6" s="2" t="s">
        <v>450</v>
      </c>
      <c r="NV6" s="2">
        <v>102.13</v>
      </c>
      <c r="NW6" s="2" t="s">
        <v>3342</v>
      </c>
      <c r="NX6" s="2" t="s">
        <v>17</v>
      </c>
      <c r="NY6" s="2"/>
      <c r="NZ6" s="2"/>
      <c r="OA6" s="2" t="s">
        <v>118</v>
      </c>
      <c r="OB6" s="2" t="s">
        <v>118</v>
      </c>
      <c r="OC6" s="2" t="s">
        <v>118</v>
      </c>
      <c r="OD6" s="2" t="s">
        <v>3343</v>
      </c>
      <c r="OE6" s="2" t="s">
        <v>3429</v>
      </c>
      <c r="OF6" s="2"/>
      <c r="OG6" s="2" t="s">
        <v>17</v>
      </c>
      <c r="OH6" s="2" t="s">
        <v>119</v>
      </c>
      <c r="OI6" s="2" t="s">
        <v>17</v>
      </c>
      <c r="OJ6" s="2"/>
      <c r="OK6" s="2" t="s">
        <v>17</v>
      </c>
      <c r="OL6" s="2" t="s">
        <v>17</v>
      </c>
      <c r="OM6" s="2" t="s">
        <v>85</v>
      </c>
      <c r="ON6" s="6">
        <v>0</v>
      </c>
      <c r="OO6" s="6">
        <v>0</v>
      </c>
      <c r="OP6" s="2" t="s">
        <v>93</v>
      </c>
      <c r="OQ6" s="2" t="s">
        <v>93</v>
      </c>
      <c r="OR6" s="6">
        <v>0</v>
      </c>
      <c r="OS6" s="4">
        <v>0</v>
      </c>
      <c r="OT6" s="2" t="s">
        <v>17</v>
      </c>
      <c r="OU6" s="2" t="s">
        <v>17</v>
      </c>
      <c r="OV6" s="2"/>
      <c r="OW6" s="2"/>
      <c r="OX6" s="5">
        <v>22205003</v>
      </c>
      <c r="OY6" s="6">
        <v>168219.72</v>
      </c>
      <c r="OZ6" s="2"/>
      <c r="PA6" s="2"/>
      <c r="PB6" s="2"/>
      <c r="PC6" s="2"/>
      <c r="PD6" s="8">
        <v>19072049</v>
      </c>
      <c r="PE6" s="2"/>
      <c r="PF6" s="8">
        <v>19072049</v>
      </c>
      <c r="PG6" s="2"/>
      <c r="PH6" s="2"/>
      <c r="PI6" s="2"/>
      <c r="PJ6" s="8">
        <v>300000</v>
      </c>
      <c r="PK6" s="2"/>
      <c r="PL6" s="8">
        <v>300000</v>
      </c>
      <c r="PM6" s="8">
        <v>19372049</v>
      </c>
      <c r="PN6" s="2"/>
      <c r="PO6" s="8">
        <v>19372049</v>
      </c>
      <c r="PP6" s="8">
        <v>2670087</v>
      </c>
      <c r="PQ6" s="2"/>
      <c r="PR6" s="8">
        <v>2670087</v>
      </c>
      <c r="PS6" s="6">
        <v>2712086</v>
      </c>
      <c r="PT6" s="8">
        <v>22042136</v>
      </c>
      <c r="PU6" s="2"/>
      <c r="PV6" s="8">
        <v>22042136</v>
      </c>
      <c r="PW6" s="8">
        <v>1087107</v>
      </c>
      <c r="PX6" s="2"/>
      <c r="PY6" s="8">
        <v>1087107</v>
      </c>
      <c r="PZ6" s="6">
        <v>1102106.8</v>
      </c>
      <c r="QA6" s="8">
        <v>1012343</v>
      </c>
      <c r="QB6" s="8">
        <v>7000</v>
      </c>
      <c r="QC6" s="8">
        <v>1019343</v>
      </c>
      <c r="QD6" s="8">
        <v>198066</v>
      </c>
      <c r="QE6" s="2"/>
      <c r="QF6" s="8">
        <v>198066</v>
      </c>
      <c r="QG6" s="8">
        <v>722400</v>
      </c>
      <c r="QH6" s="2"/>
      <c r="QI6" s="8">
        <v>722400</v>
      </c>
      <c r="QJ6" s="2"/>
      <c r="QK6" s="8">
        <v>635110</v>
      </c>
      <c r="QL6" s="8">
        <v>635110</v>
      </c>
      <c r="QM6" s="2"/>
      <c r="QN6" s="2"/>
      <c r="QO6" s="2"/>
      <c r="QP6" s="8">
        <v>182500</v>
      </c>
      <c r="QQ6" s="8">
        <v>1066671</v>
      </c>
      <c r="QR6" s="8">
        <v>1249171</v>
      </c>
      <c r="QS6" s="8">
        <v>2115309</v>
      </c>
      <c r="QT6" s="8">
        <v>1708781</v>
      </c>
      <c r="QU6" s="8">
        <v>3824090</v>
      </c>
      <c r="QV6" s="8">
        <v>113206</v>
      </c>
      <c r="QW6" s="2"/>
      <c r="QX6" s="8">
        <v>113206</v>
      </c>
      <c r="QY6" s="6">
        <v>191204.5</v>
      </c>
      <c r="QZ6" s="8">
        <v>388844</v>
      </c>
      <c r="RA6" s="8">
        <v>45000</v>
      </c>
      <c r="RB6" s="8">
        <v>433844</v>
      </c>
      <c r="RC6" s="8">
        <v>204363</v>
      </c>
      <c r="RD6" s="8">
        <v>204363</v>
      </c>
      <c r="RE6" s="8">
        <v>2091392</v>
      </c>
      <c r="RF6" s="8">
        <v>704618</v>
      </c>
      <c r="RG6" s="8">
        <v>2796010</v>
      </c>
      <c r="RH6" s="8">
        <v>2480236</v>
      </c>
      <c r="RI6" s="8">
        <v>953981</v>
      </c>
      <c r="RJ6" s="8">
        <v>3434217</v>
      </c>
      <c r="RK6" s="8">
        <v>27837994</v>
      </c>
      <c r="RL6" s="8">
        <v>2662762</v>
      </c>
      <c r="RM6" s="8">
        <v>30500756</v>
      </c>
      <c r="RN6" s="2">
        <v>0</v>
      </c>
      <c r="RO6" s="6">
        <v>0</v>
      </c>
      <c r="RP6" s="8">
        <v>4880120</v>
      </c>
      <c r="RQ6" s="2"/>
      <c r="RR6" s="8">
        <v>4880120</v>
      </c>
      <c r="RS6" s="6">
        <v>4880120</v>
      </c>
      <c r="RT6" s="6">
        <v>0</v>
      </c>
      <c r="RU6" s="8">
        <v>4880120</v>
      </c>
      <c r="RV6" s="2"/>
      <c r="RW6" s="8">
        <v>4880120</v>
      </c>
      <c r="RX6" s="6">
        <v>4880120</v>
      </c>
      <c r="RY6" s="8">
        <v>395861</v>
      </c>
      <c r="RZ6" s="8">
        <v>395861</v>
      </c>
      <c r="SA6" s="6">
        <v>462000</v>
      </c>
      <c r="SB6" s="8">
        <v>4662000</v>
      </c>
      <c r="SC6" s="8">
        <v>4662000</v>
      </c>
      <c r="SD6" s="8">
        <v>32718114</v>
      </c>
      <c r="SE6" s="8">
        <v>7720623</v>
      </c>
      <c r="SF6" s="8">
        <v>40438737</v>
      </c>
      <c r="SG6" s="2"/>
      <c r="SH6" s="2" t="s">
        <v>3430</v>
      </c>
      <c r="SI6" s="2" t="s">
        <v>3431</v>
      </c>
      <c r="SJ6" s="2" t="s">
        <v>3432</v>
      </c>
      <c r="SK6" s="8">
        <v>30000000</v>
      </c>
      <c r="SL6" s="2" t="s">
        <v>95</v>
      </c>
      <c r="SM6" s="2"/>
      <c r="SN6" s="2"/>
      <c r="SO6" s="2"/>
      <c r="SP6" s="2"/>
      <c r="SQ6" s="2"/>
      <c r="SR6" s="2"/>
      <c r="SS6" s="2" t="s">
        <v>96</v>
      </c>
      <c r="ST6" s="2" t="s">
        <v>96</v>
      </c>
      <c r="SU6" s="2" t="s">
        <v>96</v>
      </c>
      <c r="SV6" s="2" t="s">
        <v>96</v>
      </c>
      <c r="SW6" s="8">
        <v>8212879</v>
      </c>
      <c r="SX6" s="2"/>
      <c r="SY6" s="2"/>
      <c r="SZ6" s="2"/>
      <c r="TA6" s="2"/>
      <c r="TB6" s="2"/>
      <c r="TC6" s="2"/>
      <c r="TD6" s="8">
        <v>2225858</v>
      </c>
      <c r="TE6" s="8">
        <v>40438737</v>
      </c>
      <c r="TF6" s="2">
        <v>0</v>
      </c>
      <c r="TG6" s="2" t="s">
        <v>9</v>
      </c>
      <c r="TH6" s="8">
        <v>6000000</v>
      </c>
      <c r="TI6" s="2" t="s">
        <v>95</v>
      </c>
      <c r="TJ6" s="2"/>
      <c r="TK6" s="2"/>
      <c r="TL6" s="2"/>
      <c r="TM6" s="2"/>
      <c r="TN6" s="2" t="s">
        <v>96</v>
      </c>
      <c r="TO6" s="2" t="s">
        <v>96</v>
      </c>
      <c r="TP6" s="2" t="s">
        <v>96</v>
      </c>
      <c r="TQ6" s="2" t="s">
        <v>96</v>
      </c>
      <c r="TR6" s="8">
        <v>32851514</v>
      </c>
      <c r="TS6" s="2"/>
      <c r="TT6" s="2"/>
      <c r="TU6" s="2"/>
      <c r="TV6" s="2"/>
      <c r="TW6" s="2"/>
      <c r="TX6" s="2"/>
      <c r="TY6" s="8">
        <v>1587223</v>
      </c>
      <c r="TZ6" s="8">
        <v>40438737</v>
      </c>
      <c r="UA6" s="6">
        <v>6000000</v>
      </c>
      <c r="UB6" s="2">
        <v>0</v>
      </c>
      <c r="UC6" s="2" t="s">
        <v>9</v>
      </c>
      <c r="UD6" s="2">
        <v>132</v>
      </c>
      <c r="UE6" s="5">
        <v>310000</v>
      </c>
      <c r="UF6" s="6">
        <v>413333.33</v>
      </c>
      <c r="UG6" s="6">
        <v>413333.33</v>
      </c>
      <c r="UH6" s="6">
        <v>438133.33</v>
      </c>
      <c r="UI6" s="6">
        <v>57833600</v>
      </c>
      <c r="UJ6" s="6">
        <v>9253376</v>
      </c>
      <c r="UK6" s="2" t="s">
        <v>97</v>
      </c>
      <c r="UL6" s="6">
        <v>9253376</v>
      </c>
      <c r="UM6" s="6">
        <v>67086976</v>
      </c>
      <c r="UN6" s="6">
        <v>35380876</v>
      </c>
      <c r="UO6" s="4">
        <v>0.99990000000000001</v>
      </c>
      <c r="UP6" s="2" t="s">
        <v>9</v>
      </c>
      <c r="UQ6" s="6">
        <v>0</v>
      </c>
      <c r="UR6" s="6">
        <v>0</v>
      </c>
      <c r="US6" s="6">
        <v>849580.8</v>
      </c>
      <c r="UT6" s="6">
        <v>849580.8</v>
      </c>
      <c r="UU6" s="6">
        <v>0</v>
      </c>
      <c r="UV6" s="6">
        <v>849580.8</v>
      </c>
      <c r="UW6" s="6">
        <v>0</v>
      </c>
      <c r="UX6" s="6">
        <v>849580.8</v>
      </c>
      <c r="UY6" s="2" t="s">
        <v>3387</v>
      </c>
      <c r="UZ6" s="2" t="s">
        <v>3288</v>
      </c>
      <c r="VA6" s="2" t="s">
        <v>17</v>
      </c>
      <c r="VB6" s="2" t="s">
        <v>17</v>
      </c>
      <c r="VC6" s="2" t="s">
        <v>17</v>
      </c>
      <c r="VD6" s="2" t="s">
        <v>17</v>
      </c>
      <c r="VE6" s="2" t="s">
        <v>17</v>
      </c>
      <c r="VF6" s="2" t="s">
        <v>17</v>
      </c>
      <c r="VG6" s="2" t="s">
        <v>3433</v>
      </c>
      <c r="VH6" s="2"/>
      <c r="VI6" s="388" t="s">
        <v>1125</v>
      </c>
      <c r="VJ6" s="2" t="s">
        <v>98</v>
      </c>
      <c r="VK6" s="2" t="s">
        <v>3434</v>
      </c>
      <c r="VL6" s="23">
        <f t="shared" si="0"/>
        <v>140</v>
      </c>
      <c r="VM6" s="17">
        <f t="shared" si="1"/>
        <v>1.0606060606060606</v>
      </c>
      <c r="VN6" s="17" t="str">
        <f t="shared" si="2"/>
        <v>NC-HR-E</v>
      </c>
      <c r="VO6" s="17" t="str">
        <f t="shared" si="14"/>
        <v>NC-HR-E-ESS</v>
      </c>
      <c r="VP6" s="12">
        <v>9</v>
      </c>
      <c r="VQ6" s="57">
        <v>1</v>
      </c>
      <c r="VR6" s="57">
        <f t="shared" si="3"/>
        <v>1</v>
      </c>
      <c r="VS6" s="14">
        <f t="shared" si="4"/>
        <v>1</v>
      </c>
      <c r="VT6" s="12">
        <f t="shared" si="5"/>
        <v>0.88349999999999995</v>
      </c>
      <c r="VU6" s="29">
        <f t="shared" si="6"/>
        <v>27499467.599999998</v>
      </c>
      <c r="VV6" s="29">
        <f t="shared" si="7"/>
        <v>208329.3</v>
      </c>
      <c r="VW6" s="12" t="str">
        <f t="shared" si="15"/>
        <v>A</v>
      </c>
      <c r="VX6" s="12" t="str">
        <f t="shared" si="8"/>
        <v>NC-HR-ESS</v>
      </c>
      <c r="VY6" s="352">
        <f t="shared" si="16"/>
        <v>1</v>
      </c>
      <c r="WA6" s="12">
        <f t="shared" si="17"/>
        <v>1</v>
      </c>
      <c r="WB6" s="12">
        <f t="shared" si="18"/>
        <v>0</v>
      </c>
      <c r="WC6" s="12">
        <f t="shared" si="18"/>
        <v>0</v>
      </c>
      <c r="WD6" s="12">
        <f t="shared" si="18"/>
        <v>0</v>
      </c>
      <c r="WE6" s="12">
        <f t="shared" si="19"/>
        <v>1</v>
      </c>
      <c r="WF6" s="12">
        <f t="shared" si="9"/>
        <v>0</v>
      </c>
      <c r="WG6" s="12">
        <f t="shared" si="10"/>
        <v>0</v>
      </c>
      <c r="WH6" s="12">
        <f t="shared" si="11"/>
        <v>1</v>
      </c>
      <c r="WI6" s="31">
        <f t="shared" si="12"/>
        <v>3</v>
      </c>
      <c r="WJ6" s="2"/>
      <c r="WK6" s="444" t="str">
        <f t="shared" si="13"/>
        <v>NC-HR-ESS-BBN-BRN-NPH-E</v>
      </c>
      <c r="WL6" s="444"/>
      <c r="WM6" s="444"/>
      <c r="WN6" s="12"/>
      <c r="WO6" s="380" t="s">
        <v>5415</v>
      </c>
      <c r="WP6" s="144">
        <f>COUNTIFS($WF$2:$WF$72,"=1",$WA$2:$WA$72,"=1")</f>
        <v>1</v>
      </c>
      <c r="WQ6" s="144">
        <f>COUNTIFS($WF$2:$WF$72,"=1",$WB$2:$WB$72,"=1")</f>
        <v>0</v>
      </c>
      <c r="WR6" s="144">
        <f>COUNTIFS($WF$2:$WF$72,"=1",$WC$2:$WC$72,"=1")</f>
        <v>0</v>
      </c>
      <c r="WS6" s="144">
        <f>COUNTIFS($WF$2:$WF$72,"=1",$WD$2:$WD$72,"=1")</f>
        <v>0</v>
      </c>
      <c r="WT6" s="384"/>
      <c r="WU6" s="144">
        <f>COUNTIFS($WF$2:$WF$72,"=1",$WG$2:$WG$72,"=1")</f>
        <v>3</v>
      </c>
      <c r="WV6" s="144">
        <f>COUNTIFS($WF$2:$WF$72,"=1",$WH$2:$WH$72,"=1")</f>
        <v>0</v>
      </c>
      <c r="WW6" s="144">
        <f>COUNTIFS($WF$2:$WF$72,"=1",$WE$2:$WE$72,"=1")</f>
        <v>3</v>
      </c>
      <c r="WX6" s="205">
        <f>COUNTIF($WF$2:$WF$72,"=1")</f>
        <v>3</v>
      </c>
    </row>
    <row r="7" spans="1:622" x14ac:dyDescent="0.25">
      <c r="A7" s="2">
        <v>9664</v>
      </c>
      <c r="B7" s="2" t="s">
        <v>3435</v>
      </c>
      <c r="C7" s="2" t="s">
        <v>3305</v>
      </c>
      <c r="D7" s="3">
        <v>45159</v>
      </c>
      <c r="E7" s="2" t="s">
        <v>9</v>
      </c>
      <c r="F7" s="2">
        <v>3</v>
      </c>
      <c r="G7" s="2" t="s">
        <v>9</v>
      </c>
      <c r="H7" s="2">
        <v>3</v>
      </c>
      <c r="I7" s="2" t="s">
        <v>9</v>
      </c>
      <c r="J7" s="2">
        <v>3</v>
      </c>
      <c r="K7" s="2" t="s">
        <v>9</v>
      </c>
      <c r="L7" s="2">
        <v>3</v>
      </c>
      <c r="M7" s="2" t="s">
        <v>10</v>
      </c>
      <c r="N7" s="2">
        <v>0</v>
      </c>
      <c r="O7" s="2" t="s">
        <v>10</v>
      </c>
      <c r="P7" s="2">
        <v>0</v>
      </c>
      <c r="Q7" s="2" t="s">
        <v>11</v>
      </c>
      <c r="R7" s="2">
        <v>0</v>
      </c>
      <c r="S7" s="2" t="s">
        <v>9</v>
      </c>
      <c r="T7" s="2">
        <v>2</v>
      </c>
      <c r="U7" s="2" t="s">
        <v>9</v>
      </c>
      <c r="V7" s="2">
        <v>2</v>
      </c>
      <c r="W7" s="2" t="s">
        <v>9</v>
      </c>
      <c r="X7" s="2">
        <v>2</v>
      </c>
      <c r="Y7" s="2" t="s">
        <v>12</v>
      </c>
      <c r="Z7" s="2" t="s">
        <v>15</v>
      </c>
      <c r="AA7" s="2" t="s">
        <v>15</v>
      </c>
      <c r="AB7" s="2" t="s">
        <v>15</v>
      </c>
      <c r="AC7" s="2" t="s">
        <v>15</v>
      </c>
      <c r="AD7" s="2" t="s">
        <v>834</v>
      </c>
      <c r="AE7" s="2" t="s">
        <v>15</v>
      </c>
      <c r="AF7" s="2">
        <v>0</v>
      </c>
      <c r="AG7" s="2" t="s">
        <v>234</v>
      </c>
      <c r="AH7" s="2" t="s">
        <v>17</v>
      </c>
      <c r="AI7" s="4">
        <v>0.15151999999999999</v>
      </c>
      <c r="AJ7" s="2" t="s">
        <v>17</v>
      </c>
      <c r="AK7" s="2" t="s">
        <v>9</v>
      </c>
      <c r="AL7" s="2" t="s">
        <v>17</v>
      </c>
      <c r="AM7" s="2" t="s">
        <v>17</v>
      </c>
      <c r="AN7" s="2" t="s">
        <v>17</v>
      </c>
      <c r="AO7" s="2" t="s">
        <v>9</v>
      </c>
      <c r="AP7" s="2" t="s">
        <v>17</v>
      </c>
      <c r="AQ7" s="2" t="s">
        <v>17</v>
      </c>
      <c r="AR7" s="2" t="s">
        <v>17</v>
      </c>
      <c r="AS7" s="2" t="s">
        <v>17</v>
      </c>
      <c r="AT7" s="2">
        <v>5</v>
      </c>
      <c r="AU7" s="5">
        <v>100000</v>
      </c>
      <c r="AV7" s="2" t="s">
        <v>85</v>
      </c>
      <c r="AW7" s="2">
        <v>0</v>
      </c>
      <c r="AX7" s="2">
        <v>9</v>
      </c>
      <c r="AY7" s="2">
        <v>0</v>
      </c>
      <c r="AZ7" s="2">
        <v>18</v>
      </c>
      <c r="BA7" s="2">
        <v>0</v>
      </c>
      <c r="BB7" s="2">
        <v>0</v>
      </c>
      <c r="BC7" s="2">
        <v>1</v>
      </c>
      <c r="BD7" s="2">
        <v>5</v>
      </c>
      <c r="BE7" s="2">
        <v>0</v>
      </c>
      <c r="BF7" s="2">
        <v>1</v>
      </c>
      <c r="BG7" s="2">
        <v>0</v>
      </c>
      <c r="BH7" s="2">
        <v>0</v>
      </c>
      <c r="BI7" s="2">
        <v>13</v>
      </c>
      <c r="BJ7" s="2">
        <v>1</v>
      </c>
      <c r="BK7" s="2">
        <v>0</v>
      </c>
      <c r="BL7" s="2">
        <v>2</v>
      </c>
      <c r="BM7" s="2">
        <v>1</v>
      </c>
      <c r="BN7" s="2">
        <v>10</v>
      </c>
      <c r="BO7" s="2">
        <v>11</v>
      </c>
      <c r="BP7" s="2">
        <v>0</v>
      </c>
      <c r="BQ7" s="2">
        <v>10</v>
      </c>
      <c r="BR7" s="2">
        <v>12.49</v>
      </c>
      <c r="BS7" s="2">
        <v>0</v>
      </c>
      <c r="BT7" s="4">
        <v>0.06</v>
      </c>
      <c r="BU7" s="2" t="s">
        <v>9</v>
      </c>
      <c r="BV7" s="6">
        <v>168219.72</v>
      </c>
      <c r="BW7" s="2" t="s">
        <v>126</v>
      </c>
      <c r="BX7" s="2" t="s">
        <v>17</v>
      </c>
      <c r="BY7" s="2" t="s">
        <v>17</v>
      </c>
      <c r="BZ7" s="2" t="s">
        <v>17</v>
      </c>
      <c r="CA7" s="2" t="s">
        <v>17</v>
      </c>
      <c r="CB7" s="2" t="s">
        <v>17</v>
      </c>
      <c r="CC7" s="2" t="s">
        <v>17</v>
      </c>
      <c r="CD7" s="2" t="s">
        <v>17</v>
      </c>
      <c r="CE7" s="2" t="s">
        <v>3436</v>
      </c>
      <c r="CF7" s="2" t="s">
        <v>17</v>
      </c>
      <c r="CG7" s="2" t="s">
        <v>2702</v>
      </c>
      <c r="CH7" s="2"/>
      <c r="CI7" s="2"/>
      <c r="CJ7" s="2" t="s">
        <v>9</v>
      </c>
      <c r="CK7" s="2" t="s">
        <v>2703</v>
      </c>
      <c r="CL7" s="2" t="s">
        <v>2702</v>
      </c>
      <c r="CM7" s="2" t="s">
        <v>2704</v>
      </c>
      <c r="CN7" s="2" t="s">
        <v>2705</v>
      </c>
      <c r="CO7" s="2" t="s">
        <v>24</v>
      </c>
      <c r="CP7" s="2"/>
      <c r="CQ7" s="2">
        <v>190</v>
      </c>
      <c r="CR7" s="2" t="s">
        <v>3392</v>
      </c>
      <c r="CS7" s="2">
        <v>2021</v>
      </c>
      <c r="CT7" s="2" t="s">
        <v>26</v>
      </c>
      <c r="CU7" s="2" t="s">
        <v>27</v>
      </c>
      <c r="CV7" s="2" t="s">
        <v>2706</v>
      </c>
      <c r="CW7" s="2" t="s">
        <v>2707</v>
      </c>
      <c r="CX7" s="2" t="s">
        <v>24</v>
      </c>
      <c r="CY7" s="2"/>
      <c r="CZ7" s="2">
        <v>123</v>
      </c>
      <c r="DA7" s="2" t="s">
        <v>3392</v>
      </c>
      <c r="DB7" s="2">
        <v>2020</v>
      </c>
      <c r="DC7" s="2" t="s">
        <v>30</v>
      </c>
      <c r="DD7" s="2" t="s">
        <v>27</v>
      </c>
      <c r="DE7" s="2" t="s">
        <v>2708</v>
      </c>
      <c r="DF7" s="2" t="s">
        <v>2705</v>
      </c>
      <c r="DG7" s="2" t="s">
        <v>24</v>
      </c>
      <c r="DH7" s="2"/>
      <c r="DI7" s="2">
        <v>134</v>
      </c>
      <c r="DJ7" s="2" t="s">
        <v>3392</v>
      </c>
      <c r="DK7" s="2">
        <v>2020</v>
      </c>
      <c r="DL7" s="2" t="s">
        <v>30</v>
      </c>
      <c r="DM7" s="2" t="s">
        <v>27</v>
      </c>
      <c r="DN7" s="2" t="s">
        <v>33</v>
      </c>
      <c r="DO7" s="2" t="s">
        <v>2709</v>
      </c>
      <c r="DP7" s="2" t="s">
        <v>2710</v>
      </c>
      <c r="DQ7" s="2" t="s">
        <v>2711</v>
      </c>
      <c r="DR7" s="2" t="s">
        <v>2712</v>
      </c>
      <c r="DS7" s="2">
        <v>1</v>
      </c>
      <c r="DT7" s="2" t="s">
        <v>2713</v>
      </c>
      <c r="DU7" s="2" t="s">
        <v>2714</v>
      </c>
      <c r="DV7" s="2" t="s">
        <v>39</v>
      </c>
      <c r="DW7" s="2">
        <v>33016</v>
      </c>
      <c r="DX7" s="2" t="s">
        <v>2715</v>
      </c>
      <c r="DY7" s="2"/>
      <c r="DZ7" s="2" t="s">
        <v>2716</v>
      </c>
      <c r="EA7" s="2" t="s">
        <v>2717</v>
      </c>
      <c r="EB7" s="2" t="s">
        <v>2718</v>
      </c>
      <c r="EC7" s="2" t="s">
        <v>330</v>
      </c>
      <c r="ED7" s="2" t="s">
        <v>44</v>
      </c>
      <c r="EE7" s="2">
        <v>336</v>
      </c>
      <c r="EF7" s="2" t="s">
        <v>3393</v>
      </c>
      <c r="EG7" s="2">
        <v>20</v>
      </c>
      <c r="EH7" s="2" t="s">
        <v>46</v>
      </c>
      <c r="EI7" s="2" t="s">
        <v>47</v>
      </c>
      <c r="EJ7" s="2" t="s">
        <v>2719</v>
      </c>
      <c r="EK7" s="2" t="s">
        <v>2705</v>
      </c>
      <c r="EL7" s="2" t="s">
        <v>44</v>
      </c>
      <c r="EM7" s="2">
        <v>150</v>
      </c>
      <c r="EN7" s="2" t="s">
        <v>3393</v>
      </c>
      <c r="EO7" s="2">
        <v>8</v>
      </c>
      <c r="EP7" s="2" t="s">
        <v>46</v>
      </c>
      <c r="EQ7" s="2" t="s">
        <v>47</v>
      </c>
      <c r="ER7" s="2" t="s">
        <v>2709</v>
      </c>
      <c r="ES7" s="2" t="s">
        <v>2710</v>
      </c>
      <c r="ET7" s="2" t="s">
        <v>2711</v>
      </c>
      <c r="EU7" s="2" t="s">
        <v>2712</v>
      </c>
      <c r="EV7" s="2" t="s">
        <v>2713</v>
      </c>
      <c r="EW7" s="2" t="s">
        <v>2714</v>
      </c>
      <c r="EX7" s="2" t="s">
        <v>39</v>
      </c>
      <c r="EY7" s="2">
        <v>33016</v>
      </c>
      <c r="EZ7" s="2" t="s">
        <v>2715</v>
      </c>
      <c r="FA7" s="2"/>
      <c r="FB7" s="2" t="s">
        <v>2716</v>
      </c>
      <c r="FC7" s="2" t="s">
        <v>2721</v>
      </c>
      <c r="FD7" s="2" t="s">
        <v>400</v>
      </c>
      <c r="FE7" s="2" t="s">
        <v>2722</v>
      </c>
      <c r="FF7" s="2" t="s">
        <v>2712</v>
      </c>
      <c r="FG7" s="2" t="s">
        <v>2713</v>
      </c>
      <c r="FH7" s="2" t="s">
        <v>2714</v>
      </c>
      <c r="FI7" s="2" t="s">
        <v>39</v>
      </c>
      <c r="FJ7" s="2">
        <v>33016</v>
      </c>
      <c r="FK7" s="2" t="s">
        <v>2723</v>
      </c>
      <c r="FL7" s="2"/>
      <c r="FM7" s="2" t="s">
        <v>2724</v>
      </c>
      <c r="FN7" s="2" t="s">
        <v>3437</v>
      </c>
      <c r="FO7" s="2" t="s">
        <v>63</v>
      </c>
      <c r="FP7" s="2" t="s">
        <v>64</v>
      </c>
      <c r="FQ7" s="2" t="s">
        <v>9</v>
      </c>
      <c r="FR7" s="2" t="s">
        <v>17</v>
      </c>
      <c r="FS7" s="2" t="s">
        <v>17</v>
      </c>
      <c r="FT7" s="2" t="s">
        <v>9</v>
      </c>
      <c r="FU7" s="2"/>
      <c r="FV7" s="2"/>
      <c r="FW7" s="2">
        <v>0</v>
      </c>
      <c r="FX7" s="2">
        <v>0</v>
      </c>
      <c r="FY7" s="4">
        <v>0</v>
      </c>
      <c r="FZ7" s="4">
        <v>0</v>
      </c>
      <c r="GA7" s="2" t="s">
        <v>65</v>
      </c>
      <c r="GB7" s="2"/>
      <c r="GC7" s="2" t="s">
        <v>66</v>
      </c>
      <c r="GD7" s="2" t="s">
        <v>67</v>
      </c>
      <c r="GE7" s="2" t="s">
        <v>2684</v>
      </c>
      <c r="GF7" s="2"/>
      <c r="GG7" s="2"/>
      <c r="GH7" s="2"/>
      <c r="GI7" s="2"/>
      <c r="GJ7" s="2"/>
      <c r="GK7" s="2">
        <v>132</v>
      </c>
      <c r="GL7" s="2"/>
      <c r="GM7" s="2"/>
      <c r="GN7" s="2"/>
      <c r="GO7" s="2"/>
      <c r="GP7" s="2"/>
      <c r="GQ7" s="2">
        <v>132</v>
      </c>
      <c r="GR7" s="2" t="s">
        <v>3332</v>
      </c>
      <c r="GS7" s="2" t="s">
        <v>2686</v>
      </c>
      <c r="GT7" s="2" t="s">
        <v>3438</v>
      </c>
      <c r="GU7" s="2" t="s">
        <v>2720</v>
      </c>
      <c r="GV7" s="2" t="s">
        <v>17</v>
      </c>
      <c r="GW7" s="2">
        <v>25.518668999999999</v>
      </c>
      <c r="GX7" s="2">
        <v>-80.418066999999994</v>
      </c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>
        <v>25.521328</v>
      </c>
      <c r="HO7" s="2">
        <v>-80.426177999999993</v>
      </c>
      <c r="HP7" s="2">
        <v>0.54</v>
      </c>
      <c r="HQ7" s="2">
        <v>5</v>
      </c>
      <c r="HR7" s="2"/>
      <c r="HS7" s="2"/>
      <c r="HT7" s="2"/>
      <c r="HU7" s="2"/>
      <c r="HV7" s="2" t="s">
        <v>406</v>
      </c>
      <c r="HW7" s="2" t="s">
        <v>3396</v>
      </c>
      <c r="HX7" s="2">
        <v>0.38</v>
      </c>
      <c r="HY7" s="2">
        <v>3.5</v>
      </c>
      <c r="HZ7" s="2"/>
      <c r="IA7" s="2"/>
      <c r="IB7" s="2"/>
      <c r="IC7" s="2"/>
      <c r="ID7" s="2" t="s">
        <v>406</v>
      </c>
      <c r="IE7" s="2">
        <v>0.38</v>
      </c>
      <c r="IF7" s="2">
        <v>3.5</v>
      </c>
      <c r="IG7" s="2" t="s">
        <v>3412</v>
      </c>
      <c r="IH7" s="2">
        <v>1.72</v>
      </c>
      <c r="II7" s="2">
        <v>1.5</v>
      </c>
      <c r="IJ7" s="2" t="s">
        <v>9</v>
      </c>
      <c r="IK7" s="2" t="s">
        <v>3439</v>
      </c>
      <c r="IL7" s="2" t="s">
        <v>3341</v>
      </c>
      <c r="IM7" s="2" t="s">
        <v>17</v>
      </c>
      <c r="IN7" s="2"/>
      <c r="IO7" s="2" t="s">
        <v>79</v>
      </c>
      <c r="IP7" s="2">
        <v>5</v>
      </c>
      <c r="IQ7" s="2">
        <v>8.5</v>
      </c>
      <c r="IR7" s="2">
        <v>13.5</v>
      </c>
      <c r="IS7" s="2" t="s">
        <v>17</v>
      </c>
      <c r="IT7" s="2" t="s">
        <v>17</v>
      </c>
      <c r="IU7" s="2" t="s">
        <v>9</v>
      </c>
      <c r="IV7" s="2" t="s">
        <v>9</v>
      </c>
      <c r="IW7" s="2" t="s">
        <v>9</v>
      </c>
      <c r="IX7" s="2" t="s">
        <v>9</v>
      </c>
      <c r="IY7" s="2">
        <v>13.5</v>
      </c>
      <c r="IZ7" s="2">
        <v>132</v>
      </c>
      <c r="JA7" s="2" t="s">
        <v>3399</v>
      </c>
      <c r="JB7" s="2"/>
      <c r="JC7" s="2" t="s">
        <v>82</v>
      </c>
      <c r="JD7" s="2"/>
      <c r="JE7" s="2"/>
      <c r="JF7" s="7">
        <v>0</v>
      </c>
      <c r="JG7" s="7"/>
      <c r="JH7" s="7"/>
      <c r="JI7" s="2">
        <v>0</v>
      </c>
      <c r="JJ7" s="7">
        <v>0</v>
      </c>
      <c r="JK7" s="2">
        <v>0</v>
      </c>
      <c r="JL7" s="7">
        <v>0</v>
      </c>
      <c r="JM7" s="2">
        <v>20</v>
      </c>
      <c r="JN7" s="2"/>
      <c r="JO7" s="2"/>
      <c r="JP7" s="2">
        <v>52</v>
      </c>
      <c r="JQ7" s="2">
        <v>60</v>
      </c>
      <c r="JR7" s="2"/>
      <c r="JS7" s="2">
        <v>0</v>
      </c>
      <c r="JT7" s="2">
        <v>0</v>
      </c>
      <c r="JU7" s="2"/>
      <c r="JV7" s="2">
        <v>132</v>
      </c>
      <c r="JW7" s="4">
        <v>1</v>
      </c>
      <c r="JX7" s="2">
        <v>132</v>
      </c>
      <c r="JY7" s="4">
        <v>0.6</v>
      </c>
      <c r="JZ7" s="2">
        <v>0</v>
      </c>
      <c r="KA7" s="2"/>
      <c r="KB7" s="2"/>
      <c r="KC7" s="2"/>
      <c r="KD7" s="2"/>
      <c r="KE7" s="2"/>
      <c r="KF7" s="2"/>
      <c r="KG7" s="2"/>
      <c r="KH7" s="2">
        <v>82</v>
      </c>
      <c r="KI7" s="2"/>
      <c r="KJ7" s="2"/>
      <c r="KK7" s="2">
        <v>50</v>
      </c>
      <c r="KL7" s="2"/>
      <c r="KM7" s="2"/>
      <c r="KN7" s="2"/>
      <c r="KO7" s="2"/>
      <c r="KP7" s="2"/>
      <c r="KQ7" s="2" t="s">
        <v>83</v>
      </c>
      <c r="KR7" s="2"/>
      <c r="KS7" s="2" t="s">
        <v>73</v>
      </c>
      <c r="KT7" s="2">
        <v>1</v>
      </c>
      <c r="KU7" s="2" t="s">
        <v>84</v>
      </c>
      <c r="KV7" s="2" t="s">
        <v>85</v>
      </c>
      <c r="KW7" s="2" t="s">
        <v>86</v>
      </c>
      <c r="KX7" s="2" t="s">
        <v>17</v>
      </c>
      <c r="KY7" s="2" t="s">
        <v>17</v>
      </c>
      <c r="KZ7" s="2" t="s">
        <v>17</v>
      </c>
      <c r="LA7" s="2" t="s">
        <v>17</v>
      </c>
      <c r="LB7" s="2" t="s">
        <v>17</v>
      </c>
      <c r="LC7" s="2" t="s">
        <v>17</v>
      </c>
      <c r="LD7" s="2" t="s">
        <v>17</v>
      </c>
      <c r="LE7" s="2" t="s">
        <v>17</v>
      </c>
      <c r="LF7" s="2" t="s">
        <v>17</v>
      </c>
      <c r="LG7" s="2" t="s">
        <v>17</v>
      </c>
      <c r="LH7" s="2" t="s">
        <v>17</v>
      </c>
      <c r="LI7" s="2" t="s">
        <v>17</v>
      </c>
      <c r="LJ7" s="2" t="s">
        <v>87</v>
      </c>
      <c r="LK7" s="2" t="s">
        <v>17</v>
      </c>
      <c r="LL7" s="2" t="s">
        <v>17</v>
      </c>
      <c r="LM7" s="2">
        <v>0</v>
      </c>
      <c r="LN7" s="2" t="s">
        <v>17</v>
      </c>
      <c r="LO7" s="2" t="s">
        <v>17</v>
      </c>
      <c r="LP7" s="2" t="s">
        <v>17</v>
      </c>
      <c r="LQ7" s="2" t="s">
        <v>17</v>
      </c>
      <c r="LR7" s="2" t="s">
        <v>17</v>
      </c>
      <c r="LS7" s="2" t="s">
        <v>17</v>
      </c>
      <c r="LT7" s="2" t="s">
        <v>9</v>
      </c>
      <c r="LU7" s="2" t="s">
        <v>9</v>
      </c>
      <c r="LV7" s="2" t="s">
        <v>17</v>
      </c>
      <c r="LW7" s="2" t="s">
        <v>17</v>
      </c>
      <c r="LX7" s="2" t="s">
        <v>9</v>
      </c>
      <c r="LY7" s="5">
        <v>6500000</v>
      </c>
      <c r="LZ7" s="5">
        <v>0</v>
      </c>
      <c r="MA7" s="5">
        <v>8400000</v>
      </c>
      <c r="MB7" s="5">
        <v>0</v>
      </c>
      <c r="MC7" s="5">
        <v>0</v>
      </c>
      <c r="MD7" s="5">
        <v>0</v>
      </c>
      <c r="ME7" s="5">
        <v>10000000</v>
      </c>
      <c r="MF7" s="5">
        <v>0</v>
      </c>
      <c r="MG7" s="5">
        <v>0</v>
      </c>
      <c r="MH7" s="5">
        <v>0</v>
      </c>
      <c r="MI7" s="5">
        <v>0</v>
      </c>
      <c r="MJ7" s="5">
        <v>0</v>
      </c>
      <c r="MK7" s="5">
        <v>0</v>
      </c>
      <c r="ML7" s="2">
        <v>0</v>
      </c>
      <c r="MM7" s="5">
        <v>0</v>
      </c>
      <c r="MN7" s="5">
        <v>0</v>
      </c>
      <c r="MO7" s="2">
        <v>0</v>
      </c>
      <c r="MP7" s="2">
        <v>0</v>
      </c>
      <c r="MQ7" s="2">
        <v>0</v>
      </c>
      <c r="MR7" s="5">
        <v>2950000</v>
      </c>
      <c r="MS7" s="5">
        <v>0</v>
      </c>
      <c r="MT7" s="5">
        <v>4600000</v>
      </c>
      <c r="MU7" s="5">
        <v>0</v>
      </c>
      <c r="MV7" s="5">
        <v>0</v>
      </c>
      <c r="MW7" s="5">
        <v>0</v>
      </c>
      <c r="MX7" s="5">
        <v>0</v>
      </c>
      <c r="MY7" s="5">
        <v>2500000</v>
      </c>
      <c r="MZ7" s="5">
        <v>0</v>
      </c>
      <c r="NA7" s="5">
        <v>5000000</v>
      </c>
      <c r="NB7" s="5">
        <v>0</v>
      </c>
      <c r="NC7" s="5">
        <v>0</v>
      </c>
      <c r="ND7" s="5">
        <v>0</v>
      </c>
      <c r="NE7" s="5">
        <v>0</v>
      </c>
      <c r="NF7" s="5">
        <v>0</v>
      </c>
      <c r="NG7" s="5">
        <v>3458400</v>
      </c>
      <c r="NH7" s="5">
        <v>3458400</v>
      </c>
      <c r="NI7" s="5">
        <v>3458400</v>
      </c>
      <c r="NJ7" s="5"/>
      <c r="NK7" s="5">
        <v>0</v>
      </c>
      <c r="NL7" s="2" t="s">
        <v>17</v>
      </c>
      <c r="NM7" s="2" t="s">
        <v>17</v>
      </c>
      <c r="NN7" s="2"/>
      <c r="NO7" s="2" t="s">
        <v>17</v>
      </c>
      <c r="NP7" s="2"/>
      <c r="NQ7" s="2"/>
      <c r="NR7" s="2" t="s">
        <v>17</v>
      </c>
      <c r="NS7" s="2"/>
      <c r="NT7" s="2" t="s">
        <v>9</v>
      </c>
      <c r="NU7" s="2" t="s">
        <v>450</v>
      </c>
      <c r="NV7" s="2">
        <v>108.04</v>
      </c>
      <c r="NW7" s="2" t="s">
        <v>3342</v>
      </c>
      <c r="NX7" s="2" t="s">
        <v>17</v>
      </c>
      <c r="NY7" s="2"/>
      <c r="NZ7" s="2"/>
      <c r="OA7" s="2" t="s">
        <v>118</v>
      </c>
      <c r="OB7" s="2" t="s">
        <v>118</v>
      </c>
      <c r="OC7" s="2" t="s">
        <v>118</v>
      </c>
      <c r="OD7" s="2" t="s">
        <v>3343</v>
      </c>
      <c r="OE7" s="2" t="s">
        <v>3440</v>
      </c>
      <c r="OF7" s="2"/>
      <c r="OG7" s="2" t="s">
        <v>17</v>
      </c>
      <c r="OH7" s="2" t="s">
        <v>119</v>
      </c>
      <c r="OI7" s="2" t="s">
        <v>17</v>
      </c>
      <c r="OJ7" s="2"/>
      <c r="OK7" s="2" t="s">
        <v>17</v>
      </c>
      <c r="OL7" s="2" t="s">
        <v>17</v>
      </c>
      <c r="OM7" s="2" t="s">
        <v>85</v>
      </c>
      <c r="ON7" s="6">
        <v>0</v>
      </c>
      <c r="OO7" s="6">
        <v>0</v>
      </c>
      <c r="OP7" s="2" t="s">
        <v>93</v>
      </c>
      <c r="OQ7" s="2" t="s">
        <v>93</v>
      </c>
      <c r="OR7" s="6">
        <v>0</v>
      </c>
      <c r="OS7" s="4">
        <v>0</v>
      </c>
      <c r="OT7" s="2" t="s">
        <v>17</v>
      </c>
      <c r="OU7" s="2" t="s">
        <v>17</v>
      </c>
      <c r="OV7" s="2"/>
      <c r="OW7" s="2"/>
      <c r="OX7" s="5">
        <v>22205003</v>
      </c>
      <c r="OY7" s="6">
        <v>168219.72</v>
      </c>
      <c r="OZ7" s="2"/>
      <c r="PA7" s="2"/>
      <c r="PB7" s="2"/>
      <c r="PC7" s="2"/>
      <c r="PD7" s="8">
        <v>23866800</v>
      </c>
      <c r="PE7" s="8">
        <v>450000</v>
      </c>
      <c r="PF7" s="8">
        <v>24316800</v>
      </c>
      <c r="PG7" s="2"/>
      <c r="PH7" s="2"/>
      <c r="PI7" s="2"/>
      <c r="PJ7" s="2"/>
      <c r="PK7" s="2"/>
      <c r="PL7" s="2"/>
      <c r="PM7" s="8">
        <v>23866800</v>
      </c>
      <c r="PN7" s="8">
        <v>450000</v>
      </c>
      <c r="PO7" s="8">
        <v>24316800</v>
      </c>
      <c r="PP7" s="8">
        <v>3341352</v>
      </c>
      <c r="PQ7" s="8">
        <v>62999</v>
      </c>
      <c r="PR7" s="8">
        <v>3404351</v>
      </c>
      <c r="PS7" s="6">
        <v>3404352</v>
      </c>
      <c r="PT7" s="8">
        <v>27208152</v>
      </c>
      <c r="PU7" s="8">
        <v>512999</v>
      </c>
      <c r="PV7" s="8">
        <v>27721151</v>
      </c>
      <c r="PW7" s="8">
        <v>1386057</v>
      </c>
      <c r="PX7" s="2"/>
      <c r="PY7" s="8">
        <v>1386057</v>
      </c>
      <c r="PZ7" s="6">
        <v>1386057.55</v>
      </c>
      <c r="QA7" s="8">
        <v>1245100</v>
      </c>
      <c r="QB7" s="8">
        <v>170000</v>
      </c>
      <c r="QC7" s="8">
        <v>1415100</v>
      </c>
      <c r="QD7" s="8">
        <v>158400</v>
      </c>
      <c r="QE7" s="2"/>
      <c r="QF7" s="8">
        <v>158400</v>
      </c>
      <c r="QG7" s="8">
        <v>785400</v>
      </c>
      <c r="QH7" s="2"/>
      <c r="QI7" s="8">
        <v>785400</v>
      </c>
      <c r="QJ7" s="2"/>
      <c r="QK7" s="8">
        <v>535600</v>
      </c>
      <c r="QL7" s="8">
        <v>535600</v>
      </c>
      <c r="QM7" s="2"/>
      <c r="QN7" s="2"/>
      <c r="QO7" s="2"/>
      <c r="QP7" s="8">
        <v>250800</v>
      </c>
      <c r="QQ7" s="2"/>
      <c r="QR7" s="8">
        <v>250800</v>
      </c>
      <c r="QS7" s="8">
        <v>2439700</v>
      </c>
      <c r="QT7" s="8">
        <v>705600</v>
      </c>
      <c r="QU7" s="8">
        <v>3145300</v>
      </c>
      <c r="QV7" s="2"/>
      <c r="QW7" s="8">
        <v>157264</v>
      </c>
      <c r="QX7" s="8">
        <v>157264</v>
      </c>
      <c r="QY7" s="6">
        <v>157265</v>
      </c>
      <c r="QZ7" s="8">
        <v>1798500</v>
      </c>
      <c r="RA7" s="2"/>
      <c r="RB7" s="8">
        <v>1798500</v>
      </c>
      <c r="RC7" s="8">
        <v>176750</v>
      </c>
      <c r="RD7" s="8">
        <v>176750</v>
      </c>
      <c r="RE7" s="2"/>
      <c r="RF7" s="8">
        <v>40000</v>
      </c>
      <c r="RG7" s="8">
        <v>40000</v>
      </c>
      <c r="RH7" s="8">
        <v>1798500</v>
      </c>
      <c r="RI7" s="8">
        <v>216750</v>
      </c>
      <c r="RJ7" s="8">
        <v>2015250</v>
      </c>
      <c r="RK7" s="8">
        <v>32832409</v>
      </c>
      <c r="RL7" s="8">
        <v>1592613</v>
      </c>
      <c r="RM7" s="8">
        <v>34425022</v>
      </c>
      <c r="RN7" s="2">
        <v>0</v>
      </c>
      <c r="RO7" s="6">
        <v>0</v>
      </c>
      <c r="RP7" s="8">
        <v>5508002</v>
      </c>
      <c r="RQ7" s="2"/>
      <c r="RR7" s="8">
        <v>5508002</v>
      </c>
      <c r="RS7" s="6">
        <v>5508003</v>
      </c>
      <c r="RT7" s="6">
        <v>0</v>
      </c>
      <c r="RU7" s="8">
        <v>5508002</v>
      </c>
      <c r="RV7" s="2"/>
      <c r="RW7" s="8">
        <v>5508002</v>
      </c>
      <c r="RX7" s="6">
        <v>5508003</v>
      </c>
      <c r="RY7" s="8">
        <v>408542</v>
      </c>
      <c r="RZ7" s="8">
        <v>408542</v>
      </c>
      <c r="SA7" s="6">
        <v>462000</v>
      </c>
      <c r="SB7" s="8">
        <v>3960000</v>
      </c>
      <c r="SC7" s="8">
        <v>3960000</v>
      </c>
      <c r="SD7" s="8">
        <v>38340411</v>
      </c>
      <c r="SE7" s="8">
        <v>5961155</v>
      </c>
      <c r="SF7" s="8">
        <v>44301566</v>
      </c>
      <c r="SG7" s="2"/>
      <c r="SH7" s="2"/>
      <c r="SI7" s="2" t="s">
        <v>3403</v>
      </c>
      <c r="SJ7" s="2" t="s">
        <v>3404</v>
      </c>
      <c r="SK7" s="8">
        <v>28000000</v>
      </c>
      <c r="SL7" s="2" t="s">
        <v>95</v>
      </c>
      <c r="SM7" s="2"/>
      <c r="SN7" s="2"/>
      <c r="SO7" s="2"/>
      <c r="SP7" s="2"/>
      <c r="SQ7" s="2"/>
      <c r="SR7" s="2"/>
      <c r="SS7" s="2" t="s">
        <v>96</v>
      </c>
      <c r="ST7" s="2" t="s">
        <v>96</v>
      </c>
      <c r="SU7" s="2" t="s">
        <v>96</v>
      </c>
      <c r="SV7" s="2" t="s">
        <v>96</v>
      </c>
      <c r="SW7" s="8">
        <v>12873547</v>
      </c>
      <c r="SX7" s="2"/>
      <c r="SY7" s="2"/>
      <c r="SZ7" s="2"/>
      <c r="TA7" s="2"/>
      <c r="TB7" s="2"/>
      <c r="TC7" s="2"/>
      <c r="TD7" s="8">
        <v>3428019</v>
      </c>
      <c r="TE7" s="8">
        <v>44301566</v>
      </c>
      <c r="TF7" s="2">
        <v>0</v>
      </c>
      <c r="TG7" s="2" t="s">
        <v>9</v>
      </c>
      <c r="TH7" s="8">
        <v>11550000</v>
      </c>
      <c r="TI7" s="2" t="s">
        <v>95</v>
      </c>
      <c r="TJ7" s="2"/>
      <c r="TK7" s="2"/>
      <c r="TL7" s="2"/>
      <c r="TM7" s="2"/>
      <c r="TN7" s="2" t="s">
        <v>96</v>
      </c>
      <c r="TO7" s="2" t="s">
        <v>96</v>
      </c>
      <c r="TP7" s="2" t="s">
        <v>96</v>
      </c>
      <c r="TQ7" s="2" t="s">
        <v>96</v>
      </c>
      <c r="TR7" s="8">
        <v>32183870</v>
      </c>
      <c r="TS7" s="2"/>
      <c r="TT7" s="2"/>
      <c r="TU7" s="2"/>
      <c r="TV7" s="2"/>
      <c r="TW7" s="2"/>
      <c r="TX7" s="2"/>
      <c r="TY7" s="8">
        <v>567696</v>
      </c>
      <c r="TZ7" s="8">
        <v>44301566</v>
      </c>
      <c r="UA7" s="6">
        <v>11550000</v>
      </c>
      <c r="UB7" s="2">
        <v>0</v>
      </c>
      <c r="UC7" s="2" t="s">
        <v>9</v>
      </c>
      <c r="UD7" s="2">
        <v>132</v>
      </c>
      <c r="UE7" s="5">
        <v>310000</v>
      </c>
      <c r="UF7" s="6">
        <v>413333.33</v>
      </c>
      <c r="UG7" s="6">
        <v>413333.33</v>
      </c>
      <c r="UH7" s="6">
        <v>438133.33</v>
      </c>
      <c r="UI7" s="6">
        <v>57833600</v>
      </c>
      <c r="UJ7" s="6">
        <v>9253376</v>
      </c>
      <c r="UK7" s="2" t="s">
        <v>97</v>
      </c>
      <c r="UL7" s="6">
        <v>9253376</v>
      </c>
      <c r="UM7" s="6">
        <v>67086976</v>
      </c>
      <c r="UN7" s="6">
        <v>39933024</v>
      </c>
      <c r="UO7" s="4">
        <v>0.99990000000000001</v>
      </c>
      <c r="UP7" s="2" t="s">
        <v>9</v>
      </c>
      <c r="UQ7" s="6">
        <v>0</v>
      </c>
      <c r="UR7" s="6">
        <v>0</v>
      </c>
      <c r="US7" s="6">
        <v>905945.04</v>
      </c>
      <c r="UT7" s="6">
        <v>905945.04</v>
      </c>
      <c r="UU7" s="6">
        <v>0</v>
      </c>
      <c r="UV7" s="6">
        <v>905945.04</v>
      </c>
      <c r="UW7" s="6">
        <v>0</v>
      </c>
      <c r="UX7" s="6">
        <v>905945.04</v>
      </c>
      <c r="UY7" s="2" t="s">
        <v>3387</v>
      </c>
      <c r="UZ7" s="2" t="s">
        <v>3288</v>
      </c>
      <c r="VA7" s="2" t="s">
        <v>17</v>
      </c>
      <c r="VB7" s="2" t="s">
        <v>17</v>
      </c>
      <c r="VC7" s="2" t="s">
        <v>17</v>
      </c>
      <c r="VD7" s="2" t="s">
        <v>17</v>
      </c>
      <c r="VE7" s="2" t="s">
        <v>17</v>
      </c>
      <c r="VF7" s="2" t="s">
        <v>17</v>
      </c>
      <c r="VG7" s="2" t="s">
        <v>3441</v>
      </c>
      <c r="VH7" s="2"/>
      <c r="VI7" s="388" t="s">
        <v>2742</v>
      </c>
      <c r="VJ7" s="2" t="s">
        <v>98</v>
      </c>
      <c r="VK7" s="2" t="s">
        <v>1168</v>
      </c>
      <c r="VL7" s="23">
        <f t="shared" si="0"/>
        <v>182</v>
      </c>
      <c r="VM7" s="17">
        <f t="shared" si="1"/>
        <v>1.3787878787878789</v>
      </c>
      <c r="VN7" s="17" t="str">
        <f t="shared" si="2"/>
        <v>NC-HR-E</v>
      </c>
      <c r="VO7" s="17" t="str">
        <f t="shared" si="14"/>
        <v>NC-HR-E-ESS</v>
      </c>
      <c r="VP7" s="12">
        <v>9</v>
      </c>
      <c r="VQ7" s="57">
        <v>1</v>
      </c>
      <c r="VR7" s="57">
        <f t="shared" si="3"/>
        <v>1</v>
      </c>
      <c r="VS7" s="14">
        <f t="shared" si="4"/>
        <v>1</v>
      </c>
      <c r="VT7" s="12">
        <f t="shared" si="5"/>
        <v>0.88349999999999995</v>
      </c>
      <c r="VU7" s="29">
        <f t="shared" si="6"/>
        <v>27499467.599999998</v>
      </c>
      <c r="VV7" s="29">
        <f t="shared" si="7"/>
        <v>208329.3</v>
      </c>
      <c r="VW7" s="12" t="str">
        <f t="shared" si="15"/>
        <v>A</v>
      </c>
      <c r="VX7" s="12" t="str">
        <f t="shared" si="8"/>
        <v>NC-HR-ESS</v>
      </c>
      <c r="VY7" s="352">
        <f t="shared" si="16"/>
        <v>1</v>
      </c>
      <c r="WA7" s="12">
        <f t="shared" si="17"/>
        <v>1</v>
      </c>
      <c r="WB7" s="12">
        <f t="shared" si="18"/>
        <v>0</v>
      </c>
      <c r="WC7" s="12">
        <f t="shared" si="18"/>
        <v>0</v>
      </c>
      <c r="WD7" s="12">
        <f t="shared" si="18"/>
        <v>0</v>
      </c>
      <c r="WE7" s="12">
        <f t="shared" si="19"/>
        <v>1</v>
      </c>
      <c r="WF7" s="12">
        <f t="shared" si="9"/>
        <v>0</v>
      </c>
      <c r="WG7" s="12">
        <f t="shared" si="10"/>
        <v>0</v>
      </c>
      <c r="WH7" s="12">
        <f t="shared" si="11"/>
        <v>1</v>
      </c>
      <c r="WI7" s="31">
        <f t="shared" si="12"/>
        <v>3</v>
      </c>
      <c r="WJ7" s="2"/>
      <c r="WK7" s="444" t="str">
        <f t="shared" si="13"/>
        <v>NC-HR-ESS-BBN-BRN-NPH-E</v>
      </c>
      <c r="WL7" s="444"/>
      <c r="WM7" s="444"/>
      <c r="WN7" s="12"/>
      <c r="WO7" s="380" t="s">
        <v>2623</v>
      </c>
      <c r="WP7" s="144">
        <f>COUNTIFS($WG$2:$WG$72,"=1",$WA$2:$WA$72,"=1")</f>
        <v>4</v>
      </c>
      <c r="WQ7" s="144">
        <f>COUNTIFS($WG$2:$WG$72,"=1",$WB$2:$WB$72,"=1")</f>
        <v>0</v>
      </c>
      <c r="WR7" s="144">
        <f>COUNTIFS($WG$2:$WG$72,"=1",$WC$2:$WC$72,"=1")</f>
        <v>0</v>
      </c>
      <c r="WS7" s="144">
        <f>COUNTIFS($WG$2:$WG$72,"=1",$WD$2:$WD$72,"=1")</f>
        <v>0</v>
      </c>
      <c r="WT7" s="144">
        <f>COUNTIFS($WG$2:$WG$72,"=1",$WF$2:$WF$72,"=1")</f>
        <v>3</v>
      </c>
      <c r="WU7" s="384"/>
      <c r="WV7" s="144">
        <f>COUNTIFS($WG$2:$WG$72,"=1",$WH$2:$WH$72,"=1")</f>
        <v>0</v>
      </c>
      <c r="WW7" s="144">
        <f>COUNTIFS($WG$2:$WG$72,"=1",$WE$2:$WE$72,"=1")</f>
        <v>11</v>
      </c>
      <c r="WX7" s="205">
        <f>COUNTIF($WG$2:$WG$72,"=1")</f>
        <v>11</v>
      </c>
    </row>
    <row r="8" spans="1:622" x14ac:dyDescent="0.25">
      <c r="A8" s="2">
        <v>9652</v>
      </c>
      <c r="B8" s="2" t="s">
        <v>3442</v>
      </c>
      <c r="C8" s="2" t="s">
        <v>3305</v>
      </c>
      <c r="D8" s="3">
        <v>45159</v>
      </c>
      <c r="E8" s="2" t="s">
        <v>9</v>
      </c>
      <c r="F8" s="2">
        <v>3</v>
      </c>
      <c r="G8" s="2" t="s">
        <v>9</v>
      </c>
      <c r="H8" s="2">
        <v>3</v>
      </c>
      <c r="I8" s="2" t="s">
        <v>9</v>
      </c>
      <c r="J8" s="2">
        <v>2</v>
      </c>
      <c r="K8" s="2" t="s">
        <v>9</v>
      </c>
      <c r="L8" s="2">
        <v>3</v>
      </c>
      <c r="M8" s="2" t="s">
        <v>10</v>
      </c>
      <c r="N8" s="2">
        <v>0</v>
      </c>
      <c r="O8" s="2" t="s">
        <v>10</v>
      </c>
      <c r="P8" s="2">
        <v>0</v>
      </c>
      <c r="Q8" s="2" t="s">
        <v>11</v>
      </c>
      <c r="R8" s="2">
        <v>0</v>
      </c>
      <c r="S8" s="2" t="s">
        <v>9</v>
      </c>
      <c r="T8" s="2">
        <v>2</v>
      </c>
      <c r="U8" s="2" t="s">
        <v>9</v>
      </c>
      <c r="V8" s="2">
        <v>2</v>
      </c>
      <c r="W8" s="2" t="s">
        <v>9</v>
      </c>
      <c r="X8" s="2">
        <v>2</v>
      </c>
      <c r="Y8" s="2" t="s">
        <v>12</v>
      </c>
      <c r="Z8" s="2" t="s">
        <v>538</v>
      </c>
      <c r="AA8" s="2" t="s">
        <v>13</v>
      </c>
      <c r="AB8" s="2" t="s">
        <v>187</v>
      </c>
      <c r="AC8" s="2" t="s">
        <v>15</v>
      </c>
      <c r="AD8" s="2" t="s">
        <v>15</v>
      </c>
      <c r="AE8" s="2" t="s">
        <v>15</v>
      </c>
      <c r="AF8" s="2">
        <v>3</v>
      </c>
      <c r="AG8" s="2" t="s">
        <v>1366</v>
      </c>
      <c r="AH8" s="2" t="s">
        <v>17</v>
      </c>
      <c r="AI8" s="4">
        <v>0.1</v>
      </c>
      <c r="AJ8" s="2" t="s">
        <v>17</v>
      </c>
      <c r="AK8" s="2" t="s">
        <v>9</v>
      </c>
      <c r="AL8" s="2" t="s">
        <v>17</v>
      </c>
      <c r="AM8" s="2" t="s">
        <v>17</v>
      </c>
      <c r="AN8" s="2" t="s">
        <v>17</v>
      </c>
      <c r="AO8" s="2" t="s">
        <v>9</v>
      </c>
      <c r="AP8" s="2" t="s">
        <v>17</v>
      </c>
      <c r="AQ8" s="2" t="s">
        <v>17</v>
      </c>
      <c r="AR8" s="2" t="s">
        <v>17</v>
      </c>
      <c r="AS8" s="2" t="s">
        <v>17</v>
      </c>
      <c r="AT8" s="2">
        <v>5</v>
      </c>
      <c r="AU8" s="5">
        <v>100000</v>
      </c>
      <c r="AV8" s="2" t="s">
        <v>85</v>
      </c>
      <c r="AW8" s="2">
        <v>0</v>
      </c>
      <c r="AX8" s="2">
        <v>9</v>
      </c>
      <c r="AY8" s="2">
        <v>0</v>
      </c>
      <c r="AZ8" s="2">
        <v>18</v>
      </c>
      <c r="BA8" s="2">
        <v>0</v>
      </c>
      <c r="BB8" s="2">
        <v>0</v>
      </c>
      <c r="BC8" s="2">
        <v>1</v>
      </c>
      <c r="BD8" s="2">
        <v>3</v>
      </c>
      <c r="BE8" s="2">
        <v>0</v>
      </c>
      <c r="BF8" s="2">
        <v>0</v>
      </c>
      <c r="BG8" s="2">
        <v>0</v>
      </c>
      <c r="BH8" s="2">
        <v>0</v>
      </c>
      <c r="BI8" s="2">
        <v>13</v>
      </c>
      <c r="BJ8" s="2">
        <v>1</v>
      </c>
      <c r="BK8" s="2">
        <v>0</v>
      </c>
      <c r="BL8" s="2">
        <v>2</v>
      </c>
      <c r="BM8" s="2">
        <v>1</v>
      </c>
      <c r="BN8" s="2">
        <v>10</v>
      </c>
      <c r="BO8" s="2">
        <v>11</v>
      </c>
      <c r="BP8" s="2">
        <v>0</v>
      </c>
      <c r="BQ8" s="2">
        <v>10</v>
      </c>
      <c r="BR8" s="2">
        <v>12.3</v>
      </c>
      <c r="BS8" s="2">
        <v>0</v>
      </c>
      <c r="BT8" s="4">
        <v>0.06</v>
      </c>
      <c r="BU8" s="2" t="s">
        <v>9</v>
      </c>
      <c r="BV8" s="6">
        <v>170807.72</v>
      </c>
      <c r="BW8" s="2" t="s">
        <v>126</v>
      </c>
      <c r="BX8" s="2" t="s">
        <v>17</v>
      </c>
      <c r="BY8" s="2" t="s">
        <v>17</v>
      </c>
      <c r="BZ8" s="2" t="s">
        <v>17</v>
      </c>
      <c r="CA8" s="2" t="s">
        <v>17</v>
      </c>
      <c r="CB8" s="2" t="s">
        <v>17</v>
      </c>
      <c r="CC8" s="2" t="s">
        <v>17</v>
      </c>
      <c r="CD8" s="2" t="s">
        <v>17</v>
      </c>
      <c r="CE8" s="2" t="s">
        <v>3443</v>
      </c>
      <c r="CF8" s="2" t="s">
        <v>17</v>
      </c>
      <c r="CG8" s="2" t="s">
        <v>1817</v>
      </c>
      <c r="CH8" s="2" t="s">
        <v>1818</v>
      </c>
      <c r="CI8" s="2" t="s">
        <v>1819</v>
      </c>
      <c r="CJ8" s="2" t="s">
        <v>9</v>
      </c>
      <c r="CK8" s="2" t="s">
        <v>1820</v>
      </c>
      <c r="CL8" s="2" t="s">
        <v>1817</v>
      </c>
      <c r="CM8" s="2" t="s">
        <v>1821</v>
      </c>
      <c r="CN8" s="2" t="s">
        <v>1822</v>
      </c>
      <c r="CO8" s="2" t="s">
        <v>24</v>
      </c>
      <c r="CP8" s="2"/>
      <c r="CQ8" s="2">
        <v>117</v>
      </c>
      <c r="CR8" s="2" t="s">
        <v>3444</v>
      </c>
      <c r="CS8" s="2">
        <v>2019</v>
      </c>
      <c r="CT8" s="2" t="s">
        <v>26</v>
      </c>
      <c r="CU8" s="2" t="s">
        <v>27</v>
      </c>
      <c r="CV8" s="2" t="s">
        <v>2942</v>
      </c>
      <c r="CW8" s="2" t="s">
        <v>2943</v>
      </c>
      <c r="CX8" s="2" t="s">
        <v>800</v>
      </c>
      <c r="CY8" s="2"/>
      <c r="CZ8" s="2">
        <v>92</v>
      </c>
      <c r="DA8" s="2" t="s">
        <v>3444</v>
      </c>
      <c r="DB8" s="2">
        <v>2017</v>
      </c>
      <c r="DC8" s="2" t="s">
        <v>26</v>
      </c>
      <c r="DD8" s="2" t="s">
        <v>27</v>
      </c>
      <c r="DE8" s="2" t="s">
        <v>1825</v>
      </c>
      <c r="DF8" s="2" t="s">
        <v>1824</v>
      </c>
      <c r="DG8" s="2" t="s">
        <v>24</v>
      </c>
      <c r="DH8" s="2"/>
      <c r="DI8" s="2">
        <v>116</v>
      </c>
      <c r="DJ8" s="2" t="s">
        <v>3444</v>
      </c>
      <c r="DK8" s="2">
        <v>2018</v>
      </c>
      <c r="DL8" s="2" t="s">
        <v>30</v>
      </c>
      <c r="DM8" s="2" t="s">
        <v>27</v>
      </c>
      <c r="DN8" s="2" t="s">
        <v>33</v>
      </c>
      <c r="DO8" s="2" t="s">
        <v>1826</v>
      </c>
      <c r="DP8" s="2"/>
      <c r="DQ8" s="2" t="s">
        <v>1827</v>
      </c>
      <c r="DR8" s="2" t="s">
        <v>1828</v>
      </c>
      <c r="DS8" s="2">
        <v>1</v>
      </c>
      <c r="DT8" s="2" t="s">
        <v>1829</v>
      </c>
      <c r="DU8" s="2" t="s">
        <v>1830</v>
      </c>
      <c r="DV8" s="2" t="s">
        <v>701</v>
      </c>
      <c r="DW8" s="2">
        <v>30005</v>
      </c>
      <c r="DX8" s="2" t="s">
        <v>2944</v>
      </c>
      <c r="DY8" s="2"/>
      <c r="DZ8" s="2" t="s">
        <v>1832</v>
      </c>
      <c r="EA8" s="2" t="s">
        <v>1828</v>
      </c>
      <c r="EB8" s="2" t="s">
        <v>1833</v>
      </c>
      <c r="EC8" s="2" t="s">
        <v>1834</v>
      </c>
      <c r="ED8" s="2" t="s">
        <v>44</v>
      </c>
      <c r="EE8" s="2">
        <v>100</v>
      </c>
      <c r="EF8" s="2" t="s">
        <v>3445</v>
      </c>
      <c r="EG8" s="2">
        <v>8</v>
      </c>
      <c r="EH8" s="2" t="s">
        <v>46</v>
      </c>
      <c r="EI8" s="2" t="s">
        <v>47</v>
      </c>
      <c r="EJ8" s="2" t="s">
        <v>1821</v>
      </c>
      <c r="EK8" s="2" t="s">
        <v>1822</v>
      </c>
      <c r="EL8" s="2" t="s">
        <v>44</v>
      </c>
      <c r="EM8" s="2">
        <v>117</v>
      </c>
      <c r="EN8" s="2" t="s">
        <v>3445</v>
      </c>
      <c r="EO8" s="2">
        <v>4</v>
      </c>
      <c r="EP8" s="2" t="s">
        <v>46</v>
      </c>
      <c r="EQ8" s="2" t="s">
        <v>47</v>
      </c>
      <c r="ER8" s="2" t="s">
        <v>1826</v>
      </c>
      <c r="ES8" s="2"/>
      <c r="ET8" s="2" t="s">
        <v>1827</v>
      </c>
      <c r="EU8" s="2" t="s">
        <v>3443</v>
      </c>
      <c r="EV8" s="2" t="s">
        <v>2945</v>
      </c>
      <c r="EW8" s="2" t="s">
        <v>1830</v>
      </c>
      <c r="EX8" s="2" t="s">
        <v>701</v>
      </c>
      <c r="EY8" s="2">
        <v>30005</v>
      </c>
      <c r="EZ8" s="2" t="s">
        <v>2944</v>
      </c>
      <c r="FA8" s="2"/>
      <c r="FB8" s="2" t="s">
        <v>1832</v>
      </c>
      <c r="FC8" s="2" t="s">
        <v>1836</v>
      </c>
      <c r="FD8" s="2"/>
      <c r="FE8" s="2" t="s">
        <v>1837</v>
      </c>
      <c r="FF8" s="2" t="s">
        <v>3443</v>
      </c>
      <c r="FG8" s="2" t="s">
        <v>1838</v>
      </c>
      <c r="FH8" s="2" t="s">
        <v>1839</v>
      </c>
      <c r="FI8" s="2" t="s">
        <v>39</v>
      </c>
      <c r="FJ8" s="2">
        <v>33411</v>
      </c>
      <c r="FK8" s="2" t="s">
        <v>1840</v>
      </c>
      <c r="FL8" s="2"/>
      <c r="FM8" s="2" t="s">
        <v>1841</v>
      </c>
      <c r="FN8" s="2" t="s">
        <v>3446</v>
      </c>
      <c r="FO8" s="2" t="s">
        <v>63</v>
      </c>
      <c r="FP8" s="2" t="s">
        <v>64</v>
      </c>
      <c r="FQ8" s="2" t="s">
        <v>9</v>
      </c>
      <c r="FR8" s="2" t="s">
        <v>17</v>
      </c>
      <c r="FS8" s="2" t="s">
        <v>17</v>
      </c>
      <c r="FT8" s="2" t="s">
        <v>9</v>
      </c>
      <c r="FU8" s="2"/>
      <c r="FV8" s="2"/>
      <c r="FW8" s="2">
        <v>0</v>
      </c>
      <c r="FX8" s="2">
        <v>0</v>
      </c>
      <c r="FY8" s="4">
        <v>0</v>
      </c>
      <c r="FZ8" s="4">
        <v>0</v>
      </c>
      <c r="GA8" s="2" t="s">
        <v>65</v>
      </c>
      <c r="GB8" s="2"/>
      <c r="GC8" s="2" t="s">
        <v>66</v>
      </c>
      <c r="GD8" s="2" t="s">
        <v>67</v>
      </c>
      <c r="GE8" s="2" t="s">
        <v>2684</v>
      </c>
      <c r="GF8" s="2"/>
      <c r="GG8" s="2"/>
      <c r="GH8" s="2"/>
      <c r="GI8" s="2"/>
      <c r="GJ8" s="2"/>
      <c r="GK8" s="2">
        <v>130</v>
      </c>
      <c r="GL8" s="2"/>
      <c r="GM8" s="2"/>
      <c r="GN8" s="2"/>
      <c r="GO8" s="2"/>
      <c r="GP8" s="2"/>
      <c r="GQ8" s="2">
        <v>130</v>
      </c>
      <c r="GR8" s="2" t="s">
        <v>3332</v>
      </c>
      <c r="GS8" s="2" t="s">
        <v>2686</v>
      </c>
      <c r="GT8" s="2" t="s">
        <v>3447</v>
      </c>
      <c r="GU8" s="2" t="s">
        <v>3448</v>
      </c>
      <c r="GV8" s="2" t="s">
        <v>9</v>
      </c>
      <c r="GW8" s="2">
        <v>25.913236000000001</v>
      </c>
      <c r="GX8" s="2">
        <v>-80.211130999999995</v>
      </c>
      <c r="GY8" s="2" t="s">
        <v>3449</v>
      </c>
      <c r="GZ8" s="2">
        <v>25.913356</v>
      </c>
      <c r="HA8" s="2">
        <v>-80.211588000000006</v>
      </c>
      <c r="HB8" s="2">
        <v>0.03</v>
      </c>
      <c r="HC8" s="2">
        <v>6</v>
      </c>
      <c r="HD8" s="2">
        <v>25.913274999999999</v>
      </c>
      <c r="HE8" s="2">
        <v>-80.211856999999995</v>
      </c>
      <c r="HF8" s="2">
        <v>0.05</v>
      </c>
      <c r="HG8" s="2">
        <v>25.911086999999998</v>
      </c>
      <c r="HH8" s="2">
        <v>-80.211545999999998</v>
      </c>
      <c r="HI8" s="2">
        <v>0.15</v>
      </c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 t="s">
        <v>359</v>
      </c>
      <c r="HW8" s="2" t="s">
        <v>3450</v>
      </c>
      <c r="HX8" s="2">
        <v>0.16</v>
      </c>
      <c r="HY8" s="2">
        <v>4</v>
      </c>
      <c r="HZ8" s="2" t="s">
        <v>3451</v>
      </c>
      <c r="IA8" s="2" t="s">
        <v>3452</v>
      </c>
      <c r="IB8" s="2">
        <v>1.25</v>
      </c>
      <c r="IC8" s="2">
        <v>2</v>
      </c>
      <c r="ID8" s="2"/>
      <c r="IE8" s="2"/>
      <c r="IF8" s="2"/>
      <c r="IG8" s="2" t="s">
        <v>3453</v>
      </c>
      <c r="IH8" s="2">
        <v>0.28999999999999998</v>
      </c>
      <c r="II8" s="2">
        <v>4</v>
      </c>
      <c r="IJ8" s="2" t="s">
        <v>9</v>
      </c>
      <c r="IK8" s="2" t="s">
        <v>3454</v>
      </c>
      <c r="IL8" s="2" t="s">
        <v>3414</v>
      </c>
      <c r="IM8" s="2" t="s">
        <v>17</v>
      </c>
      <c r="IN8" s="2"/>
      <c r="IO8" s="2" t="s">
        <v>79</v>
      </c>
      <c r="IP8" s="2">
        <v>6</v>
      </c>
      <c r="IQ8" s="2">
        <v>10</v>
      </c>
      <c r="IR8" s="2">
        <v>16</v>
      </c>
      <c r="IS8" s="2" t="s">
        <v>17</v>
      </c>
      <c r="IT8" s="2" t="s">
        <v>17</v>
      </c>
      <c r="IU8" s="2" t="s">
        <v>9</v>
      </c>
      <c r="IV8" s="2" t="s">
        <v>9</v>
      </c>
      <c r="IW8" s="2" t="s">
        <v>9</v>
      </c>
      <c r="IX8" s="2" t="s">
        <v>9</v>
      </c>
      <c r="IY8" s="2">
        <v>16</v>
      </c>
      <c r="IZ8" s="2">
        <v>130</v>
      </c>
      <c r="JA8" s="2" t="s">
        <v>3085</v>
      </c>
      <c r="JB8" s="2" t="s">
        <v>3455</v>
      </c>
      <c r="JC8" s="2" t="s">
        <v>173</v>
      </c>
      <c r="JD8" s="7">
        <v>0.1</v>
      </c>
      <c r="JE8" s="7">
        <v>0.9</v>
      </c>
      <c r="JF8" s="7">
        <v>0</v>
      </c>
      <c r="JG8" s="7"/>
      <c r="JH8" s="7"/>
      <c r="JI8" s="2">
        <v>130</v>
      </c>
      <c r="JJ8" s="7">
        <v>1</v>
      </c>
      <c r="JK8" s="2">
        <v>130</v>
      </c>
      <c r="JL8" s="7">
        <v>1</v>
      </c>
      <c r="JM8" s="2"/>
      <c r="JN8" s="2"/>
      <c r="JO8" s="2"/>
      <c r="JP8" s="2"/>
      <c r="JQ8" s="2"/>
      <c r="JR8" s="2"/>
      <c r="JS8" s="2">
        <v>0</v>
      </c>
      <c r="JT8" s="2">
        <v>0</v>
      </c>
      <c r="JU8" s="2"/>
      <c r="JV8" s="2">
        <v>0</v>
      </c>
      <c r="JW8" s="4">
        <v>0</v>
      </c>
      <c r="JX8" s="2">
        <v>0</v>
      </c>
      <c r="JY8" s="4">
        <v>0</v>
      </c>
      <c r="JZ8" s="2">
        <v>0</v>
      </c>
      <c r="KA8" s="2"/>
      <c r="KB8" s="2"/>
      <c r="KC8" s="2"/>
      <c r="KD8" s="2"/>
      <c r="KE8" s="2"/>
      <c r="KF8" s="2"/>
      <c r="KG8" s="2"/>
      <c r="KH8" s="2">
        <v>70</v>
      </c>
      <c r="KI8" s="2"/>
      <c r="KJ8" s="2"/>
      <c r="KK8" s="2">
        <v>60</v>
      </c>
      <c r="KL8" s="2"/>
      <c r="KM8" s="2"/>
      <c r="KN8" s="2"/>
      <c r="KO8" s="2"/>
      <c r="KP8" s="2"/>
      <c r="KQ8" s="2" t="s">
        <v>83</v>
      </c>
      <c r="KR8" s="2"/>
      <c r="KS8" s="2" t="s">
        <v>73</v>
      </c>
      <c r="KT8" s="2">
        <v>1</v>
      </c>
      <c r="KU8" s="2" t="s">
        <v>84</v>
      </c>
      <c r="KV8" s="2" t="s">
        <v>85</v>
      </c>
      <c r="KW8" s="2" t="s">
        <v>530</v>
      </c>
      <c r="KX8" s="2" t="s">
        <v>17</v>
      </c>
      <c r="KY8" s="2" t="s">
        <v>17</v>
      </c>
      <c r="KZ8" s="2" t="s">
        <v>17</v>
      </c>
      <c r="LA8" s="2" t="s">
        <v>17</v>
      </c>
      <c r="LB8" s="2" t="s">
        <v>17</v>
      </c>
      <c r="LC8" s="2" t="s">
        <v>17</v>
      </c>
      <c r="LD8" s="2" t="s">
        <v>17</v>
      </c>
      <c r="LE8" s="2" t="s">
        <v>17</v>
      </c>
      <c r="LF8" s="2" t="s">
        <v>17</v>
      </c>
      <c r="LG8" s="2" t="s">
        <v>17</v>
      </c>
      <c r="LH8" s="2" t="s">
        <v>17</v>
      </c>
      <c r="LI8" s="2" t="s">
        <v>17</v>
      </c>
      <c r="LJ8" s="2" t="s">
        <v>87</v>
      </c>
      <c r="LK8" s="2" t="s">
        <v>17</v>
      </c>
      <c r="LL8" s="2" t="s">
        <v>17</v>
      </c>
      <c r="LM8" s="2">
        <v>0</v>
      </c>
      <c r="LN8" s="2" t="s">
        <v>17</v>
      </c>
      <c r="LO8" s="2" t="s">
        <v>17</v>
      </c>
      <c r="LP8" s="2" t="s">
        <v>17</v>
      </c>
      <c r="LQ8" s="2" t="s">
        <v>17</v>
      </c>
      <c r="LR8" s="2" t="s">
        <v>17</v>
      </c>
      <c r="LS8" s="2" t="s">
        <v>17</v>
      </c>
      <c r="LT8" s="2" t="s">
        <v>9</v>
      </c>
      <c r="LU8" s="2" t="s">
        <v>9</v>
      </c>
      <c r="LV8" s="2" t="s">
        <v>9</v>
      </c>
      <c r="LW8" s="2" t="s">
        <v>17</v>
      </c>
      <c r="LX8" s="2" t="s">
        <v>17</v>
      </c>
      <c r="LY8" s="5">
        <v>6500000</v>
      </c>
      <c r="LZ8" s="5">
        <v>0</v>
      </c>
      <c r="MA8" s="5">
        <v>8400000</v>
      </c>
      <c r="MB8" s="5">
        <v>0</v>
      </c>
      <c r="MC8" s="5">
        <v>0</v>
      </c>
      <c r="MD8" s="5">
        <v>0</v>
      </c>
      <c r="ME8" s="5">
        <v>10000000</v>
      </c>
      <c r="MF8" s="5">
        <v>0</v>
      </c>
      <c r="MG8" s="5">
        <v>0</v>
      </c>
      <c r="MH8" s="5">
        <v>0</v>
      </c>
      <c r="MI8" s="5">
        <v>0</v>
      </c>
      <c r="MJ8" s="5">
        <v>0</v>
      </c>
      <c r="MK8" s="5">
        <v>0</v>
      </c>
      <c r="ML8" s="2">
        <v>0</v>
      </c>
      <c r="MM8" s="5">
        <v>0</v>
      </c>
      <c r="MN8" s="5">
        <v>0</v>
      </c>
      <c r="MO8" s="2">
        <v>0</v>
      </c>
      <c r="MP8" s="2">
        <v>0</v>
      </c>
      <c r="MQ8" s="2">
        <v>0</v>
      </c>
      <c r="MR8" s="5">
        <v>2950000</v>
      </c>
      <c r="MS8" s="5">
        <v>0</v>
      </c>
      <c r="MT8" s="5">
        <v>4600000</v>
      </c>
      <c r="MU8" s="5">
        <v>0</v>
      </c>
      <c r="MV8" s="5">
        <v>0</v>
      </c>
      <c r="MW8" s="5">
        <v>0</v>
      </c>
      <c r="MX8" s="5">
        <v>0</v>
      </c>
      <c r="MY8" s="5">
        <v>2500000</v>
      </c>
      <c r="MZ8" s="5">
        <v>0</v>
      </c>
      <c r="NA8" s="5">
        <v>5000000</v>
      </c>
      <c r="NB8" s="5">
        <v>0</v>
      </c>
      <c r="NC8" s="5">
        <v>0</v>
      </c>
      <c r="ND8" s="5">
        <v>0</v>
      </c>
      <c r="NE8" s="5">
        <v>0</v>
      </c>
      <c r="NF8" s="5">
        <v>0</v>
      </c>
      <c r="NG8" s="5">
        <v>3458400</v>
      </c>
      <c r="NH8" s="5">
        <v>3458400</v>
      </c>
      <c r="NI8" s="5">
        <v>3458400</v>
      </c>
      <c r="NJ8" s="5"/>
      <c r="NK8" s="5">
        <v>0</v>
      </c>
      <c r="NL8" s="2" t="s">
        <v>17</v>
      </c>
      <c r="NM8" s="2" t="s">
        <v>17</v>
      </c>
      <c r="NN8" s="2"/>
      <c r="NO8" s="2" t="s">
        <v>17</v>
      </c>
      <c r="NP8" s="2"/>
      <c r="NQ8" s="2"/>
      <c r="NR8" s="2" t="s">
        <v>17</v>
      </c>
      <c r="NS8" s="2"/>
      <c r="NT8" s="2" t="s">
        <v>9</v>
      </c>
      <c r="NU8" s="2" t="s">
        <v>450</v>
      </c>
      <c r="NV8" s="2">
        <v>4.1399999999999997</v>
      </c>
      <c r="NW8" s="2" t="s">
        <v>3342</v>
      </c>
      <c r="NX8" s="2" t="s">
        <v>17</v>
      </c>
      <c r="NY8" s="2"/>
      <c r="NZ8" s="2"/>
      <c r="OA8" s="2" t="s">
        <v>118</v>
      </c>
      <c r="OB8" s="2" t="s">
        <v>118</v>
      </c>
      <c r="OC8" s="2" t="s">
        <v>118</v>
      </c>
      <c r="OD8" s="2" t="s">
        <v>3343</v>
      </c>
      <c r="OE8" s="2" t="s">
        <v>3456</v>
      </c>
      <c r="OF8" s="2"/>
      <c r="OG8" s="2" t="s">
        <v>17</v>
      </c>
      <c r="OH8" s="2" t="s">
        <v>119</v>
      </c>
      <c r="OI8" s="2" t="s">
        <v>17</v>
      </c>
      <c r="OJ8" s="2"/>
      <c r="OK8" s="2" t="s">
        <v>17</v>
      </c>
      <c r="OL8" s="2" t="s">
        <v>17</v>
      </c>
      <c r="OM8" s="2" t="s">
        <v>85</v>
      </c>
      <c r="ON8" s="6">
        <v>0</v>
      </c>
      <c r="OO8" s="6">
        <v>0</v>
      </c>
      <c r="OP8" s="2" t="s">
        <v>93</v>
      </c>
      <c r="OQ8" s="2" t="s">
        <v>93</v>
      </c>
      <c r="OR8" s="6">
        <v>0</v>
      </c>
      <c r="OS8" s="4">
        <v>0</v>
      </c>
      <c r="OT8" s="2" t="s">
        <v>17</v>
      </c>
      <c r="OU8" s="2" t="s">
        <v>17</v>
      </c>
      <c r="OV8" s="2"/>
      <c r="OW8" s="2"/>
      <c r="OX8" s="5">
        <v>22205003</v>
      </c>
      <c r="OY8" s="6">
        <v>170807.72</v>
      </c>
      <c r="OZ8" s="2"/>
      <c r="PA8" s="2"/>
      <c r="PB8" s="2"/>
      <c r="PC8" s="2"/>
      <c r="PD8" s="8">
        <v>22425000</v>
      </c>
      <c r="PE8" s="2"/>
      <c r="PF8" s="8">
        <v>22425000</v>
      </c>
      <c r="PG8" s="2"/>
      <c r="PH8" s="2"/>
      <c r="PI8" s="2"/>
      <c r="PJ8" s="2"/>
      <c r="PK8" s="2"/>
      <c r="PL8" s="2"/>
      <c r="PM8" s="8">
        <v>22425000</v>
      </c>
      <c r="PN8" s="2"/>
      <c r="PO8" s="8">
        <v>22425000</v>
      </c>
      <c r="PP8" s="8">
        <v>3139500</v>
      </c>
      <c r="PQ8" s="2"/>
      <c r="PR8" s="8">
        <v>3139500</v>
      </c>
      <c r="PS8" s="6">
        <v>3139500</v>
      </c>
      <c r="PT8" s="8">
        <v>25564500</v>
      </c>
      <c r="PU8" s="2"/>
      <c r="PV8" s="8">
        <v>25564500</v>
      </c>
      <c r="PW8" s="8">
        <v>1278225</v>
      </c>
      <c r="PX8" s="2"/>
      <c r="PY8" s="8">
        <v>1278225</v>
      </c>
      <c r="PZ8" s="6">
        <v>1278225</v>
      </c>
      <c r="QA8" s="8">
        <v>1177400</v>
      </c>
      <c r="QB8" s="8">
        <v>75000</v>
      </c>
      <c r="QC8" s="8">
        <v>1252400</v>
      </c>
      <c r="QD8" s="8">
        <v>250000</v>
      </c>
      <c r="QE8" s="2"/>
      <c r="QF8" s="8">
        <v>250000</v>
      </c>
      <c r="QG8" s="8">
        <v>916290</v>
      </c>
      <c r="QH8" s="8">
        <v>150000</v>
      </c>
      <c r="QI8" s="8">
        <v>1066290</v>
      </c>
      <c r="QJ8" s="2"/>
      <c r="QK8" s="8">
        <v>642256</v>
      </c>
      <c r="QL8" s="8">
        <v>642256</v>
      </c>
      <c r="QM8" s="2"/>
      <c r="QN8" s="2"/>
      <c r="QO8" s="2"/>
      <c r="QP8" s="8">
        <v>150000</v>
      </c>
      <c r="QQ8" s="2"/>
      <c r="QR8" s="8">
        <v>150000</v>
      </c>
      <c r="QS8" s="8">
        <v>2493690</v>
      </c>
      <c r="QT8" s="8">
        <v>867256</v>
      </c>
      <c r="QU8" s="8">
        <v>3360946</v>
      </c>
      <c r="QV8" s="8">
        <v>168047</v>
      </c>
      <c r="QW8" s="2"/>
      <c r="QX8" s="8">
        <v>168047</v>
      </c>
      <c r="QY8" s="6">
        <v>168047.3</v>
      </c>
      <c r="QZ8" s="8">
        <v>1495585</v>
      </c>
      <c r="RA8" s="8">
        <v>493997</v>
      </c>
      <c r="RB8" s="8">
        <v>1989582</v>
      </c>
      <c r="RC8" s="8">
        <v>100000</v>
      </c>
      <c r="RD8" s="8">
        <v>100000</v>
      </c>
      <c r="RE8" s="2"/>
      <c r="RF8" s="2"/>
      <c r="RG8" s="2"/>
      <c r="RH8" s="8">
        <v>1495585</v>
      </c>
      <c r="RI8" s="8">
        <v>593997</v>
      </c>
      <c r="RJ8" s="8">
        <v>2089582</v>
      </c>
      <c r="RK8" s="8">
        <v>31000047</v>
      </c>
      <c r="RL8" s="8">
        <v>1461253</v>
      </c>
      <c r="RM8" s="8">
        <v>32461300</v>
      </c>
      <c r="RN8" s="2">
        <v>0</v>
      </c>
      <c r="RO8" s="6">
        <v>0</v>
      </c>
      <c r="RP8" s="8">
        <v>5193808</v>
      </c>
      <c r="RQ8" s="2"/>
      <c r="RR8" s="8">
        <v>5193808</v>
      </c>
      <c r="RS8" s="6">
        <v>5193808</v>
      </c>
      <c r="RT8" s="6">
        <v>0</v>
      </c>
      <c r="RU8" s="8">
        <v>5193808</v>
      </c>
      <c r="RV8" s="2"/>
      <c r="RW8" s="8">
        <v>5193808</v>
      </c>
      <c r="RX8" s="6">
        <v>5193808</v>
      </c>
      <c r="RY8" s="2"/>
      <c r="RZ8" s="2"/>
      <c r="SA8" s="6">
        <v>455000</v>
      </c>
      <c r="SB8" s="8">
        <v>5250000</v>
      </c>
      <c r="SC8" s="8">
        <v>5250000</v>
      </c>
      <c r="SD8" s="8">
        <v>36193855</v>
      </c>
      <c r="SE8" s="8">
        <v>6711253</v>
      </c>
      <c r="SF8" s="8">
        <v>42905108</v>
      </c>
      <c r="SG8" s="2"/>
      <c r="SH8" s="2"/>
      <c r="SI8" s="2" t="s">
        <v>1850</v>
      </c>
      <c r="SJ8" s="2"/>
      <c r="SK8" s="8">
        <v>34292556</v>
      </c>
      <c r="SL8" s="2" t="s">
        <v>95</v>
      </c>
      <c r="SM8" s="2"/>
      <c r="SN8" s="2"/>
      <c r="SO8" s="2"/>
      <c r="SP8" s="2"/>
      <c r="SQ8" s="2"/>
      <c r="SR8" s="2"/>
      <c r="SS8" s="2" t="s">
        <v>96</v>
      </c>
      <c r="ST8" s="2" t="s">
        <v>96</v>
      </c>
      <c r="SU8" s="2" t="s">
        <v>96</v>
      </c>
      <c r="SV8" s="2" t="s">
        <v>96</v>
      </c>
      <c r="SW8" s="8">
        <v>10892871</v>
      </c>
      <c r="SX8" s="2"/>
      <c r="SY8" s="2"/>
      <c r="SZ8" s="2"/>
      <c r="TA8" s="2"/>
      <c r="TB8" s="2"/>
      <c r="TC8" s="2"/>
      <c r="TD8" s="2">
        <v>0</v>
      </c>
      <c r="TE8" s="8">
        <v>45185427</v>
      </c>
      <c r="TF8" s="8">
        <v>2280319</v>
      </c>
      <c r="TG8" s="2" t="s">
        <v>9</v>
      </c>
      <c r="TH8" s="8">
        <v>9000000</v>
      </c>
      <c r="TI8" s="2" t="s">
        <v>95</v>
      </c>
      <c r="TJ8" s="2"/>
      <c r="TK8" s="2"/>
      <c r="TL8" s="2"/>
      <c r="TM8" s="2"/>
      <c r="TN8" s="2" t="s">
        <v>96</v>
      </c>
      <c r="TO8" s="2" t="s">
        <v>96</v>
      </c>
      <c r="TP8" s="2" t="s">
        <v>96</v>
      </c>
      <c r="TQ8" s="2" t="s">
        <v>96</v>
      </c>
      <c r="TR8" s="8">
        <v>31122487</v>
      </c>
      <c r="TS8" s="2"/>
      <c r="TT8" s="2"/>
      <c r="TU8" s="2"/>
      <c r="TV8" s="2"/>
      <c r="TW8" s="2"/>
      <c r="TX8" s="2"/>
      <c r="TY8" s="8">
        <v>2782621</v>
      </c>
      <c r="TZ8" s="8">
        <v>42905108</v>
      </c>
      <c r="UA8" s="6">
        <v>9000000</v>
      </c>
      <c r="UB8" s="2">
        <v>0</v>
      </c>
      <c r="UC8" s="2" t="s">
        <v>9</v>
      </c>
      <c r="UD8" s="2">
        <v>130</v>
      </c>
      <c r="UE8" s="5">
        <v>310000</v>
      </c>
      <c r="UF8" s="6">
        <v>413333.33</v>
      </c>
      <c r="UG8" s="6">
        <v>413333.33</v>
      </c>
      <c r="UH8" s="6">
        <v>438133.33</v>
      </c>
      <c r="UI8" s="6">
        <v>56957333.329999998</v>
      </c>
      <c r="UJ8" s="6">
        <v>9113173</v>
      </c>
      <c r="UK8" s="2" t="s">
        <v>97</v>
      </c>
      <c r="UL8" s="6">
        <v>9113173</v>
      </c>
      <c r="UM8" s="6">
        <v>66070506.329999998</v>
      </c>
      <c r="UN8" s="6">
        <v>37655108</v>
      </c>
      <c r="UO8" s="4">
        <v>0.99990000000000001</v>
      </c>
      <c r="UP8" s="2" t="s">
        <v>9</v>
      </c>
      <c r="UQ8" s="6">
        <v>0</v>
      </c>
      <c r="UR8" s="6">
        <v>0</v>
      </c>
      <c r="US8" s="6">
        <v>1332001.27</v>
      </c>
      <c r="UT8" s="6">
        <v>1332001.27</v>
      </c>
      <c r="UU8" s="6">
        <v>0</v>
      </c>
      <c r="UV8" s="6">
        <v>1332001.27</v>
      </c>
      <c r="UW8" s="6">
        <v>0</v>
      </c>
      <c r="UX8" s="6">
        <v>1332001.27</v>
      </c>
      <c r="UY8" s="2" t="s">
        <v>3457</v>
      </c>
      <c r="UZ8" s="2" t="s">
        <v>3288</v>
      </c>
      <c r="VA8" s="2" t="s">
        <v>17</v>
      </c>
      <c r="VB8" s="2" t="s">
        <v>17</v>
      </c>
      <c r="VC8" s="2" t="s">
        <v>17</v>
      </c>
      <c r="VD8" s="2" t="s">
        <v>17</v>
      </c>
      <c r="VE8" s="2" t="s">
        <v>17</v>
      </c>
      <c r="VF8" s="2" t="s">
        <v>17</v>
      </c>
      <c r="VG8" s="2" t="s">
        <v>3458</v>
      </c>
      <c r="VH8" s="2"/>
      <c r="VI8" s="388" t="s">
        <v>1820</v>
      </c>
      <c r="VJ8" s="2" t="s">
        <v>98</v>
      </c>
      <c r="VK8" s="2" t="s">
        <v>3459</v>
      </c>
      <c r="VL8" s="23">
        <f t="shared" si="0"/>
        <v>190</v>
      </c>
      <c r="VM8" s="17">
        <f t="shared" si="1"/>
        <v>1.4615384615384615</v>
      </c>
      <c r="VN8" s="17" t="str">
        <f t="shared" si="2"/>
        <v>NC-HR-E</v>
      </c>
      <c r="VO8" s="17" t="str">
        <f t="shared" si="14"/>
        <v>NC-HR-E-ESS</v>
      </c>
      <c r="VP8" s="12">
        <v>9</v>
      </c>
      <c r="VQ8" s="57">
        <v>1</v>
      </c>
      <c r="VR8" s="57">
        <f t="shared" si="3"/>
        <v>1</v>
      </c>
      <c r="VS8" s="14">
        <f t="shared" si="4"/>
        <v>1</v>
      </c>
      <c r="VT8" s="12">
        <f t="shared" si="5"/>
        <v>0.88350000000000006</v>
      </c>
      <c r="VU8" s="29">
        <f t="shared" si="6"/>
        <v>27499467.600000001</v>
      </c>
      <c r="VV8" s="29">
        <f t="shared" si="7"/>
        <v>211534.37</v>
      </c>
      <c r="VW8" s="12" t="str">
        <f t="shared" si="15"/>
        <v>A</v>
      </c>
      <c r="VX8" s="12" t="str">
        <f t="shared" si="8"/>
        <v>NC-HR-ESS</v>
      </c>
      <c r="VY8" s="352">
        <f t="shared" si="16"/>
        <v>2</v>
      </c>
      <c r="WA8" s="12">
        <f t="shared" si="17"/>
        <v>1</v>
      </c>
      <c r="WB8" s="12">
        <f t="shared" si="18"/>
        <v>0</v>
      </c>
      <c r="WC8" s="12">
        <f t="shared" si="18"/>
        <v>0</v>
      </c>
      <c r="WD8" s="12">
        <f t="shared" si="18"/>
        <v>0</v>
      </c>
      <c r="WE8" s="12">
        <f t="shared" si="19"/>
        <v>1</v>
      </c>
      <c r="WF8" s="12">
        <f t="shared" si="9"/>
        <v>0</v>
      </c>
      <c r="WG8" s="12">
        <f t="shared" si="10"/>
        <v>0</v>
      </c>
      <c r="WH8" s="12">
        <f t="shared" si="11"/>
        <v>1</v>
      </c>
      <c r="WI8" s="31">
        <f t="shared" si="12"/>
        <v>3</v>
      </c>
      <c r="WJ8" s="2"/>
      <c r="WK8" s="444" t="str">
        <f t="shared" si="13"/>
        <v>NC-HR-ESS-BBN-BRN-NPH-E</v>
      </c>
      <c r="WL8" s="444"/>
      <c r="WM8" s="444"/>
      <c r="WN8" s="12"/>
      <c r="WO8" s="380" t="s">
        <v>2621</v>
      </c>
      <c r="WP8" s="144">
        <f>COUNTIFS($WH$2:$WH$72,"=1",$WA$2:$WA$72,"=1")</f>
        <v>30</v>
      </c>
      <c r="WQ8" s="144">
        <f>COUNTIFS($WH$2:$WH$72,"=1",$WB$2:$WB$72,"=1")</f>
        <v>0</v>
      </c>
      <c r="WR8" s="144">
        <f>COUNTIFS($WH$2:$WH$72,"=1",$WC$2:$WC$72,"=1")</f>
        <v>0</v>
      </c>
      <c r="WS8" s="144">
        <f>COUNTIFS($WH$2:$WH$72,"=1",$WD$2:$WD$72,"=1")</f>
        <v>2</v>
      </c>
      <c r="WT8" s="144">
        <f>COUNTIFS($WH$2:$WH$72,"=1",$WF$2:$WF$72,"=1")</f>
        <v>0</v>
      </c>
      <c r="WU8" s="144">
        <f>COUNTIFS($WH$2:$WH$72,"=1",$WG$2:$WG$72,"=1")</f>
        <v>0</v>
      </c>
      <c r="WV8" s="384"/>
      <c r="WW8" s="144">
        <f>COUNTIFS($WH$2:$WH$72,"=1",$WE$2:$WE$72,"=1")</f>
        <v>36</v>
      </c>
      <c r="WX8" s="205">
        <f>COUNTIF($WH$2:$WH$72,"=1")</f>
        <v>36</v>
      </c>
    </row>
    <row r="9" spans="1:622" x14ac:dyDescent="0.25">
      <c r="A9" s="2">
        <v>9668</v>
      </c>
      <c r="B9" s="2" t="s">
        <v>3460</v>
      </c>
      <c r="C9" s="2" t="s">
        <v>3305</v>
      </c>
      <c r="D9" s="3">
        <v>45159</v>
      </c>
      <c r="E9" s="2" t="s">
        <v>9</v>
      </c>
      <c r="F9" s="2">
        <v>3</v>
      </c>
      <c r="G9" s="2" t="s">
        <v>9</v>
      </c>
      <c r="H9" s="2">
        <v>3</v>
      </c>
      <c r="I9" s="2" t="s">
        <v>9</v>
      </c>
      <c r="J9" s="2">
        <v>2</v>
      </c>
      <c r="K9" s="2" t="s">
        <v>9</v>
      </c>
      <c r="L9" s="2">
        <v>3</v>
      </c>
      <c r="M9" s="2" t="s">
        <v>10</v>
      </c>
      <c r="N9" s="2">
        <v>0</v>
      </c>
      <c r="O9" s="2" t="s">
        <v>10</v>
      </c>
      <c r="P9" s="2">
        <v>0</v>
      </c>
      <c r="Q9" s="2" t="s">
        <v>11</v>
      </c>
      <c r="R9" s="2">
        <v>0</v>
      </c>
      <c r="S9" s="2" t="s">
        <v>9</v>
      </c>
      <c r="T9" s="2">
        <v>2</v>
      </c>
      <c r="U9" s="2" t="s">
        <v>9</v>
      </c>
      <c r="V9" s="2">
        <v>2</v>
      </c>
      <c r="W9" s="2" t="s">
        <v>9</v>
      </c>
      <c r="X9" s="2">
        <v>2</v>
      </c>
      <c r="Y9" s="2" t="s">
        <v>12</v>
      </c>
      <c r="Z9" s="2" t="s">
        <v>15</v>
      </c>
      <c r="AA9" s="2" t="s">
        <v>15</v>
      </c>
      <c r="AB9" s="2" t="s">
        <v>15</v>
      </c>
      <c r="AC9" s="2" t="s">
        <v>3461</v>
      </c>
      <c r="AD9" s="2" t="s">
        <v>15</v>
      </c>
      <c r="AE9" s="2" t="s">
        <v>15</v>
      </c>
      <c r="AF9" s="2">
        <v>0</v>
      </c>
      <c r="AG9" s="2" t="s">
        <v>234</v>
      </c>
      <c r="AH9" s="2" t="s">
        <v>17</v>
      </c>
      <c r="AI9" s="4">
        <v>0.15384999999999999</v>
      </c>
      <c r="AJ9" s="2" t="s">
        <v>17</v>
      </c>
      <c r="AK9" s="2" t="s">
        <v>9</v>
      </c>
      <c r="AL9" s="2" t="s">
        <v>17</v>
      </c>
      <c r="AM9" s="2" t="s">
        <v>17</v>
      </c>
      <c r="AN9" s="2" t="s">
        <v>17</v>
      </c>
      <c r="AO9" s="2" t="s">
        <v>17</v>
      </c>
      <c r="AP9" s="2" t="s">
        <v>9</v>
      </c>
      <c r="AQ9" s="2" t="s">
        <v>9</v>
      </c>
      <c r="AR9" s="2" t="s">
        <v>17</v>
      </c>
      <c r="AS9" s="2" t="s">
        <v>17</v>
      </c>
      <c r="AT9" s="2">
        <v>5</v>
      </c>
      <c r="AU9" s="5">
        <v>100000</v>
      </c>
      <c r="AV9" s="2" t="s">
        <v>85</v>
      </c>
      <c r="AW9" s="2">
        <v>0</v>
      </c>
      <c r="AX9" s="2">
        <v>9</v>
      </c>
      <c r="AY9" s="2">
        <v>0</v>
      </c>
      <c r="AZ9" s="2">
        <v>18</v>
      </c>
      <c r="BA9" s="2">
        <v>0</v>
      </c>
      <c r="BB9" s="2">
        <v>0</v>
      </c>
      <c r="BC9" s="2">
        <v>1</v>
      </c>
      <c r="BD9" s="2">
        <v>5</v>
      </c>
      <c r="BE9" s="2">
        <v>0</v>
      </c>
      <c r="BF9" s="2">
        <v>0</v>
      </c>
      <c r="BG9" s="2">
        <v>0</v>
      </c>
      <c r="BH9" s="2">
        <v>0</v>
      </c>
      <c r="BI9" s="2">
        <v>13</v>
      </c>
      <c r="BJ9" s="2">
        <v>1</v>
      </c>
      <c r="BK9" s="2">
        <v>0</v>
      </c>
      <c r="BL9" s="2">
        <v>3</v>
      </c>
      <c r="BM9" s="2">
        <v>1</v>
      </c>
      <c r="BN9" s="2">
        <v>12</v>
      </c>
      <c r="BO9" s="2">
        <v>11</v>
      </c>
      <c r="BP9" s="2">
        <v>0</v>
      </c>
      <c r="BQ9" s="2">
        <v>10</v>
      </c>
      <c r="BR9" s="2">
        <v>12.3</v>
      </c>
      <c r="BS9" s="2">
        <v>0</v>
      </c>
      <c r="BT9" s="4">
        <v>0.06</v>
      </c>
      <c r="BU9" s="2" t="s">
        <v>9</v>
      </c>
      <c r="BV9" s="6">
        <v>170807.72</v>
      </c>
      <c r="BW9" s="2" t="s">
        <v>18</v>
      </c>
      <c r="BX9" s="2" t="s">
        <v>17</v>
      </c>
      <c r="BY9" s="2" t="s">
        <v>17</v>
      </c>
      <c r="BZ9" s="2" t="s">
        <v>17</v>
      </c>
      <c r="CA9" s="2" t="s">
        <v>17</v>
      </c>
      <c r="CB9" s="2" t="s">
        <v>17</v>
      </c>
      <c r="CC9" s="2" t="s">
        <v>17</v>
      </c>
      <c r="CD9" s="2" t="s">
        <v>17</v>
      </c>
      <c r="CE9" s="2" t="s">
        <v>3462</v>
      </c>
      <c r="CF9" s="2" t="s">
        <v>17</v>
      </c>
      <c r="CG9" s="2" t="s">
        <v>1817</v>
      </c>
      <c r="CH9" s="2" t="s">
        <v>1818</v>
      </c>
      <c r="CI9" s="2" t="s">
        <v>1819</v>
      </c>
      <c r="CJ9" s="2" t="s">
        <v>9</v>
      </c>
      <c r="CK9" s="2" t="s">
        <v>1820</v>
      </c>
      <c r="CL9" s="2" t="s">
        <v>1817</v>
      </c>
      <c r="CM9" s="2" t="s">
        <v>1821</v>
      </c>
      <c r="CN9" s="2" t="s">
        <v>1822</v>
      </c>
      <c r="CO9" s="2" t="s">
        <v>24</v>
      </c>
      <c r="CP9" s="2"/>
      <c r="CQ9" s="2">
        <v>117</v>
      </c>
      <c r="CR9" s="2" t="s">
        <v>3444</v>
      </c>
      <c r="CS9" s="2">
        <v>2019</v>
      </c>
      <c r="CT9" s="2" t="s">
        <v>26</v>
      </c>
      <c r="CU9" s="2" t="s">
        <v>27</v>
      </c>
      <c r="CV9" s="2" t="s">
        <v>2942</v>
      </c>
      <c r="CW9" s="2" t="s">
        <v>2943</v>
      </c>
      <c r="CX9" s="2" t="s">
        <v>800</v>
      </c>
      <c r="CY9" s="2"/>
      <c r="CZ9" s="2">
        <v>92</v>
      </c>
      <c r="DA9" s="2" t="s">
        <v>3444</v>
      </c>
      <c r="DB9" s="2">
        <v>2017</v>
      </c>
      <c r="DC9" s="2" t="s">
        <v>26</v>
      </c>
      <c r="DD9" s="2" t="s">
        <v>27</v>
      </c>
      <c r="DE9" s="2" t="s">
        <v>1825</v>
      </c>
      <c r="DF9" s="2" t="s">
        <v>1824</v>
      </c>
      <c r="DG9" s="2" t="s">
        <v>24</v>
      </c>
      <c r="DH9" s="2"/>
      <c r="DI9" s="2">
        <v>116</v>
      </c>
      <c r="DJ9" s="2" t="s">
        <v>3444</v>
      </c>
      <c r="DK9" s="2">
        <v>2018</v>
      </c>
      <c r="DL9" s="2" t="s">
        <v>30</v>
      </c>
      <c r="DM9" s="2" t="s">
        <v>27</v>
      </c>
      <c r="DN9" s="2" t="s">
        <v>33</v>
      </c>
      <c r="DO9" s="2" t="s">
        <v>1826</v>
      </c>
      <c r="DP9" s="2"/>
      <c r="DQ9" s="2" t="s">
        <v>1827</v>
      </c>
      <c r="DR9" s="2" t="s">
        <v>1828</v>
      </c>
      <c r="DS9" s="2">
        <v>1</v>
      </c>
      <c r="DT9" s="2" t="s">
        <v>1829</v>
      </c>
      <c r="DU9" s="2" t="s">
        <v>1830</v>
      </c>
      <c r="DV9" s="2" t="s">
        <v>701</v>
      </c>
      <c r="DW9" s="2">
        <v>30005</v>
      </c>
      <c r="DX9" s="2" t="s">
        <v>2944</v>
      </c>
      <c r="DY9" s="2"/>
      <c r="DZ9" s="2" t="s">
        <v>1832</v>
      </c>
      <c r="EA9" s="2" t="s">
        <v>1828</v>
      </c>
      <c r="EB9" s="2" t="s">
        <v>1833</v>
      </c>
      <c r="EC9" s="2" t="s">
        <v>1834</v>
      </c>
      <c r="ED9" s="2" t="s">
        <v>44</v>
      </c>
      <c r="EE9" s="2">
        <v>100</v>
      </c>
      <c r="EF9" s="2" t="s">
        <v>3445</v>
      </c>
      <c r="EG9" s="2">
        <v>8</v>
      </c>
      <c r="EH9" s="2" t="s">
        <v>46</v>
      </c>
      <c r="EI9" s="2" t="s">
        <v>47</v>
      </c>
      <c r="EJ9" s="2" t="s">
        <v>1821</v>
      </c>
      <c r="EK9" s="2" t="s">
        <v>1822</v>
      </c>
      <c r="EL9" s="2" t="s">
        <v>44</v>
      </c>
      <c r="EM9" s="2">
        <v>117</v>
      </c>
      <c r="EN9" s="2" t="s">
        <v>3445</v>
      </c>
      <c r="EO9" s="2">
        <v>4</v>
      </c>
      <c r="EP9" s="2" t="s">
        <v>46</v>
      </c>
      <c r="EQ9" s="2" t="s">
        <v>47</v>
      </c>
      <c r="ER9" s="2" t="s">
        <v>1826</v>
      </c>
      <c r="ES9" s="2"/>
      <c r="ET9" s="2" t="s">
        <v>1827</v>
      </c>
      <c r="EU9" s="2" t="s">
        <v>3462</v>
      </c>
      <c r="EV9" s="2" t="s">
        <v>2945</v>
      </c>
      <c r="EW9" s="2" t="s">
        <v>1830</v>
      </c>
      <c r="EX9" s="2" t="s">
        <v>701</v>
      </c>
      <c r="EY9" s="2">
        <v>30005</v>
      </c>
      <c r="EZ9" s="2" t="s">
        <v>2944</v>
      </c>
      <c r="FA9" s="2"/>
      <c r="FB9" s="2" t="s">
        <v>1832</v>
      </c>
      <c r="FC9" s="2" t="s">
        <v>1836</v>
      </c>
      <c r="FD9" s="2"/>
      <c r="FE9" s="2" t="s">
        <v>1837</v>
      </c>
      <c r="FF9" s="2" t="s">
        <v>3462</v>
      </c>
      <c r="FG9" s="2" t="s">
        <v>1838</v>
      </c>
      <c r="FH9" s="2" t="s">
        <v>1839</v>
      </c>
      <c r="FI9" s="2" t="s">
        <v>39</v>
      </c>
      <c r="FJ9" s="2">
        <v>33411</v>
      </c>
      <c r="FK9" s="2" t="s">
        <v>1840</v>
      </c>
      <c r="FL9" s="2"/>
      <c r="FM9" s="2" t="s">
        <v>1841</v>
      </c>
      <c r="FN9" s="2" t="s">
        <v>3463</v>
      </c>
      <c r="FO9" s="2" t="s">
        <v>63</v>
      </c>
      <c r="FP9" s="2" t="s">
        <v>64</v>
      </c>
      <c r="FQ9" s="2" t="s">
        <v>9</v>
      </c>
      <c r="FR9" s="2" t="s">
        <v>17</v>
      </c>
      <c r="FS9" s="2" t="s">
        <v>17</v>
      </c>
      <c r="FT9" s="2" t="s">
        <v>9</v>
      </c>
      <c r="FU9" s="2"/>
      <c r="FV9" s="2"/>
      <c r="FW9" s="2">
        <v>0</v>
      </c>
      <c r="FX9" s="2">
        <v>0</v>
      </c>
      <c r="FY9" s="4">
        <v>0</v>
      </c>
      <c r="FZ9" s="4">
        <v>0</v>
      </c>
      <c r="GA9" s="2" t="s">
        <v>65</v>
      </c>
      <c r="GB9" s="2"/>
      <c r="GC9" s="2" t="s">
        <v>66</v>
      </c>
      <c r="GD9" s="2" t="s">
        <v>67</v>
      </c>
      <c r="GE9" s="2" t="s">
        <v>2684</v>
      </c>
      <c r="GF9" s="2"/>
      <c r="GG9" s="2"/>
      <c r="GH9" s="2"/>
      <c r="GI9" s="2"/>
      <c r="GJ9" s="2"/>
      <c r="GK9" s="2">
        <v>130</v>
      </c>
      <c r="GL9" s="2"/>
      <c r="GM9" s="2"/>
      <c r="GN9" s="2"/>
      <c r="GO9" s="2"/>
      <c r="GP9" s="2"/>
      <c r="GQ9" s="2">
        <v>130</v>
      </c>
      <c r="GR9" s="2" t="s">
        <v>3332</v>
      </c>
      <c r="GS9" s="2" t="s">
        <v>2686</v>
      </c>
      <c r="GT9" s="2" t="s">
        <v>3464</v>
      </c>
      <c r="GU9" s="2" t="s">
        <v>3448</v>
      </c>
      <c r="GV9" s="2" t="s">
        <v>17</v>
      </c>
      <c r="GW9" s="2">
        <v>25.886005000000001</v>
      </c>
      <c r="GX9" s="2">
        <v>-80.242885000000001</v>
      </c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>
        <v>25.876708000000001</v>
      </c>
      <c r="HK9" s="2">
        <v>-80.245637000000002</v>
      </c>
      <c r="HL9" s="2">
        <v>0.66</v>
      </c>
      <c r="HM9" s="2">
        <v>5</v>
      </c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 t="s">
        <v>3465</v>
      </c>
      <c r="IA9" s="2" t="s">
        <v>3466</v>
      </c>
      <c r="IB9" s="2">
        <v>1.24</v>
      </c>
      <c r="IC9" s="2">
        <v>2</v>
      </c>
      <c r="ID9" s="2" t="s">
        <v>224</v>
      </c>
      <c r="IE9" s="2">
        <v>0.2</v>
      </c>
      <c r="IF9" s="2">
        <v>4</v>
      </c>
      <c r="IG9" s="2" t="s">
        <v>3467</v>
      </c>
      <c r="IH9" s="2">
        <v>0.97</v>
      </c>
      <c r="II9" s="2">
        <v>3</v>
      </c>
      <c r="IJ9" s="2" t="s">
        <v>9</v>
      </c>
      <c r="IK9" s="2" t="s">
        <v>3454</v>
      </c>
      <c r="IL9" s="2" t="s">
        <v>3414</v>
      </c>
      <c r="IM9" s="2" t="s">
        <v>17</v>
      </c>
      <c r="IN9" s="2"/>
      <c r="IO9" s="2" t="s">
        <v>79</v>
      </c>
      <c r="IP9" s="2">
        <v>5</v>
      </c>
      <c r="IQ9" s="2">
        <v>9</v>
      </c>
      <c r="IR9" s="2">
        <v>14</v>
      </c>
      <c r="IS9" s="2" t="s">
        <v>17</v>
      </c>
      <c r="IT9" s="2" t="s">
        <v>17</v>
      </c>
      <c r="IU9" s="2" t="s">
        <v>9</v>
      </c>
      <c r="IV9" s="2" t="s">
        <v>9</v>
      </c>
      <c r="IW9" s="2" t="s">
        <v>9</v>
      </c>
      <c r="IX9" s="2" t="s">
        <v>9</v>
      </c>
      <c r="IY9" s="2">
        <v>14</v>
      </c>
      <c r="IZ9" s="2">
        <v>130</v>
      </c>
      <c r="JA9" s="2" t="s">
        <v>2731</v>
      </c>
      <c r="JB9" s="2" t="s">
        <v>3455</v>
      </c>
      <c r="JC9" s="2" t="s">
        <v>82</v>
      </c>
      <c r="JD9" s="2"/>
      <c r="JE9" s="2"/>
      <c r="JF9" s="7">
        <v>0</v>
      </c>
      <c r="JG9" s="7"/>
      <c r="JH9" s="7"/>
      <c r="JI9" s="2">
        <v>0</v>
      </c>
      <c r="JJ9" s="7">
        <v>0</v>
      </c>
      <c r="JK9" s="2">
        <v>0</v>
      </c>
      <c r="JL9" s="7">
        <v>0</v>
      </c>
      <c r="JM9" s="2">
        <v>20</v>
      </c>
      <c r="JN9" s="2"/>
      <c r="JO9" s="2"/>
      <c r="JP9" s="2">
        <v>85</v>
      </c>
      <c r="JQ9" s="2"/>
      <c r="JR9" s="2">
        <v>25</v>
      </c>
      <c r="JS9" s="2">
        <v>0</v>
      </c>
      <c r="JT9" s="2">
        <v>0</v>
      </c>
      <c r="JU9" s="2"/>
      <c r="JV9" s="2">
        <v>130</v>
      </c>
      <c r="JW9" s="4">
        <v>1</v>
      </c>
      <c r="JX9" s="2">
        <v>130</v>
      </c>
      <c r="JY9" s="4">
        <v>0.59231</v>
      </c>
      <c r="JZ9" s="2">
        <v>0</v>
      </c>
      <c r="KA9" s="2"/>
      <c r="KB9" s="2"/>
      <c r="KC9" s="2"/>
      <c r="KD9" s="2"/>
      <c r="KE9" s="2"/>
      <c r="KF9" s="2"/>
      <c r="KG9" s="2"/>
      <c r="KH9" s="2">
        <v>30</v>
      </c>
      <c r="KI9" s="2"/>
      <c r="KJ9" s="2"/>
      <c r="KK9" s="2">
        <v>64</v>
      </c>
      <c r="KL9" s="2">
        <v>36</v>
      </c>
      <c r="KM9" s="2"/>
      <c r="KN9" s="2"/>
      <c r="KO9" s="2"/>
      <c r="KP9" s="2"/>
      <c r="KQ9" s="2" t="s">
        <v>83</v>
      </c>
      <c r="KR9" s="2" t="s">
        <v>73</v>
      </c>
      <c r="KS9" s="2"/>
      <c r="KT9" s="2">
        <v>1</v>
      </c>
      <c r="KU9" s="2" t="s">
        <v>84</v>
      </c>
      <c r="KV9" s="2" t="s">
        <v>85</v>
      </c>
      <c r="KW9" s="2" t="s">
        <v>530</v>
      </c>
      <c r="KX9" s="2" t="s">
        <v>17</v>
      </c>
      <c r="KY9" s="2" t="s">
        <v>17</v>
      </c>
      <c r="KZ9" s="2" t="s">
        <v>17</v>
      </c>
      <c r="LA9" s="2" t="s">
        <v>17</v>
      </c>
      <c r="LB9" s="2" t="s">
        <v>17</v>
      </c>
      <c r="LC9" s="2" t="s">
        <v>17</v>
      </c>
      <c r="LD9" s="2" t="s">
        <v>17</v>
      </c>
      <c r="LE9" s="2" t="s">
        <v>17</v>
      </c>
      <c r="LF9" s="2" t="s">
        <v>17</v>
      </c>
      <c r="LG9" s="2" t="s">
        <v>17</v>
      </c>
      <c r="LH9" s="2" t="s">
        <v>17</v>
      </c>
      <c r="LI9" s="2" t="s">
        <v>17</v>
      </c>
      <c r="LJ9" s="2" t="s">
        <v>87</v>
      </c>
      <c r="LK9" s="2" t="s">
        <v>17</v>
      </c>
      <c r="LL9" s="2" t="s">
        <v>17</v>
      </c>
      <c r="LM9" s="2">
        <v>0</v>
      </c>
      <c r="LN9" s="2" t="s">
        <v>9</v>
      </c>
      <c r="LO9" s="2" t="s">
        <v>9</v>
      </c>
      <c r="LP9" s="2" t="s">
        <v>9</v>
      </c>
      <c r="LQ9" s="2" t="s">
        <v>17</v>
      </c>
      <c r="LR9" s="2" t="s">
        <v>17</v>
      </c>
      <c r="LS9" s="2" t="s">
        <v>17</v>
      </c>
      <c r="LT9" s="2" t="s">
        <v>17</v>
      </c>
      <c r="LU9" s="2" t="s">
        <v>17</v>
      </c>
      <c r="LV9" s="2" t="s">
        <v>17</v>
      </c>
      <c r="LW9" s="2" t="s">
        <v>17</v>
      </c>
      <c r="LX9" s="2" t="s">
        <v>17</v>
      </c>
      <c r="LY9" s="5">
        <v>6500000</v>
      </c>
      <c r="LZ9" s="5">
        <v>0</v>
      </c>
      <c r="MA9" s="5">
        <v>8400000</v>
      </c>
      <c r="MB9" s="5">
        <v>0</v>
      </c>
      <c r="MC9" s="5">
        <v>0</v>
      </c>
      <c r="MD9" s="5">
        <v>0</v>
      </c>
      <c r="ME9" s="5">
        <v>10000000</v>
      </c>
      <c r="MF9" s="5">
        <v>0</v>
      </c>
      <c r="MG9" s="5">
        <v>0</v>
      </c>
      <c r="MH9" s="5">
        <v>0</v>
      </c>
      <c r="MI9" s="5">
        <v>0</v>
      </c>
      <c r="MJ9" s="5">
        <v>0</v>
      </c>
      <c r="MK9" s="5">
        <v>0</v>
      </c>
      <c r="ML9" s="2">
        <v>0</v>
      </c>
      <c r="MM9" s="5">
        <v>0</v>
      </c>
      <c r="MN9" s="5">
        <v>0</v>
      </c>
      <c r="MO9" s="2">
        <v>0</v>
      </c>
      <c r="MP9" s="2">
        <v>0</v>
      </c>
      <c r="MQ9" s="2">
        <v>0</v>
      </c>
      <c r="MR9" s="5">
        <v>2950000</v>
      </c>
      <c r="MS9" s="5">
        <v>0</v>
      </c>
      <c r="MT9" s="5">
        <v>4600000</v>
      </c>
      <c r="MU9" s="5">
        <v>0</v>
      </c>
      <c r="MV9" s="5">
        <v>0</v>
      </c>
      <c r="MW9" s="5">
        <v>0</v>
      </c>
      <c r="MX9" s="5">
        <v>0</v>
      </c>
      <c r="MY9" s="5">
        <v>2500000</v>
      </c>
      <c r="MZ9" s="5">
        <v>0</v>
      </c>
      <c r="NA9" s="5">
        <v>5000000</v>
      </c>
      <c r="NB9" s="5">
        <v>0</v>
      </c>
      <c r="NC9" s="5">
        <v>0</v>
      </c>
      <c r="ND9" s="5">
        <v>0</v>
      </c>
      <c r="NE9" s="5">
        <v>0</v>
      </c>
      <c r="NF9" s="5">
        <v>0</v>
      </c>
      <c r="NG9" s="5">
        <v>3458400</v>
      </c>
      <c r="NH9" s="5">
        <v>3458400</v>
      </c>
      <c r="NI9" s="5">
        <v>3458400</v>
      </c>
      <c r="NJ9" s="5"/>
      <c r="NK9" s="5">
        <v>0</v>
      </c>
      <c r="NL9" s="2" t="s">
        <v>17</v>
      </c>
      <c r="NM9" s="2" t="s">
        <v>17</v>
      </c>
      <c r="NN9" s="2"/>
      <c r="NO9" s="2" t="s">
        <v>17</v>
      </c>
      <c r="NP9" s="2"/>
      <c r="NQ9" s="2"/>
      <c r="NR9" s="2" t="s">
        <v>17</v>
      </c>
      <c r="NS9" s="2"/>
      <c r="NT9" s="2" t="s">
        <v>17</v>
      </c>
      <c r="NU9" s="2"/>
      <c r="NV9" s="2"/>
      <c r="NW9" s="2"/>
      <c r="NX9" s="2" t="s">
        <v>9</v>
      </c>
      <c r="NY9" s="2" t="s">
        <v>88</v>
      </c>
      <c r="NZ9" s="2">
        <v>4.1900000000000004</v>
      </c>
      <c r="OA9" s="2" t="s">
        <v>3400</v>
      </c>
      <c r="OB9" s="2" t="s">
        <v>3401</v>
      </c>
      <c r="OC9" s="2" t="s">
        <v>3401</v>
      </c>
      <c r="OD9" s="2" t="s">
        <v>3343</v>
      </c>
      <c r="OE9" s="2" t="s">
        <v>3456</v>
      </c>
      <c r="OF9" s="2" t="s">
        <v>9</v>
      </c>
      <c r="OG9" s="2" t="s">
        <v>17</v>
      </c>
      <c r="OH9" s="2"/>
      <c r="OI9" s="2" t="s">
        <v>9</v>
      </c>
      <c r="OJ9" s="2" t="s">
        <v>92</v>
      </c>
      <c r="OK9" s="2" t="s">
        <v>17</v>
      </c>
      <c r="OL9" s="2" t="s">
        <v>17</v>
      </c>
      <c r="OM9" s="2" t="s">
        <v>85</v>
      </c>
      <c r="ON9" s="6">
        <v>0</v>
      </c>
      <c r="OO9" s="6">
        <v>0</v>
      </c>
      <c r="OP9" s="2" t="s">
        <v>93</v>
      </c>
      <c r="OQ9" s="2" t="s">
        <v>93</v>
      </c>
      <c r="OR9" s="6">
        <v>0</v>
      </c>
      <c r="OS9" s="4">
        <v>0</v>
      </c>
      <c r="OT9" s="2" t="s">
        <v>17</v>
      </c>
      <c r="OU9" s="2" t="s">
        <v>17</v>
      </c>
      <c r="OV9" s="2"/>
      <c r="OW9" s="2"/>
      <c r="OX9" s="5">
        <v>22205003</v>
      </c>
      <c r="OY9" s="6">
        <v>170807.72</v>
      </c>
      <c r="OZ9" s="2"/>
      <c r="PA9" s="2"/>
      <c r="PB9" s="2"/>
      <c r="PC9" s="2"/>
      <c r="PD9" s="8">
        <v>24386700</v>
      </c>
      <c r="PE9" s="2"/>
      <c r="PF9" s="8">
        <v>24386700</v>
      </c>
      <c r="PG9" s="2"/>
      <c r="PH9" s="2"/>
      <c r="PI9" s="2"/>
      <c r="PJ9" s="2"/>
      <c r="PK9" s="2"/>
      <c r="PL9" s="2"/>
      <c r="PM9" s="8">
        <v>24386700</v>
      </c>
      <c r="PN9" s="2"/>
      <c r="PO9" s="8">
        <v>24386700</v>
      </c>
      <c r="PP9" s="8">
        <v>3414138</v>
      </c>
      <c r="PQ9" s="2"/>
      <c r="PR9" s="8">
        <v>3414138</v>
      </c>
      <c r="PS9" s="6">
        <v>3414138</v>
      </c>
      <c r="PT9" s="8">
        <v>27800838</v>
      </c>
      <c r="PU9" s="2"/>
      <c r="PV9" s="8">
        <v>27800838</v>
      </c>
      <c r="PW9" s="8">
        <v>1390041</v>
      </c>
      <c r="PX9" s="2"/>
      <c r="PY9" s="8">
        <v>1390041</v>
      </c>
      <c r="PZ9" s="6">
        <v>1390041.9</v>
      </c>
      <c r="QA9" s="8">
        <v>1177400</v>
      </c>
      <c r="QB9" s="8">
        <v>75000</v>
      </c>
      <c r="QC9" s="8">
        <v>1252400</v>
      </c>
      <c r="QD9" s="8">
        <v>250000</v>
      </c>
      <c r="QE9" s="2"/>
      <c r="QF9" s="8">
        <v>250000</v>
      </c>
      <c r="QG9" s="8">
        <v>961017</v>
      </c>
      <c r="QH9" s="8">
        <v>150000</v>
      </c>
      <c r="QI9" s="8">
        <v>1111017</v>
      </c>
      <c r="QJ9" s="2"/>
      <c r="QK9" s="8">
        <v>642256</v>
      </c>
      <c r="QL9" s="8">
        <v>642256</v>
      </c>
      <c r="QM9" s="2"/>
      <c r="QN9" s="2"/>
      <c r="QO9" s="2"/>
      <c r="QP9" s="8">
        <v>150000</v>
      </c>
      <c r="QQ9" s="2"/>
      <c r="QR9" s="8">
        <v>150000</v>
      </c>
      <c r="QS9" s="8">
        <v>2538417</v>
      </c>
      <c r="QT9" s="8">
        <v>867256</v>
      </c>
      <c r="QU9" s="8">
        <v>3405673</v>
      </c>
      <c r="QV9" s="8">
        <v>170283</v>
      </c>
      <c r="QW9" s="2"/>
      <c r="QX9" s="8">
        <v>170283</v>
      </c>
      <c r="QY9" s="6">
        <v>170283.65</v>
      </c>
      <c r="QZ9" s="8">
        <v>1579306</v>
      </c>
      <c r="RA9" s="8">
        <v>530453</v>
      </c>
      <c r="RB9" s="8">
        <v>2109759</v>
      </c>
      <c r="RC9" s="8">
        <v>100000</v>
      </c>
      <c r="RD9" s="8">
        <v>100000</v>
      </c>
      <c r="RE9" s="2"/>
      <c r="RF9" s="2"/>
      <c r="RG9" s="2"/>
      <c r="RH9" s="8">
        <v>1579306</v>
      </c>
      <c r="RI9" s="8">
        <v>630453</v>
      </c>
      <c r="RJ9" s="8">
        <v>2209759</v>
      </c>
      <c r="RK9" s="8">
        <v>33478885</v>
      </c>
      <c r="RL9" s="8">
        <v>1497709</v>
      </c>
      <c r="RM9" s="8">
        <v>34976594</v>
      </c>
      <c r="RN9" s="2">
        <v>0</v>
      </c>
      <c r="RO9" s="6">
        <v>0</v>
      </c>
      <c r="RP9" s="8">
        <v>5596255</v>
      </c>
      <c r="RQ9" s="2"/>
      <c r="RR9" s="8">
        <v>5596255</v>
      </c>
      <c r="RS9" s="6">
        <v>5596255</v>
      </c>
      <c r="RT9" s="6">
        <v>0</v>
      </c>
      <c r="RU9" s="8">
        <v>5596255</v>
      </c>
      <c r="RV9" s="2"/>
      <c r="RW9" s="8">
        <v>5596255</v>
      </c>
      <c r="RX9" s="6">
        <v>5596255</v>
      </c>
      <c r="RY9" s="2"/>
      <c r="RZ9" s="2"/>
      <c r="SA9" s="6">
        <v>455000</v>
      </c>
      <c r="SB9" s="8">
        <v>2600000</v>
      </c>
      <c r="SC9" s="8">
        <v>2600000</v>
      </c>
      <c r="SD9" s="8">
        <v>39075140</v>
      </c>
      <c r="SE9" s="8">
        <v>4097709</v>
      </c>
      <c r="SF9" s="8">
        <v>43172849</v>
      </c>
      <c r="SG9" s="2"/>
      <c r="SH9" s="2"/>
      <c r="SI9" s="2" t="s">
        <v>2953</v>
      </c>
      <c r="SJ9" s="2"/>
      <c r="SK9" s="8">
        <v>34158222</v>
      </c>
      <c r="SL9" s="2" t="s">
        <v>95</v>
      </c>
      <c r="SM9" s="2"/>
      <c r="SN9" s="2"/>
      <c r="SO9" s="2"/>
      <c r="SP9" s="2"/>
      <c r="SQ9" s="2"/>
      <c r="SR9" s="2"/>
      <c r="SS9" s="2" t="s">
        <v>96</v>
      </c>
      <c r="ST9" s="2" t="s">
        <v>96</v>
      </c>
      <c r="SU9" s="2" t="s">
        <v>96</v>
      </c>
      <c r="SV9" s="2" t="s">
        <v>96</v>
      </c>
      <c r="SW9" s="8">
        <v>10892871</v>
      </c>
      <c r="SX9" s="2"/>
      <c r="SY9" s="2"/>
      <c r="SZ9" s="2"/>
      <c r="TA9" s="2"/>
      <c r="TB9" s="2"/>
      <c r="TC9" s="2"/>
      <c r="TD9" s="2">
        <v>0</v>
      </c>
      <c r="TE9" s="8">
        <v>45051093</v>
      </c>
      <c r="TF9" s="8">
        <v>1878244</v>
      </c>
      <c r="TG9" s="2" t="s">
        <v>9</v>
      </c>
      <c r="TH9" s="8">
        <v>10250000</v>
      </c>
      <c r="TI9" s="2" t="s">
        <v>95</v>
      </c>
      <c r="TJ9" s="2"/>
      <c r="TK9" s="2"/>
      <c r="TL9" s="2"/>
      <c r="TM9" s="2"/>
      <c r="TN9" s="2" t="s">
        <v>96</v>
      </c>
      <c r="TO9" s="2" t="s">
        <v>96</v>
      </c>
      <c r="TP9" s="2" t="s">
        <v>96</v>
      </c>
      <c r="TQ9" s="2" t="s">
        <v>96</v>
      </c>
      <c r="TR9" s="8">
        <v>31122487</v>
      </c>
      <c r="TS9" s="2"/>
      <c r="TT9" s="2"/>
      <c r="TU9" s="2"/>
      <c r="TV9" s="2"/>
      <c r="TW9" s="2"/>
      <c r="TX9" s="2"/>
      <c r="TY9" s="8">
        <v>1800362</v>
      </c>
      <c r="TZ9" s="8">
        <v>43172849</v>
      </c>
      <c r="UA9" s="6">
        <v>10250000</v>
      </c>
      <c r="UB9" s="2">
        <v>0</v>
      </c>
      <c r="UC9" s="2" t="s">
        <v>9</v>
      </c>
      <c r="UD9" s="2">
        <v>130</v>
      </c>
      <c r="UE9" s="5">
        <v>310000</v>
      </c>
      <c r="UF9" s="6">
        <v>413333.33</v>
      </c>
      <c r="UG9" s="6">
        <v>413333.33</v>
      </c>
      <c r="UH9" s="6">
        <v>438133.33</v>
      </c>
      <c r="UI9" s="6">
        <v>56957333.329999998</v>
      </c>
      <c r="UJ9" s="6">
        <v>9113173</v>
      </c>
      <c r="UK9" s="2" t="s">
        <v>97</v>
      </c>
      <c r="UL9" s="6">
        <v>9113173</v>
      </c>
      <c r="UM9" s="6">
        <v>66070506.329999998</v>
      </c>
      <c r="UN9" s="6">
        <v>40572849</v>
      </c>
      <c r="UO9" s="4">
        <v>0.99990000000000001</v>
      </c>
      <c r="UP9" s="2" t="s">
        <v>9</v>
      </c>
      <c r="UQ9" s="6">
        <v>0</v>
      </c>
      <c r="UR9" s="6">
        <v>0</v>
      </c>
      <c r="US9" s="6">
        <v>917010.58</v>
      </c>
      <c r="UT9" s="6">
        <v>917010.58</v>
      </c>
      <c r="UU9" s="6">
        <v>0</v>
      </c>
      <c r="UV9" s="6">
        <v>917010.58</v>
      </c>
      <c r="UW9" s="6">
        <v>0</v>
      </c>
      <c r="UX9" s="6">
        <v>917010.58</v>
      </c>
      <c r="UY9" s="2" t="s">
        <v>3457</v>
      </c>
      <c r="UZ9" s="2" t="s">
        <v>3288</v>
      </c>
      <c r="VA9" s="2" t="s">
        <v>17</v>
      </c>
      <c r="VB9" s="2" t="s">
        <v>17</v>
      </c>
      <c r="VC9" s="2" t="s">
        <v>17</v>
      </c>
      <c r="VD9" s="2" t="s">
        <v>17</v>
      </c>
      <c r="VE9" s="2" t="s">
        <v>17</v>
      </c>
      <c r="VF9" s="2" t="s">
        <v>17</v>
      </c>
      <c r="VG9" s="2" t="s">
        <v>3468</v>
      </c>
      <c r="VH9" s="2"/>
      <c r="VI9" s="388" t="s">
        <v>1820</v>
      </c>
      <c r="VJ9" s="2" t="s">
        <v>98</v>
      </c>
      <c r="VK9" s="2" t="s">
        <v>3459</v>
      </c>
      <c r="VL9" s="23">
        <f t="shared" si="0"/>
        <v>266</v>
      </c>
      <c r="VM9" s="17">
        <f t="shared" si="1"/>
        <v>2.046153846153846</v>
      </c>
      <c r="VN9" s="17" t="str">
        <f t="shared" si="2"/>
        <v>NC-HR-F</v>
      </c>
      <c r="VO9" s="17" t="str">
        <f t="shared" si="14"/>
        <v>NC-HR-F-ESS</v>
      </c>
      <c r="VP9" s="12">
        <v>9</v>
      </c>
      <c r="VQ9" s="57">
        <v>1</v>
      </c>
      <c r="VR9" s="57">
        <f t="shared" si="3"/>
        <v>1</v>
      </c>
      <c r="VS9" s="14">
        <f t="shared" si="4"/>
        <v>1</v>
      </c>
      <c r="VT9" s="12">
        <f t="shared" si="5"/>
        <v>0.88350000000000006</v>
      </c>
      <c r="VU9" s="29">
        <f t="shared" si="6"/>
        <v>27499467.600000001</v>
      </c>
      <c r="VV9" s="29">
        <f t="shared" si="7"/>
        <v>211534.37</v>
      </c>
      <c r="VW9" s="12" t="str">
        <f t="shared" si="15"/>
        <v>A</v>
      </c>
      <c r="VX9" s="12" t="str">
        <f t="shared" si="8"/>
        <v>NC-HR-ESS</v>
      </c>
      <c r="VY9" s="352">
        <f t="shared" si="16"/>
        <v>2</v>
      </c>
      <c r="WA9" s="12">
        <f t="shared" si="17"/>
        <v>0</v>
      </c>
      <c r="WB9" s="12">
        <f t="shared" si="18"/>
        <v>0</v>
      </c>
      <c r="WC9" s="12">
        <f t="shared" si="18"/>
        <v>0</v>
      </c>
      <c r="WD9" s="12">
        <f t="shared" si="18"/>
        <v>0</v>
      </c>
      <c r="WE9" s="12">
        <f t="shared" si="19"/>
        <v>1</v>
      </c>
      <c r="WF9" s="12">
        <f t="shared" si="9"/>
        <v>0</v>
      </c>
      <c r="WG9" s="12">
        <f t="shared" si="10"/>
        <v>0</v>
      </c>
      <c r="WH9" s="12">
        <f t="shared" si="11"/>
        <v>1</v>
      </c>
      <c r="WI9" s="31">
        <f t="shared" si="12"/>
        <v>2</v>
      </c>
      <c r="WJ9" s="2"/>
      <c r="WK9" s="444" t="str">
        <f t="shared" si="13"/>
        <v>NC-HR-ESS-BBN-BRN-NPH-F</v>
      </c>
      <c r="WL9" s="444"/>
      <c r="WM9" s="444"/>
      <c r="WN9" s="12"/>
      <c r="WO9" s="380" t="s">
        <v>2628</v>
      </c>
      <c r="WP9" s="144">
        <f>COUNTIFS($WE$2:$WE$72,"=1",$WA$2:$WA$72,"=1")</f>
        <v>34</v>
      </c>
      <c r="WQ9" s="144">
        <f>COUNTIFS($WE$2:$WE$72,"=1",$WB$2:$WB$72,"=1")</f>
        <v>0</v>
      </c>
      <c r="WR9" s="144">
        <f>COUNTIFS($WE$2:$WE$72,"=1",$WC$2:$WC$72,"=1")</f>
        <v>0</v>
      </c>
      <c r="WS9" s="144">
        <f>COUNTIFS($WE$2:$WE$72,"=1",$WD$2:$WD$72,"=1")</f>
        <v>2</v>
      </c>
      <c r="WT9" s="144">
        <f>COUNTIFS($WE$2:$WE$72,"=1",$WF$2:$WF$72,"=1")</f>
        <v>3</v>
      </c>
      <c r="WU9" s="144">
        <f>COUNTIFS($WE$2:$WE$72,"=1",$WG$2:$WG$72,"=1")</f>
        <v>11</v>
      </c>
      <c r="WV9" s="144">
        <f>COUNTIFS($WE$2:$WE$72,"=1",$WH$2:$WH$72,"=1")</f>
        <v>36</v>
      </c>
      <c r="WW9" s="384"/>
      <c r="WX9" s="205">
        <f>COUNTIF($WE$2:$WE$72,"=1")</f>
        <v>47</v>
      </c>
    </row>
    <row r="10" spans="1:622" x14ac:dyDescent="0.25">
      <c r="A10" s="2">
        <v>9646</v>
      </c>
      <c r="B10" s="2" t="s">
        <v>3469</v>
      </c>
      <c r="C10" s="2" t="s">
        <v>3305</v>
      </c>
      <c r="D10" s="3">
        <v>45159</v>
      </c>
      <c r="E10" s="2" t="s">
        <v>9</v>
      </c>
      <c r="F10" s="2">
        <v>3</v>
      </c>
      <c r="G10" s="2" t="s">
        <v>9</v>
      </c>
      <c r="H10" s="2">
        <v>3</v>
      </c>
      <c r="I10" s="2" t="s">
        <v>9</v>
      </c>
      <c r="J10" s="2">
        <v>3</v>
      </c>
      <c r="K10" s="2" t="s">
        <v>9</v>
      </c>
      <c r="L10" s="2">
        <v>3</v>
      </c>
      <c r="M10" s="2" t="s">
        <v>10</v>
      </c>
      <c r="N10" s="2">
        <v>0</v>
      </c>
      <c r="O10" s="2" t="s">
        <v>10</v>
      </c>
      <c r="P10" s="2">
        <v>0</v>
      </c>
      <c r="Q10" s="2" t="s">
        <v>11</v>
      </c>
      <c r="R10" s="2">
        <v>0</v>
      </c>
      <c r="S10" s="2" t="s">
        <v>9</v>
      </c>
      <c r="T10" s="2">
        <v>2</v>
      </c>
      <c r="U10" s="2" t="s">
        <v>9</v>
      </c>
      <c r="V10" s="2">
        <v>2</v>
      </c>
      <c r="W10" s="2" t="s">
        <v>9</v>
      </c>
      <c r="X10" s="2">
        <v>2</v>
      </c>
      <c r="Y10" s="2" t="s">
        <v>12</v>
      </c>
      <c r="Z10" s="2" t="s">
        <v>15</v>
      </c>
      <c r="AA10" s="2" t="s">
        <v>15</v>
      </c>
      <c r="AB10" s="2" t="s">
        <v>15</v>
      </c>
      <c r="AC10" s="2" t="s">
        <v>15</v>
      </c>
      <c r="AD10" s="2" t="s">
        <v>3470</v>
      </c>
      <c r="AE10" s="2" t="s">
        <v>15</v>
      </c>
      <c r="AF10" s="2">
        <v>0</v>
      </c>
      <c r="AG10" s="2" t="s">
        <v>234</v>
      </c>
      <c r="AH10" s="2" t="s">
        <v>17</v>
      </c>
      <c r="AI10" s="4">
        <v>0.1</v>
      </c>
      <c r="AJ10" s="2" t="s">
        <v>17</v>
      </c>
      <c r="AK10" s="2" t="s">
        <v>9</v>
      </c>
      <c r="AL10" s="2" t="s">
        <v>17</v>
      </c>
      <c r="AM10" s="2" t="s">
        <v>17</v>
      </c>
      <c r="AN10" s="2" t="s">
        <v>17</v>
      </c>
      <c r="AO10" s="2" t="s">
        <v>17</v>
      </c>
      <c r="AP10" s="2" t="s">
        <v>9</v>
      </c>
      <c r="AQ10" s="2" t="s">
        <v>17</v>
      </c>
      <c r="AR10" s="2" t="s">
        <v>17</v>
      </c>
      <c r="AS10" s="2" t="s">
        <v>17</v>
      </c>
      <c r="AT10" s="2">
        <v>5</v>
      </c>
      <c r="AU10" s="5">
        <v>100000</v>
      </c>
      <c r="AV10" s="2" t="s">
        <v>85</v>
      </c>
      <c r="AW10" s="2">
        <v>0</v>
      </c>
      <c r="AX10" s="2">
        <v>11</v>
      </c>
      <c r="AY10" s="2">
        <v>0</v>
      </c>
      <c r="AZ10" s="2">
        <v>18</v>
      </c>
      <c r="BA10" s="2">
        <v>0</v>
      </c>
      <c r="BB10" s="2">
        <v>0</v>
      </c>
      <c r="BC10" s="2">
        <v>1</v>
      </c>
      <c r="BD10" s="2">
        <v>5</v>
      </c>
      <c r="BE10" s="2">
        <v>0</v>
      </c>
      <c r="BF10" s="2">
        <v>1</v>
      </c>
      <c r="BG10" s="2">
        <v>0</v>
      </c>
      <c r="BH10" s="2">
        <v>0</v>
      </c>
      <c r="BI10" s="2">
        <v>13</v>
      </c>
      <c r="BJ10" s="2">
        <v>1</v>
      </c>
      <c r="BK10" s="2">
        <v>0</v>
      </c>
      <c r="BL10" s="2">
        <v>2</v>
      </c>
      <c r="BM10" s="2">
        <v>1</v>
      </c>
      <c r="BN10" s="2">
        <v>13</v>
      </c>
      <c r="BO10" s="2">
        <v>11</v>
      </c>
      <c r="BP10" s="2">
        <v>0</v>
      </c>
      <c r="BQ10" s="2">
        <v>10</v>
      </c>
      <c r="BR10" s="2">
        <v>13.77</v>
      </c>
      <c r="BS10" s="2">
        <v>0</v>
      </c>
      <c r="BT10" s="4">
        <v>0.06</v>
      </c>
      <c r="BU10" s="2" t="s">
        <v>9</v>
      </c>
      <c r="BV10" s="6">
        <v>175631.25</v>
      </c>
      <c r="BW10" s="2" t="s">
        <v>126</v>
      </c>
      <c r="BX10" s="2" t="s">
        <v>17</v>
      </c>
      <c r="BY10" s="2" t="s">
        <v>17</v>
      </c>
      <c r="BZ10" s="2" t="s">
        <v>17</v>
      </c>
      <c r="CA10" s="2" t="s">
        <v>17</v>
      </c>
      <c r="CB10" s="2" t="s">
        <v>17</v>
      </c>
      <c r="CC10" s="2" t="s">
        <v>17</v>
      </c>
      <c r="CD10" s="2" t="s">
        <v>17</v>
      </c>
      <c r="CE10" s="2" t="s">
        <v>3471</v>
      </c>
      <c r="CF10" s="2" t="s">
        <v>9</v>
      </c>
      <c r="CG10" s="2" t="s">
        <v>3472</v>
      </c>
      <c r="CH10" s="2"/>
      <c r="CI10" s="2"/>
      <c r="CJ10" s="2" t="s">
        <v>9</v>
      </c>
      <c r="CK10" s="2" t="s">
        <v>3473</v>
      </c>
      <c r="CL10" s="2" t="s">
        <v>3474</v>
      </c>
      <c r="CM10" s="2" t="s">
        <v>3475</v>
      </c>
      <c r="CN10" s="2" t="s">
        <v>3476</v>
      </c>
      <c r="CO10" s="2" t="s">
        <v>24</v>
      </c>
      <c r="CP10" s="2"/>
      <c r="CQ10" s="2">
        <v>92</v>
      </c>
      <c r="CR10" s="2" t="s">
        <v>375</v>
      </c>
      <c r="CS10" s="2">
        <v>2019</v>
      </c>
      <c r="CT10" s="2" t="s">
        <v>26</v>
      </c>
      <c r="CU10" s="2" t="s">
        <v>27</v>
      </c>
      <c r="CV10" s="2" t="s">
        <v>3477</v>
      </c>
      <c r="CW10" s="2" t="s">
        <v>3476</v>
      </c>
      <c r="CX10" s="2" t="s">
        <v>24</v>
      </c>
      <c r="CY10" s="2"/>
      <c r="CZ10" s="2">
        <v>135</v>
      </c>
      <c r="DA10" s="2" t="s">
        <v>375</v>
      </c>
      <c r="DB10" s="2">
        <v>2022</v>
      </c>
      <c r="DC10" s="2" t="s">
        <v>30</v>
      </c>
      <c r="DD10" s="2" t="s">
        <v>27</v>
      </c>
      <c r="DE10" s="2" t="s">
        <v>3478</v>
      </c>
      <c r="DF10" s="2" t="s">
        <v>3479</v>
      </c>
      <c r="DG10" s="2" t="s">
        <v>24</v>
      </c>
      <c r="DH10" s="2"/>
      <c r="DI10" s="2">
        <v>70</v>
      </c>
      <c r="DJ10" s="2" t="s">
        <v>375</v>
      </c>
      <c r="DK10" s="2">
        <v>2018</v>
      </c>
      <c r="DL10" s="2" t="s">
        <v>30</v>
      </c>
      <c r="DM10" s="2" t="s">
        <v>27</v>
      </c>
      <c r="DN10" s="2" t="s">
        <v>33</v>
      </c>
      <c r="DO10" s="2" t="s">
        <v>3480</v>
      </c>
      <c r="DP10" s="2"/>
      <c r="DQ10" s="2" t="s">
        <v>3481</v>
      </c>
      <c r="DR10" s="2" t="s">
        <v>3482</v>
      </c>
      <c r="DS10" s="2">
        <v>1</v>
      </c>
      <c r="DT10" s="2" t="s">
        <v>3483</v>
      </c>
      <c r="DU10" s="2" t="s">
        <v>3484</v>
      </c>
      <c r="DV10" s="2" t="s">
        <v>1933</v>
      </c>
      <c r="DW10" s="2">
        <v>64105</v>
      </c>
      <c r="DX10" s="2" t="s">
        <v>3485</v>
      </c>
      <c r="DY10" s="2"/>
      <c r="DZ10" s="2" t="s">
        <v>3486</v>
      </c>
      <c r="EA10" s="2" t="s">
        <v>3482</v>
      </c>
      <c r="EB10" s="2" t="s">
        <v>3487</v>
      </c>
      <c r="EC10" s="2" t="s">
        <v>2819</v>
      </c>
      <c r="ED10" s="2" t="s">
        <v>44</v>
      </c>
      <c r="EE10" s="2">
        <v>192</v>
      </c>
      <c r="EF10" s="2" t="s">
        <v>390</v>
      </c>
      <c r="EG10" s="2">
        <v>6</v>
      </c>
      <c r="EH10" s="2" t="s">
        <v>46</v>
      </c>
      <c r="EI10" s="2" t="s">
        <v>47</v>
      </c>
      <c r="EJ10" s="2" t="s">
        <v>3478</v>
      </c>
      <c r="EK10" s="2" t="s">
        <v>3479</v>
      </c>
      <c r="EL10" s="2" t="s">
        <v>44</v>
      </c>
      <c r="EM10" s="2">
        <v>70</v>
      </c>
      <c r="EN10" s="2" t="s">
        <v>390</v>
      </c>
      <c r="EO10" s="2">
        <v>4</v>
      </c>
      <c r="EP10" s="2" t="s">
        <v>46</v>
      </c>
      <c r="EQ10" s="2" t="s">
        <v>47</v>
      </c>
      <c r="ER10" s="2" t="s">
        <v>696</v>
      </c>
      <c r="ES10" s="2"/>
      <c r="ET10" s="2" t="s">
        <v>3488</v>
      </c>
      <c r="EU10" s="2" t="s">
        <v>3471</v>
      </c>
      <c r="EV10" s="2" t="s">
        <v>3489</v>
      </c>
      <c r="EW10" s="2" t="s">
        <v>3490</v>
      </c>
      <c r="EX10" s="2" t="s">
        <v>3141</v>
      </c>
      <c r="EY10" s="2">
        <v>2109</v>
      </c>
      <c r="EZ10" s="2" t="s">
        <v>3491</v>
      </c>
      <c r="FA10" s="2"/>
      <c r="FB10" s="2" t="s">
        <v>3492</v>
      </c>
      <c r="FC10" s="2" t="s">
        <v>3493</v>
      </c>
      <c r="FD10" s="2"/>
      <c r="FE10" s="2" t="s">
        <v>3494</v>
      </c>
      <c r="FF10" s="2" t="s">
        <v>3471</v>
      </c>
      <c r="FG10" s="2" t="s">
        <v>3489</v>
      </c>
      <c r="FH10" s="2" t="s">
        <v>3490</v>
      </c>
      <c r="FI10" s="2" t="s">
        <v>3141</v>
      </c>
      <c r="FJ10" s="2">
        <v>2109</v>
      </c>
      <c r="FK10" s="2" t="s">
        <v>3495</v>
      </c>
      <c r="FL10" s="2"/>
      <c r="FM10" s="2" t="s">
        <v>3496</v>
      </c>
      <c r="FN10" s="2" t="s">
        <v>3497</v>
      </c>
      <c r="FO10" s="2" t="s">
        <v>63</v>
      </c>
      <c r="FP10" s="2" t="s">
        <v>64</v>
      </c>
      <c r="FQ10" s="2" t="s">
        <v>9</v>
      </c>
      <c r="FR10" s="2" t="s">
        <v>17</v>
      </c>
      <c r="FS10" s="2" t="s">
        <v>17</v>
      </c>
      <c r="FT10" s="2" t="s">
        <v>9</v>
      </c>
      <c r="FU10" s="2"/>
      <c r="FV10" s="2"/>
      <c r="FW10" s="2">
        <v>0</v>
      </c>
      <c r="FX10" s="2">
        <v>0</v>
      </c>
      <c r="FY10" s="4">
        <v>0</v>
      </c>
      <c r="FZ10" s="4">
        <v>0</v>
      </c>
      <c r="GA10" s="2" t="s">
        <v>65</v>
      </c>
      <c r="GB10" s="2"/>
      <c r="GC10" s="2" t="s">
        <v>66</v>
      </c>
      <c r="GD10" s="2" t="s">
        <v>67</v>
      </c>
      <c r="GE10" s="2" t="s">
        <v>1612</v>
      </c>
      <c r="GF10" s="2"/>
      <c r="GG10" s="2"/>
      <c r="GH10" s="2"/>
      <c r="GI10" s="2">
        <v>80</v>
      </c>
      <c r="GJ10" s="2"/>
      <c r="GK10" s="2"/>
      <c r="GL10" s="2"/>
      <c r="GM10" s="2"/>
      <c r="GN10" s="2"/>
      <c r="GO10" s="2"/>
      <c r="GP10" s="2"/>
      <c r="GQ10" s="2">
        <v>80</v>
      </c>
      <c r="GR10" s="2" t="s">
        <v>3332</v>
      </c>
      <c r="GS10" s="2" t="s">
        <v>2686</v>
      </c>
      <c r="GT10" s="2" t="s">
        <v>3498</v>
      </c>
      <c r="GU10" s="2" t="s">
        <v>2720</v>
      </c>
      <c r="GV10" s="2" t="s">
        <v>17</v>
      </c>
      <c r="GW10" s="2">
        <v>25.566977000000001</v>
      </c>
      <c r="GX10" s="2">
        <v>-80.367113000000003</v>
      </c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>
        <v>25.565982999999999</v>
      </c>
      <c r="HO10" s="2">
        <v>-80.382632000000001</v>
      </c>
      <c r="HP10" s="2">
        <v>0.97</v>
      </c>
      <c r="HQ10" s="2">
        <v>4.5</v>
      </c>
      <c r="HR10" s="2"/>
      <c r="HS10" s="2"/>
      <c r="HT10" s="2"/>
      <c r="HU10" s="2"/>
      <c r="HV10" s="2" t="s">
        <v>406</v>
      </c>
      <c r="HW10" s="2" t="s">
        <v>3499</v>
      </c>
      <c r="HX10" s="2">
        <v>0.62</v>
      </c>
      <c r="HY10" s="2">
        <v>3</v>
      </c>
      <c r="HZ10" s="2"/>
      <c r="IA10" s="2"/>
      <c r="IB10" s="2"/>
      <c r="IC10" s="2"/>
      <c r="ID10" s="2" t="s">
        <v>406</v>
      </c>
      <c r="IE10" s="2">
        <v>0.62</v>
      </c>
      <c r="IF10" s="2">
        <v>3</v>
      </c>
      <c r="IG10" s="2" t="s">
        <v>3500</v>
      </c>
      <c r="IH10" s="2">
        <v>0.09</v>
      </c>
      <c r="II10" s="2">
        <v>4</v>
      </c>
      <c r="IJ10" s="2" t="s">
        <v>17</v>
      </c>
      <c r="IK10" s="2"/>
      <c r="IL10" s="2" t="s">
        <v>79</v>
      </c>
      <c r="IM10" s="2" t="s">
        <v>17</v>
      </c>
      <c r="IN10" s="2"/>
      <c r="IO10" s="2" t="s">
        <v>79</v>
      </c>
      <c r="IP10" s="2">
        <v>4.5</v>
      </c>
      <c r="IQ10" s="2">
        <v>10</v>
      </c>
      <c r="IR10" s="2">
        <v>14.5</v>
      </c>
      <c r="IS10" s="2" t="s">
        <v>17</v>
      </c>
      <c r="IT10" s="2" t="s">
        <v>17</v>
      </c>
      <c r="IU10" s="2" t="s">
        <v>17</v>
      </c>
      <c r="IV10" s="2" t="s">
        <v>9</v>
      </c>
      <c r="IW10" s="2" t="s">
        <v>9</v>
      </c>
      <c r="IX10" s="2" t="s">
        <v>9</v>
      </c>
      <c r="IY10" s="2">
        <v>14.5</v>
      </c>
      <c r="IZ10" s="2">
        <v>80</v>
      </c>
      <c r="JA10" s="2" t="s">
        <v>3085</v>
      </c>
      <c r="JB10" s="2"/>
      <c r="JC10" s="2" t="s">
        <v>173</v>
      </c>
      <c r="JD10" s="7">
        <v>0.1</v>
      </c>
      <c r="JE10" s="7">
        <v>0.8</v>
      </c>
      <c r="JF10" s="7">
        <v>0.1</v>
      </c>
      <c r="JG10" s="7"/>
      <c r="JH10" s="7"/>
      <c r="JI10" s="2">
        <v>72</v>
      </c>
      <c r="JJ10" s="7">
        <v>0.9</v>
      </c>
      <c r="JK10" s="2">
        <v>80</v>
      </c>
      <c r="JL10" s="7">
        <v>1</v>
      </c>
      <c r="JM10" s="2"/>
      <c r="JN10" s="2"/>
      <c r="JO10" s="2"/>
      <c r="JP10" s="2"/>
      <c r="JQ10" s="2"/>
      <c r="JR10" s="2"/>
      <c r="JS10" s="2">
        <v>0</v>
      </c>
      <c r="JT10" s="2">
        <v>0</v>
      </c>
      <c r="JU10" s="2"/>
      <c r="JV10" s="2">
        <v>0</v>
      </c>
      <c r="JW10" s="4">
        <v>0</v>
      </c>
      <c r="JX10" s="2">
        <v>0</v>
      </c>
      <c r="JY10" s="4">
        <v>0</v>
      </c>
      <c r="JZ10" s="2">
        <v>0</v>
      </c>
      <c r="KA10" s="2"/>
      <c r="KB10" s="2"/>
      <c r="KC10" s="2"/>
      <c r="KD10" s="2"/>
      <c r="KE10" s="2"/>
      <c r="KF10" s="2"/>
      <c r="KG10" s="2"/>
      <c r="KH10" s="2">
        <v>72</v>
      </c>
      <c r="KI10" s="2"/>
      <c r="KJ10" s="2"/>
      <c r="KK10" s="2">
        <v>8</v>
      </c>
      <c r="KL10" s="2"/>
      <c r="KM10" s="2"/>
      <c r="KN10" s="2"/>
      <c r="KO10" s="2"/>
      <c r="KP10" s="2"/>
      <c r="KQ10" s="2" t="s">
        <v>83</v>
      </c>
      <c r="KR10" s="2"/>
      <c r="KS10" s="2" t="s">
        <v>73</v>
      </c>
      <c r="KT10" s="2">
        <v>1</v>
      </c>
      <c r="KU10" s="2" t="s">
        <v>84</v>
      </c>
      <c r="KV10" s="2" t="s">
        <v>85</v>
      </c>
      <c r="KW10" s="2" t="s">
        <v>599</v>
      </c>
      <c r="KX10" s="2" t="s">
        <v>17</v>
      </c>
      <c r="KY10" s="2" t="s">
        <v>17</v>
      </c>
      <c r="KZ10" s="2" t="s">
        <v>17</v>
      </c>
      <c r="LA10" s="2" t="s">
        <v>17</v>
      </c>
      <c r="LB10" s="2" t="s">
        <v>17</v>
      </c>
      <c r="LC10" s="2" t="s">
        <v>17</v>
      </c>
      <c r="LD10" s="2" t="s">
        <v>17</v>
      </c>
      <c r="LE10" s="2" t="s">
        <v>17</v>
      </c>
      <c r="LF10" s="2" t="s">
        <v>17</v>
      </c>
      <c r="LG10" s="2" t="s">
        <v>17</v>
      </c>
      <c r="LH10" s="2" t="s">
        <v>17</v>
      </c>
      <c r="LI10" s="2" t="s">
        <v>17</v>
      </c>
      <c r="LJ10" s="2" t="s">
        <v>87</v>
      </c>
      <c r="LK10" s="2" t="s">
        <v>17</v>
      </c>
      <c r="LL10" s="2" t="s">
        <v>17</v>
      </c>
      <c r="LM10" s="2">
        <v>0</v>
      </c>
      <c r="LN10" s="2" t="s">
        <v>17</v>
      </c>
      <c r="LO10" s="2" t="s">
        <v>17</v>
      </c>
      <c r="LP10" s="2" t="s">
        <v>17</v>
      </c>
      <c r="LQ10" s="2" t="s">
        <v>17</v>
      </c>
      <c r="LR10" s="2" t="s">
        <v>17</v>
      </c>
      <c r="LS10" s="2" t="s">
        <v>17</v>
      </c>
      <c r="LT10" s="2" t="s">
        <v>17</v>
      </c>
      <c r="LU10" s="2" t="s">
        <v>9</v>
      </c>
      <c r="LV10" s="2" t="s">
        <v>9</v>
      </c>
      <c r="LW10" s="2" t="s">
        <v>9</v>
      </c>
      <c r="LX10" s="2" t="s">
        <v>17</v>
      </c>
      <c r="LY10" s="5">
        <v>6400000</v>
      </c>
      <c r="LZ10" s="5">
        <v>0</v>
      </c>
      <c r="MA10" s="5">
        <v>8000000</v>
      </c>
      <c r="MB10" s="5">
        <v>0</v>
      </c>
      <c r="MC10" s="5">
        <v>0</v>
      </c>
      <c r="MD10" s="5">
        <v>0</v>
      </c>
      <c r="ME10" s="5">
        <v>8400000</v>
      </c>
      <c r="MF10" s="5">
        <v>0</v>
      </c>
      <c r="MG10" s="5">
        <v>0</v>
      </c>
      <c r="MH10" s="5">
        <v>0</v>
      </c>
      <c r="MI10" s="5">
        <v>0</v>
      </c>
      <c r="MJ10" s="5">
        <v>0</v>
      </c>
      <c r="MK10" s="5">
        <v>0</v>
      </c>
      <c r="ML10" s="2">
        <v>0</v>
      </c>
      <c r="MM10" s="5">
        <v>0</v>
      </c>
      <c r="MN10" s="5">
        <v>0</v>
      </c>
      <c r="MO10" s="2">
        <v>0</v>
      </c>
      <c r="MP10" s="2">
        <v>0</v>
      </c>
      <c r="MQ10" s="2">
        <v>0</v>
      </c>
      <c r="MR10" s="5">
        <v>2950000</v>
      </c>
      <c r="MS10" s="5">
        <v>0</v>
      </c>
      <c r="MT10" s="5">
        <v>4600000</v>
      </c>
      <c r="MU10" s="5">
        <v>0</v>
      </c>
      <c r="MV10" s="5">
        <v>0</v>
      </c>
      <c r="MW10" s="5">
        <v>0</v>
      </c>
      <c r="MX10" s="5">
        <v>0</v>
      </c>
      <c r="MY10" s="5">
        <v>2500000</v>
      </c>
      <c r="MZ10" s="5">
        <v>0</v>
      </c>
      <c r="NA10" s="5">
        <v>5000000</v>
      </c>
      <c r="NB10" s="5">
        <v>0</v>
      </c>
      <c r="NC10" s="5">
        <v>0</v>
      </c>
      <c r="ND10" s="5">
        <v>0</v>
      </c>
      <c r="NE10" s="5">
        <v>0</v>
      </c>
      <c r="NF10" s="5">
        <v>0</v>
      </c>
      <c r="NG10" s="5">
        <v>3458400</v>
      </c>
      <c r="NH10" s="5">
        <v>1900000</v>
      </c>
      <c r="NI10" s="5">
        <v>1900000</v>
      </c>
      <c r="NJ10" s="5"/>
      <c r="NK10" s="5">
        <v>0</v>
      </c>
      <c r="NL10" s="2" t="s">
        <v>17</v>
      </c>
      <c r="NM10" s="2" t="s">
        <v>17</v>
      </c>
      <c r="NN10" s="2"/>
      <c r="NO10" s="2" t="s">
        <v>17</v>
      </c>
      <c r="NP10" s="2"/>
      <c r="NQ10" s="2"/>
      <c r="NR10" s="2" t="s">
        <v>17</v>
      </c>
      <c r="NS10" s="2"/>
      <c r="NT10" s="2" t="s">
        <v>17</v>
      </c>
      <c r="NU10" s="2"/>
      <c r="NV10" s="2"/>
      <c r="NW10" s="2"/>
      <c r="NX10" s="2" t="s">
        <v>9</v>
      </c>
      <c r="NY10" s="2" t="s">
        <v>88</v>
      </c>
      <c r="NZ10" s="2">
        <v>106.22</v>
      </c>
      <c r="OA10" s="2" t="s">
        <v>3400</v>
      </c>
      <c r="OB10" s="2" t="s">
        <v>3401</v>
      </c>
      <c r="OC10" s="2" t="s">
        <v>3401</v>
      </c>
      <c r="OD10" s="2" t="s">
        <v>3384</v>
      </c>
      <c r="OE10" s="2" t="s">
        <v>85</v>
      </c>
      <c r="OF10" s="2" t="s">
        <v>17</v>
      </c>
      <c r="OG10" s="2" t="s">
        <v>17</v>
      </c>
      <c r="OH10" s="2"/>
      <c r="OI10" s="2" t="s">
        <v>17</v>
      </c>
      <c r="OJ10" s="2"/>
      <c r="OK10" s="2" t="s">
        <v>17</v>
      </c>
      <c r="OL10" s="2" t="s">
        <v>17</v>
      </c>
      <c r="OM10" s="2" t="s">
        <v>85</v>
      </c>
      <c r="ON10" s="6">
        <v>0</v>
      </c>
      <c r="OO10" s="6">
        <v>0</v>
      </c>
      <c r="OP10" s="2" t="s">
        <v>93</v>
      </c>
      <c r="OQ10" s="2" t="s">
        <v>93</v>
      </c>
      <c r="OR10" s="6">
        <v>0</v>
      </c>
      <c r="OS10" s="4">
        <v>0</v>
      </c>
      <c r="OT10" s="2" t="s">
        <v>17</v>
      </c>
      <c r="OU10" s="2" t="s">
        <v>17</v>
      </c>
      <c r="OV10" s="2"/>
      <c r="OW10" s="2"/>
      <c r="OX10" s="5">
        <v>12645450</v>
      </c>
      <c r="OY10" s="6">
        <v>175631.25</v>
      </c>
      <c r="OZ10" s="2"/>
      <c r="PA10" s="2"/>
      <c r="PB10" s="8">
        <v>734608</v>
      </c>
      <c r="PC10" s="8">
        <v>734608</v>
      </c>
      <c r="PD10" s="8">
        <v>11117417</v>
      </c>
      <c r="PE10" s="8">
        <v>1374063</v>
      </c>
      <c r="PF10" s="8">
        <v>12491480</v>
      </c>
      <c r="PG10" s="8">
        <v>1111742</v>
      </c>
      <c r="PH10" s="8">
        <v>137406</v>
      </c>
      <c r="PI10" s="8">
        <v>1249148</v>
      </c>
      <c r="PJ10" s="2"/>
      <c r="PK10" s="2"/>
      <c r="PL10" s="2"/>
      <c r="PM10" s="8">
        <v>12229159</v>
      </c>
      <c r="PN10" s="8">
        <v>2246077</v>
      </c>
      <c r="PO10" s="8">
        <v>14475236</v>
      </c>
      <c r="PP10" s="8">
        <v>1803585</v>
      </c>
      <c r="PQ10" s="8">
        <v>222915</v>
      </c>
      <c r="PR10" s="8">
        <v>2026500</v>
      </c>
      <c r="PS10" s="6">
        <v>2026533</v>
      </c>
      <c r="PT10" s="8">
        <v>14032744</v>
      </c>
      <c r="PU10" s="8">
        <v>2468992</v>
      </c>
      <c r="PV10" s="8">
        <v>16501736</v>
      </c>
      <c r="PW10" s="8">
        <v>734327</v>
      </c>
      <c r="PX10" s="8">
        <v>90759</v>
      </c>
      <c r="PY10" s="8">
        <v>825086</v>
      </c>
      <c r="PZ10" s="6">
        <v>825086.8</v>
      </c>
      <c r="QA10" s="8">
        <v>1432480</v>
      </c>
      <c r="QB10" s="8">
        <v>177048</v>
      </c>
      <c r="QC10" s="8">
        <v>1609528</v>
      </c>
      <c r="QD10" s="8">
        <v>202836</v>
      </c>
      <c r="QE10" s="8">
        <v>265067</v>
      </c>
      <c r="QF10" s="8">
        <v>467903</v>
      </c>
      <c r="QG10" s="8">
        <v>274036</v>
      </c>
      <c r="QH10" s="8">
        <v>33870</v>
      </c>
      <c r="QI10" s="8">
        <v>307906</v>
      </c>
      <c r="QJ10" s="2"/>
      <c r="QK10" s="8">
        <v>459990</v>
      </c>
      <c r="QL10" s="8">
        <v>459990</v>
      </c>
      <c r="QM10" s="2"/>
      <c r="QN10" s="2"/>
      <c r="QO10" s="2"/>
      <c r="QP10" s="2"/>
      <c r="QQ10" s="8">
        <v>220000</v>
      </c>
      <c r="QR10" s="8">
        <v>220000</v>
      </c>
      <c r="QS10" s="8">
        <v>1909352</v>
      </c>
      <c r="QT10" s="8">
        <v>1155975</v>
      </c>
      <c r="QU10" s="8">
        <v>3065327</v>
      </c>
      <c r="QV10" s="8">
        <v>136348</v>
      </c>
      <c r="QW10" s="8">
        <v>16852</v>
      </c>
      <c r="QX10" s="8">
        <v>153200</v>
      </c>
      <c r="QY10" s="6">
        <v>153266.35</v>
      </c>
      <c r="QZ10" s="8">
        <v>1504634</v>
      </c>
      <c r="RA10" s="8">
        <v>608866</v>
      </c>
      <c r="RB10" s="8">
        <v>2113500</v>
      </c>
      <c r="RC10" s="8">
        <v>95500</v>
      </c>
      <c r="RD10" s="8">
        <v>95500</v>
      </c>
      <c r="RE10" s="2"/>
      <c r="RF10" s="2"/>
      <c r="RG10" s="2"/>
      <c r="RH10" s="8">
        <v>1504634</v>
      </c>
      <c r="RI10" s="8">
        <v>704366</v>
      </c>
      <c r="RJ10" s="8">
        <v>2209000</v>
      </c>
      <c r="RK10" s="8">
        <v>18317405</v>
      </c>
      <c r="RL10" s="8">
        <v>4436944</v>
      </c>
      <c r="RM10" s="8">
        <v>22754349</v>
      </c>
      <c r="RN10" s="2">
        <v>0</v>
      </c>
      <c r="RO10" s="6">
        <v>0</v>
      </c>
      <c r="RP10" s="8">
        <v>3235619</v>
      </c>
      <c r="RQ10" s="8">
        <v>399908</v>
      </c>
      <c r="RR10" s="8">
        <v>3635527</v>
      </c>
      <c r="RS10" s="6">
        <v>3640695</v>
      </c>
      <c r="RT10" s="6">
        <v>0</v>
      </c>
      <c r="RU10" s="8">
        <v>3235619</v>
      </c>
      <c r="RV10" s="8">
        <v>399908</v>
      </c>
      <c r="RW10" s="8">
        <v>3635527</v>
      </c>
      <c r="RX10" s="6">
        <v>3640695</v>
      </c>
      <c r="RY10" s="8">
        <v>280000</v>
      </c>
      <c r="RZ10" s="8">
        <v>280000</v>
      </c>
      <c r="SA10" s="6">
        <v>280000</v>
      </c>
      <c r="SB10" s="8">
        <v>3120000</v>
      </c>
      <c r="SC10" s="8">
        <v>3120000</v>
      </c>
      <c r="SD10" s="8">
        <v>21553024</v>
      </c>
      <c r="SE10" s="8">
        <v>8236852</v>
      </c>
      <c r="SF10" s="8">
        <v>29789876</v>
      </c>
      <c r="SG10" s="2" t="s">
        <v>3501</v>
      </c>
      <c r="SH10" s="2"/>
      <c r="SI10" s="2" t="s">
        <v>3502</v>
      </c>
      <c r="SJ10" s="2"/>
      <c r="SK10" s="8">
        <v>23500000</v>
      </c>
      <c r="SL10" s="2" t="s">
        <v>95</v>
      </c>
      <c r="SM10" s="2"/>
      <c r="SN10" s="2"/>
      <c r="SO10" s="2"/>
      <c r="SP10" s="2"/>
      <c r="SQ10" s="2"/>
      <c r="SR10" s="2"/>
      <c r="SS10" s="2" t="s">
        <v>96</v>
      </c>
      <c r="ST10" s="2" t="s">
        <v>96</v>
      </c>
      <c r="SU10" s="2" t="s">
        <v>96</v>
      </c>
      <c r="SV10" s="2" t="s">
        <v>96</v>
      </c>
      <c r="SW10" s="8">
        <v>3609639</v>
      </c>
      <c r="SX10" s="2"/>
      <c r="SY10" s="2"/>
      <c r="SZ10" s="2"/>
      <c r="TA10" s="2"/>
      <c r="TB10" s="2"/>
      <c r="TC10" s="2"/>
      <c r="TD10" s="8">
        <v>2680237</v>
      </c>
      <c r="TE10" s="8">
        <v>29789876</v>
      </c>
      <c r="TF10" s="2">
        <v>0</v>
      </c>
      <c r="TG10" s="2" t="s">
        <v>9</v>
      </c>
      <c r="TH10" s="8">
        <v>9000000</v>
      </c>
      <c r="TI10" s="2" t="s">
        <v>95</v>
      </c>
      <c r="TJ10" s="2"/>
      <c r="TK10" s="2"/>
      <c r="TL10" s="2"/>
      <c r="TM10" s="2"/>
      <c r="TN10" s="2" t="s">
        <v>96</v>
      </c>
      <c r="TO10" s="2" t="s">
        <v>96</v>
      </c>
      <c r="TP10" s="2" t="s">
        <v>96</v>
      </c>
      <c r="TQ10" s="2" t="s">
        <v>96</v>
      </c>
      <c r="TR10" s="8">
        <v>18048195</v>
      </c>
      <c r="TS10" s="2"/>
      <c r="TT10" s="2"/>
      <c r="TU10" s="2"/>
      <c r="TV10" s="2"/>
      <c r="TW10" s="2"/>
      <c r="TX10" s="2"/>
      <c r="TY10" s="8">
        <v>2741681</v>
      </c>
      <c r="TZ10" s="8">
        <v>29789876</v>
      </c>
      <c r="UA10" s="6">
        <v>9000000</v>
      </c>
      <c r="UB10" s="2">
        <v>0</v>
      </c>
      <c r="UC10" s="2" t="s">
        <v>9</v>
      </c>
      <c r="UD10" s="2">
        <v>80</v>
      </c>
      <c r="UE10" s="5">
        <v>290000</v>
      </c>
      <c r="UF10" s="6">
        <v>386666.67</v>
      </c>
      <c r="UG10" s="6">
        <v>386666.67</v>
      </c>
      <c r="UH10" s="6">
        <v>409866.67</v>
      </c>
      <c r="UI10" s="6">
        <v>32789333.329999998</v>
      </c>
      <c r="UJ10" s="6">
        <v>5246293</v>
      </c>
      <c r="UK10" s="2" t="s">
        <v>97</v>
      </c>
      <c r="UL10" s="6">
        <v>5246293</v>
      </c>
      <c r="UM10" s="6">
        <v>38035626.329999998</v>
      </c>
      <c r="UN10" s="6">
        <v>25655268</v>
      </c>
      <c r="UO10" s="4">
        <v>0.99990000000000001</v>
      </c>
      <c r="UP10" s="2" t="s">
        <v>9</v>
      </c>
      <c r="UQ10" s="6">
        <v>0</v>
      </c>
      <c r="UR10" s="6">
        <v>0</v>
      </c>
      <c r="US10" s="6">
        <v>250772.2</v>
      </c>
      <c r="UT10" s="6">
        <v>250772.2</v>
      </c>
      <c r="UU10" s="6">
        <v>0</v>
      </c>
      <c r="UV10" s="6">
        <v>250772.2</v>
      </c>
      <c r="UW10" s="6">
        <v>0</v>
      </c>
      <c r="UX10" s="6">
        <v>250772.2</v>
      </c>
      <c r="UY10" s="2" t="s">
        <v>3387</v>
      </c>
      <c r="UZ10" s="2" t="s">
        <v>3288</v>
      </c>
      <c r="VA10" s="2" t="s">
        <v>17</v>
      </c>
      <c r="VB10" s="2" t="s">
        <v>17</v>
      </c>
      <c r="VC10" s="2" t="s">
        <v>17</v>
      </c>
      <c r="VD10" s="2" t="s">
        <v>17</v>
      </c>
      <c r="VE10" s="2" t="s">
        <v>17</v>
      </c>
      <c r="VF10" s="2" t="s">
        <v>17</v>
      </c>
      <c r="VG10" s="2" t="s">
        <v>3503</v>
      </c>
      <c r="VH10" s="2"/>
      <c r="VI10" s="388" t="s">
        <v>3473</v>
      </c>
      <c r="VJ10" s="2" t="s">
        <v>98</v>
      </c>
      <c r="VK10" s="2" t="s">
        <v>232</v>
      </c>
      <c r="VL10" s="23">
        <f t="shared" si="0"/>
        <v>88</v>
      </c>
      <c r="VM10" s="17">
        <f t="shared" si="1"/>
        <v>1.1000000000000001</v>
      </c>
      <c r="VN10" s="17" t="str">
        <f t="shared" si="2"/>
        <v>NC-MR-E</v>
      </c>
      <c r="VO10" s="17" t="str">
        <f t="shared" si="14"/>
        <v>NC-MR-E-ESS</v>
      </c>
      <c r="VP10" s="12">
        <v>9</v>
      </c>
      <c r="VQ10" s="57">
        <v>1</v>
      </c>
      <c r="VR10" s="57">
        <f t="shared" si="3"/>
        <v>1</v>
      </c>
      <c r="VS10" s="14">
        <f t="shared" si="4"/>
        <v>1</v>
      </c>
      <c r="VT10" s="12">
        <f t="shared" si="5"/>
        <v>0.9020999999999999</v>
      </c>
      <c r="VU10" s="29">
        <f t="shared" si="6"/>
        <v>15425909.999999998</v>
      </c>
      <c r="VV10" s="29">
        <f t="shared" si="7"/>
        <v>214248.75</v>
      </c>
      <c r="VW10" s="12" t="str">
        <f t="shared" si="15"/>
        <v>A</v>
      </c>
      <c r="VX10" s="12" t="str">
        <f t="shared" si="8"/>
        <v>NC-MR-ESS</v>
      </c>
      <c r="VY10" s="352">
        <f t="shared" si="16"/>
        <v>2</v>
      </c>
      <c r="WA10" s="12">
        <f t="shared" si="17"/>
        <v>1</v>
      </c>
      <c r="WB10" s="12">
        <f t="shared" si="18"/>
        <v>0</v>
      </c>
      <c r="WC10" s="12">
        <f t="shared" si="18"/>
        <v>0</v>
      </c>
      <c r="WD10" s="12">
        <f t="shared" si="18"/>
        <v>0</v>
      </c>
      <c r="WE10" s="12">
        <f t="shared" si="19"/>
        <v>1</v>
      </c>
      <c r="WF10" s="12">
        <f t="shared" si="9"/>
        <v>0</v>
      </c>
      <c r="WG10" s="12">
        <f t="shared" si="10"/>
        <v>1</v>
      </c>
      <c r="WH10" s="12">
        <f t="shared" si="11"/>
        <v>0</v>
      </c>
      <c r="WI10" s="31">
        <f t="shared" si="12"/>
        <v>3</v>
      </c>
      <c r="WJ10" s="2"/>
      <c r="WK10" s="444" t="str">
        <f t="shared" si="13"/>
        <v>NC-MR-ESS-BBN-BRN-NPH-E</v>
      </c>
      <c r="WL10" s="444"/>
      <c r="WM10" s="444"/>
      <c r="WN10" s="12"/>
      <c r="WO10" s="381" t="s">
        <v>4945</v>
      </c>
      <c r="WP10" s="206">
        <f>COUNTIF($WA$2:$WA$72,"=1")</f>
        <v>34</v>
      </c>
      <c r="WQ10" s="204">
        <f>COUNTIF($WB$2:$WB$72,"=1")</f>
        <v>0</v>
      </c>
      <c r="WR10" s="204">
        <f>COUNTIF($WC$2:$WC$72,"=1")</f>
        <v>0</v>
      </c>
      <c r="WS10" s="204">
        <f>COUNTIF($WD$2:$WD$72,"=1")</f>
        <v>2</v>
      </c>
      <c r="WT10" s="204">
        <f>COUNTIF($WF$2:$WF$72,"=1")</f>
        <v>3</v>
      </c>
      <c r="WU10" s="204">
        <f>COUNTIF($WG$2:$WG$72,"=1")</f>
        <v>11</v>
      </c>
      <c r="WV10" s="204">
        <f>COUNTIF($WH$2:$WH$72,"=1")</f>
        <v>36</v>
      </c>
      <c r="WW10" s="208">
        <f>COUNTIF($WE$2:$WE$72,"=1")</f>
        <v>47</v>
      </c>
      <c r="WX10" s="385"/>
    </row>
    <row r="11" spans="1:622" x14ac:dyDescent="0.25">
      <c r="A11" s="2">
        <v>9645</v>
      </c>
      <c r="B11" s="2" t="s">
        <v>3504</v>
      </c>
      <c r="C11" s="2" t="s">
        <v>3305</v>
      </c>
      <c r="D11" s="3">
        <v>45159</v>
      </c>
      <c r="E11" s="2" t="s">
        <v>9</v>
      </c>
      <c r="F11" s="2">
        <v>3</v>
      </c>
      <c r="G11" s="2" t="s">
        <v>9</v>
      </c>
      <c r="H11" s="2">
        <v>3</v>
      </c>
      <c r="I11" s="2" t="s">
        <v>9</v>
      </c>
      <c r="J11" s="2">
        <v>3</v>
      </c>
      <c r="K11" s="2" t="s">
        <v>9</v>
      </c>
      <c r="L11" s="2">
        <v>3</v>
      </c>
      <c r="M11" s="2" t="s">
        <v>10</v>
      </c>
      <c r="N11" s="2">
        <v>0</v>
      </c>
      <c r="O11" s="2" t="s">
        <v>10</v>
      </c>
      <c r="P11" s="2">
        <v>0</v>
      </c>
      <c r="Q11" s="2" t="s">
        <v>11</v>
      </c>
      <c r="R11" s="2">
        <v>0</v>
      </c>
      <c r="S11" s="2" t="s">
        <v>9</v>
      </c>
      <c r="T11" s="2">
        <v>2</v>
      </c>
      <c r="U11" s="2" t="s">
        <v>9</v>
      </c>
      <c r="V11" s="2">
        <v>2</v>
      </c>
      <c r="W11" s="2" t="s">
        <v>9</v>
      </c>
      <c r="X11" s="2">
        <v>2</v>
      </c>
      <c r="Y11" s="2" t="s">
        <v>12</v>
      </c>
      <c r="Z11" s="2" t="s">
        <v>15</v>
      </c>
      <c r="AA11" s="2" t="s">
        <v>15</v>
      </c>
      <c r="AB11" s="2" t="s">
        <v>15</v>
      </c>
      <c r="AC11" s="2" t="s">
        <v>15</v>
      </c>
      <c r="AD11" s="2" t="s">
        <v>3505</v>
      </c>
      <c r="AE11" s="2" t="s">
        <v>15</v>
      </c>
      <c r="AF11" s="2">
        <v>0</v>
      </c>
      <c r="AG11" s="2" t="s">
        <v>234</v>
      </c>
      <c r="AH11" s="2" t="s">
        <v>17</v>
      </c>
      <c r="AI11" s="4">
        <v>0.1</v>
      </c>
      <c r="AJ11" s="2" t="s">
        <v>17</v>
      </c>
      <c r="AK11" s="2" t="s">
        <v>9</v>
      </c>
      <c r="AL11" s="2" t="s">
        <v>17</v>
      </c>
      <c r="AM11" s="2" t="s">
        <v>17</v>
      </c>
      <c r="AN11" s="2" t="s">
        <v>17</v>
      </c>
      <c r="AO11" s="2" t="s">
        <v>17</v>
      </c>
      <c r="AP11" s="2" t="s">
        <v>9</v>
      </c>
      <c r="AQ11" s="2" t="s">
        <v>17</v>
      </c>
      <c r="AR11" s="2" t="s">
        <v>17</v>
      </c>
      <c r="AS11" s="2" t="s">
        <v>17</v>
      </c>
      <c r="AT11" s="2">
        <v>5</v>
      </c>
      <c r="AU11" s="5">
        <v>100000</v>
      </c>
      <c r="AV11" s="2" t="s">
        <v>85</v>
      </c>
      <c r="AW11" s="2">
        <v>0</v>
      </c>
      <c r="AX11" s="2">
        <v>11</v>
      </c>
      <c r="AY11" s="2">
        <v>0</v>
      </c>
      <c r="AZ11" s="2">
        <v>16</v>
      </c>
      <c r="BA11" s="2">
        <v>0</v>
      </c>
      <c r="BB11" s="2">
        <v>0</v>
      </c>
      <c r="BC11" s="2">
        <v>1</v>
      </c>
      <c r="BD11" s="2">
        <v>5</v>
      </c>
      <c r="BE11" s="2">
        <v>0</v>
      </c>
      <c r="BF11" s="2">
        <v>1</v>
      </c>
      <c r="BG11" s="2">
        <v>0</v>
      </c>
      <c r="BH11" s="2">
        <v>0</v>
      </c>
      <c r="BI11" s="2">
        <v>13</v>
      </c>
      <c r="BJ11" s="2">
        <v>1</v>
      </c>
      <c r="BK11" s="2">
        <v>0</v>
      </c>
      <c r="BL11" s="2">
        <v>3</v>
      </c>
      <c r="BM11" s="2">
        <v>1</v>
      </c>
      <c r="BN11" s="2">
        <v>12</v>
      </c>
      <c r="BO11" s="2">
        <v>11</v>
      </c>
      <c r="BP11" s="2">
        <v>0</v>
      </c>
      <c r="BQ11" s="2">
        <v>10</v>
      </c>
      <c r="BR11" s="2">
        <v>18.96</v>
      </c>
      <c r="BS11" s="2">
        <v>0</v>
      </c>
      <c r="BT11" s="4">
        <v>0.06</v>
      </c>
      <c r="BU11" s="2" t="s">
        <v>9</v>
      </c>
      <c r="BV11" s="6">
        <v>177420.87</v>
      </c>
      <c r="BW11" s="2" t="s">
        <v>18</v>
      </c>
      <c r="BX11" s="2" t="s">
        <v>17</v>
      </c>
      <c r="BY11" s="2" t="s">
        <v>17</v>
      </c>
      <c r="BZ11" s="2" t="s">
        <v>17</v>
      </c>
      <c r="CA11" s="2" t="s">
        <v>17</v>
      </c>
      <c r="CB11" s="2" t="s">
        <v>17</v>
      </c>
      <c r="CC11" s="2" t="s">
        <v>17</v>
      </c>
      <c r="CD11" s="2" t="s">
        <v>17</v>
      </c>
      <c r="CE11" s="2" t="s">
        <v>3506</v>
      </c>
      <c r="CF11" s="2" t="s">
        <v>17</v>
      </c>
      <c r="CG11" s="2" t="s">
        <v>3472</v>
      </c>
      <c r="CH11" s="2"/>
      <c r="CI11" s="2"/>
      <c r="CJ11" s="2" t="s">
        <v>9</v>
      </c>
      <c r="CK11" s="2" t="s">
        <v>3473</v>
      </c>
      <c r="CL11" s="2" t="s">
        <v>3474</v>
      </c>
      <c r="CM11" s="2" t="s">
        <v>3475</v>
      </c>
      <c r="CN11" s="2" t="s">
        <v>3476</v>
      </c>
      <c r="CO11" s="2" t="s">
        <v>24</v>
      </c>
      <c r="CP11" s="2"/>
      <c r="CQ11" s="2">
        <v>92</v>
      </c>
      <c r="CR11" s="2" t="s">
        <v>3132</v>
      </c>
      <c r="CS11" s="2">
        <v>2019</v>
      </c>
      <c r="CT11" s="2" t="s">
        <v>26</v>
      </c>
      <c r="CU11" s="2" t="s">
        <v>27</v>
      </c>
      <c r="CV11" s="2" t="s">
        <v>3477</v>
      </c>
      <c r="CW11" s="2" t="s">
        <v>3476</v>
      </c>
      <c r="CX11" s="2" t="s">
        <v>24</v>
      </c>
      <c r="CY11" s="2"/>
      <c r="CZ11" s="2">
        <v>135</v>
      </c>
      <c r="DA11" s="2" t="s">
        <v>3132</v>
      </c>
      <c r="DB11" s="2">
        <v>2022</v>
      </c>
      <c r="DC11" s="2" t="s">
        <v>30</v>
      </c>
      <c r="DD11" s="2" t="s">
        <v>27</v>
      </c>
      <c r="DE11" s="2" t="s">
        <v>3478</v>
      </c>
      <c r="DF11" s="2" t="s">
        <v>3479</v>
      </c>
      <c r="DG11" s="2" t="s">
        <v>24</v>
      </c>
      <c r="DH11" s="2"/>
      <c r="DI11" s="2">
        <v>70</v>
      </c>
      <c r="DJ11" s="2" t="s">
        <v>3132</v>
      </c>
      <c r="DK11" s="2">
        <v>2018</v>
      </c>
      <c r="DL11" s="2" t="s">
        <v>30</v>
      </c>
      <c r="DM11" s="2" t="s">
        <v>27</v>
      </c>
      <c r="DN11" s="2" t="s">
        <v>33</v>
      </c>
      <c r="DO11" s="2" t="s">
        <v>3480</v>
      </c>
      <c r="DP11" s="2"/>
      <c r="DQ11" s="2" t="s">
        <v>3481</v>
      </c>
      <c r="DR11" s="2" t="s">
        <v>3482</v>
      </c>
      <c r="DS11" s="2">
        <v>1</v>
      </c>
      <c r="DT11" s="2" t="s">
        <v>3483</v>
      </c>
      <c r="DU11" s="2" t="s">
        <v>3484</v>
      </c>
      <c r="DV11" s="2" t="s">
        <v>1933</v>
      </c>
      <c r="DW11" s="2">
        <v>64105</v>
      </c>
      <c r="DX11" s="2" t="s">
        <v>3485</v>
      </c>
      <c r="DY11" s="2"/>
      <c r="DZ11" s="2" t="s">
        <v>3486</v>
      </c>
      <c r="EA11" s="2" t="s">
        <v>3482</v>
      </c>
      <c r="EB11" s="2" t="s">
        <v>3487</v>
      </c>
      <c r="EC11" s="2" t="s">
        <v>2819</v>
      </c>
      <c r="ED11" s="2" t="s">
        <v>44</v>
      </c>
      <c r="EE11" s="2">
        <v>192</v>
      </c>
      <c r="EF11" s="2" t="s">
        <v>3146</v>
      </c>
      <c r="EG11" s="2">
        <v>6</v>
      </c>
      <c r="EH11" s="2" t="s">
        <v>46</v>
      </c>
      <c r="EI11" s="2" t="s">
        <v>47</v>
      </c>
      <c r="EJ11" s="2" t="s">
        <v>3478</v>
      </c>
      <c r="EK11" s="2" t="s">
        <v>3479</v>
      </c>
      <c r="EL11" s="2" t="s">
        <v>44</v>
      </c>
      <c r="EM11" s="2">
        <v>70</v>
      </c>
      <c r="EN11" s="2" t="s">
        <v>3146</v>
      </c>
      <c r="EO11" s="2">
        <v>4</v>
      </c>
      <c r="EP11" s="2" t="s">
        <v>46</v>
      </c>
      <c r="EQ11" s="2" t="s">
        <v>47</v>
      </c>
      <c r="ER11" s="2" t="s">
        <v>696</v>
      </c>
      <c r="ES11" s="2"/>
      <c r="ET11" s="2" t="s">
        <v>3488</v>
      </c>
      <c r="EU11" s="2" t="s">
        <v>3506</v>
      </c>
      <c r="EV11" s="2" t="s">
        <v>3489</v>
      </c>
      <c r="EW11" s="2" t="s">
        <v>3490</v>
      </c>
      <c r="EX11" s="2" t="s">
        <v>3141</v>
      </c>
      <c r="EY11" s="2">
        <v>2109</v>
      </c>
      <c r="EZ11" s="2" t="s">
        <v>3491</v>
      </c>
      <c r="FA11" s="2"/>
      <c r="FB11" s="2" t="s">
        <v>3492</v>
      </c>
      <c r="FC11" s="2" t="s">
        <v>3493</v>
      </c>
      <c r="FD11" s="2"/>
      <c r="FE11" s="2" t="s">
        <v>3494</v>
      </c>
      <c r="FF11" s="2" t="s">
        <v>3506</v>
      </c>
      <c r="FG11" s="2" t="s">
        <v>3489</v>
      </c>
      <c r="FH11" s="2" t="s">
        <v>3490</v>
      </c>
      <c r="FI11" s="2" t="s">
        <v>3141</v>
      </c>
      <c r="FJ11" s="2">
        <v>2109</v>
      </c>
      <c r="FK11" s="2" t="s">
        <v>3495</v>
      </c>
      <c r="FL11" s="2"/>
      <c r="FM11" s="2" t="s">
        <v>3496</v>
      </c>
      <c r="FN11" s="2" t="s">
        <v>3507</v>
      </c>
      <c r="FO11" s="2" t="s">
        <v>63</v>
      </c>
      <c r="FP11" s="2" t="s">
        <v>64</v>
      </c>
      <c r="FQ11" s="2" t="s">
        <v>9</v>
      </c>
      <c r="FR11" s="2" t="s">
        <v>17</v>
      </c>
      <c r="FS11" s="2" t="s">
        <v>17</v>
      </c>
      <c r="FT11" s="2" t="s">
        <v>9</v>
      </c>
      <c r="FU11" s="2"/>
      <c r="FV11" s="2"/>
      <c r="FW11" s="2">
        <v>0</v>
      </c>
      <c r="FX11" s="2">
        <v>0</v>
      </c>
      <c r="FY11" s="4">
        <v>0</v>
      </c>
      <c r="FZ11" s="4">
        <v>0</v>
      </c>
      <c r="GA11" s="2" t="s">
        <v>65</v>
      </c>
      <c r="GB11" s="2"/>
      <c r="GC11" s="2" t="s">
        <v>66</v>
      </c>
      <c r="GD11" s="2" t="s">
        <v>67</v>
      </c>
      <c r="GE11" s="2" t="s">
        <v>108</v>
      </c>
      <c r="GF11" s="2">
        <v>24</v>
      </c>
      <c r="GG11" s="2">
        <v>24</v>
      </c>
      <c r="GH11" s="2"/>
      <c r="GI11" s="2">
        <v>84</v>
      </c>
      <c r="GJ11" s="2"/>
      <c r="GK11" s="2"/>
      <c r="GL11" s="2">
        <v>5</v>
      </c>
      <c r="GM11" s="2"/>
      <c r="GN11" s="2"/>
      <c r="GO11" s="2"/>
      <c r="GP11" s="2"/>
      <c r="GQ11" s="2">
        <v>113</v>
      </c>
      <c r="GR11" s="2" t="s">
        <v>3332</v>
      </c>
      <c r="GS11" s="2" t="s">
        <v>2686</v>
      </c>
      <c r="GT11" s="2" t="s">
        <v>3498</v>
      </c>
      <c r="GU11" s="2" t="s">
        <v>2720</v>
      </c>
      <c r="GV11" s="2" t="s">
        <v>17</v>
      </c>
      <c r="GW11" s="2">
        <v>25.566932999999999</v>
      </c>
      <c r="GX11" s="2">
        <v>-80.367682000000002</v>
      </c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>
        <v>25.565982999999999</v>
      </c>
      <c r="HO11" s="2">
        <v>-80.382632000000001</v>
      </c>
      <c r="HP11" s="2">
        <v>0.93</v>
      </c>
      <c r="HQ11" s="2">
        <v>4.5</v>
      </c>
      <c r="HR11" s="2"/>
      <c r="HS11" s="2"/>
      <c r="HT11" s="2"/>
      <c r="HU11" s="2"/>
      <c r="HV11" s="2" t="s">
        <v>406</v>
      </c>
      <c r="HW11" s="2" t="s">
        <v>3499</v>
      </c>
      <c r="HX11" s="2">
        <v>0.59</v>
      </c>
      <c r="HY11" s="2">
        <v>3</v>
      </c>
      <c r="HZ11" s="2"/>
      <c r="IA11" s="2"/>
      <c r="IB11" s="2"/>
      <c r="IC11" s="2"/>
      <c r="ID11" s="2" t="s">
        <v>406</v>
      </c>
      <c r="IE11" s="2">
        <v>0.59</v>
      </c>
      <c r="IF11" s="2">
        <v>3</v>
      </c>
      <c r="IG11" s="2" t="s">
        <v>3500</v>
      </c>
      <c r="IH11" s="2">
        <v>0.13</v>
      </c>
      <c r="II11" s="2">
        <v>4</v>
      </c>
      <c r="IJ11" s="2" t="s">
        <v>17</v>
      </c>
      <c r="IK11" s="2"/>
      <c r="IL11" s="2" t="s">
        <v>79</v>
      </c>
      <c r="IM11" s="2" t="s">
        <v>17</v>
      </c>
      <c r="IN11" s="2"/>
      <c r="IO11" s="2" t="s">
        <v>79</v>
      </c>
      <c r="IP11" s="2">
        <v>4.5</v>
      </c>
      <c r="IQ11" s="2">
        <v>10</v>
      </c>
      <c r="IR11" s="2">
        <v>14.5</v>
      </c>
      <c r="IS11" s="2" t="s">
        <v>17</v>
      </c>
      <c r="IT11" s="2" t="s">
        <v>17</v>
      </c>
      <c r="IU11" s="2" t="s">
        <v>17</v>
      </c>
      <c r="IV11" s="2" t="s">
        <v>9</v>
      </c>
      <c r="IW11" s="2" t="s">
        <v>9</v>
      </c>
      <c r="IX11" s="2" t="s">
        <v>9</v>
      </c>
      <c r="IY11" s="2">
        <v>14.5</v>
      </c>
      <c r="IZ11" s="2">
        <v>113</v>
      </c>
      <c r="JA11" s="2" t="s">
        <v>2731</v>
      </c>
      <c r="JB11" s="2"/>
      <c r="JC11" s="2" t="s">
        <v>173</v>
      </c>
      <c r="JD11" s="7">
        <v>0.1</v>
      </c>
      <c r="JE11" s="7">
        <v>0.56000000000000005</v>
      </c>
      <c r="JF11" s="7">
        <v>0.34</v>
      </c>
      <c r="JG11" s="7"/>
      <c r="JH11" s="7"/>
      <c r="JI11" s="2">
        <v>75</v>
      </c>
      <c r="JJ11" s="7">
        <v>0.66</v>
      </c>
      <c r="JK11" s="2">
        <v>113</v>
      </c>
      <c r="JL11" s="7">
        <v>1</v>
      </c>
      <c r="JM11" s="2"/>
      <c r="JN11" s="2"/>
      <c r="JO11" s="2"/>
      <c r="JP11" s="2"/>
      <c r="JQ11" s="2"/>
      <c r="JR11" s="2"/>
      <c r="JS11" s="2">
        <v>0</v>
      </c>
      <c r="JT11" s="2">
        <v>0</v>
      </c>
      <c r="JU11" s="2"/>
      <c r="JV11" s="2">
        <v>0</v>
      </c>
      <c r="JW11" s="4">
        <v>0</v>
      </c>
      <c r="JX11" s="2">
        <v>0</v>
      </c>
      <c r="JY11" s="4">
        <v>0</v>
      </c>
      <c r="JZ11" s="2">
        <v>0</v>
      </c>
      <c r="KA11" s="2"/>
      <c r="KB11" s="2"/>
      <c r="KC11" s="2"/>
      <c r="KD11" s="2"/>
      <c r="KE11" s="2"/>
      <c r="KF11" s="2"/>
      <c r="KG11" s="2"/>
      <c r="KH11" s="2">
        <v>70</v>
      </c>
      <c r="KI11" s="2"/>
      <c r="KJ11" s="2"/>
      <c r="KK11" s="2">
        <v>35</v>
      </c>
      <c r="KL11" s="2">
        <v>8</v>
      </c>
      <c r="KM11" s="2"/>
      <c r="KN11" s="2"/>
      <c r="KO11" s="2"/>
      <c r="KP11" s="2"/>
      <c r="KQ11" s="2" t="s">
        <v>83</v>
      </c>
      <c r="KR11" s="2" t="s">
        <v>73</v>
      </c>
      <c r="KS11" s="2"/>
      <c r="KT11" s="2">
        <v>4</v>
      </c>
      <c r="KU11" s="2" t="s">
        <v>84</v>
      </c>
      <c r="KV11" s="2" t="s">
        <v>85</v>
      </c>
      <c r="KW11" s="2" t="s">
        <v>599</v>
      </c>
      <c r="KX11" s="2" t="s">
        <v>17</v>
      </c>
      <c r="KY11" s="2" t="s">
        <v>17</v>
      </c>
      <c r="KZ11" s="2" t="s">
        <v>17</v>
      </c>
      <c r="LA11" s="2" t="s">
        <v>17</v>
      </c>
      <c r="LB11" s="2" t="s">
        <v>17</v>
      </c>
      <c r="LC11" s="2" t="s">
        <v>17</v>
      </c>
      <c r="LD11" s="2" t="s">
        <v>17</v>
      </c>
      <c r="LE11" s="2" t="s">
        <v>17</v>
      </c>
      <c r="LF11" s="2" t="s">
        <v>17</v>
      </c>
      <c r="LG11" s="2" t="s">
        <v>17</v>
      </c>
      <c r="LH11" s="2" t="s">
        <v>17</v>
      </c>
      <c r="LI11" s="2" t="s">
        <v>17</v>
      </c>
      <c r="LJ11" s="2" t="s">
        <v>87</v>
      </c>
      <c r="LK11" s="2" t="s">
        <v>17</v>
      </c>
      <c r="LL11" s="2" t="s">
        <v>17</v>
      </c>
      <c r="LM11" s="2">
        <v>0</v>
      </c>
      <c r="LN11" s="2" t="s">
        <v>17</v>
      </c>
      <c r="LO11" s="2" t="s">
        <v>9</v>
      </c>
      <c r="LP11" s="2" t="s">
        <v>9</v>
      </c>
      <c r="LQ11" s="2" t="s">
        <v>17</v>
      </c>
      <c r="LR11" s="2" t="s">
        <v>9</v>
      </c>
      <c r="LS11" s="2" t="s">
        <v>17</v>
      </c>
      <c r="LT11" s="2" t="s">
        <v>17</v>
      </c>
      <c r="LU11" s="2" t="s">
        <v>17</v>
      </c>
      <c r="LV11" s="2" t="s">
        <v>17</v>
      </c>
      <c r="LW11" s="2" t="s">
        <v>17</v>
      </c>
      <c r="LX11" s="2" t="s">
        <v>17</v>
      </c>
      <c r="LY11" s="5">
        <v>6500000</v>
      </c>
      <c r="LZ11" s="5">
        <v>0</v>
      </c>
      <c r="MA11" s="5">
        <v>8400000</v>
      </c>
      <c r="MB11" s="5">
        <v>0</v>
      </c>
      <c r="MC11" s="5">
        <v>0</v>
      </c>
      <c r="MD11" s="5">
        <v>0</v>
      </c>
      <c r="ME11" s="5">
        <v>10000000</v>
      </c>
      <c r="MF11" s="5">
        <v>0</v>
      </c>
      <c r="MG11" s="5">
        <v>0</v>
      </c>
      <c r="MH11" s="5">
        <v>0</v>
      </c>
      <c r="MI11" s="5">
        <v>0</v>
      </c>
      <c r="MJ11" s="5">
        <v>0</v>
      </c>
      <c r="MK11" s="5">
        <v>0</v>
      </c>
      <c r="ML11" s="2">
        <v>0</v>
      </c>
      <c r="MM11" s="5">
        <v>0</v>
      </c>
      <c r="MN11" s="5">
        <v>0</v>
      </c>
      <c r="MO11" s="2">
        <v>0</v>
      </c>
      <c r="MP11" s="2">
        <v>0</v>
      </c>
      <c r="MQ11" s="2">
        <v>0</v>
      </c>
      <c r="MR11" s="5">
        <v>2950000</v>
      </c>
      <c r="MS11" s="5">
        <v>0</v>
      </c>
      <c r="MT11" s="5">
        <v>4600000</v>
      </c>
      <c r="MU11" s="5">
        <v>0</v>
      </c>
      <c r="MV11" s="5">
        <v>0</v>
      </c>
      <c r="MW11" s="5">
        <v>0</v>
      </c>
      <c r="MX11" s="5">
        <v>0</v>
      </c>
      <c r="MY11" s="5">
        <v>2500000</v>
      </c>
      <c r="MZ11" s="5">
        <v>0</v>
      </c>
      <c r="NA11" s="5">
        <v>5000000</v>
      </c>
      <c r="NB11" s="5">
        <v>0</v>
      </c>
      <c r="NC11" s="5">
        <v>0</v>
      </c>
      <c r="ND11" s="5">
        <v>0</v>
      </c>
      <c r="NE11" s="5">
        <v>0</v>
      </c>
      <c r="NF11" s="5">
        <v>0</v>
      </c>
      <c r="NG11" s="5">
        <v>3458400</v>
      </c>
      <c r="NH11" s="5">
        <v>1950000</v>
      </c>
      <c r="NI11" s="5">
        <v>1950000</v>
      </c>
      <c r="NJ11" s="5"/>
      <c r="NK11" s="5">
        <v>0</v>
      </c>
      <c r="NL11" s="2" t="s">
        <v>17</v>
      </c>
      <c r="NM11" s="2" t="s">
        <v>17</v>
      </c>
      <c r="NN11" s="2"/>
      <c r="NO11" s="2" t="s">
        <v>17</v>
      </c>
      <c r="NP11" s="2"/>
      <c r="NQ11" s="2"/>
      <c r="NR11" s="2" t="s">
        <v>17</v>
      </c>
      <c r="NS11" s="2"/>
      <c r="NT11" s="2" t="s">
        <v>17</v>
      </c>
      <c r="NU11" s="2"/>
      <c r="NV11" s="2"/>
      <c r="NW11" s="2"/>
      <c r="NX11" s="2" t="s">
        <v>9</v>
      </c>
      <c r="NY11" s="2" t="s">
        <v>88</v>
      </c>
      <c r="NZ11" s="2">
        <v>106.22</v>
      </c>
      <c r="OA11" s="2" t="s">
        <v>3400</v>
      </c>
      <c r="OB11" s="2" t="s">
        <v>3401</v>
      </c>
      <c r="OC11" s="2" t="s">
        <v>3401</v>
      </c>
      <c r="OD11" s="2" t="s">
        <v>3384</v>
      </c>
      <c r="OE11" s="2" t="s">
        <v>85</v>
      </c>
      <c r="OF11" s="2" t="s">
        <v>17</v>
      </c>
      <c r="OG11" s="2" t="s">
        <v>17</v>
      </c>
      <c r="OH11" s="2"/>
      <c r="OI11" s="2" t="s">
        <v>9</v>
      </c>
      <c r="OJ11" s="2" t="s">
        <v>92</v>
      </c>
      <c r="OK11" s="2" t="s">
        <v>17</v>
      </c>
      <c r="OL11" s="2" t="s">
        <v>17</v>
      </c>
      <c r="OM11" s="2" t="s">
        <v>85</v>
      </c>
      <c r="ON11" s="6">
        <v>0</v>
      </c>
      <c r="OO11" s="6">
        <v>0</v>
      </c>
      <c r="OP11" s="2" t="s">
        <v>93</v>
      </c>
      <c r="OQ11" s="2" t="s">
        <v>93</v>
      </c>
      <c r="OR11" s="6">
        <v>0</v>
      </c>
      <c r="OS11" s="4">
        <v>0</v>
      </c>
      <c r="OT11" s="2" t="s">
        <v>17</v>
      </c>
      <c r="OU11" s="2" t="s">
        <v>17</v>
      </c>
      <c r="OV11" s="2"/>
      <c r="OW11" s="2"/>
      <c r="OX11" s="5">
        <v>13306565</v>
      </c>
      <c r="OY11" s="6">
        <v>177420.87</v>
      </c>
      <c r="OZ11" s="2"/>
      <c r="PA11" s="2"/>
      <c r="PB11" s="2"/>
      <c r="PC11" s="2"/>
      <c r="PD11" s="8">
        <v>11165537</v>
      </c>
      <c r="PE11" s="8">
        <v>5751944</v>
      </c>
      <c r="PF11" s="8">
        <v>16917481</v>
      </c>
      <c r="PG11" s="8">
        <v>1116554</v>
      </c>
      <c r="PH11" s="8">
        <v>575194</v>
      </c>
      <c r="PI11" s="8">
        <v>1691748</v>
      </c>
      <c r="PJ11" s="2"/>
      <c r="PK11" s="2"/>
      <c r="PL11" s="2"/>
      <c r="PM11" s="8">
        <v>12282091</v>
      </c>
      <c r="PN11" s="8">
        <v>6327138</v>
      </c>
      <c r="PO11" s="8">
        <v>18609229</v>
      </c>
      <c r="PP11" s="8">
        <v>1719493</v>
      </c>
      <c r="PQ11" s="8">
        <v>885799</v>
      </c>
      <c r="PR11" s="8">
        <v>2605292</v>
      </c>
      <c r="PS11" s="6">
        <v>2605292</v>
      </c>
      <c r="PT11" s="8">
        <v>14001584</v>
      </c>
      <c r="PU11" s="8">
        <v>7212937</v>
      </c>
      <c r="PV11" s="8">
        <v>21214521</v>
      </c>
      <c r="PW11" s="8">
        <v>700078</v>
      </c>
      <c r="PX11" s="8">
        <v>360647</v>
      </c>
      <c r="PY11" s="8">
        <v>1060725</v>
      </c>
      <c r="PZ11" s="6">
        <v>1060726.05</v>
      </c>
      <c r="QA11" s="8">
        <v>1465558</v>
      </c>
      <c r="QB11" s="8">
        <v>754985</v>
      </c>
      <c r="QC11" s="8">
        <v>2220543</v>
      </c>
      <c r="QD11" s="8">
        <v>198401</v>
      </c>
      <c r="QE11" s="8">
        <v>441507</v>
      </c>
      <c r="QF11" s="8">
        <v>639908</v>
      </c>
      <c r="QG11" s="8">
        <v>234886</v>
      </c>
      <c r="QH11" s="8">
        <v>272992</v>
      </c>
      <c r="QI11" s="8">
        <v>507878</v>
      </c>
      <c r="QJ11" s="2"/>
      <c r="QK11" s="8">
        <v>599718</v>
      </c>
      <c r="QL11" s="8">
        <v>599718</v>
      </c>
      <c r="QM11" s="2"/>
      <c r="QN11" s="2"/>
      <c r="QO11" s="2"/>
      <c r="QP11" s="2"/>
      <c r="QQ11" s="8">
        <v>294250</v>
      </c>
      <c r="QR11" s="8">
        <v>294250</v>
      </c>
      <c r="QS11" s="8">
        <v>1898845</v>
      </c>
      <c r="QT11" s="8">
        <v>2363452</v>
      </c>
      <c r="QU11" s="8">
        <v>4262297</v>
      </c>
      <c r="QV11" s="8">
        <v>140580</v>
      </c>
      <c r="QW11" s="8">
        <v>72420</v>
      </c>
      <c r="QX11" s="8">
        <v>213000</v>
      </c>
      <c r="QY11" s="6">
        <v>213114.85</v>
      </c>
      <c r="QZ11" s="8">
        <v>1636800</v>
      </c>
      <c r="RA11" s="8">
        <v>1463200</v>
      </c>
      <c r="RB11" s="8">
        <v>3100000</v>
      </c>
      <c r="RC11" s="8">
        <v>195000</v>
      </c>
      <c r="RD11" s="8">
        <v>195000</v>
      </c>
      <c r="RE11" s="2"/>
      <c r="RF11" s="2"/>
      <c r="RG11" s="2"/>
      <c r="RH11" s="8">
        <v>1636800</v>
      </c>
      <c r="RI11" s="8">
        <v>1658200</v>
      </c>
      <c r="RJ11" s="8">
        <v>3295000</v>
      </c>
      <c r="RK11" s="8">
        <v>18377887</v>
      </c>
      <c r="RL11" s="8">
        <v>11667656</v>
      </c>
      <c r="RM11" s="8">
        <v>30045543</v>
      </c>
      <c r="RN11" s="2">
        <v>0</v>
      </c>
      <c r="RO11" s="6">
        <v>0</v>
      </c>
      <c r="RP11" s="8">
        <v>3169980</v>
      </c>
      <c r="RQ11" s="8">
        <v>1633020</v>
      </c>
      <c r="RR11" s="8">
        <v>4803000</v>
      </c>
      <c r="RS11" s="6">
        <v>4807286</v>
      </c>
      <c r="RT11" s="6">
        <v>0</v>
      </c>
      <c r="RU11" s="8">
        <v>3169980</v>
      </c>
      <c r="RV11" s="8">
        <v>1633020</v>
      </c>
      <c r="RW11" s="8">
        <v>4803000</v>
      </c>
      <c r="RX11" s="6">
        <v>4807286</v>
      </c>
      <c r="RY11" s="8">
        <v>395500</v>
      </c>
      <c r="RZ11" s="8">
        <v>395500</v>
      </c>
      <c r="SA11" s="6">
        <v>395500</v>
      </c>
      <c r="SB11" s="8">
        <v>4407000</v>
      </c>
      <c r="SC11" s="8">
        <v>4407000</v>
      </c>
      <c r="SD11" s="8">
        <v>21547867</v>
      </c>
      <c r="SE11" s="8">
        <v>18103176</v>
      </c>
      <c r="SF11" s="8">
        <v>39651043</v>
      </c>
      <c r="SG11" s="2" t="s">
        <v>3501</v>
      </c>
      <c r="SH11" s="2"/>
      <c r="SI11" s="2" t="s">
        <v>3508</v>
      </c>
      <c r="SJ11" s="2"/>
      <c r="SK11" s="8">
        <v>32000000</v>
      </c>
      <c r="SL11" s="2" t="s">
        <v>95</v>
      </c>
      <c r="SM11" s="2"/>
      <c r="SN11" s="2"/>
      <c r="SO11" s="2"/>
      <c r="SP11" s="2"/>
      <c r="SQ11" s="2"/>
      <c r="SR11" s="2"/>
      <c r="SS11" s="2" t="s">
        <v>96</v>
      </c>
      <c r="ST11" s="2" t="s">
        <v>96</v>
      </c>
      <c r="SU11" s="2" t="s">
        <v>96</v>
      </c>
      <c r="SV11" s="2" t="s">
        <v>96</v>
      </c>
      <c r="SW11" s="8">
        <v>3704630</v>
      </c>
      <c r="SX11" s="2"/>
      <c r="SY11" s="2"/>
      <c r="SZ11" s="2"/>
      <c r="TA11" s="2"/>
      <c r="TB11" s="2"/>
      <c r="TC11" s="2"/>
      <c r="TD11" s="8">
        <v>3946413</v>
      </c>
      <c r="TE11" s="8">
        <v>39651043</v>
      </c>
      <c r="TF11" s="2">
        <v>0</v>
      </c>
      <c r="TG11" s="2" t="s">
        <v>9</v>
      </c>
      <c r="TH11" s="8">
        <v>18000000</v>
      </c>
      <c r="TI11" s="2" t="s">
        <v>95</v>
      </c>
      <c r="TJ11" s="2"/>
      <c r="TK11" s="2"/>
      <c r="TL11" s="2"/>
      <c r="TM11" s="2"/>
      <c r="TN11" s="2" t="s">
        <v>96</v>
      </c>
      <c r="TO11" s="2" t="s">
        <v>96</v>
      </c>
      <c r="TP11" s="2" t="s">
        <v>96</v>
      </c>
      <c r="TQ11" s="2" t="s">
        <v>96</v>
      </c>
      <c r="TR11" s="8">
        <v>18523148</v>
      </c>
      <c r="TS11" s="2"/>
      <c r="TT11" s="2"/>
      <c r="TU11" s="2"/>
      <c r="TV11" s="2"/>
      <c r="TW11" s="2"/>
      <c r="TX11" s="2"/>
      <c r="TY11" s="8">
        <v>3127895</v>
      </c>
      <c r="TZ11" s="8">
        <v>39651043</v>
      </c>
      <c r="UA11" s="6">
        <v>18000000</v>
      </c>
      <c r="UB11" s="2">
        <v>0</v>
      </c>
      <c r="UC11" s="2" t="s">
        <v>9</v>
      </c>
      <c r="UD11" s="2">
        <v>113</v>
      </c>
      <c r="UE11" s="5">
        <v>282301</v>
      </c>
      <c r="UF11" s="6">
        <v>376401.18</v>
      </c>
      <c r="UG11" s="6">
        <v>376401.18</v>
      </c>
      <c r="UH11" s="6">
        <v>398985.25</v>
      </c>
      <c r="UI11" s="6">
        <v>45085333.329999998</v>
      </c>
      <c r="UJ11" s="6">
        <v>7213653</v>
      </c>
      <c r="UK11" s="2" t="s">
        <v>97</v>
      </c>
      <c r="UL11" s="6">
        <v>7213653</v>
      </c>
      <c r="UM11" s="6">
        <v>52298986.329999998</v>
      </c>
      <c r="UN11" s="6">
        <v>34848543</v>
      </c>
      <c r="UO11" s="4">
        <v>0.99990000000000001</v>
      </c>
      <c r="UP11" s="2" t="s">
        <v>9</v>
      </c>
      <c r="UQ11" s="6">
        <v>0</v>
      </c>
      <c r="UR11" s="6">
        <v>0</v>
      </c>
      <c r="US11" s="6">
        <v>325633.67</v>
      </c>
      <c r="UT11" s="6">
        <v>325633.67</v>
      </c>
      <c r="UU11" s="6">
        <v>0</v>
      </c>
      <c r="UV11" s="6">
        <v>325633.67</v>
      </c>
      <c r="UW11" s="6">
        <v>0</v>
      </c>
      <c r="UX11" s="6">
        <v>325633.67</v>
      </c>
      <c r="UY11" s="2" t="s">
        <v>3387</v>
      </c>
      <c r="UZ11" s="2" t="s">
        <v>3288</v>
      </c>
      <c r="VA11" s="2" t="s">
        <v>17</v>
      </c>
      <c r="VB11" s="2" t="s">
        <v>17</v>
      </c>
      <c r="VC11" s="2" t="s">
        <v>17</v>
      </c>
      <c r="VD11" s="2" t="s">
        <v>17</v>
      </c>
      <c r="VE11" s="2" t="s">
        <v>17</v>
      </c>
      <c r="VF11" s="2" t="s">
        <v>17</v>
      </c>
      <c r="VG11" s="2" t="s">
        <v>3509</v>
      </c>
      <c r="VH11" s="2"/>
      <c r="VI11" s="388" t="s">
        <v>3473</v>
      </c>
      <c r="VJ11" s="2" t="s">
        <v>98</v>
      </c>
      <c r="VK11" s="2" t="s">
        <v>232</v>
      </c>
      <c r="VL11" s="23">
        <f t="shared" si="0"/>
        <v>164</v>
      </c>
      <c r="VM11" s="17">
        <f t="shared" si="1"/>
        <v>1.4513274336283186</v>
      </c>
      <c r="VN11" s="17" t="str">
        <f t="shared" si="2"/>
        <v>NC-MR-F</v>
      </c>
      <c r="VO11" s="17" t="str">
        <f t="shared" si="14"/>
        <v>NC-MR-F-ESS</v>
      </c>
      <c r="VP11" s="12">
        <v>9</v>
      </c>
      <c r="VQ11" s="57">
        <v>1</v>
      </c>
      <c r="VR11" s="57">
        <f t="shared" si="3"/>
        <v>1</v>
      </c>
      <c r="VS11" s="14">
        <f t="shared" si="4"/>
        <v>1</v>
      </c>
      <c r="VT11" s="12">
        <f t="shared" si="5"/>
        <v>0.90926017699115069</v>
      </c>
      <c r="VU11" s="29">
        <f t="shared" si="6"/>
        <v>15957516.106194695</v>
      </c>
      <c r="VV11" s="29">
        <f t="shared" si="7"/>
        <v>212766.88</v>
      </c>
      <c r="VW11" s="12" t="str">
        <f t="shared" si="15"/>
        <v>A</v>
      </c>
      <c r="VX11" s="12" t="str">
        <f t="shared" si="8"/>
        <v>NC-MR-ESS</v>
      </c>
      <c r="VY11" s="352">
        <f t="shared" si="16"/>
        <v>2</v>
      </c>
      <c r="WA11" s="12">
        <f t="shared" si="17"/>
        <v>0</v>
      </c>
      <c r="WB11" s="12">
        <f t="shared" si="18"/>
        <v>0</v>
      </c>
      <c r="WC11" s="12">
        <f t="shared" si="18"/>
        <v>0</v>
      </c>
      <c r="WD11" s="12">
        <f t="shared" si="18"/>
        <v>0</v>
      </c>
      <c r="WE11" s="12">
        <f t="shared" si="19"/>
        <v>1</v>
      </c>
      <c r="WF11" s="12">
        <f t="shared" si="9"/>
        <v>1</v>
      </c>
      <c r="WG11" s="12">
        <f t="shared" si="10"/>
        <v>1</v>
      </c>
      <c r="WH11" s="12">
        <f t="shared" si="11"/>
        <v>0</v>
      </c>
      <c r="WI11" s="31">
        <f t="shared" si="12"/>
        <v>3</v>
      </c>
      <c r="WJ11" s="2"/>
      <c r="WK11" s="444" t="str">
        <f t="shared" ref="WK11:WK48" si="20">VX11&amp;"-"&amp;IF(VQ11&gt;1,"BBY","BBN")&amp;"-"&amp;IF(VR11=1,"BRN","BRY")&amp;"-"&amp;IF(VS11=1,"NPH","PHA")&amp;"-"&amp;IF(BW11="Family","F","E")</f>
        <v>NC-MR-ESS-BBN-BRN-NPH-F</v>
      </c>
      <c r="WL11" s="444"/>
      <c r="WM11" s="444"/>
    </row>
    <row r="12" spans="1:622" x14ac:dyDescent="0.25">
      <c r="A12" s="2">
        <v>9680</v>
      </c>
      <c r="B12" s="2" t="s">
        <v>3510</v>
      </c>
      <c r="C12" s="2" t="s">
        <v>3305</v>
      </c>
      <c r="D12" s="3">
        <v>45159</v>
      </c>
      <c r="E12" s="2" t="s">
        <v>9</v>
      </c>
      <c r="F12" s="2">
        <v>3</v>
      </c>
      <c r="G12" s="2" t="s">
        <v>9</v>
      </c>
      <c r="H12" s="2">
        <v>3</v>
      </c>
      <c r="I12" s="2" t="s">
        <v>9</v>
      </c>
      <c r="J12" s="2">
        <v>2</v>
      </c>
      <c r="K12" s="2" t="s">
        <v>9</v>
      </c>
      <c r="L12" s="2">
        <v>3</v>
      </c>
      <c r="M12" s="2" t="s">
        <v>10</v>
      </c>
      <c r="N12" s="2">
        <v>0</v>
      </c>
      <c r="O12" s="2" t="s">
        <v>10</v>
      </c>
      <c r="P12" s="2">
        <v>0</v>
      </c>
      <c r="Q12" s="2" t="s">
        <v>11</v>
      </c>
      <c r="R12" s="2">
        <v>0</v>
      </c>
      <c r="S12" s="2" t="s">
        <v>9</v>
      </c>
      <c r="T12" s="2">
        <v>2</v>
      </c>
      <c r="U12" s="2" t="s">
        <v>9</v>
      </c>
      <c r="V12" s="2">
        <v>2</v>
      </c>
      <c r="W12" s="2" t="s">
        <v>9</v>
      </c>
      <c r="X12" s="2">
        <v>2</v>
      </c>
      <c r="Y12" s="2" t="s">
        <v>12</v>
      </c>
      <c r="Z12" s="2" t="s">
        <v>1262</v>
      </c>
      <c r="AA12" s="2" t="s">
        <v>14</v>
      </c>
      <c r="AB12" s="2" t="s">
        <v>189</v>
      </c>
      <c r="AC12" s="2" t="s">
        <v>15</v>
      </c>
      <c r="AD12" s="2" t="s">
        <v>15</v>
      </c>
      <c r="AE12" s="2" t="s">
        <v>15</v>
      </c>
      <c r="AF12" s="2">
        <v>3</v>
      </c>
      <c r="AG12" s="2" t="s">
        <v>16</v>
      </c>
      <c r="AH12" s="2" t="s">
        <v>17</v>
      </c>
      <c r="AI12" s="4">
        <v>0.17460000000000001</v>
      </c>
      <c r="AJ12" s="2" t="s">
        <v>17</v>
      </c>
      <c r="AK12" s="2" t="s">
        <v>9</v>
      </c>
      <c r="AL12" s="2" t="s">
        <v>17</v>
      </c>
      <c r="AM12" s="2" t="s">
        <v>17</v>
      </c>
      <c r="AN12" s="2" t="s">
        <v>17</v>
      </c>
      <c r="AO12" s="2" t="s">
        <v>17</v>
      </c>
      <c r="AP12" s="2" t="s">
        <v>9</v>
      </c>
      <c r="AQ12" s="2" t="s">
        <v>17</v>
      </c>
      <c r="AR12" s="2" t="s">
        <v>17</v>
      </c>
      <c r="AS12" s="2" t="s">
        <v>17</v>
      </c>
      <c r="AT12" s="2">
        <v>5</v>
      </c>
      <c r="AU12" s="5">
        <v>100000</v>
      </c>
      <c r="AV12" s="2" t="s">
        <v>85</v>
      </c>
      <c r="AW12" s="2">
        <v>0</v>
      </c>
      <c r="AX12" s="2">
        <v>9</v>
      </c>
      <c r="AY12" s="2">
        <v>0</v>
      </c>
      <c r="AZ12" s="2">
        <v>18</v>
      </c>
      <c r="BA12" s="2">
        <v>0</v>
      </c>
      <c r="BB12" s="2">
        <v>0</v>
      </c>
      <c r="BC12" s="2">
        <v>1</v>
      </c>
      <c r="BD12" s="2">
        <v>3</v>
      </c>
      <c r="BE12" s="2">
        <v>0</v>
      </c>
      <c r="BF12" s="2">
        <v>1</v>
      </c>
      <c r="BG12" s="2">
        <v>0</v>
      </c>
      <c r="BH12" s="2">
        <v>0</v>
      </c>
      <c r="BI12" s="2">
        <v>13</v>
      </c>
      <c r="BJ12" s="2">
        <v>1</v>
      </c>
      <c r="BK12" s="2">
        <v>0</v>
      </c>
      <c r="BL12" s="2">
        <v>3</v>
      </c>
      <c r="BM12" s="2">
        <v>1</v>
      </c>
      <c r="BN12" s="2">
        <v>12</v>
      </c>
      <c r="BO12" s="2">
        <v>11</v>
      </c>
      <c r="BP12" s="2">
        <v>0</v>
      </c>
      <c r="BQ12" s="2">
        <v>10</v>
      </c>
      <c r="BR12" s="2">
        <v>11.92</v>
      </c>
      <c r="BS12" s="2">
        <v>0</v>
      </c>
      <c r="BT12" s="4">
        <v>0.06</v>
      </c>
      <c r="BU12" s="2" t="s">
        <v>9</v>
      </c>
      <c r="BV12" s="6">
        <v>182677.63</v>
      </c>
      <c r="BW12" s="2" t="s">
        <v>18</v>
      </c>
      <c r="BX12" s="2" t="s">
        <v>17</v>
      </c>
      <c r="BY12" s="2" t="s">
        <v>17</v>
      </c>
      <c r="BZ12" s="2" t="s">
        <v>17</v>
      </c>
      <c r="CA12" s="2" t="s">
        <v>17</v>
      </c>
      <c r="CB12" s="2" t="s">
        <v>17</v>
      </c>
      <c r="CC12" s="2" t="s">
        <v>17</v>
      </c>
      <c r="CD12" s="2" t="s">
        <v>17</v>
      </c>
      <c r="CE12" s="2" t="s">
        <v>3511</v>
      </c>
      <c r="CF12" s="2" t="s">
        <v>17</v>
      </c>
      <c r="CG12" s="2" t="s">
        <v>3512</v>
      </c>
      <c r="CH12" s="2" t="s">
        <v>3513</v>
      </c>
      <c r="CI12" s="2"/>
      <c r="CJ12" s="2" t="s">
        <v>9</v>
      </c>
      <c r="CK12" s="2" t="s">
        <v>1085</v>
      </c>
      <c r="CL12" s="2" t="s">
        <v>3514</v>
      </c>
      <c r="CM12" s="2" t="s">
        <v>1087</v>
      </c>
      <c r="CN12" s="2" t="s">
        <v>147</v>
      </c>
      <c r="CO12" s="2" t="s">
        <v>24</v>
      </c>
      <c r="CP12" s="2"/>
      <c r="CQ12" s="2">
        <v>112</v>
      </c>
      <c r="CR12" s="2" t="s">
        <v>3515</v>
      </c>
      <c r="CS12" s="2">
        <v>2014</v>
      </c>
      <c r="CT12" s="2" t="s">
        <v>26</v>
      </c>
      <c r="CU12" s="2" t="s">
        <v>27</v>
      </c>
      <c r="CV12" s="2" t="s">
        <v>1088</v>
      </c>
      <c r="CW12" s="2" t="s">
        <v>330</v>
      </c>
      <c r="CX12" s="2" t="s">
        <v>24</v>
      </c>
      <c r="CY12" s="2"/>
      <c r="CZ12" s="2">
        <v>73</v>
      </c>
      <c r="DA12" s="2" t="s">
        <v>3515</v>
      </c>
      <c r="DB12" s="2">
        <v>2017</v>
      </c>
      <c r="DC12" s="2" t="s">
        <v>30</v>
      </c>
      <c r="DD12" s="2" t="s">
        <v>27</v>
      </c>
      <c r="DE12" s="2" t="s">
        <v>1090</v>
      </c>
      <c r="DF12" s="2" t="s">
        <v>330</v>
      </c>
      <c r="DG12" s="2" t="s">
        <v>24</v>
      </c>
      <c r="DH12" s="2"/>
      <c r="DI12" s="2">
        <v>99</v>
      </c>
      <c r="DJ12" s="2" t="s">
        <v>3515</v>
      </c>
      <c r="DK12" s="2">
        <v>2012</v>
      </c>
      <c r="DL12" s="2" t="s">
        <v>243</v>
      </c>
      <c r="DM12" s="2" t="s">
        <v>27</v>
      </c>
      <c r="DN12" s="2" t="s">
        <v>33</v>
      </c>
      <c r="DO12" s="2" t="s">
        <v>3516</v>
      </c>
      <c r="DP12" s="2" t="s">
        <v>2629</v>
      </c>
      <c r="DQ12" s="2" t="s">
        <v>1092</v>
      </c>
      <c r="DR12" s="2" t="s">
        <v>1093</v>
      </c>
      <c r="DS12" s="2">
        <v>1</v>
      </c>
      <c r="DT12" s="2" t="s">
        <v>1388</v>
      </c>
      <c r="DU12" s="2" t="s">
        <v>1095</v>
      </c>
      <c r="DV12" s="2" t="s">
        <v>260</v>
      </c>
      <c r="DW12" s="2">
        <v>77024</v>
      </c>
      <c r="DX12" s="2" t="s">
        <v>386</v>
      </c>
      <c r="DY12" s="2"/>
      <c r="DZ12" s="2" t="s">
        <v>1097</v>
      </c>
      <c r="EA12" s="2" t="s">
        <v>1093</v>
      </c>
      <c r="EB12" s="2" t="s">
        <v>1098</v>
      </c>
      <c r="EC12" s="2" t="s">
        <v>333</v>
      </c>
      <c r="ED12" s="2" t="s">
        <v>44</v>
      </c>
      <c r="EE12" s="2">
        <v>188</v>
      </c>
      <c r="EF12" s="2" t="s">
        <v>3517</v>
      </c>
      <c r="EG12" s="2">
        <v>7</v>
      </c>
      <c r="EH12" s="2" t="s">
        <v>46</v>
      </c>
      <c r="EI12" s="2" t="s">
        <v>47</v>
      </c>
      <c r="EJ12" s="2" t="s">
        <v>1099</v>
      </c>
      <c r="EK12" s="2" t="s">
        <v>389</v>
      </c>
      <c r="EL12" s="2" t="s">
        <v>44</v>
      </c>
      <c r="EM12" s="2">
        <v>160</v>
      </c>
      <c r="EN12" s="2" t="s">
        <v>3517</v>
      </c>
      <c r="EO12" s="2">
        <v>3</v>
      </c>
      <c r="EP12" s="2" t="s">
        <v>46</v>
      </c>
      <c r="EQ12" s="2" t="s">
        <v>47</v>
      </c>
      <c r="ER12" s="2" t="s">
        <v>1100</v>
      </c>
      <c r="ES12" s="2" t="s">
        <v>951</v>
      </c>
      <c r="ET12" s="2" t="s">
        <v>1101</v>
      </c>
      <c r="EU12" s="2" t="s">
        <v>1102</v>
      </c>
      <c r="EV12" s="2" t="s">
        <v>1103</v>
      </c>
      <c r="EW12" s="2" t="s">
        <v>299</v>
      </c>
      <c r="EX12" s="2" t="s">
        <v>39</v>
      </c>
      <c r="EY12" s="2">
        <v>33131</v>
      </c>
      <c r="EZ12" s="2" t="s">
        <v>1390</v>
      </c>
      <c r="FA12" s="2"/>
      <c r="FB12" s="2" t="s">
        <v>1105</v>
      </c>
      <c r="FC12" s="2" t="s">
        <v>3518</v>
      </c>
      <c r="FD12" s="2"/>
      <c r="FE12" s="2" t="s">
        <v>3519</v>
      </c>
      <c r="FF12" s="2" t="s">
        <v>1102</v>
      </c>
      <c r="FG12" s="2" t="s">
        <v>1103</v>
      </c>
      <c r="FH12" s="2" t="s">
        <v>299</v>
      </c>
      <c r="FI12" s="2" t="s">
        <v>39</v>
      </c>
      <c r="FJ12" s="2">
        <v>33131</v>
      </c>
      <c r="FK12" s="2" t="s">
        <v>2784</v>
      </c>
      <c r="FL12" s="2"/>
      <c r="FM12" s="2" t="s">
        <v>3520</v>
      </c>
      <c r="FN12" s="2" t="s">
        <v>3521</v>
      </c>
      <c r="FO12" s="2" t="s">
        <v>63</v>
      </c>
      <c r="FP12" s="2" t="s">
        <v>64</v>
      </c>
      <c r="FQ12" s="2" t="s">
        <v>9</v>
      </c>
      <c r="FR12" s="2" t="s">
        <v>17</v>
      </c>
      <c r="FS12" s="2" t="s">
        <v>17</v>
      </c>
      <c r="FT12" s="2" t="s">
        <v>9</v>
      </c>
      <c r="FU12" s="2"/>
      <c r="FV12" s="2"/>
      <c r="FW12" s="2">
        <v>0</v>
      </c>
      <c r="FX12" s="2">
        <v>0</v>
      </c>
      <c r="FY12" s="4">
        <v>0</v>
      </c>
      <c r="FZ12" s="4">
        <v>0</v>
      </c>
      <c r="GA12" s="2" t="s">
        <v>65</v>
      </c>
      <c r="GB12" s="2"/>
      <c r="GC12" s="2" t="s">
        <v>66</v>
      </c>
      <c r="GD12" s="2" t="s">
        <v>67</v>
      </c>
      <c r="GE12" s="2" t="s">
        <v>1612</v>
      </c>
      <c r="GF12" s="2"/>
      <c r="GG12" s="2"/>
      <c r="GH12" s="2"/>
      <c r="GI12" s="2">
        <v>126</v>
      </c>
      <c r="GJ12" s="2"/>
      <c r="GK12" s="2"/>
      <c r="GL12" s="2"/>
      <c r="GM12" s="2"/>
      <c r="GN12" s="2"/>
      <c r="GO12" s="2"/>
      <c r="GP12" s="2"/>
      <c r="GQ12" s="2">
        <v>126</v>
      </c>
      <c r="GR12" s="2" t="s">
        <v>3332</v>
      </c>
      <c r="GS12" s="2" t="s">
        <v>2686</v>
      </c>
      <c r="GT12" s="2" t="s">
        <v>3522</v>
      </c>
      <c r="GU12" s="2" t="s">
        <v>299</v>
      </c>
      <c r="GV12" s="2" t="s">
        <v>17</v>
      </c>
      <c r="GW12" s="2">
        <v>25.824342000000001</v>
      </c>
      <c r="GX12" s="2">
        <v>-80.195605999999998</v>
      </c>
      <c r="GY12" s="2"/>
      <c r="GZ12" s="2">
        <v>25.821774000000001</v>
      </c>
      <c r="HA12" s="2">
        <v>-80.191811000000001</v>
      </c>
      <c r="HB12" s="2">
        <v>0.28999999999999998</v>
      </c>
      <c r="HC12" s="2">
        <v>5.5</v>
      </c>
      <c r="HD12" s="2">
        <v>25.821349000000001</v>
      </c>
      <c r="HE12" s="2">
        <v>-80.191596000000004</v>
      </c>
      <c r="HF12" s="2">
        <v>0.32</v>
      </c>
      <c r="HG12" s="2">
        <v>25.823194000000001</v>
      </c>
      <c r="HH12" s="2">
        <v>-80.191664000000003</v>
      </c>
      <c r="HI12" s="2">
        <v>0.26</v>
      </c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 t="s">
        <v>3080</v>
      </c>
      <c r="HW12" s="2" t="s">
        <v>3523</v>
      </c>
      <c r="HX12" s="2">
        <v>0.56000000000000005</v>
      </c>
      <c r="HY12" s="2">
        <v>3</v>
      </c>
      <c r="HZ12" s="2"/>
      <c r="IA12" s="2"/>
      <c r="IB12" s="2"/>
      <c r="IC12" s="2"/>
      <c r="ID12" s="2" t="s">
        <v>3524</v>
      </c>
      <c r="IE12" s="2">
        <v>0.23</v>
      </c>
      <c r="IF12" s="2">
        <v>4</v>
      </c>
      <c r="IG12" s="2" t="s">
        <v>3525</v>
      </c>
      <c r="IH12" s="2">
        <v>0.31</v>
      </c>
      <c r="II12" s="2">
        <v>4</v>
      </c>
      <c r="IJ12" s="2" t="s">
        <v>17</v>
      </c>
      <c r="IK12" s="2"/>
      <c r="IL12" s="2" t="s">
        <v>79</v>
      </c>
      <c r="IM12" s="2" t="s">
        <v>17</v>
      </c>
      <c r="IN12" s="2"/>
      <c r="IO12" s="2" t="s">
        <v>79</v>
      </c>
      <c r="IP12" s="2">
        <v>5.5</v>
      </c>
      <c r="IQ12" s="2">
        <v>11</v>
      </c>
      <c r="IR12" s="2">
        <v>16.5</v>
      </c>
      <c r="IS12" s="2" t="s">
        <v>17</v>
      </c>
      <c r="IT12" s="2" t="s">
        <v>17</v>
      </c>
      <c r="IU12" s="2" t="s">
        <v>17</v>
      </c>
      <c r="IV12" s="2" t="s">
        <v>9</v>
      </c>
      <c r="IW12" s="2" t="s">
        <v>9</v>
      </c>
      <c r="IX12" s="2" t="s">
        <v>9</v>
      </c>
      <c r="IY12" s="2">
        <v>16.5</v>
      </c>
      <c r="IZ12" s="2">
        <v>126</v>
      </c>
      <c r="JA12" s="2" t="s">
        <v>2731</v>
      </c>
      <c r="JB12" s="2"/>
      <c r="JC12" s="2" t="s">
        <v>82</v>
      </c>
      <c r="JD12" s="2"/>
      <c r="JE12" s="2"/>
      <c r="JF12" s="7">
        <v>0</v>
      </c>
      <c r="JG12" s="7"/>
      <c r="JH12" s="7"/>
      <c r="JI12" s="2">
        <v>0</v>
      </c>
      <c r="JJ12" s="7">
        <v>0</v>
      </c>
      <c r="JK12" s="2">
        <v>0</v>
      </c>
      <c r="JL12" s="7">
        <v>0</v>
      </c>
      <c r="JM12" s="2">
        <v>22</v>
      </c>
      <c r="JN12" s="2"/>
      <c r="JO12" s="2"/>
      <c r="JP12" s="2">
        <v>71</v>
      </c>
      <c r="JQ12" s="2"/>
      <c r="JR12" s="2">
        <v>33</v>
      </c>
      <c r="JS12" s="2">
        <v>0</v>
      </c>
      <c r="JT12" s="2">
        <v>0</v>
      </c>
      <c r="JU12" s="2"/>
      <c r="JV12" s="2">
        <v>126</v>
      </c>
      <c r="JW12" s="4">
        <v>1</v>
      </c>
      <c r="JX12" s="2">
        <v>126</v>
      </c>
      <c r="JY12" s="4">
        <v>0.6</v>
      </c>
      <c r="JZ12" s="2">
        <v>0</v>
      </c>
      <c r="KA12" s="2"/>
      <c r="KB12" s="2"/>
      <c r="KC12" s="2"/>
      <c r="KD12" s="2"/>
      <c r="KE12" s="2"/>
      <c r="KF12" s="2"/>
      <c r="KG12" s="2"/>
      <c r="KH12" s="2">
        <v>84</v>
      </c>
      <c r="KI12" s="2"/>
      <c r="KJ12" s="2"/>
      <c r="KK12" s="2">
        <v>36</v>
      </c>
      <c r="KL12" s="2">
        <v>6</v>
      </c>
      <c r="KM12" s="2"/>
      <c r="KN12" s="2"/>
      <c r="KO12" s="2"/>
      <c r="KP12" s="2"/>
      <c r="KQ12" s="2" t="s">
        <v>83</v>
      </c>
      <c r="KR12" s="2" t="s">
        <v>73</v>
      </c>
      <c r="KS12" s="2"/>
      <c r="KT12" s="2">
        <v>1</v>
      </c>
      <c r="KU12" s="2" t="s">
        <v>84</v>
      </c>
      <c r="KV12" s="2" t="s">
        <v>85</v>
      </c>
      <c r="KW12" s="2" t="s">
        <v>86</v>
      </c>
      <c r="KX12" s="2" t="s">
        <v>17</v>
      </c>
      <c r="KY12" s="2" t="s">
        <v>17</v>
      </c>
      <c r="KZ12" s="2" t="s">
        <v>17</v>
      </c>
      <c r="LA12" s="2" t="s">
        <v>17</v>
      </c>
      <c r="LB12" s="2" t="s">
        <v>17</v>
      </c>
      <c r="LC12" s="2" t="s">
        <v>17</v>
      </c>
      <c r="LD12" s="2" t="s">
        <v>17</v>
      </c>
      <c r="LE12" s="2" t="s">
        <v>17</v>
      </c>
      <c r="LF12" s="2" t="s">
        <v>17</v>
      </c>
      <c r="LG12" s="2" t="s">
        <v>17</v>
      </c>
      <c r="LH12" s="2" t="s">
        <v>17</v>
      </c>
      <c r="LI12" s="2" t="s">
        <v>17</v>
      </c>
      <c r="LJ12" s="2" t="s">
        <v>87</v>
      </c>
      <c r="LK12" s="2" t="s">
        <v>17</v>
      </c>
      <c r="LL12" s="2" t="s">
        <v>17</v>
      </c>
      <c r="LM12" s="2">
        <v>0</v>
      </c>
      <c r="LN12" s="2" t="s">
        <v>17</v>
      </c>
      <c r="LO12" s="2" t="s">
        <v>9</v>
      </c>
      <c r="LP12" s="2" t="s">
        <v>9</v>
      </c>
      <c r="LQ12" s="2" t="s">
        <v>17</v>
      </c>
      <c r="LR12" s="2" t="s">
        <v>9</v>
      </c>
      <c r="LS12" s="2" t="s">
        <v>17</v>
      </c>
      <c r="LT12" s="2" t="s">
        <v>17</v>
      </c>
      <c r="LU12" s="2" t="s">
        <v>17</v>
      </c>
      <c r="LV12" s="2" t="s">
        <v>17</v>
      </c>
      <c r="LW12" s="2" t="s">
        <v>17</v>
      </c>
      <c r="LX12" s="2" t="s">
        <v>17</v>
      </c>
      <c r="LY12" s="5">
        <v>6500000</v>
      </c>
      <c r="LZ12" s="5">
        <v>0</v>
      </c>
      <c r="MA12" s="5">
        <v>8400000</v>
      </c>
      <c r="MB12" s="5">
        <v>0</v>
      </c>
      <c r="MC12" s="5">
        <v>0</v>
      </c>
      <c r="MD12" s="5">
        <v>0</v>
      </c>
      <c r="ME12" s="5">
        <v>10000000</v>
      </c>
      <c r="MF12" s="5">
        <v>0</v>
      </c>
      <c r="MG12" s="5">
        <v>0</v>
      </c>
      <c r="MH12" s="5">
        <v>0</v>
      </c>
      <c r="MI12" s="5">
        <v>0</v>
      </c>
      <c r="MJ12" s="5">
        <v>0</v>
      </c>
      <c r="MK12" s="5">
        <v>0</v>
      </c>
      <c r="ML12" s="2">
        <v>0</v>
      </c>
      <c r="MM12" s="5">
        <v>0</v>
      </c>
      <c r="MN12" s="5">
        <v>0</v>
      </c>
      <c r="MO12" s="2">
        <v>0</v>
      </c>
      <c r="MP12" s="2">
        <v>0</v>
      </c>
      <c r="MQ12" s="2">
        <v>0</v>
      </c>
      <c r="MR12" s="5">
        <v>2950000</v>
      </c>
      <c r="MS12" s="5">
        <v>0</v>
      </c>
      <c r="MT12" s="5">
        <v>4600000</v>
      </c>
      <c r="MU12" s="5">
        <v>0</v>
      </c>
      <c r="MV12" s="5">
        <v>0</v>
      </c>
      <c r="MW12" s="5">
        <v>0</v>
      </c>
      <c r="MX12" s="5">
        <v>0</v>
      </c>
      <c r="MY12" s="5">
        <v>2500000</v>
      </c>
      <c r="MZ12" s="5">
        <v>0</v>
      </c>
      <c r="NA12" s="5">
        <v>5000000</v>
      </c>
      <c r="NB12" s="5">
        <v>0</v>
      </c>
      <c r="NC12" s="5">
        <v>0</v>
      </c>
      <c r="ND12" s="5">
        <v>0</v>
      </c>
      <c r="NE12" s="5">
        <v>0</v>
      </c>
      <c r="NF12" s="5">
        <v>0</v>
      </c>
      <c r="NG12" s="5">
        <v>3458400</v>
      </c>
      <c r="NH12" s="5">
        <v>3458400</v>
      </c>
      <c r="NI12" s="5">
        <v>3458400</v>
      </c>
      <c r="NJ12" s="5"/>
      <c r="NK12" s="5">
        <v>0</v>
      </c>
      <c r="NL12" s="2" t="s">
        <v>9</v>
      </c>
      <c r="NM12" s="2" t="s">
        <v>17</v>
      </c>
      <c r="NN12" s="2"/>
      <c r="NO12" s="2" t="s">
        <v>17</v>
      </c>
      <c r="NP12" s="2"/>
      <c r="NQ12" s="2"/>
      <c r="NR12" s="2" t="s">
        <v>17</v>
      </c>
      <c r="NS12" s="2"/>
      <c r="NT12" s="2" t="s">
        <v>17</v>
      </c>
      <c r="NU12" s="2"/>
      <c r="NV12" s="2"/>
      <c r="NW12" s="2"/>
      <c r="NX12" s="2" t="s">
        <v>9</v>
      </c>
      <c r="NY12" s="2" t="s">
        <v>88</v>
      </c>
      <c r="NZ12" s="2">
        <v>22.01</v>
      </c>
      <c r="OA12" s="2" t="s">
        <v>3400</v>
      </c>
      <c r="OB12" s="2" t="s">
        <v>3401</v>
      </c>
      <c r="OC12" s="2" t="s">
        <v>3401</v>
      </c>
      <c r="OD12" s="2" t="s">
        <v>3384</v>
      </c>
      <c r="OE12" s="2" t="s">
        <v>85</v>
      </c>
      <c r="OF12" s="2" t="s">
        <v>17</v>
      </c>
      <c r="OG12" s="2" t="s">
        <v>17</v>
      </c>
      <c r="OH12" s="2"/>
      <c r="OI12" s="2" t="s">
        <v>9</v>
      </c>
      <c r="OJ12" s="2" t="s">
        <v>92</v>
      </c>
      <c r="OK12" s="2" t="s">
        <v>17</v>
      </c>
      <c r="OL12" s="2" t="s">
        <v>17</v>
      </c>
      <c r="OM12" s="2" t="s">
        <v>85</v>
      </c>
      <c r="ON12" s="6">
        <v>0</v>
      </c>
      <c r="OO12" s="6">
        <v>0</v>
      </c>
      <c r="OP12" s="2" t="s">
        <v>93</v>
      </c>
      <c r="OQ12" s="2" t="s">
        <v>93</v>
      </c>
      <c r="OR12" s="6">
        <v>0</v>
      </c>
      <c r="OS12" s="4">
        <v>0</v>
      </c>
      <c r="OT12" s="2" t="s">
        <v>17</v>
      </c>
      <c r="OU12" s="2" t="s">
        <v>17</v>
      </c>
      <c r="OV12" s="2"/>
      <c r="OW12" s="2"/>
      <c r="OX12" s="5">
        <v>23017381</v>
      </c>
      <c r="OY12" s="6">
        <v>182677.63</v>
      </c>
      <c r="OZ12" s="2"/>
      <c r="PA12" s="2"/>
      <c r="PB12" s="2"/>
      <c r="PC12" s="2"/>
      <c r="PD12" s="8">
        <v>23347125</v>
      </c>
      <c r="PE12" s="2"/>
      <c r="PF12" s="8">
        <v>23347125</v>
      </c>
      <c r="PG12" s="2"/>
      <c r="PH12" s="2"/>
      <c r="PI12" s="2"/>
      <c r="PJ12" s="8">
        <v>300000</v>
      </c>
      <c r="PK12" s="2"/>
      <c r="PL12" s="8">
        <v>300000</v>
      </c>
      <c r="PM12" s="8">
        <v>23647125</v>
      </c>
      <c r="PN12" s="2"/>
      <c r="PO12" s="8">
        <v>23647125</v>
      </c>
      <c r="PP12" s="8">
        <v>3268597</v>
      </c>
      <c r="PQ12" s="2"/>
      <c r="PR12" s="8">
        <v>3268597</v>
      </c>
      <c r="PS12" s="6">
        <v>3310597</v>
      </c>
      <c r="PT12" s="8">
        <v>26915722</v>
      </c>
      <c r="PU12" s="2"/>
      <c r="PV12" s="8">
        <v>26915722</v>
      </c>
      <c r="PW12" s="8">
        <v>1330786</v>
      </c>
      <c r="PX12" s="2"/>
      <c r="PY12" s="8">
        <v>1330786</v>
      </c>
      <c r="PZ12" s="6">
        <v>1345786.1</v>
      </c>
      <c r="QA12" s="8">
        <v>948950</v>
      </c>
      <c r="QB12" s="8">
        <v>6500</v>
      </c>
      <c r="QC12" s="8">
        <v>955450</v>
      </c>
      <c r="QD12" s="8">
        <v>234618</v>
      </c>
      <c r="QE12" s="2"/>
      <c r="QF12" s="8">
        <v>234618</v>
      </c>
      <c r="QG12" s="8">
        <v>1193850</v>
      </c>
      <c r="QH12" s="2"/>
      <c r="QI12" s="8">
        <v>1193850</v>
      </c>
      <c r="QJ12" s="2"/>
      <c r="QK12" s="8">
        <v>628589</v>
      </c>
      <c r="QL12" s="8">
        <v>628589</v>
      </c>
      <c r="QM12" s="2"/>
      <c r="QN12" s="2"/>
      <c r="QO12" s="2"/>
      <c r="QP12" s="8">
        <v>98500</v>
      </c>
      <c r="QQ12" s="8">
        <v>771452</v>
      </c>
      <c r="QR12" s="8">
        <v>869952</v>
      </c>
      <c r="QS12" s="8">
        <v>2475918</v>
      </c>
      <c r="QT12" s="8">
        <v>1406541</v>
      </c>
      <c r="QU12" s="8">
        <v>3882459</v>
      </c>
      <c r="QV12" s="8">
        <v>125165</v>
      </c>
      <c r="QW12" s="2"/>
      <c r="QX12" s="8">
        <v>125165</v>
      </c>
      <c r="QY12" s="6">
        <v>194122.95</v>
      </c>
      <c r="QZ12" s="8">
        <v>385652</v>
      </c>
      <c r="RA12" s="8">
        <v>99075</v>
      </c>
      <c r="RB12" s="8">
        <v>484727</v>
      </c>
      <c r="RC12" s="8">
        <v>187000</v>
      </c>
      <c r="RD12" s="8">
        <v>187000</v>
      </c>
      <c r="RE12" s="8">
        <v>1923744</v>
      </c>
      <c r="RF12" s="8">
        <v>833420</v>
      </c>
      <c r="RG12" s="8">
        <v>2757164</v>
      </c>
      <c r="RH12" s="8">
        <v>2309396</v>
      </c>
      <c r="RI12" s="8">
        <v>1119495</v>
      </c>
      <c r="RJ12" s="8">
        <v>3428891</v>
      </c>
      <c r="RK12" s="8">
        <v>33156987</v>
      </c>
      <c r="RL12" s="8">
        <v>2526036</v>
      </c>
      <c r="RM12" s="8">
        <v>35683023</v>
      </c>
      <c r="RN12" s="2">
        <v>0</v>
      </c>
      <c r="RO12" s="6">
        <v>0</v>
      </c>
      <c r="RP12" s="8">
        <v>5709283</v>
      </c>
      <c r="RQ12" s="2"/>
      <c r="RR12" s="8">
        <v>5709283</v>
      </c>
      <c r="RS12" s="6">
        <v>5709283</v>
      </c>
      <c r="RT12" s="6">
        <v>0</v>
      </c>
      <c r="RU12" s="8">
        <v>5709283</v>
      </c>
      <c r="RV12" s="2"/>
      <c r="RW12" s="8">
        <v>5709283</v>
      </c>
      <c r="RX12" s="6">
        <v>5709283</v>
      </c>
      <c r="RY12" s="8">
        <v>427518</v>
      </c>
      <c r="RZ12" s="8">
        <v>427518</v>
      </c>
      <c r="SA12" s="6">
        <v>441000</v>
      </c>
      <c r="SB12" s="8">
        <v>2500000</v>
      </c>
      <c r="SC12" s="8">
        <v>2500000</v>
      </c>
      <c r="SD12" s="8">
        <v>38866270</v>
      </c>
      <c r="SE12" s="8">
        <v>5453554</v>
      </c>
      <c r="SF12" s="8">
        <v>44319824</v>
      </c>
      <c r="SG12" s="2"/>
      <c r="SH12" s="2" t="s">
        <v>3526</v>
      </c>
      <c r="SI12" s="2" t="s">
        <v>3527</v>
      </c>
      <c r="SJ12" s="2" t="s">
        <v>1124</v>
      </c>
      <c r="SK12" s="8">
        <v>33000000</v>
      </c>
      <c r="SL12" s="2" t="s">
        <v>95</v>
      </c>
      <c r="SM12" s="2"/>
      <c r="SN12" s="2"/>
      <c r="SO12" s="2"/>
      <c r="SP12" s="2"/>
      <c r="SQ12" s="2"/>
      <c r="SR12" s="2"/>
      <c r="SS12" s="2" t="s">
        <v>96</v>
      </c>
      <c r="ST12" s="2" t="s">
        <v>96</v>
      </c>
      <c r="SU12" s="2" t="s">
        <v>96</v>
      </c>
      <c r="SV12" s="2" t="s">
        <v>96</v>
      </c>
      <c r="SW12" s="8">
        <v>8299330</v>
      </c>
      <c r="SX12" s="2"/>
      <c r="SY12" s="2"/>
      <c r="SZ12" s="2"/>
      <c r="TA12" s="2"/>
      <c r="TB12" s="2"/>
      <c r="TC12" s="2"/>
      <c r="TD12" s="8">
        <v>3020494</v>
      </c>
      <c r="TE12" s="8">
        <v>44319824</v>
      </c>
      <c r="TF12" s="2">
        <v>0</v>
      </c>
      <c r="TG12" s="2" t="s">
        <v>9</v>
      </c>
      <c r="TH12" s="8">
        <v>9825000</v>
      </c>
      <c r="TI12" s="2" t="s">
        <v>95</v>
      </c>
      <c r="TJ12" s="2"/>
      <c r="TK12" s="2"/>
      <c r="TL12" s="2"/>
      <c r="TM12" s="2"/>
      <c r="TN12" s="2" t="s">
        <v>96</v>
      </c>
      <c r="TO12" s="2" t="s">
        <v>96</v>
      </c>
      <c r="TP12" s="2" t="s">
        <v>96</v>
      </c>
      <c r="TQ12" s="2" t="s">
        <v>96</v>
      </c>
      <c r="TR12" s="8">
        <v>33197320</v>
      </c>
      <c r="TS12" s="2"/>
      <c r="TT12" s="2"/>
      <c r="TU12" s="2"/>
      <c r="TV12" s="2"/>
      <c r="TW12" s="2"/>
      <c r="TX12" s="2"/>
      <c r="TY12" s="8">
        <v>1297504</v>
      </c>
      <c r="TZ12" s="8">
        <v>44319824</v>
      </c>
      <c r="UA12" s="6">
        <v>9825000</v>
      </c>
      <c r="UB12" s="2">
        <v>0</v>
      </c>
      <c r="UC12" s="2" t="s">
        <v>9</v>
      </c>
      <c r="UD12" s="2">
        <v>126</v>
      </c>
      <c r="UE12" s="5">
        <v>290000</v>
      </c>
      <c r="UF12" s="6">
        <v>386666.67</v>
      </c>
      <c r="UG12" s="6">
        <v>386666.67</v>
      </c>
      <c r="UH12" s="6">
        <v>409866.67</v>
      </c>
      <c r="UI12" s="6">
        <v>51643200</v>
      </c>
      <c r="UJ12" s="6">
        <v>8262912</v>
      </c>
      <c r="UK12" s="2" t="s">
        <v>97</v>
      </c>
      <c r="UL12" s="6">
        <v>8262912</v>
      </c>
      <c r="UM12" s="6">
        <v>59906112</v>
      </c>
      <c r="UN12" s="6">
        <v>41392306</v>
      </c>
      <c r="UO12" s="4">
        <v>0.99990000000000001</v>
      </c>
      <c r="UP12" s="2" t="s">
        <v>9</v>
      </c>
      <c r="UQ12" s="6">
        <v>0</v>
      </c>
      <c r="UR12" s="6">
        <v>0</v>
      </c>
      <c r="US12" s="6">
        <v>376936.2</v>
      </c>
      <c r="UT12" s="6">
        <v>376936.2</v>
      </c>
      <c r="UU12" s="6">
        <v>0</v>
      </c>
      <c r="UV12" s="6">
        <v>376936.2</v>
      </c>
      <c r="UW12" s="6">
        <v>0</v>
      </c>
      <c r="UX12" s="6">
        <v>376936.2</v>
      </c>
      <c r="UY12" s="2" t="s">
        <v>3387</v>
      </c>
      <c r="UZ12" s="2" t="s">
        <v>3288</v>
      </c>
      <c r="VA12" s="2" t="s">
        <v>17</v>
      </c>
      <c r="VB12" s="2" t="s">
        <v>17</v>
      </c>
      <c r="VC12" s="2" t="s">
        <v>17</v>
      </c>
      <c r="VD12" s="2" t="s">
        <v>17</v>
      </c>
      <c r="VE12" s="2" t="s">
        <v>17</v>
      </c>
      <c r="VF12" s="2" t="s">
        <v>17</v>
      </c>
      <c r="VG12" s="2" t="s">
        <v>3528</v>
      </c>
      <c r="VH12" s="2"/>
      <c r="VI12" s="388" t="s">
        <v>1125</v>
      </c>
      <c r="VJ12" s="2" t="s">
        <v>98</v>
      </c>
      <c r="VK12" s="2" t="s">
        <v>3529</v>
      </c>
      <c r="VL12" s="23">
        <f t="shared" si="0"/>
        <v>174</v>
      </c>
      <c r="VM12" s="17">
        <f t="shared" si="1"/>
        <v>1.3809523809523809</v>
      </c>
      <c r="VN12" s="17" t="str">
        <f t="shared" si="2"/>
        <v>NC-MR-F</v>
      </c>
      <c r="VO12" s="17" t="str">
        <f t="shared" si="14"/>
        <v>NC-MR-F-ESS</v>
      </c>
      <c r="VP12" s="12">
        <v>9</v>
      </c>
      <c r="VQ12" s="57">
        <v>1</v>
      </c>
      <c r="VR12" s="57">
        <f t="shared" si="3"/>
        <v>1</v>
      </c>
      <c r="VS12" s="14">
        <f t="shared" si="4"/>
        <v>1</v>
      </c>
      <c r="VT12" s="12">
        <f t="shared" si="5"/>
        <v>0.90210000000000001</v>
      </c>
      <c r="VU12" s="29">
        <f t="shared" si="6"/>
        <v>28078403.760000002</v>
      </c>
      <c r="VV12" s="29">
        <f t="shared" si="7"/>
        <v>222844.47</v>
      </c>
      <c r="VW12" s="12" t="str">
        <f t="shared" si="15"/>
        <v>A</v>
      </c>
      <c r="VX12" s="12" t="str">
        <f t="shared" si="8"/>
        <v>NC-MR-ESS</v>
      </c>
      <c r="VY12" s="352">
        <f t="shared" si="16"/>
        <v>2</v>
      </c>
      <c r="WA12" s="12">
        <f t="shared" si="17"/>
        <v>0</v>
      </c>
      <c r="WB12" s="12">
        <f t="shared" si="18"/>
        <v>0</v>
      </c>
      <c r="WC12" s="12">
        <f t="shared" si="18"/>
        <v>0</v>
      </c>
      <c r="WD12" s="12">
        <f t="shared" si="18"/>
        <v>0</v>
      </c>
      <c r="WE12" s="12">
        <f t="shared" si="19"/>
        <v>1</v>
      </c>
      <c r="WF12" s="12">
        <f t="shared" si="9"/>
        <v>0</v>
      </c>
      <c r="WG12" s="12">
        <f t="shared" si="10"/>
        <v>1</v>
      </c>
      <c r="WH12" s="12">
        <f t="shared" si="11"/>
        <v>0</v>
      </c>
      <c r="WI12" s="31">
        <f t="shared" si="12"/>
        <v>2</v>
      </c>
      <c r="WJ12" s="2"/>
      <c r="WK12" s="444" t="str">
        <f t="shared" si="20"/>
        <v>NC-MR-ESS-BBN-BRN-NPH-F</v>
      </c>
      <c r="WL12" s="444"/>
      <c r="WM12" s="444"/>
    </row>
    <row r="13" spans="1:622" x14ac:dyDescent="0.25">
      <c r="A13" s="2">
        <v>9671</v>
      </c>
      <c r="B13" s="2" t="s">
        <v>3530</v>
      </c>
      <c r="C13" s="2" t="s">
        <v>3305</v>
      </c>
      <c r="D13" s="3">
        <v>45159</v>
      </c>
      <c r="E13" s="2" t="s">
        <v>9</v>
      </c>
      <c r="F13" s="2">
        <v>3</v>
      </c>
      <c r="G13" s="2" t="s">
        <v>9</v>
      </c>
      <c r="H13" s="2">
        <v>3</v>
      </c>
      <c r="I13" s="2" t="s">
        <v>9</v>
      </c>
      <c r="J13" s="2">
        <v>2</v>
      </c>
      <c r="K13" s="2" t="s">
        <v>9</v>
      </c>
      <c r="L13" s="2">
        <v>3</v>
      </c>
      <c r="M13" s="2" t="s">
        <v>10</v>
      </c>
      <c r="N13" s="2">
        <v>0</v>
      </c>
      <c r="O13" s="2" t="s">
        <v>10</v>
      </c>
      <c r="P13" s="2">
        <v>0</v>
      </c>
      <c r="Q13" s="2" t="s">
        <v>11</v>
      </c>
      <c r="R13" s="2">
        <v>0</v>
      </c>
      <c r="S13" s="2" t="s">
        <v>9</v>
      </c>
      <c r="T13" s="2">
        <v>2</v>
      </c>
      <c r="U13" s="2" t="s">
        <v>9</v>
      </c>
      <c r="V13" s="2">
        <v>2</v>
      </c>
      <c r="W13" s="2" t="s">
        <v>9</v>
      </c>
      <c r="X13" s="2">
        <v>2</v>
      </c>
      <c r="Y13" s="2" t="s">
        <v>12</v>
      </c>
      <c r="Z13" s="2" t="s">
        <v>15</v>
      </c>
      <c r="AA13" s="2" t="s">
        <v>15</v>
      </c>
      <c r="AB13" s="2" t="s">
        <v>15</v>
      </c>
      <c r="AC13" s="2" t="s">
        <v>15</v>
      </c>
      <c r="AD13" s="2" t="s">
        <v>15</v>
      </c>
      <c r="AE13" s="2" t="s">
        <v>3531</v>
      </c>
      <c r="AF13" s="2">
        <v>0</v>
      </c>
      <c r="AG13" s="2" t="s">
        <v>234</v>
      </c>
      <c r="AH13" s="2" t="s">
        <v>17</v>
      </c>
      <c r="AI13" s="4">
        <v>0.1</v>
      </c>
      <c r="AJ13" s="2" t="s">
        <v>17</v>
      </c>
      <c r="AK13" s="2" t="s">
        <v>9</v>
      </c>
      <c r="AL13" s="2" t="s">
        <v>17</v>
      </c>
      <c r="AM13" s="2" t="s">
        <v>17</v>
      </c>
      <c r="AN13" s="2" t="s">
        <v>17</v>
      </c>
      <c r="AO13" s="2" t="s">
        <v>9</v>
      </c>
      <c r="AP13" s="2" t="s">
        <v>17</v>
      </c>
      <c r="AQ13" s="2" t="s">
        <v>17</v>
      </c>
      <c r="AR13" s="2" t="s">
        <v>17</v>
      </c>
      <c r="AS13" s="2" t="s">
        <v>17</v>
      </c>
      <c r="AT13" s="2">
        <v>5</v>
      </c>
      <c r="AU13" s="5">
        <v>100000</v>
      </c>
      <c r="AV13" s="2" t="s">
        <v>85</v>
      </c>
      <c r="AW13" s="2">
        <v>0</v>
      </c>
      <c r="AX13" s="2">
        <v>10</v>
      </c>
      <c r="AY13" s="2">
        <v>0</v>
      </c>
      <c r="AZ13" s="2">
        <v>18</v>
      </c>
      <c r="BA13" s="2">
        <v>0</v>
      </c>
      <c r="BB13" s="2">
        <v>0</v>
      </c>
      <c r="BC13" s="2">
        <v>1</v>
      </c>
      <c r="BD13" s="2">
        <v>5</v>
      </c>
      <c r="BE13" s="2">
        <v>0</v>
      </c>
      <c r="BF13" s="2">
        <v>1</v>
      </c>
      <c r="BG13" s="2">
        <v>0</v>
      </c>
      <c r="BH13" s="2">
        <v>0</v>
      </c>
      <c r="BI13" s="2">
        <v>13</v>
      </c>
      <c r="BJ13" s="2">
        <v>1</v>
      </c>
      <c r="BK13" s="2">
        <v>0</v>
      </c>
      <c r="BL13" s="2">
        <v>2</v>
      </c>
      <c r="BM13" s="2">
        <v>1</v>
      </c>
      <c r="BN13" s="2">
        <v>10</v>
      </c>
      <c r="BO13" s="2">
        <v>11</v>
      </c>
      <c r="BP13" s="2">
        <v>0</v>
      </c>
      <c r="BQ13" s="2">
        <v>10</v>
      </c>
      <c r="BR13" s="2">
        <v>11.35</v>
      </c>
      <c r="BS13" s="2">
        <v>0</v>
      </c>
      <c r="BT13" s="4">
        <v>0.06</v>
      </c>
      <c r="BU13" s="2" t="s">
        <v>9</v>
      </c>
      <c r="BV13" s="6">
        <v>185020.29</v>
      </c>
      <c r="BW13" s="2" t="s">
        <v>126</v>
      </c>
      <c r="BX13" s="2" t="s">
        <v>17</v>
      </c>
      <c r="BY13" s="2" t="s">
        <v>17</v>
      </c>
      <c r="BZ13" s="2" t="s">
        <v>17</v>
      </c>
      <c r="CA13" s="2" t="s">
        <v>17</v>
      </c>
      <c r="CB13" s="2" t="s">
        <v>17</v>
      </c>
      <c r="CC13" s="2" t="s">
        <v>17</v>
      </c>
      <c r="CD13" s="2" t="s">
        <v>17</v>
      </c>
      <c r="CE13" s="2" t="s">
        <v>3532</v>
      </c>
      <c r="CF13" s="2" t="s">
        <v>17</v>
      </c>
      <c r="CG13" s="2" t="s">
        <v>3533</v>
      </c>
      <c r="CH13" s="2"/>
      <c r="CI13" s="2"/>
      <c r="CJ13" s="2" t="s">
        <v>9</v>
      </c>
      <c r="CK13" s="2" t="s">
        <v>3534</v>
      </c>
      <c r="CL13" s="2" t="s">
        <v>3533</v>
      </c>
      <c r="CM13" s="2" t="s">
        <v>3535</v>
      </c>
      <c r="CN13" s="2" t="s">
        <v>305</v>
      </c>
      <c r="CO13" s="2" t="s">
        <v>24</v>
      </c>
      <c r="CP13" s="2"/>
      <c r="CQ13" s="2">
        <v>119</v>
      </c>
      <c r="CR13" s="2" t="s">
        <v>2659</v>
      </c>
      <c r="CS13" s="2">
        <v>2021</v>
      </c>
      <c r="CT13" s="2" t="s">
        <v>26</v>
      </c>
      <c r="CU13" s="2" t="s">
        <v>27</v>
      </c>
      <c r="CV13" s="2" t="s">
        <v>3536</v>
      </c>
      <c r="CW13" s="2" t="s">
        <v>2661</v>
      </c>
      <c r="CX13" s="2" t="s">
        <v>24</v>
      </c>
      <c r="CY13" s="2"/>
      <c r="CZ13" s="2">
        <v>271</v>
      </c>
      <c r="DA13" s="2" t="s">
        <v>2659</v>
      </c>
      <c r="DB13" s="2">
        <v>2022</v>
      </c>
      <c r="DC13" s="2" t="s">
        <v>30</v>
      </c>
      <c r="DD13" s="2" t="s">
        <v>27</v>
      </c>
      <c r="DE13" s="2" t="s">
        <v>3537</v>
      </c>
      <c r="DF13" s="2" t="s">
        <v>3538</v>
      </c>
      <c r="DG13" s="2" t="s">
        <v>413</v>
      </c>
      <c r="DH13" s="2" t="s">
        <v>3539</v>
      </c>
      <c r="DI13" s="2">
        <v>280</v>
      </c>
      <c r="DJ13" s="2" t="s">
        <v>2659</v>
      </c>
      <c r="DK13" s="2">
        <v>2022</v>
      </c>
      <c r="DL13" s="2" t="s">
        <v>26</v>
      </c>
      <c r="DM13" s="2" t="s">
        <v>27</v>
      </c>
      <c r="DN13" s="2" t="s">
        <v>33</v>
      </c>
      <c r="DO13" s="2" t="s">
        <v>1179</v>
      </c>
      <c r="DP13" s="2" t="s">
        <v>951</v>
      </c>
      <c r="DQ13" s="2" t="s">
        <v>1180</v>
      </c>
      <c r="DR13" s="2" t="s">
        <v>3540</v>
      </c>
      <c r="DS13" s="2">
        <v>1</v>
      </c>
      <c r="DT13" s="2" t="s">
        <v>1182</v>
      </c>
      <c r="DU13" s="2" t="s">
        <v>299</v>
      </c>
      <c r="DV13" s="2" t="s">
        <v>39</v>
      </c>
      <c r="DW13" s="2">
        <v>33176</v>
      </c>
      <c r="DX13" s="2" t="s">
        <v>3541</v>
      </c>
      <c r="DY13" s="2"/>
      <c r="DZ13" s="2" t="s">
        <v>1184</v>
      </c>
      <c r="EA13" s="2" t="s">
        <v>3540</v>
      </c>
      <c r="EB13" s="2" t="s">
        <v>3542</v>
      </c>
      <c r="EC13" s="2" t="s">
        <v>2661</v>
      </c>
      <c r="ED13" s="2" t="s">
        <v>44</v>
      </c>
      <c r="EE13" s="2">
        <v>179</v>
      </c>
      <c r="EF13" s="2" t="s">
        <v>2672</v>
      </c>
      <c r="EG13" s="2">
        <v>16</v>
      </c>
      <c r="EH13" s="2" t="s">
        <v>46</v>
      </c>
      <c r="EI13" s="2" t="s">
        <v>47</v>
      </c>
      <c r="EJ13" s="2" t="s">
        <v>3543</v>
      </c>
      <c r="EK13" s="2" t="s">
        <v>2661</v>
      </c>
      <c r="EL13" s="2" t="s">
        <v>44</v>
      </c>
      <c r="EM13" s="2">
        <v>176</v>
      </c>
      <c r="EN13" s="2" t="s">
        <v>2672</v>
      </c>
      <c r="EO13" s="2">
        <v>7</v>
      </c>
      <c r="EP13" s="2" t="s">
        <v>46</v>
      </c>
      <c r="EQ13" s="2" t="s">
        <v>47</v>
      </c>
      <c r="ER13" s="2" t="s">
        <v>1300</v>
      </c>
      <c r="ES13" s="2"/>
      <c r="ET13" s="2" t="s">
        <v>3544</v>
      </c>
      <c r="EU13" s="2" t="s">
        <v>3532</v>
      </c>
      <c r="EV13" s="2" t="s">
        <v>3545</v>
      </c>
      <c r="EW13" s="2" t="s">
        <v>299</v>
      </c>
      <c r="EX13" s="2" t="s">
        <v>39</v>
      </c>
      <c r="EY13" s="2">
        <v>33131</v>
      </c>
      <c r="EZ13" s="2" t="s">
        <v>3546</v>
      </c>
      <c r="FA13" s="2"/>
      <c r="FB13" s="2" t="s">
        <v>3547</v>
      </c>
      <c r="FC13" s="2" t="s">
        <v>3548</v>
      </c>
      <c r="FD13" s="2"/>
      <c r="FE13" s="2" t="s">
        <v>3549</v>
      </c>
      <c r="FF13" s="2" t="s">
        <v>3550</v>
      </c>
      <c r="FG13" s="2" t="s">
        <v>3545</v>
      </c>
      <c r="FH13" s="2" t="s">
        <v>299</v>
      </c>
      <c r="FI13" s="2" t="s">
        <v>39</v>
      </c>
      <c r="FJ13" s="2">
        <v>33131</v>
      </c>
      <c r="FK13" s="2" t="s">
        <v>3551</v>
      </c>
      <c r="FL13" s="2"/>
      <c r="FM13" s="2" t="s">
        <v>3552</v>
      </c>
      <c r="FN13" s="2" t="s">
        <v>3553</v>
      </c>
      <c r="FO13" s="2" t="s">
        <v>63</v>
      </c>
      <c r="FP13" s="2" t="s">
        <v>64</v>
      </c>
      <c r="FQ13" s="2" t="s">
        <v>9</v>
      </c>
      <c r="FR13" s="2" t="s">
        <v>17</v>
      </c>
      <c r="FS13" s="2" t="s">
        <v>17</v>
      </c>
      <c r="FT13" s="2" t="s">
        <v>9</v>
      </c>
      <c r="FU13" s="2"/>
      <c r="FV13" s="2"/>
      <c r="FW13" s="2">
        <v>0</v>
      </c>
      <c r="FX13" s="2">
        <v>0</v>
      </c>
      <c r="FY13" s="4">
        <v>0</v>
      </c>
      <c r="FZ13" s="4">
        <v>0</v>
      </c>
      <c r="GA13" s="2" t="s">
        <v>65</v>
      </c>
      <c r="GB13" s="2"/>
      <c r="GC13" s="2" t="s">
        <v>66</v>
      </c>
      <c r="GD13" s="2" t="s">
        <v>67</v>
      </c>
      <c r="GE13" s="2" t="s">
        <v>2684</v>
      </c>
      <c r="GF13" s="2"/>
      <c r="GG13" s="2"/>
      <c r="GH13" s="2"/>
      <c r="GI13" s="2"/>
      <c r="GJ13" s="2"/>
      <c r="GK13" s="2">
        <v>120</v>
      </c>
      <c r="GL13" s="2"/>
      <c r="GM13" s="2"/>
      <c r="GN13" s="2"/>
      <c r="GO13" s="2"/>
      <c r="GP13" s="2"/>
      <c r="GQ13" s="2">
        <v>120</v>
      </c>
      <c r="GR13" s="2" t="s">
        <v>3332</v>
      </c>
      <c r="GS13" s="2" t="s">
        <v>2686</v>
      </c>
      <c r="GT13" s="2" t="s">
        <v>3554</v>
      </c>
      <c r="GU13" s="2" t="s">
        <v>3555</v>
      </c>
      <c r="GV13" s="2" t="s">
        <v>17</v>
      </c>
      <c r="GW13" s="2">
        <v>25.854749000000002</v>
      </c>
      <c r="GX13" s="2">
        <v>-80.233587999999997</v>
      </c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>
        <v>25.845773000000001</v>
      </c>
      <c r="HS13" s="2">
        <v>-80.248828000000003</v>
      </c>
      <c r="HT13" s="2">
        <v>1.1399999999999999</v>
      </c>
      <c r="HU13" s="2">
        <v>4</v>
      </c>
      <c r="HV13" s="2" t="s">
        <v>3164</v>
      </c>
      <c r="HW13" s="2" t="s">
        <v>3556</v>
      </c>
      <c r="HX13" s="2">
        <v>0.67</v>
      </c>
      <c r="HY13" s="2">
        <v>3</v>
      </c>
      <c r="HZ13" s="2"/>
      <c r="IA13" s="2"/>
      <c r="IB13" s="2"/>
      <c r="IC13" s="2"/>
      <c r="ID13" s="2" t="s">
        <v>3557</v>
      </c>
      <c r="IE13" s="2">
        <v>0.79</v>
      </c>
      <c r="IF13" s="2">
        <v>2.5</v>
      </c>
      <c r="IG13" s="2" t="s">
        <v>3558</v>
      </c>
      <c r="IH13" s="2">
        <v>0.59</v>
      </c>
      <c r="II13" s="2">
        <v>3.5</v>
      </c>
      <c r="IJ13" s="2" t="s">
        <v>17</v>
      </c>
      <c r="IK13" s="2" t="s">
        <v>3454</v>
      </c>
      <c r="IL13" s="2" t="s">
        <v>3414</v>
      </c>
      <c r="IM13" s="2" t="s">
        <v>17</v>
      </c>
      <c r="IN13" s="2"/>
      <c r="IO13" s="2" t="s">
        <v>79</v>
      </c>
      <c r="IP13" s="2">
        <v>4</v>
      </c>
      <c r="IQ13" s="2">
        <v>9</v>
      </c>
      <c r="IR13" s="2">
        <v>13</v>
      </c>
      <c r="IS13" s="2" t="s">
        <v>17</v>
      </c>
      <c r="IT13" s="2" t="s">
        <v>17</v>
      </c>
      <c r="IU13" s="2" t="s">
        <v>17</v>
      </c>
      <c r="IV13" s="2" t="s">
        <v>9</v>
      </c>
      <c r="IW13" s="2" t="s">
        <v>9</v>
      </c>
      <c r="IX13" s="2" t="s">
        <v>9</v>
      </c>
      <c r="IY13" s="2">
        <v>13</v>
      </c>
      <c r="IZ13" s="2">
        <v>120</v>
      </c>
      <c r="JA13" s="2" t="s">
        <v>3085</v>
      </c>
      <c r="JB13" s="2"/>
      <c r="JC13" s="2" t="s">
        <v>173</v>
      </c>
      <c r="JD13" s="7">
        <v>0.1</v>
      </c>
      <c r="JE13" s="7">
        <v>0.9</v>
      </c>
      <c r="JF13" s="7">
        <v>0</v>
      </c>
      <c r="JG13" s="7"/>
      <c r="JH13" s="7"/>
      <c r="JI13" s="2">
        <v>120</v>
      </c>
      <c r="JJ13" s="7">
        <v>1</v>
      </c>
      <c r="JK13" s="2">
        <v>120</v>
      </c>
      <c r="JL13" s="7">
        <v>1</v>
      </c>
      <c r="JM13" s="2"/>
      <c r="JN13" s="2"/>
      <c r="JO13" s="2"/>
      <c r="JP13" s="2"/>
      <c r="JQ13" s="2"/>
      <c r="JR13" s="2"/>
      <c r="JS13" s="2">
        <v>0</v>
      </c>
      <c r="JT13" s="2">
        <v>0</v>
      </c>
      <c r="JU13" s="2"/>
      <c r="JV13" s="2">
        <v>0</v>
      </c>
      <c r="JW13" s="4">
        <v>0</v>
      </c>
      <c r="JX13" s="2">
        <v>0</v>
      </c>
      <c r="JY13" s="4">
        <v>0</v>
      </c>
      <c r="JZ13" s="2">
        <v>0</v>
      </c>
      <c r="KA13" s="2"/>
      <c r="KB13" s="2"/>
      <c r="KC13" s="2"/>
      <c r="KD13" s="2"/>
      <c r="KE13" s="2"/>
      <c r="KF13" s="2"/>
      <c r="KG13" s="2"/>
      <c r="KH13" s="2">
        <v>110</v>
      </c>
      <c r="KI13" s="2"/>
      <c r="KJ13" s="2"/>
      <c r="KK13" s="2">
        <v>10</v>
      </c>
      <c r="KL13" s="2"/>
      <c r="KM13" s="2"/>
      <c r="KN13" s="2"/>
      <c r="KO13" s="2"/>
      <c r="KP13" s="2"/>
      <c r="KQ13" s="2" t="s">
        <v>83</v>
      </c>
      <c r="KR13" s="2"/>
      <c r="KS13" s="2" t="s">
        <v>73</v>
      </c>
      <c r="KT13" s="2">
        <v>1</v>
      </c>
      <c r="KU13" s="2" t="s">
        <v>84</v>
      </c>
      <c r="KV13" s="2" t="s">
        <v>85</v>
      </c>
      <c r="KW13" s="2" t="s">
        <v>599</v>
      </c>
      <c r="KX13" s="2" t="s">
        <v>17</v>
      </c>
      <c r="KY13" s="2" t="s">
        <v>17</v>
      </c>
      <c r="KZ13" s="2" t="s">
        <v>17</v>
      </c>
      <c r="LA13" s="2" t="s">
        <v>17</v>
      </c>
      <c r="LB13" s="2" t="s">
        <v>17</v>
      </c>
      <c r="LC13" s="2" t="s">
        <v>17</v>
      </c>
      <c r="LD13" s="2" t="s">
        <v>17</v>
      </c>
      <c r="LE13" s="2" t="s">
        <v>17</v>
      </c>
      <c r="LF13" s="2" t="s">
        <v>17</v>
      </c>
      <c r="LG13" s="2" t="s">
        <v>17</v>
      </c>
      <c r="LH13" s="2" t="s">
        <v>17</v>
      </c>
      <c r="LI13" s="2" t="s">
        <v>17</v>
      </c>
      <c r="LJ13" s="2" t="s">
        <v>87</v>
      </c>
      <c r="LK13" s="2" t="s">
        <v>17</v>
      </c>
      <c r="LL13" s="2" t="s">
        <v>17</v>
      </c>
      <c r="LM13" s="2">
        <v>0</v>
      </c>
      <c r="LN13" s="2" t="s">
        <v>17</v>
      </c>
      <c r="LO13" s="2" t="s">
        <v>17</v>
      </c>
      <c r="LP13" s="2" t="s">
        <v>17</v>
      </c>
      <c r="LQ13" s="2" t="s">
        <v>17</v>
      </c>
      <c r="LR13" s="2" t="s">
        <v>17</v>
      </c>
      <c r="LS13" s="2" t="s">
        <v>17</v>
      </c>
      <c r="LT13" s="2" t="s">
        <v>9</v>
      </c>
      <c r="LU13" s="2" t="s">
        <v>9</v>
      </c>
      <c r="LV13" s="2" t="s">
        <v>9</v>
      </c>
      <c r="LW13" s="2" t="s">
        <v>17</v>
      </c>
      <c r="LX13" s="2" t="s">
        <v>17</v>
      </c>
      <c r="LY13" s="5">
        <v>6500000</v>
      </c>
      <c r="LZ13" s="5">
        <v>0</v>
      </c>
      <c r="MA13" s="5">
        <v>8400000</v>
      </c>
      <c r="MB13" s="5">
        <v>0</v>
      </c>
      <c r="MC13" s="5">
        <v>0</v>
      </c>
      <c r="MD13" s="5">
        <v>0</v>
      </c>
      <c r="ME13" s="5">
        <v>10000000</v>
      </c>
      <c r="MF13" s="5">
        <v>0</v>
      </c>
      <c r="MG13" s="5">
        <v>0</v>
      </c>
      <c r="MH13" s="5">
        <v>0</v>
      </c>
      <c r="MI13" s="5">
        <v>0</v>
      </c>
      <c r="MJ13" s="5">
        <v>0</v>
      </c>
      <c r="MK13" s="5">
        <v>0</v>
      </c>
      <c r="ML13" s="2">
        <v>0</v>
      </c>
      <c r="MM13" s="5">
        <v>0</v>
      </c>
      <c r="MN13" s="5">
        <v>0</v>
      </c>
      <c r="MO13" s="2">
        <v>0</v>
      </c>
      <c r="MP13" s="2">
        <v>0</v>
      </c>
      <c r="MQ13" s="2">
        <v>0</v>
      </c>
      <c r="MR13" s="5">
        <v>2950000</v>
      </c>
      <c r="MS13" s="5">
        <v>0</v>
      </c>
      <c r="MT13" s="5">
        <v>4600000</v>
      </c>
      <c r="MU13" s="5">
        <v>0</v>
      </c>
      <c r="MV13" s="5">
        <v>0</v>
      </c>
      <c r="MW13" s="5">
        <v>0</v>
      </c>
      <c r="MX13" s="5">
        <v>0</v>
      </c>
      <c r="MY13" s="5">
        <v>2500000</v>
      </c>
      <c r="MZ13" s="5">
        <v>0</v>
      </c>
      <c r="NA13" s="5">
        <v>5000000</v>
      </c>
      <c r="NB13" s="5">
        <v>0</v>
      </c>
      <c r="NC13" s="5">
        <v>0</v>
      </c>
      <c r="ND13" s="5">
        <v>0</v>
      </c>
      <c r="NE13" s="5">
        <v>0</v>
      </c>
      <c r="NF13" s="5">
        <v>0</v>
      </c>
      <c r="NG13" s="5">
        <v>3458400</v>
      </c>
      <c r="NH13" s="5">
        <v>3458000</v>
      </c>
      <c r="NI13" s="5">
        <v>3458000</v>
      </c>
      <c r="NJ13" s="5"/>
      <c r="NK13" s="5">
        <v>0</v>
      </c>
      <c r="NL13" s="2" t="s">
        <v>17</v>
      </c>
      <c r="NM13" s="2" t="s">
        <v>17</v>
      </c>
      <c r="NN13" s="2"/>
      <c r="NO13" s="2" t="s">
        <v>17</v>
      </c>
      <c r="NP13" s="2"/>
      <c r="NQ13" s="2"/>
      <c r="NR13" s="2" t="s">
        <v>17</v>
      </c>
      <c r="NS13" s="2"/>
      <c r="NT13" s="2" t="s">
        <v>9</v>
      </c>
      <c r="NU13" s="2" t="s">
        <v>450</v>
      </c>
      <c r="NV13" s="2">
        <v>10.07</v>
      </c>
      <c r="NW13" s="2" t="s">
        <v>3342</v>
      </c>
      <c r="NX13" s="2" t="s">
        <v>17</v>
      </c>
      <c r="NY13" s="2"/>
      <c r="NZ13" s="2"/>
      <c r="OA13" s="2" t="s">
        <v>118</v>
      </c>
      <c r="OB13" s="2" t="s">
        <v>118</v>
      </c>
      <c r="OC13" s="2" t="s">
        <v>118</v>
      </c>
      <c r="OD13" s="2" t="s">
        <v>3384</v>
      </c>
      <c r="OE13" s="2" t="s">
        <v>85</v>
      </c>
      <c r="OF13" s="2" t="s">
        <v>17</v>
      </c>
      <c r="OG13" s="2" t="s">
        <v>17</v>
      </c>
      <c r="OH13" s="2" t="s">
        <v>119</v>
      </c>
      <c r="OI13" s="2" t="s">
        <v>17</v>
      </c>
      <c r="OJ13" s="2"/>
      <c r="OK13" s="2" t="s">
        <v>17</v>
      </c>
      <c r="OL13" s="2" t="s">
        <v>17</v>
      </c>
      <c r="OM13" s="2" t="s">
        <v>85</v>
      </c>
      <c r="ON13" s="6">
        <v>0</v>
      </c>
      <c r="OO13" s="6">
        <v>0</v>
      </c>
      <c r="OP13" s="2" t="s">
        <v>93</v>
      </c>
      <c r="OQ13" s="2" t="s">
        <v>93</v>
      </c>
      <c r="OR13" s="6">
        <v>0</v>
      </c>
      <c r="OS13" s="4">
        <v>0</v>
      </c>
      <c r="OT13" s="2" t="s">
        <v>17</v>
      </c>
      <c r="OU13" s="2" t="s">
        <v>17</v>
      </c>
      <c r="OV13" s="2"/>
      <c r="OW13" s="2"/>
      <c r="OX13" s="5">
        <v>22202435</v>
      </c>
      <c r="OY13" s="6">
        <v>185020.29</v>
      </c>
      <c r="OZ13" s="2"/>
      <c r="PA13" s="2"/>
      <c r="PB13" s="8">
        <v>150000</v>
      </c>
      <c r="PC13" s="8">
        <v>150000</v>
      </c>
      <c r="PD13" s="8">
        <v>21650000</v>
      </c>
      <c r="PE13" s="8">
        <v>200000</v>
      </c>
      <c r="PF13" s="8">
        <v>21850000</v>
      </c>
      <c r="PG13" s="2"/>
      <c r="PH13" s="2"/>
      <c r="PI13" s="2"/>
      <c r="PJ13" s="2"/>
      <c r="PK13" s="2"/>
      <c r="PL13" s="2"/>
      <c r="PM13" s="8">
        <v>21650000</v>
      </c>
      <c r="PN13" s="8">
        <v>350000</v>
      </c>
      <c r="PO13" s="8">
        <v>22000000</v>
      </c>
      <c r="PP13" s="8">
        <v>3025000</v>
      </c>
      <c r="PQ13" s="2"/>
      <c r="PR13" s="8">
        <v>3025000</v>
      </c>
      <c r="PS13" s="6">
        <v>3080000</v>
      </c>
      <c r="PT13" s="8">
        <v>24675000</v>
      </c>
      <c r="PU13" s="8">
        <v>350000</v>
      </c>
      <c r="PV13" s="8">
        <v>25025000</v>
      </c>
      <c r="PW13" s="8">
        <v>1251250</v>
      </c>
      <c r="PX13" s="2"/>
      <c r="PY13" s="8">
        <v>1251250</v>
      </c>
      <c r="PZ13" s="6">
        <v>1251250</v>
      </c>
      <c r="QA13" s="8">
        <v>1725000</v>
      </c>
      <c r="QB13" s="8">
        <v>640000</v>
      </c>
      <c r="QC13" s="8">
        <v>2365000</v>
      </c>
      <c r="QD13" s="8">
        <v>450000</v>
      </c>
      <c r="QE13" s="2"/>
      <c r="QF13" s="8">
        <v>450000</v>
      </c>
      <c r="QG13" s="8">
        <v>597393</v>
      </c>
      <c r="QH13" s="2"/>
      <c r="QI13" s="8">
        <v>597393</v>
      </c>
      <c r="QJ13" s="2"/>
      <c r="QK13" s="8">
        <v>552715</v>
      </c>
      <c r="QL13" s="8">
        <v>552715</v>
      </c>
      <c r="QM13" s="2"/>
      <c r="QN13" s="2"/>
      <c r="QO13" s="2"/>
      <c r="QP13" s="2"/>
      <c r="QQ13" s="2"/>
      <c r="QR13" s="2"/>
      <c r="QS13" s="8">
        <v>2772393</v>
      </c>
      <c r="QT13" s="8">
        <v>1192715</v>
      </c>
      <c r="QU13" s="8">
        <v>3965108</v>
      </c>
      <c r="QV13" s="8">
        <v>198255</v>
      </c>
      <c r="QW13" s="2"/>
      <c r="QX13" s="8">
        <v>198255</v>
      </c>
      <c r="QY13" s="6">
        <v>198255.4</v>
      </c>
      <c r="QZ13" s="8">
        <v>1268750</v>
      </c>
      <c r="RA13" s="8">
        <v>1000000</v>
      </c>
      <c r="RB13" s="8">
        <v>2268750</v>
      </c>
      <c r="RC13" s="8">
        <v>148500</v>
      </c>
      <c r="RD13" s="8">
        <v>148500</v>
      </c>
      <c r="RE13" s="2"/>
      <c r="RF13" s="2"/>
      <c r="RG13" s="2"/>
      <c r="RH13" s="8">
        <v>1268750</v>
      </c>
      <c r="RI13" s="8">
        <v>1148500</v>
      </c>
      <c r="RJ13" s="8">
        <v>2417250</v>
      </c>
      <c r="RK13" s="8">
        <v>30165648</v>
      </c>
      <c r="RL13" s="8">
        <v>2691215</v>
      </c>
      <c r="RM13" s="8">
        <v>32856863</v>
      </c>
      <c r="RN13" s="2">
        <v>0</v>
      </c>
      <c r="RO13" s="6">
        <v>0</v>
      </c>
      <c r="RP13" s="8">
        <v>5257098</v>
      </c>
      <c r="RQ13" s="2"/>
      <c r="RR13" s="8">
        <v>5257098</v>
      </c>
      <c r="RS13" s="6">
        <v>5257098</v>
      </c>
      <c r="RT13" s="6">
        <v>0</v>
      </c>
      <c r="RU13" s="8">
        <v>5257098</v>
      </c>
      <c r="RV13" s="2"/>
      <c r="RW13" s="8">
        <v>5257098</v>
      </c>
      <c r="RX13" s="6">
        <v>5257098</v>
      </c>
      <c r="RY13" s="8">
        <v>420000</v>
      </c>
      <c r="RZ13" s="8">
        <v>420000</v>
      </c>
      <c r="SA13" s="6">
        <v>420000</v>
      </c>
      <c r="SB13" s="8">
        <v>3500000</v>
      </c>
      <c r="SC13" s="8">
        <v>3500000</v>
      </c>
      <c r="SD13" s="8">
        <v>35422746</v>
      </c>
      <c r="SE13" s="8">
        <v>6611215</v>
      </c>
      <c r="SF13" s="8">
        <v>42033961</v>
      </c>
      <c r="SG13" s="2"/>
      <c r="SH13" s="2"/>
      <c r="SI13" s="2"/>
      <c r="SJ13" s="2"/>
      <c r="SK13" s="8">
        <v>32500000</v>
      </c>
      <c r="SL13" s="2" t="s">
        <v>95</v>
      </c>
      <c r="SM13" s="2"/>
      <c r="SN13" s="2"/>
      <c r="SO13" s="2"/>
      <c r="SP13" s="2"/>
      <c r="SQ13" s="2"/>
      <c r="SR13" s="2"/>
      <c r="SS13" s="2" t="s">
        <v>96</v>
      </c>
      <c r="ST13" s="2" t="s">
        <v>96</v>
      </c>
      <c r="SU13" s="2" t="s">
        <v>96</v>
      </c>
      <c r="SV13" s="2" t="s">
        <v>96</v>
      </c>
      <c r="SW13" s="8">
        <v>6569543</v>
      </c>
      <c r="SX13" s="2"/>
      <c r="SY13" s="2"/>
      <c r="SZ13" s="2"/>
      <c r="TA13" s="2"/>
      <c r="TB13" s="2"/>
      <c r="TC13" s="2"/>
      <c r="TD13" s="8">
        <v>2964418</v>
      </c>
      <c r="TE13" s="8">
        <v>42033961</v>
      </c>
      <c r="TF13" s="2">
        <v>0</v>
      </c>
      <c r="TG13" s="2" t="s">
        <v>9</v>
      </c>
      <c r="TH13" s="8">
        <v>6350000</v>
      </c>
      <c r="TI13" s="2" t="s">
        <v>95</v>
      </c>
      <c r="TJ13" s="2"/>
      <c r="TK13" s="2"/>
      <c r="TL13" s="2"/>
      <c r="TM13" s="2"/>
      <c r="TN13" s="2" t="s">
        <v>96</v>
      </c>
      <c r="TO13" s="2" t="s">
        <v>96</v>
      </c>
      <c r="TP13" s="2" t="s">
        <v>96</v>
      </c>
      <c r="TQ13" s="2" t="s">
        <v>96</v>
      </c>
      <c r="TR13" s="8">
        <v>32847715</v>
      </c>
      <c r="TS13" s="2"/>
      <c r="TT13" s="2"/>
      <c r="TU13" s="2"/>
      <c r="TV13" s="2"/>
      <c r="TW13" s="2"/>
      <c r="TX13" s="2"/>
      <c r="TY13" s="8">
        <v>2836246</v>
      </c>
      <c r="TZ13" s="8">
        <v>42033961</v>
      </c>
      <c r="UA13" s="6">
        <v>6350000</v>
      </c>
      <c r="UB13" s="2">
        <v>0</v>
      </c>
      <c r="UC13" s="2" t="s">
        <v>9</v>
      </c>
      <c r="UD13" s="2">
        <v>120</v>
      </c>
      <c r="UE13" s="5">
        <v>310000</v>
      </c>
      <c r="UF13" s="6">
        <v>413333.33</v>
      </c>
      <c r="UG13" s="6">
        <v>413333.33</v>
      </c>
      <c r="UH13" s="6">
        <v>438133.33</v>
      </c>
      <c r="UI13" s="6">
        <v>52576000</v>
      </c>
      <c r="UJ13" s="6">
        <v>8412160</v>
      </c>
      <c r="UK13" s="2" t="s">
        <v>97</v>
      </c>
      <c r="UL13" s="6">
        <v>8412160</v>
      </c>
      <c r="UM13" s="6">
        <v>60988160</v>
      </c>
      <c r="UN13" s="6">
        <v>37963961</v>
      </c>
      <c r="UO13" s="4">
        <v>0.99990000000000001</v>
      </c>
      <c r="UP13" s="2" t="s">
        <v>9</v>
      </c>
      <c r="UQ13" s="6">
        <v>0</v>
      </c>
      <c r="UR13" s="6">
        <v>0</v>
      </c>
      <c r="US13" s="6">
        <v>807216.24</v>
      </c>
      <c r="UT13" s="6">
        <v>807216.24</v>
      </c>
      <c r="UU13" s="6">
        <v>0</v>
      </c>
      <c r="UV13" s="6">
        <v>807216.24</v>
      </c>
      <c r="UW13" s="6">
        <v>0</v>
      </c>
      <c r="UX13" s="6">
        <v>807216.24</v>
      </c>
      <c r="UY13" s="2" t="s">
        <v>3387</v>
      </c>
      <c r="UZ13" s="2" t="s">
        <v>3288</v>
      </c>
      <c r="VA13" s="2" t="s">
        <v>17</v>
      </c>
      <c r="VB13" s="2" t="s">
        <v>17</v>
      </c>
      <c r="VC13" s="2" t="s">
        <v>17</v>
      </c>
      <c r="VD13" s="2" t="s">
        <v>17</v>
      </c>
      <c r="VE13" s="2" t="s">
        <v>17</v>
      </c>
      <c r="VF13" s="2" t="s">
        <v>17</v>
      </c>
      <c r="VG13" s="2" t="s">
        <v>3559</v>
      </c>
      <c r="VH13" s="2"/>
      <c r="VI13" s="388" t="s">
        <v>3560</v>
      </c>
      <c r="VJ13" s="2" t="s">
        <v>98</v>
      </c>
      <c r="VK13" s="2" t="s">
        <v>685</v>
      </c>
      <c r="VL13" s="23">
        <f t="shared" si="0"/>
        <v>130</v>
      </c>
      <c r="VM13" s="17">
        <f t="shared" si="1"/>
        <v>1.0833333333333333</v>
      </c>
      <c r="VN13" s="17" t="str">
        <f t="shared" si="2"/>
        <v>NC-HR-E</v>
      </c>
      <c r="VO13" s="17" t="str">
        <f t="shared" si="14"/>
        <v>NC-HR-E-ESS</v>
      </c>
      <c r="VP13" s="12">
        <v>9</v>
      </c>
      <c r="VQ13" s="57">
        <v>1</v>
      </c>
      <c r="VR13" s="57">
        <f t="shared" si="3"/>
        <v>1</v>
      </c>
      <c r="VS13" s="14">
        <f t="shared" si="4"/>
        <v>1</v>
      </c>
      <c r="VT13" s="12">
        <f t="shared" si="5"/>
        <v>0.88350000000000006</v>
      </c>
      <c r="VU13" s="29">
        <f t="shared" si="6"/>
        <v>27496287.000000004</v>
      </c>
      <c r="VV13" s="29">
        <f t="shared" si="7"/>
        <v>229135.73</v>
      </c>
      <c r="VW13" s="12" t="str">
        <f t="shared" si="15"/>
        <v>A</v>
      </c>
      <c r="VX13" s="12" t="str">
        <f t="shared" si="8"/>
        <v>NC-HR-ESS</v>
      </c>
      <c r="VY13" s="352">
        <f t="shared" si="16"/>
        <v>2</v>
      </c>
      <c r="WA13" s="12">
        <f t="shared" si="17"/>
        <v>1</v>
      </c>
      <c r="WB13" s="12">
        <f t="shared" si="18"/>
        <v>0</v>
      </c>
      <c r="WC13" s="12">
        <f t="shared" si="18"/>
        <v>0</v>
      </c>
      <c r="WD13" s="12">
        <f t="shared" si="18"/>
        <v>0</v>
      </c>
      <c r="WE13" s="12">
        <f t="shared" si="19"/>
        <v>1</v>
      </c>
      <c r="WF13" s="12">
        <f t="shared" si="9"/>
        <v>0</v>
      </c>
      <c r="WG13" s="12">
        <f t="shared" si="10"/>
        <v>0</v>
      </c>
      <c r="WH13" s="12">
        <f t="shared" si="11"/>
        <v>1</v>
      </c>
      <c r="WI13" s="31">
        <f t="shared" si="12"/>
        <v>3</v>
      </c>
      <c r="WJ13" s="2"/>
      <c r="WK13" s="444" t="str">
        <f t="shared" si="20"/>
        <v>NC-HR-ESS-BBN-BRN-NPH-E</v>
      </c>
      <c r="WL13" s="444"/>
      <c r="WM13" s="444"/>
    </row>
    <row r="14" spans="1:622" x14ac:dyDescent="0.25">
      <c r="A14" s="2">
        <v>9648</v>
      </c>
      <c r="B14" s="2" t="s">
        <v>3561</v>
      </c>
      <c r="C14" s="2" t="s">
        <v>3305</v>
      </c>
      <c r="D14" s="3">
        <v>45159</v>
      </c>
      <c r="E14" s="2" t="s">
        <v>9</v>
      </c>
      <c r="F14" s="2">
        <v>3</v>
      </c>
      <c r="G14" s="2" t="s">
        <v>9</v>
      </c>
      <c r="H14" s="2">
        <v>3</v>
      </c>
      <c r="I14" s="2" t="s">
        <v>9</v>
      </c>
      <c r="J14" s="2">
        <v>2</v>
      </c>
      <c r="K14" s="2" t="s">
        <v>9</v>
      </c>
      <c r="L14" s="2">
        <v>3</v>
      </c>
      <c r="M14" s="2" t="s">
        <v>10</v>
      </c>
      <c r="N14" s="2">
        <v>0</v>
      </c>
      <c r="O14" s="2" t="s">
        <v>10</v>
      </c>
      <c r="P14" s="2">
        <v>0</v>
      </c>
      <c r="Q14" s="2" t="s">
        <v>11</v>
      </c>
      <c r="R14" s="2">
        <v>0</v>
      </c>
      <c r="S14" s="2" t="s">
        <v>9</v>
      </c>
      <c r="T14" s="2">
        <v>2</v>
      </c>
      <c r="U14" s="2" t="s">
        <v>9</v>
      </c>
      <c r="V14" s="2">
        <v>2</v>
      </c>
      <c r="W14" s="2" t="s">
        <v>9</v>
      </c>
      <c r="X14" s="2">
        <v>2</v>
      </c>
      <c r="Y14" s="2" t="s">
        <v>12</v>
      </c>
      <c r="Z14" s="2" t="s">
        <v>3178</v>
      </c>
      <c r="AA14" s="2" t="s">
        <v>3562</v>
      </c>
      <c r="AB14" s="2" t="s">
        <v>3563</v>
      </c>
      <c r="AC14" s="2" t="s">
        <v>15</v>
      </c>
      <c r="AD14" s="2" t="s">
        <v>15</v>
      </c>
      <c r="AE14" s="2" t="s">
        <v>15</v>
      </c>
      <c r="AF14" s="2">
        <v>3</v>
      </c>
      <c r="AG14" s="2" t="s">
        <v>3564</v>
      </c>
      <c r="AH14" s="2" t="s">
        <v>17</v>
      </c>
      <c r="AI14" s="4">
        <v>0.16667000000000001</v>
      </c>
      <c r="AJ14" s="2" t="s">
        <v>17</v>
      </c>
      <c r="AK14" s="2" t="s">
        <v>9</v>
      </c>
      <c r="AL14" s="2" t="s">
        <v>17</v>
      </c>
      <c r="AM14" s="2" t="s">
        <v>9</v>
      </c>
      <c r="AN14" s="2" t="s">
        <v>17</v>
      </c>
      <c r="AO14" s="2" t="s">
        <v>17</v>
      </c>
      <c r="AP14" s="2" t="s">
        <v>17</v>
      </c>
      <c r="AQ14" s="2" t="s">
        <v>17</v>
      </c>
      <c r="AR14" s="2" t="s">
        <v>17</v>
      </c>
      <c r="AS14" s="2" t="s">
        <v>17</v>
      </c>
      <c r="AT14" s="2">
        <v>5</v>
      </c>
      <c r="AU14" s="5">
        <v>100000</v>
      </c>
      <c r="AV14" s="2" t="s">
        <v>85</v>
      </c>
      <c r="AW14" s="2">
        <v>0</v>
      </c>
      <c r="AX14" s="2">
        <v>10</v>
      </c>
      <c r="AY14" s="2">
        <v>0</v>
      </c>
      <c r="AZ14" s="2">
        <v>18</v>
      </c>
      <c r="BA14" s="2">
        <v>0</v>
      </c>
      <c r="BB14" s="2">
        <v>0</v>
      </c>
      <c r="BC14" s="2">
        <v>0</v>
      </c>
      <c r="BD14" s="2">
        <v>3</v>
      </c>
      <c r="BE14" s="2">
        <v>0</v>
      </c>
      <c r="BF14" s="2">
        <v>1</v>
      </c>
      <c r="BG14" s="2">
        <v>0</v>
      </c>
      <c r="BH14" s="2">
        <v>0</v>
      </c>
      <c r="BI14" s="2">
        <v>13</v>
      </c>
      <c r="BJ14" s="2">
        <v>1</v>
      </c>
      <c r="BK14" s="2">
        <v>0</v>
      </c>
      <c r="BL14" s="2">
        <v>3</v>
      </c>
      <c r="BM14" s="2">
        <v>1</v>
      </c>
      <c r="BN14" s="2">
        <v>11</v>
      </c>
      <c r="BO14" s="2">
        <v>11</v>
      </c>
      <c r="BP14" s="2">
        <v>0</v>
      </c>
      <c r="BQ14" s="2">
        <v>10</v>
      </c>
      <c r="BR14" s="2">
        <v>11.35</v>
      </c>
      <c r="BS14" s="2">
        <v>0</v>
      </c>
      <c r="BT14" s="4">
        <v>0.06</v>
      </c>
      <c r="BU14" s="2" t="s">
        <v>9</v>
      </c>
      <c r="BV14" s="6">
        <v>185041.69</v>
      </c>
      <c r="BW14" s="2" t="s">
        <v>18</v>
      </c>
      <c r="BX14" s="2" t="s">
        <v>17</v>
      </c>
      <c r="BY14" s="2" t="s">
        <v>17</v>
      </c>
      <c r="BZ14" s="2" t="s">
        <v>17</v>
      </c>
      <c r="CA14" s="2" t="s">
        <v>17</v>
      </c>
      <c r="CB14" s="2" t="s">
        <v>17</v>
      </c>
      <c r="CC14" s="2" t="s">
        <v>17</v>
      </c>
      <c r="CD14" s="2" t="s">
        <v>17</v>
      </c>
      <c r="CE14" s="2" t="s">
        <v>3565</v>
      </c>
      <c r="CF14" s="2" t="s">
        <v>17</v>
      </c>
      <c r="CG14" s="2" t="s">
        <v>3566</v>
      </c>
      <c r="CH14" s="2"/>
      <c r="CI14" s="2"/>
      <c r="CJ14" s="2" t="s">
        <v>9</v>
      </c>
      <c r="CK14" s="2" t="s">
        <v>1085</v>
      </c>
      <c r="CL14" s="2" t="s">
        <v>3566</v>
      </c>
      <c r="CM14" s="2" t="s">
        <v>1087</v>
      </c>
      <c r="CN14" s="2" t="s">
        <v>147</v>
      </c>
      <c r="CO14" s="2" t="s">
        <v>24</v>
      </c>
      <c r="CP14" s="2"/>
      <c r="CQ14" s="2">
        <v>112</v>
      </c>
      <c r="CR14" s="2" t="s">
        <v>2659</v>
      </c>
      <c r="CS14" s="2">
        <v>2014</v>
      </c>
      <c r="CT14" s="2" t="s">
        <v>26</v>
      </c>
      <c r="CU14" s="2" t="s">
        <v>27</v>
      </c>
      <c r="CV14" s="2" t="s">
        <v>1088</v>
      </c>
      <c r="CW14" s="2" t="s">
        <v>330</v>
      </c>
      <c r="CX14" s="2" t="s">
        <v>24</v>
      </c>
      <c r="CY14" s="2"/>
      <c r="CZ14" s="2">
        <v>73</v>
      </c>
      <c r="DA14" s="2" t="s">
        <v>2659</v>
      </c>
      <c r="DB14" s="2">
        <v>2017</v>
      </c>
      <c r="DC14" s="2" t="s">
        <v>30</v>
      </c>
      <c r="DD14" s="2" t="s">
        <v>27</v>
      </c>
      <c r="DE14" s="2" t="s">
        <v>1090</v>
      </c>
      <c r="DF14" s="2" t="s">
        <v>330</v>
      </c>
      <c r="DG14" s="2" t="s">
        <v>24</v>
      </c>
      <c r="DH14" s="2"/>
      <c r="DI14" s="2">
        <v>99</v>
      </c>
      <c r="DJ14" s="2" t="s">
        <v>2659</v>
      </c>
      <c r="DK14" s="2">
        <v>2012</v>
      </c>
      <c r="DL14" s="2" t="s">
        <v>243</v>
      </c>
      <c r="DM14" s="2" t="s">
        <v>27</v>
      </c>
      <c r="DN14" s="2" t="s">
        <v>33</v>
      </c>
      <c r="DO14" s="2" t="s">
        <v>1091</v>
      </c>
      <c r="DP14" s="2"/>
      <c r="DQ14" s="2" t="s">
        <v>1092</v>
      </c>
      <c r="DR14" s="2" t="s">
        <v>1093</v>
      </c>
      <c r="DS14" s="2">
        <v>1</v>
      </c>
      <c r="DT14" s="2" t="s">
        <v>1388</v>
      </c>
      <c r="DU14" s="2" t="s">
        <v>1095</v>
      </c>
      <c r="DV14" s="2" t="s">
        <v>260</v>
      </c>
      <c r="DW14" s="2">
        <v>77024</v>
      </c>
      <c r="DX14" s="2" t="s">
        <v>1096</v>
      </c>
      <c r="DY14" s="2"/>
      <c r="DZ14" s="2" t="s">
        <v>1097</v>
      </c>
      <c r="EA14" s="2" t="s">
        <v>1389</v>
      </c>
      <c r="EB14" s="2" t="s">
        <v>1098</v>
      </c>
      <c r="EC14" s="2" t="s">
        <v>333</v>
      </c>
      <c r="ED14" s="2" t="s">
        <v>44</v>
      </c>
      <c r="EE14" s="2">
        <v>188</v>
      </c>
      <c r="EF14" s="2" t="s">
        <v>2672</v>
      </c>
      <c r="EG14" s="2">
        <v>7</v>
      </c>
      <c r="EH14" s="2" t="s">
        <v>46</v>
      </c>
      <c r="EI14" s="2" t="s">
        <v>47</v>
      </c>
      <c r="EJ14" s="2" t="s">
        <v>1099</v>
      </c>
      <c r="EK14" s="2" t="s">
        <v>389</v>
      </c>
      <c r="EL14" s="2" t="s">
        <v>44</v>
      </c>
      <c r="EM14" s="2">
        <v>160</v>
      </c>
      <c r="EN14" s="2" t="s">
        <v>2672</v>
      </c>
      <c r="EO14" s="2">
        <v>3</v>
      </c>
      <c r="EP14" s="2" t="s">
        <v>46</v>
      </c>
      <c r="EQ14" s="2" t="s">
        <v>47</v>
      </c>
      <c r="ER14" s="2" t="s">
        <v>1100</v>
      </c>
      <c r="ES14" s="2" t="s">
        <v>951</v>
      </c>
      <c r="ET14" s="2" t="s">
        <v>1101</v>
      </c>
      <c r="EU14" s="2" t="s">
        <v>1102</v>
      </c>
      <c r="EV14" s="2" t="s">
        <v>1103</v>
      </c>
      <c r="EW14" s="2" t="s">
        <v>299</v>
      </c>
      <c r="EX14" s="2" t="s">
        <v>39</v>
      </c>
      <c r="EY14" s="2">
        <v>33131</v>
      </c>
      <c r="EZ14" s="2" t="s">
        <v>1390</v>
      </c>
      <c r="FA14" s="2"/>
      <c r="FB14" s="2" t="s">
        <v>1105</v>
      </c>
      <c r="FC14" s="2" t="s">
        <v>1902</v>
      </c>
      <c r="FD14" s="2"/>
      <c r="FE14" s="2" t="s">
        <v>1294</v>
      </c>
      <c r="FF14" s="2" t="s">
        <v>1102</v>
      </c>
      <c r="FG14" s="2" t="s">
        <v>1391</v>
      </c>
      <c r="FH14" s="2" t="s">
        <v>299</v>
      </c>
      <c r="FI14" s="2" t="s">
        <v>39</v>
      </c>
      <c r="FJ14" s="2">
        <v>33131</v>
      </c>
      <c r="FK14" s="2" t="s">
        <v>1903</v>
      </c>
      <c r="FL14" s="2"/>
      <c r="FM14" s="2" t="s">
        <v>1904</v>
      </c>
      <c r="FN14" s="2" t="s">
        <v>3567</v>
      </c>
      <c r="FO14" s="2" t="s">
        <v>63</v>
      </c>
      <c r="FP14" s="2" t="s">
        <v>64</v>
      </c>
      <c r="FQ14" s="2" t="s">
        <v>9</v>
      </c>
      <c r="FR14" s="2" t="s">
        <v>17</v>
      </c>
      <c r="FS14" s="2" t="s">
        <v>17</v>
      </c>
      <c r="FT14" s="2" t="s">
        <v>9</v>
      </c>
      <c r="FU14" s="2"/>
      <c r="FV14" s="2"/>
      <c r="FW14" s="2">
        <v>0</v>
      </c>
      <c r="FX14" s="2">
        <v>0</v>
      </c>
      <c r="FY14" s="4">
        <v>0</v>
      </c>
      <c r="FZ14" s="4">
        <v>0</v>
      </c>
      <c r="GA14" s="2" t="s">
        <v>65</v>
      </c>
      <c r="GB14" s="2"/>
      <c r="GC14" s="2" t="s">
        <v>66</v>
      </c>
      <c r="GD14" s="2" t="s">
        <v>67</v>
      </c>
      <c r="GE14" s="2" t="s">
        <v>2684</v>
      </c>
      <c r="GF14" s="2"/>
      <c r="GG14" s="2"/>
      <c r="GH14" s="2"/>
      <c r="GI14" s="2"/>
      <c r="GJ14" s="2"/>
      <c r="GK14" s="2">
        <v>120</v>
      </c>
      <c r="GL14" s="2"/>
      <c r="GM14" s="2"/>
      <c r="GN14" s="2"/>
      <c r="GO14" s="2"/>
      <c r="GP14" s="2"/>
      <c r="GQ14" s="2">
        <v>120</v>
      </c>
      <c r="GR14" s="2" t="s">
        <v>3332</v>
      </c>
      <c r="GS14" s="2" t="s">
        <v>2686</v>
      </c>
      <c r="GT14" s="2" t="s">
        <v>3568</v>
      </c>
      <c r="GU14" s="2" t="s">
        <v>2720</v>
      </c>
      <c r="GV14" s="2" t="s">
        <v>17</v>
      </c>
      <c r="GW14" s="2">
        <v>25.659068999999999</v>
      </c>
      <c r="GX14" s="2">
        <v>-80.431124999999994</v>
      </c>
      <c r="GY14" s="2"/>
      <c r="GZ14" s="2">
        <v>25.670166999999999</v>
      </c>
      <c r="HA14" s="2">
        <v>-80.431738999999993</v>
      </c>
      <c r="HB14" s="2">
        <v>0.77</v>
      </c>
      <c r="HC14" s="2">
        <v>4.5</v>
      </c>
      <c r="HD14" s="2">
        <v>25.670483000000001</v>
      </c>
      <c r="HE14" s="2">
        <v>-80.430000000000007</v>
      </c>
      <c r="HF14" s="2">
        <v>0.79</v>
      </c>
      <c r="HG14" s="2">
        <v>25.656473999999999</v>
      </c>
      <c r="HH14" s="2">
        <v>-80.415959000000001</v>
      </c>
      <c r="HI14" s="2">
        <v>0.96</v>
      </c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 t="s">
        <v>3006</v>
      </c>
      <c r="HW14" s="2" t="s">
        <v>3569</v>
      </c>
      <c r="HX14" s="2">
        <v>0.88</v>
      </c>
      <c r="HY14" s="2">
        <v>2.5</v>
      </c>
      <c r="HZ14" s="2" t="s">
        <v>3570</v>
      </c>
      <c r="IA14" s="2" t="s">
        <v>3571</v>
      </c>
      <c r="IB14" s="2">
        <v>0.4</v>
      </c>
      <c r="IC14" s="2">
        <v>3.5</v>
      </c>
      <c r="ID14" s="2" t="s">
        <v>3572</v>
      </c>
      <c r="IE14" s="2">
        <v>7.0000000000000007E-2</v>
      </c>
      <c r="IF14" s="2">
        <v>4</v>
      </c>
      <c r="IG14" s="2"/>
      <c r="IH14" s="2"/>
      <c r="II14" s="2"/>
      <c r="IJ14" s="2" t="s">
        <v>17</v>
      </c>
      <c r="IK14" s="2"/>
      <c r="IL14" s="2" t="s">
        <v>79</v>
      </c>
      <c r="IM14" s="2" t="s">
        <v>17</v>
      </c>
      <c r="IN14" s="2"/>
      <c r="IO14" s="2" t="s">
        <v>79</v>
      </c>
      <c r="IP14" s="2">
        <v>4.5</v>
      </c>
      <c r="IQ14" s="2">
        <v>10</v>
      </c>
      <c r="IR14" s="2">
        <v>14.5</v>
      </c>
      <c r="IS14" s="2" t="s">
        <v>17</v>
      </c>
      <c r="IT14" s="2" t="s">
        <v>17</v>
      </c>
      <c r="IU14" s="2" t="s">
        <v>17</v>
      </c>
      <c r="IV14" s="2" t="s">
        <v>9</v>
      </c>
      <c r="IW14" s="2" t="s">
        <v>9</v>
      </c>
      <c r="IX14" s="2" t="s">
        <v>9</v>
      </c>
      <c r="IY14" s="2">
        <v>14.5</v>
      </c>
      <c r="IZ14" s="2">
        <v>120</v>
      </c>
      <c r="JA14" s="2" t="s">
        <v>2731</v>
      </c>
      <c r="JB14" s="2"/>
      <c r="JC14" s="2" t="s">
        <v>82</v>
      </c>
      <c r="JD14" s="2"/>
      <c r="JE14" s="2"/>
      <c r="JF14" s="7">
        <v>0</v>
      </c>
      <c r="JG14" s="7"/>
      <c r="JH14" s="7"/>
      <c r="JI14" s="2">
        <v>0</v>
      </c>
      <c r="JJ14" s="7">
        <v>0</v>
      </c>
      <c r="JK14" s="2">
        <v>0</v>
      </c>
      <c r="JL14" s="7">
        <v>0</v>
      </c>
      <c r="JM14" s="2">
        <v>20</v>
      </c>
      <c r="JN14" s="2"/>
      <c r="JO14" s="2"/>
      <c r="JP14" s="2">
        <v>40</v>
      </c>
      <c r="JQ14" s="2">
        <v>60</v>
      </c>
      <c r="JR14" s="2"/>
      <c r="JS14" s="2">
        <v>0</v>
      </c>
      <c r="JT14" s="2">
        <v>0</v>
      </c>
      <c r="JU14" s="2"/>
      <c r="JV14" s="2">
        <v>120</v>
      </c>
      <c r="JW14" s="4">
        <v>1</v>
      </c>
      <c r="JX14" s="2">
        <v>120</v>
      </c>
      <c r="JY14" s="4">
        <v>0.6</v>
      </c>
      <c r="JZ14" s="2">
        <v>0</v>
      </c>
      <c r="KA14" s="2"/>
      <c r="KB14" s="2"/>
      <c r="KC14" s="2"/>
      <c r="KD14" s="2"/>
      <c r="KE14" s="2"/>
      <c r="KF14" s="2"/>
      <c r="KG14" s="2"/>
      <c r="KH14" s="2">
        <v>53</v>
      </c>
      <c r="KI14" s="2"/>
      <c r="KJ14" s="2"/>
      <c r="KK14" s="2">
        <v>49</v>
      </c>
      <c r="KL14" s="2">
        <v>18</v>
      </c>
      <c r="KM14" s="2"/>
      <c r="KN14" s="2"/>
      <c r="KO14" s="2"/>
      <c r="KP14" s="2"/>
      <c r="KQ14" s="2" t="s">
        <v>83</v>
      </c>
      <c r="KR14" s="2" t="s">
        <v>73</v>
      </c>
      <c r="KS14" s="2"/>
      <c r="KT14" s="2">
        <v>1</v>
      </c>
      <c r="KU14" s="2" t="s">
        <v>84</v>
      </c>
      <c r="KV14" s="2" t="s">
        <v>85</v>
      </c>
      <c r="KW14" s="2" t="s">
        <v>86</v>
      </c>
      <c r="KX14" s="2" t="s">
        <v>17</v>
      </c>
      <c r="KY14" s="2" t="s">
        <v>17</v>
      </c>
      <c r="KZ14" s="2" t="s">
        <v>17</v>
      </c>
      <c r="LA14" s="2" t="s">
        <v>17</v>
      </c>
      <c r="LB14" s="2" t="s">
        <v>17</v>
      </c>
      <c r="LC14" s="2" t="s">
        <v>17</v>
      </c>
      <c r="LD14" s="2" t="s">
        <v>17</v>
      </c>
      <c r="LE14" s="2" t="s">
        <v>17</v>
      </c>
      <c r="LF14" s="2" t="s">
        <v>17</v>
      </c>
      <c r="LG14" s="2" t="s">
        <v>17</v>
      </c>
      <c r="LH14" s="2" t="s">
        <v>17</v>
      </c>
      <c r="LI14" s="2" t="s">
        <v>17</v>
      </c>
      <c r="LJ14" s="2" t="s">
        <v>87</v>
      </c>
      <c r="LK14" s="2" t="s">
        <v>17</v>
      </c>
      <c r="LL14" s="2" t="s">
        <v>17</v>
      </c>
      <c r="LM14" s="2">
        <v>0</v>
      </c>
      <c r="LN14" s="2" t="s">
        <v>17</v>
      </c>
      <c r="LO14" s="2" t="s">
        <v>9</v>
      </c>
      <c r="LP14" s="2" t="s">
        <v>9</v>
      </c>
      <c r="LQ14" s="2" t="s">
        <v>17</v>
      </c>
      <c r="LR14" s="2" t="s">
        <v>9</v>
      </c>
      <c r="LS14" s="2" t="s">
        <v>17</v>
      </c>
      <c r="LT14" s="2" t="s">
        <v>17</v>
      </c>
      <c r="LU14" s="2" t="s">
        <v>17</v>
      </c>
      <c r="LV14" s="2" t="s">
        <v>17</v>
      </c>
      <c r="LW14" s="2" t="s">
        <v>17</v>
      </c>
      <c r="LX14" s="2" t="s">
        <v>17</v>
      </c>
      <c r="LY14" s="5">
        <v>6500000</v>
      </c>
      <c r="LZ14" s="5">
        <v>0</v>
      </c>
      <c r="MA14" s="5">
        <v>8400000</v>
      </c>
      <c r="MB14" s="5">
        <v>0</v>
      </c>
      <c r="MC14" s="5">
        <v>0</v>
      </c>
      <c r="MD14" s="5">
        <v>0</v>
      </c>
      <c r="ME14" s="5">
        <v>10000000</v>
      </c>
      <c r="MF14" s="5">
        <v>0</v>
      </c>
      <c r="MG14" s="5">
        <v>0</v>
      </c>
      <c r="MH14" s="5">
        <v>0</v>
      </c>
      <c r="MI14" s="5">
        <v>0</v>
      </c>
      <c r="MJ14" s="5">
        <v>0</v>
      </c>
      <c r="MK14" s="5">
        <v>0</v>
      </c>
      <c r="ML14" s="2">
        <v>0</v>
      </c>
      <c r="MM14" s="5">
        <v>0</v>
      </c>
      <c r="MN14" s="5">
        <v>0</v>
      </c>
      <c r="MO14" s="2">
        <v>0</v>
      </c>
      <c r="MP14" s="2">
        <v>0</v>
      </c>
      <c r="MQ14" s="2">
        <v>0</v>
      </c>
      <c r="MR14" s="5">
        <v>2950000</v>
      </c>
      <c r="MS14" s="5">
        <v>0</v>
      </c>
      <c r="MT14" s="5">
        <v>4600000</v>
      </c>
      <c r="MU14" s="5">
        <v>0</v>
      </c>
      <c r="MV14" s="5">
        <v>0</v>
      </c>
      <c r="MW14" s="5">
        <v>0</v>
      </c>
      <c r="MX14" s="5">
        <v>0</v>
      </c>
      <c r="MY14" s="5">
        <v>2500000</v>
      </c>
      <c r="MZ14" s="5">
        <v>0</v>
      </c>
      <c r="NA14" s="5">
        <v>5000000</v>
      </c>
      <c r="NB14" s="5">
        <v>0</v>
      </c>
      <c r="NC14" s="5">
        <v>0</v>
      </c>
      <c r="ND14" s="5">
        <v>0</v>
      </c>
      <c r="NE14" s="5">
        <v>0</v>
      </c>
      <c r="NF14" s="5">
        <v>0</v>
      </c>
      <c r="NG14" s="5">
        <v>3458400</v>
      </c>
      <c r="NH14" s="5">
        <v>3458400</v>
      </c>
      <c r="NI14" s="5">
        <v>3458400</v>
      </c>
      <c r="NJ14" s="5"/>
      <c r="NK14" s="5">
        <v>0</v>
      </c>
      <c r="NL14" s="2" t="s">
        <v>17</v>
      </c>
      <c r="NM14" s="2" t="s">
        <v>17</v>
      </c>
      <c r="NN14" s="2"/>
      <c r="NO14" s="2" t="s">
        <v>9</v>
      </c>
      <c r="NP14" s="2">
        <v>33186</v>
      </c>
      <c r="NQ14" s="2" t="s">
        <v>3573</v>
      </c>
      <c r="NR14" s="2" t="s">
        <v>17</v>
      </c>
      <c r="NS14" s="2"/>
      <c r="NT14" s="2" t="s">
        <v>17</v>
      </c>
      <c r="NU14" s="2"/>
      <c r="NV14" s="2"/>
      <c r="NW14" s="2"/>
      <c r="NX14" s="2" t="s">
        <v>9</v>
      </c>
      <c r="NY14" s="2" t="s">
        <v>119</v>
      </c>
      <c r="NZ14" s="2">
        <v>187</v>
      </c>
      <c r="OA14" s="2" t="s">
        <v>3400</v>
      </c>
      <c r="OB14" s="2" t="s">
        <v>3401</v>
      </c>
      <c r="OC14" s="2" t="s">
        <v>3401</v>
      </c>
      <c r="OD14" s="2" t="s">
        <v>3384</v>
      </c>
      <c r="OE14" s="2" t="s">
        <v>85</v>
      </c>
      <c r="OF14" s="2" t="s">
        <v>17</v>
      </c>
      <c r="OG14" s="2" t="s">
        <v>17</v>
      </c>
      <c r="OH14" s="2" t="s">
        <v>119</v>
      </c>
      <c r="OI14" s="2" t="s">
        <v>9</v>
      </c>
      <c r="OJ14" s="2" t="s">
        <v>557</v>
      </c>
      <c r="OK14" s="2" t="s">
        <v>17</v>
      </c>
      <c r="OL14" s="2" t="s">
        <v>17</v>
      </c>
      <c r="OM14" s="2" t="s">
        <v>85</v>
      </c>
      <c r="ON14" s="6">
        <v>0</v>
      </c>
      <c r="OO14" s="6">
        <v>0</v>
      </c>
      <c r="OP14" s="2" t="s">
        <v>93</v>
      </c>
      <c r="OQ14" s="2" t="s">
        <v>93</v>
      </c>
      <c r="OR14" s="6">
        <v>0</v>
      </c>
      <c r="OS14" s="4">
        <v>0</v>
      </c>
      <c r="OT14" s="2" t="s">
        <v>17</v>
      </c>
      <c r="OU14" s="2" t="s">
        <v>17</v>
      </c>
      <c r="OV14" s="2"/>
      <c r="OW14" s="2"/>
      <c r="OX14" s="5">
        <v>22205003</v>
      </c>
      <c r="OY14" s="6">
        <v>185041.69</v>
      </c>
      <c r="OZ14" s="2"/>
      <c r="PA14" s="2"/>
      <c r="PB14" s="2"/>
      <c r="PC14" s="2"/>
      <c r="PD14" s="8">
        <v>21849123</v>
      </c>
      <c r="PE14" s="2"/>
      <c r="PF14" s="8">
        <v>21849123</v>
      </c>
      <c r="PG14" s="2"/>
      <c r="PH14" s="2"/>
      <c r="PI14" s="2"/>
      <c r="PJ14" s="8">
        <v>300000</v>
      </c>
      <c r="PK14" s="2"/>
      <c r="PL14" s="8">
        <v>300000</v>
      </c>
      <c r="PM14" s="8">
        <v>22149123</v>
      </c>
      <c r="PN14" s="2"/>
      <c r="PO14" s="8">
        <v>22149123</v>
      </c>
      <c r="PP14" s="8">
        <v>3058876</v>
      </c>
      <c r="PQ14" s="2"/>
      <c r="PR14" s="8">
        <v>3058876</v>
      </c>
      <c r="PS14" s="6">
        <v>3100877</v>
      </c>
      <c r="PT14" s="8">
        <v>25207999</v>
      </c>
      <c r="PU14" s="2"/>
      <c r="PV14" s="8">
        <v>25207999</v>
      </c>
      <c r="PW14" s="8">
        <v>1245400</v>
      </c>
      <c r="PX14" s="2"/>
      <c r="PY14" s="8">
        <v>1245400</v>
      </c>
      <c r="PZ14" s="6">
        <v>1260399.95</v>
      </c>
      <c r="QA14" s="8">
        <v>867100</v>
      </c>
      <c r="QB14" s="8">
        <v>153000</v>
      </c>
      <c r="QC14" s="8">
        <v>1020100</v>
      </c>
      <c r="QD14" s="8">
        <v>221810</v>
      </c>
      <c r="QE14" s="8">
        <v>454193</v>
      </c>
      <c r="QF14" s="8">
        <v>676003</v>
      </c>
      <c r="QG14" s="8">
        <v>610000</v>
      </c>
      <c r="QH14" s="2"/>
      <c r="QI14" s="8">
        <v>610000</v>
      </c>
      <c r="QJ14" s="2"/>
      <c r="QK14" s="8">
        <v>629256</v>
      </c>
      <c r="QL14" s="8">
        <v>629256</v>
      </c>
      <c r="QM14" s="2"/>
      <c r="QN14" s="2"/>
      <c r="QO14" s="2"/>
      <c r="QP14" s="8">
        <v>132350</v>
      </c>
      <c r="QQ14" s="8">
        <v>229000</v>
      </c>
      <c r="QR14" s="8">
        <v>361350</v>
      </c>
      <c r="QS14" s="8">
        <v>1831260</v>
      </c>
      <c r="QT14" s="8">
        <v>1465449</v>
      </c>
      <c r="QU14" s="8">
        <v>3296709</v>
      </c>
      <c r="QV14" s="8">
        <v>92323</v>
      </c>
      <c r="QW14" s="2"/>
      <c r="QX14" s="8">
        <v>92323</v>
      </c>
      <c r="QY14" s="6">
        <v>164835.45000000001</v>
      </c>
      <c r="QZ14" s="8">
        <v>285500</v>
      </c>
      <c r="RA14" s="8">
        <v>45000</v>
      </c>
      <c r="RB14" s="8">
        <v>330500</v>
      </c>
      <c r="RC14" s="8">
        <v>188350</v>
      </c>
      <c r="RD14" s="8">
        <v>188350</v>
      </c>
      <c r="RE14" s="8">
        <v>2045221</v>
      </c>
      <c r="RF14" s="8">
        <v>820089</v>
      </c>
      <c r="RG14" s="8">
        <v>2865310</v>
      </c>
      <c r="RH14" s="8">
        <v>2330721</v>
      </c>
      <c r="RI14" s="8">
        <v>1053439</v>
      </c>
      <c r="RJ14" s="8">
        <v>3384160</v>
      </c>
      <c r="RK14" s="8">
        <v>30707703</v>
      </c>
      <c r="RL14" s="8">
        <v>2518888</v>
      </c>
      <c r="RM14" s="8">
        <v>33226591</v>
      </c>
      <c r="RN14" s="2">
        <v>0</v>
      </c>
      <c r="RO14" s="6">
        <v>0</v>
      </c>
      <c r="RP14" s="8">
        <v>5316250</v>
      </c>
      <c r="RQ14" s="2"/>
      <c r="RR14" s="8">
        <v>5316250</v>
      </c>
      <c r="RS14" s="6">
        <v>5316254</v>
      </c>
      <c r="RT14" s="6">
        <v>0</v>
      </c>
      <c r="RU14" s="8">
        <v>5316250</v>
      </c>
      <c r="RV14" s="2"/>
      <c r="RW14" s="8">
        <v>5316250</v>
      </c>
      <c r="RX14" s="6">
        <v>5316254</v>
      </c>
      <c r="RY14" s="8">
        <v>420000</v>
      </c>
      <c r="RZ14" s="8">
        <v>420000</v>
      </c>
      <c r="SA14" s="6">
        <v>420000</v>
      </c>
      <c r="SB14" s="8">
        <v>4200000</v>
      </c>
      <c r="SC14" s="8">
        <v>4200000</v>
      </c>
      <c r="SD14" s="8">
        <v>36023953</v>
      </c>
      <c r="SE14" s="8">
        <v>7138888</v>
      </c>
      <c r="SF14" s="8">
        <v>43162841</v>
      </c>
      <c r="SG14" s="2"/>
      <c r="SH14" s="2" t="s">
        <v>1401</v>
      </c>
      <c r="SI14" s="2" t="s">
        <v>1402</v>
      </c>
      <c r="SJ14" s="2" t="s">
        <v>3574</v>
      </c>
      <c r="SK14" s="8">
        <v>32000000</v>
      </c>
      <c r="SL14" s="2" t="s">
        <v>95</v>
      </c>
      <c r="SM14" s="2"/>
      <c r="SN14" s="2"/>
      <c r="SO14" s="2"/>
      <c r="SP14" s="2"/>
      <c r="SQ14" s="2"/>
      <c r="SR14" s="2"/>
      <c r="SS14" s="2" t="s">
        <v>96</v>
      </c>
      <c r="ST14" s="2" t="s">
        <v>96</v>
      </c>
      <c r="SU14" s="2" t="s">
        <v>96</v>
      </c>
      <c r="SV14" s="2" t="s">
        <v>96</v>
      </c>
      <c r="SW14" s="8">
        <v>8212879</v>
      </c>
      <c r="SX14" s="2"/>
      <c r="SY14" s="2"/>
      <c r="SZ14" s="2"/>
      <c r="TA14" s="2"/>
      <c r="TB14" s="2"/>
      <c r="TC14" s="2"/>
      <c r="TD14" s="8">
        <v>2949962</v>
      </c>
      <c r="TE14" s="8">
        <v>43162841</v>
      </c>
      <c r="TF14" s="2">
        <v>0</v>
      </c>
      <c r="TG14" s="2" t="s">
        <v>9</v>
      </c>
      <c r="TH14" s="8">
        <v>9835000</v>
      </c>
      <c r="TI14" s="2" t="s">
        <v>95</v>
      </c>
      <c r="TJ14" s="2"/>
      <c r="TK14" s="2"/>
      <c r="TL14" s="2"/>
      <c r="TM14" s="2"/>
      <c r="TN14" s="2" t="s">
        <v>96</v>
      </c>
      <c r="TO14" s="2" t="s">
        <v>96</v>
      </c>
      <c r="TP14" s="2" t="s">
        <v>96</v>
      </c>
      <c r="TQ14" s="2" t="s">
        <v>96</v>
      </c>
      <c r="TR14" s="8">
        <v>32851514</v>
      </c>
      <c r="TS14" s="2"/>
      <c r="TT14" s="2"/>
      <c r="TU14" s="2"/>
      <c r="TV14" s="2"/>
      <c r="TW14" s="2"/>
      <c r="TX14" s="2"/>
      <c r="TY14" s="8">
        <v>476327</v>
      </c>
      <c r="TZ14" s="8">
        <v>43162841</v>
      </c>
      <c r="UA14" s="6">
        <v>9835000</v>
      </c>
      <c r="UB14" s="2">
        <v>0</v>
      </c>
      <c r="UC14" s="2" t="s">
        <v>9</v>
      </c>
      <c r="UD14" s="2">
        <v>120</v>
      </c>
      <c r="UE14" s="5">
        <v>310000</v>
      </c>
      <c r="UF14" s="6">
        <v>413333.33</v>
      </c>
      <c r="UG14" s="6">
        <v>413333.33</v>
      </c>
      <c r="UH14" s="6">
        <v>438133.33</v>
      </c>
      <c r="UI14" s="6">
        <v>52576000</v>
      </c>
      <c r="UJ14" s="6">
        <v>8412160</v>
      </c>
      <c r="UK14" s="2" t="s">
        <v>97</v>
      </c>
      <c r="UL14" s="6">
        <v>8412160</v>
      </c>
      <c r="UM14" s="6">
        <v>60988160</v>
      </c>
      <c r="UN14" s="6">
        <v>38542841</v>
      </c>
      <c r="UO14" s="4">
        <v>0.99990000000000001</v>
      </c>
      <c r="UP14" s="2" t="s">
        <v>9</v>
      </c>
      <c r="UQ14" s="6">
        <v>0</v>
      </c>
      <c r="UR14" s="6">
        <v>0</v>
      </c>
      <c r="US14" s="6">
        <v>729856</v>
      </c>
      <c r="UT14" s="6">
        <v>729856</v>
      </c>
      <c r="UU14" s="6">
        <v>0</v>
      </c>
      <c r="UV14" s="6">
        <v>729856</v>
      </c>
      <c r="UW14" s="6">
        <v>0</v>
      </c>
      <c r="UX14" s="6">
        <v>729856</v>
      </c>
      <c r="UY14" s="2" t="s">
        <v>3387</v>
      </c>
      <c r="UZ14" s="2" t="s">
        <v>3288</v>
      </c>
      <c r="VA14" s="2" t="s">
        <v>17</v>
      </c>
      <c r="VB14" s="2" t="s">
        <v>17</v>
      </c>
      <c r="VC14" s="2" t="s">
        <v>17</v>
      </c>
      <c r="VD14" s="2" t="s">
        <v>17</v>
      </c>
      <c r="VE14" s="2" t="s">
        <v>17</v>
      </c>
      <c r="VF14" s="2" t="s">
        <v>17</v>
      </c>
      <c r="VG14" s="2" t="s">
        <v>3575</v>
      </c>
      <c r="VH14" s="2"/>
      <c r="VI14" s="388" t="s">
        <v>1125</v>
      </c>
      <c r="VJ14" s="2" t="s">
        <v>98</v>
      </c>
      <c r="VK14" s="2" t="s">
        <v>3576</v>
      </c>
      <c r="VL14" s="23">
        <f t="shared" si="0"/>
        <v>205</v>
      </c>
      <c r="VM14" s="17">
        <f t="shared" si="1"/>
        <v>1.7083333333333333</v>
      </c>
      <c r="VN14" s="17" t="str">
        <f t="shared" si="2"/>
        <v>NC-HR-F</v>
      </c>
      <c r="VO14" s="17" t="str">
        <f t="shared" si="14"/>
        <v>NC-HR-F-ESS</v>
      </c>
      <c r="VP14" s="12">
        <v>9</v>
      </c>
      <c r="VQ14" s="57">
        <v>1</v>
      </c>
      <c r="VR14" s="57">
        <f t="shared" si="3"/>
        <v>1</v>
      </c>
      <c r="VS14" s="14">
        <f t="shared" si="4"/>
        <v>1</v>
      </c>
      <c r="VT14" s="12">
        <f t="shared" si="5"/>
        <v>0.88350000000000006</v>
      </c>
      <c r="VU14" s="29">
        <f t="shared" si="6"/>
        <v>27499467.600000001</v>
      </c>
      <c r="VV14" s="29">
        <f t="shared" si="7"/>
        <v>229162.23</v>
      </c>
      <c r="VW14" s="12" t="str">
        <f t="shared" si="15"/>
        <v>A</v>
      </c>
      <c r="VX14" s="12" t="str">
        <f t="shared" si="8"/>
        <v>NC-HR-ESS</v>
      </c>
      <c r="VY14" s="352">
        <f t="shared" si="16"/>
        <v>2</v>
      </c>
      <c r="WA14" s="12">
        <f t="shared" si="17"/>
        <v>0</v>
      </c>
      <c r="WB14" s="12">
        <f t="shared" si="18"/>
        <v>0</v>
      </c>
      <c r="WC14" s="12">
        <f t="shared" si="18"/>
        <v>0</v>
      </c>
      <c r="WD14" s="12">
        <f t="shared" si="18"/>
        <v>0</v>
      </c>
      <c r="WE14" s="12">
        <f t="shared" si="19"/>
        <v>1</v>
      </c>
      <c r="WF14" s="12">
        <f t="shared" si="9"/>
        <v>0</v>
      </c>
      <c r="WG14" s="12">
        <f t="shared" si="10"/>
        <v>0</v>
      </c>
      <c r="WH14" s="12">
        <f t="shared" si="11"/>
        <v>1</v>
      </c>
      <c r="WI14" s="31">
        <f t="shared" si="12"/>
        <v>2</v>
      </c>
      <c r="WJ14" s="2"/>
      <c r="WK14" s="444" t="str">
        <f t="shared" si="20"/>
        <v>NC-HR-ESS-BBN-BRN-NPH-F</v>
      </c>
      <c r="WL14" s="444"/>
      <c r="WM14" s="444"/>
    </row>
    <row r="15" spans="1:622" x14ac:dyDescent="0.25">
      <c r="A15" s="2">
        <v>9666</v>
      </c>
      <c r="B15" s="2" t="s">
        <v>3577</v>
      </c>
      <c r="C15" s="2" t="s">
        <v>3305</v>
      </c>
      <c r="D15" s="3">
        <v>45159</v>
      </c>
      <c r="E15" s="2" t="s">
        <v>9</v>
      </c>
      <c r="F15" s="2">
        <v>3</v>
      </c>
      <c r="G15" s="2" t="s">
        <v>9</v>
      </c>
      <c r="H15" s="2">
        <v>3</v>
      </c>
      <c r="I15" s="2" t="s">
        <v>9</v>
      </c>
      <c r="J15" s="2">
        <v>2</v>
      </c>
      <c r="K15" s="2" t="s">
        <v>9</v>
      </c>
      <c r="L15" s="2">
        <v>3</v>
      </c>
      <c r="M15" s="2" t="s">
        <v>10</v>
      </c>
      <c r="N15" s="2">
        <v>0</v>
      </c>
      <c r="O15" s="2" t="s">
        <v>10</v>
      </c>
      <c r="P15" s="2">
        <v>0</v>
      </c>
      <c r="Q15" s="2" t="s">
        <v>11</v>
      </c>
      <c r="R15" s="2">
        <v>0</v>
      </c>
      <c r="S15" s="2" t="s">
        <v>9</v>
      </c>
      <c r="T15" s="2">
        <v>2</v>
      </c>
      <c r="U15" s="2" t="s">
        <v>9</v>
      </c>
      <c r="V15" s="2">
        <v>2</v>
      </c>
      <c r="W15" s="2" t="s">
        <v>9</v>
      </c>
      <c r="X15" s="2">
        <v>2</v>
      </c>
      <c r="Y15" s="2" t="s">
        <v>12</v>
      </c>
      <c r="Z15" s="2" t="s">
        <v>15</v>
      </c>
      <c r="AA15" s="2" t="s">
        <v>15</v>
      </c>
      <c r="AB15" s="2" t="s">
        <v>15</v>
      </c>
      <c r="AC15" s="2" t="s">
        <v>15</v>
      </c>
      <c r="AD15" s="2" t="s">
        <v>435</v>
      </c>
      <c r="AE15" s="2" t="s">
        <v>15</v>
      </c>
      <c r="AF15" s="2">
        <v>0</v>
      </c>
      <c r="AG15" s="2" t="s">
        <v>234</v>
      </c>
      <c r="AH15" s="2" t="s">
        <v>17</v>
      </c>
      <c r="AI15" s="4">
        <v>0.15454999999999999</v>
      </c>
      <c r="AJ15" s="2" t="s">
        <v>17</v>
      </c>
      <c r="AK15" s="2" t="s">
        <v>9</v>
      </c>
      <c r="AL15" s="2" t="s">
        <v>17</v>
      </c>
      <c r="AM15" s="2" t="s">
        <v>17</v>
      </c>
      <c r="AN15" s="2" t="s">
        <v>17</v>
      </c>
      <c r="AO15" s="2" t="s">
        <v>17</v>
      </c>
      <c r="AP15" s="2" t="s">
        <v>17</v>
      </c>
      <c r="AQ15" s="2" t="s">
        <v>9</v>
      </c>
      <c r="AR15" s="2" t="s">
        <v>17</v>
      </c>
      <c r="AS15" s="2" t="s">
        <v>17</v>
      </c>
      <c r="AT15" s="2">
        <v>5</v>
      </c>
      <c r="AU15" s="5">
        <v>100000</v>
      </c>
      <c r="AV15" s="2" t="s">
        <v>85</v>
      </c>
      <c r="AW15" s="2">
        <v>0</v>
      </c>
      <c r="AX15" s="2">
        <v>9</v>
      </c>
      <c r="AY15" s="2">
        <v>0</v>
      </c>
      <c r="AZ15" s="2">
        <v>18</v>
      </c>
      <c r="BA15" s="2">
        <v>0</v>
      </c>
      <c r="BB15" s="2">
        <v>0</v>
      </c>
      <c r="BC15" s="2">
        <v>1</v>
      </c>
      <c r="BD15" s="2">
        <v>5</v>
      </c>
      <c r="BE15" s="2">
        <v>0</v>
      </c>
      <c r="BF15" s="2">
        <v>0</v>
      </c>
      <c r="BG15" s="2">
        <v>0</v>
      </c>
      <c r="BH15" s="2">
        <v>0</v>
      </c>
      <c r="BI15" s="2">
        <v>13</v>
      </c>
      <c r="BJ15" s="2">
        <v>1</v>
      </c>
      <c r="BK15" s="2">
        <v>0</v>
      </c>
      <c r="BL15" s="2">
        <v>3</v>
      </c>
      <c r="BM15" s="2">
        <v>1</v>
      </c>
      <c r="BN15" s="2">
        <v>11</v>
      </c>
      <c r="BO15" s="2">
        <v>11</v>
      </c>
      <c r="BP15" s="2">
        <v>0</v>
      </c>
      <c r="BQ15" s="2">
        <v>10</v>
      </c>
      <c r="BR15" s="2">
        <v>11.32</v>
      </c>
      <c r="BS15" s="2">
        <v>0</v>
      </c>
      <c r="BT15" s="4">
        <v>0.06</v>
      </c>
      <c r="BU15" s="2" t="s">
        <v>9</v>
      </c>
      <c r="BV15" s="6">
        <v>185520.32</v>
      </c>
      <c r="BW15" s="2" t="s">
        <v>18</v>
      </c>
      <c r="BX15" s="2" t="s">
        <v>17</v>
      </c>
      <c r="BY15" s="2" t="s">
        <v>17</v>
      </c>
      <c r="BZ15" s="2" t="s">
        <v>17</v>
      </c>
      <c r="CA15" s="2" t="s">
        <v>17</v>
      </c>
      <c r="CB15" s="2" t="s">
        <v>17</v>
      </c>
      <c r="CC15" s="2" t="s">
        <v>17</v>
      </c>
      <c r="CD15" s="2" t="s">
        <v>17</v>
      </c>
      <c r="CE15" s="2" t="s">
        <v>3578</v>
      </c>
      <c r="CF15" s="2" t="s">
        <v>17</v>
      </c>
      <c r="CG15" s="2" t="s">
        <v>1817</v>
      </c>
      <c r="CH15" s="2" t="s">
        <v>1818</v>
      </c>
      <c r="CI15" s="2" t="s">
        <v>1819</v>
      </c>
      <c r="CJ15" s="2" t="s">
        <v>9</v>
      </c>
      <c r="CK15" s="2" t="s">
        <v>1820</v>
      </c>
      <c r="CL15" s="2" t="s">
        <v>1817</v>
      </c>
      <c r="CM15" s="2" t="s">
        <v>1821</v>
      </c>
      <c r="CN15" s="2" t="s">
        <v>1822</v>
      </c>
      <c r="CO15" s="2" t="s">
        <v>24</v>
      </c>
      <c r="CP15" s="2"/>
      <c r="CQ15" s="2">
        <v>117</v>
      </c>
      <c r="CR15" s="2" t="s">
        <v>3002</v>
      </c>
      <c r="CS15" s="2">
        <v>2019</v>
      </c>
      <c r="CT15" s="2" t="s">
        <v>26</v>
      </c>
      <c r="CU15" s="2" t="s">
        <v>27</v>
      </c>
      <c r="CV15" s="2" t="s">
        <v>2942</v>
      </c>
      <c r="CW15" s="2" t="s">
        <v>2943</v>
      </c>
      <c r="CX15" s="2" t="s">
        <v>800</v>
      </c>
      <c r="CY15" s="2"/>
      <c r="CZ15" s="2">
        <v>92</v>
      </c>
      <c r="DA15" s="2" t="s">
        <v>3002</v>
      </c>
      <c r="DB15" s="2">
        <v>2017</v>
      </c>
      <c r="DC15" s="2" t="s">
        <v>26</v>
      </c>
      <c r="DD15" s="2" t="s">
        <v>27</v>
      </c>
      <c r="DE15" s="2" t="s">
        <v>1825</v>
      </c>
      <c r="DF15" s="2" t="s">
        <v>1824</v>
      </c>
      <c r="DG15" s="2" t="s">
        <v>24</v>
      </c>
      <c r="DH15" s="2"/>
      <c r="DI15" s="2">
        <v>116</v>
      </c>
      <c r="DJ15" s="2" t="s">
        <v>3002</v>
      </c>
      <c r="DK15" s="2">
        <v>2018</v>
      </c>
      <c r="DL15" s="2" t="s">
        <v>30</v>
      </c>
      <c r="DM15" s="2" t="s">
        <v>27</v>
      </c>
      <c r="DN15" s="2" t="s">
        <v>33</v>
      </c>
      <c r="DO15" s="2" t="s">
        <v>1826</v>
      </c>
      <c r="DP15" s="2"/>
      <c r="DQ15" s="2" t="s">
        <v>1827</v>
      </c>
      <c r="DR15" s="2" t="s">
        <v>1828</v>
      </c>
      <c r="DS15" s="2">
        <v>1</v>
      </c>
      <c r="DT15" s="2" t="s">
        <v>1829</v>
      </c>
      <c r="DU15" s="2" t="s">
        <v>1830</v>
      </c>
      <c r="DV15" s="2" t="s">
        <v>701</v>
      </c>
      <c r="DW15" s="2">
        <v>30005</v>
      </c>
      <c r="DX15" s="2" t="s">
        <v>2944</v>
      </c>
      <c r="DY15" s="2"/>
      <c r="DZ15" s="2" t="s">
        <v>1832</v>
      </c>
      <c r="EA15" s="2" t="s">
        <v>1828</v>
      </c>
      <c r="EB15" s="2" t="s">
        <v>1833</v>
      </c>
      <c r="EC15" s="2" t="s">
        <v>1834</v>
      </c>
      <c r="ED15" s="2" t="s">
        <v>44</v>
      </c>
      <c r="EE15" s="2">
        <v>100</v>
      </c>
      <c r="EF15" s="2" t="s">
        <v>3003</v>
      </c>
      <c r="EG15" s="2">
        <v>8</v>
      </c>
      <c r="EH15" s="2" t="s">
        <v>46</v>
      </c>
      <c r="EI15" s="2" t="s">
        <v>47</v>
      </c>
      <c r="EJ15" s="2" t="s">
        <v>1821</v>
      </c>
      <c r="EK15" s="2" t="s">
        <v>1822</v>
      </c>
      <c r="EL15" s="2" t="s">
        <v>44</v>
      </c>
      <c r="EM15" s="2">
        <v>117</v>
      </c>
      <c r="EN15" s="2" t="s">
        <v>3003</v>
      </c>
      <c r="EO15" s="2">
        <v>4</v>
      </c>
      <c r="EP15" s="2" t="s">
        <v>46</v>
      </c>
      <c r="EQ15" s="2" t="s">
        <v>47</v>
      </c>
      <c r="ER15" s="2" t="s">
        <v>1826</v>
      </c>
      <c r="ES15" s="2"/>
      <c r="ET15" s="2" t="s">
        <v>1827</v>
      </c>
      <c r="EU15" s="2" t="s">
        <v>3578</v>
      </c>
      <c r="EV15" s="2" t="s">
        <v>2945</v>
      </c>
      <c r="EW15" s="2" t="s">
        <v>1830</v>
      </c>
      <c r="EX15" s="2" t="s">
        <v>701</v>
      </c>
      <c r="EY15" s="2">
        <v>30005</v>
      </c>
      <c r="EZ15" s="2" t="s">
        <v>2944</v>
      </c>
      <c r="FA15" s="2"/>
      <c r="FB15" s="2" t="s">
        <v>1832</v>
      </c>
      <c r="FC15" s="2" t="s">
        <v>1836</v>
      </c>
      <c r="FD15" s="2"/>
      <c r="FE15" s="2" t="s">
        <v>1837</v>
      </c>
      <c r="FF15" s="2" t="s">
        <v>3578</v>
      </c>
      <c r="FG15" s="2" t="s">
        <v>1838</v>
      </c>
      <c r="FH15" s="2" t="s">
        <v>1839</v>
      </c>
      <c r="FI15" s="2" t="s">
        <v>39</v>
      </c>
      <c r="FJ15" s="2">
        <v>33411</v>
      </c>
      <c r="FK15" s="2" t="s">
        <v>1840</v>
      </c>
      <c r="FL15" s="2"/>
      <c r="FM15" s="2" t="s">
        <v>1841</v>
      </c>
      <c r="FN15" s="2" t="s">
        <v>3579</v>
      </c>
      <c r="FO15" s="2" t="s">
        <v>63</v>
      </c>
      <c r="FP15" s="2" t="s">
        <v>64</v>
      </c>
      <c r="FQ15" s="2" t="s">
        <v>9</v>
      </c>
      <c r="FR15" s="2" t="s">
        <v>17</v>
      </c>
      <c r="FS15" s="2" t="s">
        <v>17</v>
      </c>
      <c r="FT15" s="2" t="s">
        <v>9</v>
      </c>
      <c r="FU15" s="2"/>
      <c r="FV15" s="2"/>
      <c r="FW15" s="2">
        <v>0</v>
      </c>
      <c r="FX15" s="2">
        <v>0</v>
      </c>
      <c r="FY15" s="4">
        <v>0</v>
      </c>
      <c r="FZ15" s="4">
        <v>0</v>
      </c>
      <c r="GA15" s="2" t="s">
        <v>65</v>
      </c>
      <c r="GB15" s="2"/>
      <c r="GC15" s="2" t="s">
        <v>66</v>
      </c>
      <c r="GD15" s="2" t="s">
        <v>67</v>
      </c>
      <c r="GE15" s="2" t="s">
        <v>2684</v>
      </c>
      <c r="GF15" s="2"/>
      <c r="GG15" s="2"/>
      <c r="GH15" s="2"/>
      <c r="GI15" s="2"/>
      <c r="GJ15" s="2"/>
      <c r="GK15" s="2">
        <v>110</v>
      </c>
      <c r="GL15" s="2"/>
      <c r="GM15" s="2"/>
      <c r="GN15" s="2"/>
      <c r="GO15" s="2"/>
      <c r="GP15" s="2"/>
      <c r="GQ15" s="2">
        <v>110</v>
      </c>
      <c r="GR15" s="2" t="s">
        <v>3332</v>
      </c>
      <c r="GS15" s="2" t="s">
        <v>2686</v>
      </c>
      <c r="GT15" s="2" t="s">
        <v>3580</v>
      </c>
      <c r="GU15" s="2" t="s">
        <v>3448</v>
      </c>
      <c r="GV15" s="2" t="s">
        <v>17</v>
      </c>
      <c r="GW15" s="2">
        <v>25.567865000000001</v>
      </c>
      <c r="GX15" s="2">
        <v>-80.379720000000006</v>
      </c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>
        <v>25.565999999999999</v>
      </c>
      <c r="HO15" s="2">
        <v>-80.382641000000007</v>
      </c>
      <c r="HP15" s="2">
        <v>0.22</v>
      </c>
      <c r="HQ15" s="2">
        <v>6</v>
      </c>
      <c r="HR15" s="2"/>
      <c r="HS15" s="2"/>
      <c r="HT15" s="2"/>
      <c r="HU15" s="2"/>
      <c r="HV15" s="2" t="s">
        <v>406</v>
      </c>
      <c r="HW15" s="2" t="s">
        <v>3581</v>
      </c>
      <c r="HX15" s="2">
        <v>0.34</v>
      </c>
      <c r="HY15" s="2">
        <v>3.5</v>
      </c>
      <c r="HZ15" s="2"/>
      <c r="IA15" s="2"/>
      <c r="IB15" s="2"/>
      <c r="IC15" s="2"/>
      <c r="ID15" s="2" t="s">
        <v>406</v>
      </c>
      <c r="IE15" s="2">
        <v>0.34</v>
      </c>
      <c r="IF15" s="2">
        <v>3.5</v>
      </c>
      <c r="IG15" s="2" t="s">
        <v>3582</v>
      </c>
      <c r="IH15" s="2">
        <v>0.26</v>
      </c>
      <c r="II15" s="2">
        <v>4</v>
      </c>
      <c r="IJ15" s="2" t="s">
        <v>9</v>
      </c>
      <c r="IK15" s="2" t="s">
        <v>3428</v>
      </c>
      <c r="IL15" s="2" t="s">
        <v>3341</v>
      </c>
      <c r="IM15" s="2" t="s">
        <v>17</v>
      </c>
      <c r="IN15" s="2"/>
      <c r="IO15" s="2" t="s">
        <v>79</v>
      </c>
      <c r="IP15" s="2">
        <v>6</v>
      </c>
      <c r="IQ15" s="2">
        <v>11</v>
      </c>
      <c r="IR15" s="2">
        <v>17</v>
      </c>
      <c r="IS15" s="2" t="s">
        <v>17</v>
      </c>
      <c r="IT15" s="2" t="s">
        <v>17</v>
      </c>
      <c r="IU15" s="2" t="s">
        <v>9</v>
      </c>
      <c r="IV15" s="2" t="s">
        <v>9</v>
      </c>
      <c r="IW15" s="2" t="s">
        <v>9</v>
      </c>
      <c r="IX15" s="2" t="s">
        <v>9</v>
      </c>
      <c r="IY15" s="2">
        <v>17</v>
      </c>
      <c r="IZ15" s="2">
        <v>110</v>
      </c>
      <c r="JA15" s="2" t="s">
        <v>2731</v>
      </c>
      <c r="JB15" s="2" t="s">
        <v>3455</v>
      </c>
      <c r="JC15" s="2" t="s">
        <v>82</v>
      </c>
      <c r="JD15" s="2"/>
      <c r="JE15" s="2"/>
      <c r="JF15" s="7">
        <v>0</v>
      </c>
      <c r="JG15" s="7"/>
      <c r="JH15" s="7"/>
      <c r="JI15" s="2">
        <v>0</v>
      </c>
      <c r="JJ15" s="7">
        <v>0</v>
      </c>
      <c r="JK15" s="2">
        <v>0</v>
      </c>
      <c r="JL15" s="7">
        <v>0</v>
      </c>
      <c r="JM15" s="2">
        <v>17</v>
      </c>
      <c r="JN15" s="2"/>
      <c r="JO15" s="2"/>
      <c r="JP15" s="2">
        <v>70</v>
      </c>
      <c r="JQ15" s="2"/>
      <c r="JR15" s="2">
        <v>23</v>
      </c>
      <c r="JS15" s="2">
        <v>0</v>
      </c>
      <c r="JT15" s="2">
        <v>0</v>
      </c>
      <c r="JU15" s="2"/>
      <c r="JV15" s="2">
        <v>110</v>
      </c>
      <c r="JW15" s="4">
        <v>1</v>
      </c>
      <c r="JX15" s="2">
        <v>110</v>
      </c>
      <c r="JY15" s="4">
        <v>0.59545000000000003</v>
      </c>
      <c r="JZ15" s="2">
        <v>0</v>
      </c>
      <c r="KA15" s="2"/>
      <c r="KB15" s="2"/>
      <c r="KC15" s="2"/>
      <c r="KD15" s="2"/>
      <c r="KE15" s="2"/>
      <c r="KF15" s="2"/>
      <c r="KG15" s="2"/>
      <c r="KH15" s="2">
        <v>16</v>
      </c>
      <c r="KI15" s="2"/>
      <c r="KJ15" s="2"/>
      <c r="KK15" s="2">
        <v>72</v>
      </c>
      <c r="KL15" s="2">
        <v>22</v>
      </c>
      <c r="KM15" s="2"/>
      <c r="KN15" s="2"/>
      <c r="KO15" s="2"/>
      <c r="KP15" s="2"/>
      <c r="KQ15" s="2" t="s">
        <v>83</v>
      </c>
      <c r="KR15" s="2" t="s">
        <v>73</v>
      </c>
      <c r="KS15" s="2"/>
      <c r="KT15" s="2">
        <v>1</v>
      </c>
      <c r="KU15" s="2" t="s">
        <v>84</v>
      </c>
      <c r="KV15" s="2" t="s">
        <v>85</v>
      </c>
      <c r="KW15" s="2" t="s">
        <v>530</v>
      </c>
      <c r="KX15" s="2" t="s">
        <v>17</v>
      </c>
      <c r="KY15" s="2" t="s">
        <v>17</v>
      </c>
      <c r="KZ15" s="2" t="s">
        <v>17</v>
      </c>
      <c r="LA15" s="2" t="s">
        <v>17</v>
      </c>
      <c r="LB15" s="2" t="s">
        <v>17</v>
      </c>
      <c r="LC15" s="2" t="s">
        <v>17</v>
      </c>
      <c r="LD15" s="2" t="s">
        <v>17</v>
      </c>
      <c r="LE15" s="2" t="s">
        <v>17</v>
      </c>
      <c r="LF15" s="2" t="s">
        <v>17</v>
      </c>
      <c r="LG15" s="2" t="s">
        <v>17</v>
      </c>
      <c r="LH15" s="2" t="s">
        <v>17</v>
      </c>
      <c r="LI15" s="2" t="s">
        <v>17</v>
      </c>
      <c r="LJ15" s="2" t="s">
        <v>87</v>
      </c>
      <c r="LK15" s="2" t="s">
        <v>17</v>
      </c>
      <c r="LL15" s="2" t="s">
        <v>17</v>
      </c>
      <c r="LM15" s="2">
        <v>0</v>
      </c>
      <c r="LN15" s="2" t="s">
        <v>9</v>
      </c>
      <c r="LO15" s="2" t="s">
        <v>9</v>
      </c>
      <c r="LP15" s="2" t="s">
        <v>9</v>
      </c>
      <c r="LQ15" s="2" t="s">
        <v>17</v>
      </c>
      <c r="LR15" s="2" t="s">
        <v>17</v>
      </c>
      <c r="LS15" s="2" t="s">
        <v>17</v>
      </c>
      <c r="LT15" s="2" t="s">
        <v>17</v>
      </c>
      <c r="LU15" s="2" t="s">
        <v>17</v>
      </c>
      <c r="LV15" s="2" t="s">
        <v>17</v>
      </c>
      <c r="LW15" s="2" t="s">
        <v>17</v>
      </c>
      <c r="LX15" s="2" t="s">
        <v>17</v>
      </c>
      <c r="LY15" s="5">
        <v>6500000</v>
      </c>
      <c r="LZ15" s="5">
        <v>0</v>
      </c>
      <c r="MA15" s="5">
        <v>8400000</v>
      </c>
      <c r="MB15" s="5">
        <v>0</v>
      </c>
      <c r="MC15" s="5">
        <v>0</v>
      </c>
      <c r="MD15" s="5">
        <v>0</v>
      </c>
      <c r="ME15" s="5">
        <v>10000000</v>
      </c>
      <c r="MF15" s="5">
        <v>0</v>
      </c>
      <c r="MG15" s="5">
        <v>0</v>
      </c>
      <c r="MH15" s="5">
        <v>0</v>
      </c>
      <c r="MI15" s="5">
        <v>0</v>
      </c>
      <c r="MJ15" s="5">
        <v>0</v>
      </c>
      <c r="MK15" s="5">
        <v>0</v>
      </c>
      <c r="ML15" s="2">
        <v>0</v>
      </c>
      <c r="MM15" s="5">
        <v>0</v>
      </c>
      <c r="MN15" s="5">
        <v>0</v>
      </c>
      <c r="MO15" s="2">
        <v>0</v>
      </c>
      <c r="MP15" s="2">
        <v>0</v>
      </c>
      <c r="MQ15" s="2">
        <v>0</v>
      </c>
      <c r="MR15" s="5">
        <v>2950000</v>
      </c>
      <c r="MS15" s="5">
        <v>0</v>
      </c>
      <c r="MT15" s="5">
        <v>4600000</v>
      </c>
      <c r="MU15" s="5">
        <v>0</v>
      </c>
      <c r="MV15" s="5">
        <v>0</v>
      </c>
      <c r="MW15" s="5">
        <v>0</v>
      </c>
      <c r="MX15" s="5">
        <v>0</v>
      </c>
      <c r="MY15" s="5">
        <v>2500000</v>
      </c>
      <c r="MZ15" s="5">
        <v>0</v>
      </c>
      <c r="NA15" s="5">
        <v>5000000</v>
      </c>
      <c r="NB15" s="5">
        <v>0</v>
      </c>
      <c r="NC15" s="5">
        <v>0</v>
      </c>
      <c r="ND15" s="5">
        <v>0</v>
      </c>
      <c r="NE15" s="5">
        <v>0</v>
      </c>
      <c r="NF15" s="5">
        <v>0</v>
      </c>
      <c r="NG15" s="5">
        <v>3458400</v>
      </c>
      <c r="NH15" s="5">
        <v>3178400</v>
      </c>
      <c r="NI15" s="5">
        <v>3178400</v>
      </c>
      <c r="NJ15" s="5"/>
      <c r="NK15" s="5">
        <v>0</v>
      </c>
      <c r="NL15" s="2" t="s">
        <v>17</v>
      </c>
      <c r="NM15" s="2" t="s">
        <v>17</v>
      </c>
      <c r="NN15" s="2"/>
      <c r="NO15" s="2" t="s">
        <v>17</v>
      </c>
      <c r="NP15" s="2"/>
      <c r="NQ15" s="2"/>
      <c r="NR15" s="2" t="s">
        <v>17</v>
      </c>
      <c r="NS15" s="2"/>
      <c r="NT15" s="2" t="s">
        <v>17</v>
      </c>
      <c r="NU15" s="2"/>
      <c r="NV15" s="2"/>
      <c r="NW15" s="2"/>
      <c r="NX15" s="2" t="s">
        <v>17</v>
      </c>
      <c r="NY15" s="2"/>
      <c r="NZ15" s="2"/>
      <c r="OA15" s="2" t="s">
        <v>118</v>
      </c>
      <c r="OB15" s="2" t="s">
        <v>118</v>
      </c>
      <c r="OC15" s="2" t="s">
        <v>118</v>
      </c>
      <c r="OD15" s="2" t="s">
        <v>3343</v>
      </c>
      <c r="OE15" s="2" t="s">
        <v>3429</v>
      </c>
      <c r="OF15" s="2" t="s">
        <v>9</v>
      </c>
      <c r="OG15" s="2" t="s">
        <v>17</v>
      </c>
      <c r="OH15" s="2"/>
      <c r="OI15" s="2" t="s">
        <v>17</v>
      </c>
      <c r="OJ15" s="2"/>
      <c r="OK15" s="2" t="s">
        <v>17</v>
      </c>
      <c r="OL15" s="2" t="s">
        <v>17</v>
      </c>
      <c r="OM15" s="2" t="s">
        <v>85</v>
      </c>
      <c r="ON15" s="6">
        <v>0</v>
      </c>
      <c r="OO15" s="6">
        <v>0</v>
      </c>
      <c r="OP15" s="2" t="s">
        <v>93</v>
      </c>
      <c r="OQ15" s="2" t="s">
        <v>93</v>
      </c>
      <c r="OR15" s="6">
        <v>0</v>
      </c>
      <c r="OS15" s="4">
        <v>0</v>
      </c>
      <c r="OT15" s="2" t="s">
        <v>17</v>
      </c>
      <c r="OU15" s="2" t="s">
        <v>17</v>
      </c>
      <c r="OV15" s="2"/>
      <c r="OW15" s="2"/>
      <c r="OX15" s="5">
        <v>20407235</v>
      </c>
      <c r="OY15" s="6">
        <v>185520.32</v>
      </c>
      <c r="OZ15" s="2"/>
      <c r="PA15" s="2"/>
      <c r="PB15" s="2"/>
      <c r="PC15" s="2"/>
      <c r="PD15" s="8">
        <v>21739300</v>
      </c>
      <c r="PE15" s="2"/>
      <c r="PF15" s="8">
        <v>21739300</v>
      </c>
      <c r="PG15" s="2"/>
      <c r="PH15" s="2"/>
      <c r="PI15" s="2"/>
      <c r="PJ15" s="2"/>
      <c r="PK15" s="2"/>
      <c r="PL15" s="2"/>
      <c r="PM15" s="8">
        <v>21739300</v>
      </c>
      <c r="PN15" s="2"/>
      <c r="PO15" s="8">
        <v>21739300</v>
      </c>
      <c r="PP15" s="8">
        <v>3043502</v>
      </c>
      <c r="PQ15" s="2"/>
      <c r="PR15" s="8">
        <v>3043502</v>
      </c>
      <c r="PS15" s="6">
        <v>3043502</v>
      </c>
      <c r="PT15" s="8">
        <v>24782802</v>
      </c>
      <c r="PU15" s="2"/>
      <c r="PV15" s="8">
        <v>24782802</v>
      </c>
      <c r="PW15" s="8">
        <v>1239140</v>
      </c>
      <c r="PX15" s="2"/>
      <c r="PY15" s="8">
        <v>1239140</v>
      </c>
      <c r="PZ15" s="6">
        <v>1239140.1000000001</v>
      </c>
      <c r="QA15" s="8">
        <v>1177400</v>
      </c>
      <c r="QB15" s="8">
        <v>75000</v>
      </c>
      <c r="QC15" s="8">
        <v>1252400</v>
      </c>
      <c r="QD15" s="8">
        <v>250000</v>
      </c>
      <c r="QE15" s="2"/>
      <c r="QF15" s="8">
        <v>250000</v>
      </c>
      <c r="QG15" s="8">
        <v>830656</v>
      </c>
      <c r="QH15" s="8">
        <v>150000</v>
      </c>
      <c r="QI15" s="8">
        <v>980656</v>
      </c>
      <c r="QJ15" s="2"/>
      <c r="QK15" s="8">
        <v>569056</v>
      </c>
      <c r="QL15" s="8">
        <v>569056</v>
      </c>
      <c r="QM15" s="2"/>
      <c r="QN15" s="2"/>
      <c r="QO15" s="2"/>
      <c r="QP15" s="8">
        <v>150000</v>
      </c>
      <c r="QQ15" s="2"/>
      <c r="QR15" s="8">
        <v>150000</v>
      </c>
      <c r="QS15" s="8">
        <v>2408056</v>
      </c>
      <c r="QT15" s="8">
        <v>794056</v>
      </c>
      <c r="QU15" s="8">
        <v>3202112</v>
      </c>
      <c r="QV15" s="8">
        <v>160105</v>
      </c>
      <c r="QW15" s="2"/>
      <c r="QX15" s="8">
        <v>160105</v>
      </c>
      <c r="QY15" s="6">
        <v>160105.60000000001</v>
      </c>
      <c r="QZ15" s="8">
        <v>1473653</v>
      </c>
      <c r="RA15" s="8">
        <v>496506</v>
      </c>
      <c r="RB15" s="8">
        <v>1970159</v>
      </c>
      <c r="RC15" s="8">
        <v>100000</v>
      </c>
      <c r="RD15" s="8">
        <v>100000</v>
      </c>
      <c r="RE15" s="2"/>
      <c r="RF15" s="2"/>
      <c r="RG15" s="2"/>
      <c r="RH15" s="8">
        <v>1473653</v>
      </c>
      <c r="RI15" s="8">
        <v>596506</v>
      </c>
      <c r="RJ15" s="8">
        <v>2070159</v>
      </c>
      <c r="RK15" s="8">
        <v>30063756</v>
      </c>
      <c r="RL15" s="8">
        <v>1390562</v>
      </c>
      <c r="RM15" s="8">
        <v>31454318</v>
      </c>
      <c r="RN15" s="2">
        <v>0</v>
      </c>
      <c r="RO15" s="6">
        <v>0</v>
      </c>
      <c r="RP15" s="8">
        <v>5032690</v>
      </c>
      <c r="RQ15" s="2"/>
      <c r="RR15" s="8">
        <v>5032690</v>
      </c>
      <c r="RS15" s="6">
        <v>5032690</v>
      </c>
      <c r="RT15" s="6">
        <v>0</v>
      </c>
      <c r="RU15" s="8">
        <v>5032690</v>
      </c>
      <c r="RV15" s="2"/>
      <c r="RW15" s="8">
        <v>5032690</v>
      </c>
      <c r="RX15" s="6">
        <v>5032690</v>
      </c>
      <c r="RY15" s="2"/>
      <c r="RZ15" s="2"/>
      <c r="SA15" s="6">
        <v>385000</v>
      </c>
      <c r="SB15" s="8">
        <v>3100000</v>
      </c>
      <c r="SC15" s="8">
        <v>3100000</v>
      </c>
      <c r="SD15" s="8">
        <v>35096446</v>
      </c>
      <c r="SE15" s="8">
        <v>4490562</v>
      </c>
      <c r="SF15" s="8">
        <v>39587008</v>
      </c>
      <c r="SG15" s="2"/>
      <c r="SH15" s="2"/>
      <c r="SI15" s="2" t="s">
        <v>1850</v>
      </c>
      <c r="SJ15" s="2"/>
      <c r="SK15" s="8">
        <v>31513817</v>
      </c>
      <c r="SL15" s="2" t="s">
        <v>95</v>
      </c>
      <c r="SM15" s="2"/>
      <c r="SN15" s="2"/>
      <c r="SO15" s="2"/>
      <c r="SP15" s="2"/>
      <c r="SQ15" s="2"/>
      <c r="SR15" s="2"/>
      <c r="SS15" s="2" t="s">
        <v>96</v>
      </c>
      <c r="ST15" s="2" t="s">
        <v>96</v>
      </c>
      <c r="SU15" s="2" t="s">
        <v>96</v>
      </c>
      <c r="SV15" s="2" t="s">
        <v>96</v>
      </c>
      <c r="SW15" s="8">
        <v>10010959</v>
      </c>
      <c r="SX15" s="2"/>
      <c r="SY15" s="2"/>
      <c r="SZ15" s="2"/>
      <c r="TA15" s="2"/>
      <c r="TB15" s="2"/>
      <c r="TC15" s="2"/>
      <c r="TD15" s="2">
        <v>0</v>
      </c>
      <c r="TE15" s="8">
        <v>41524776</v>
      </c>
      <c r="TF15" s="8">
        <v>1937768</v>
      </c>
      <c r="TG15" s="2" t="s">
        <v>9</v>
      </c>
      <c r="TH15" s="8">
        <v>9000000</v>
      </c>
      <c r="TI15" s="2" t="s">
        <v>95</v>
      </c>
      <c r="TJ15" s="2"/>
      <c r="TK15" s="2"/>
      <c r="TL15" s="2"/>
      <c r="TM15" s="2"/>
      <c r="TN15" s="2" t="s">
        <v>96</v>
      </c>
      <c r="TO15" s="2" t="s">
        <v>96</v>
      </c>
      <c r="TP15" s="2" t="s">
        <v>96</v>
      </c>
      <c r="TQ15" s="2" t="s">
        <v>96</v>
      </c>
      <c r="TR15" s="8">
        <v>28602739</v>
      </c>
      <c r="TS15" s="2"/>
      <c r="TT15" s="2"/>
      <c r="TU15" s="2"/>
      <c r="TV15" s="2"/>
      <c r="TW15" s="2"/>
      <c r="TX15" s="2"/>
      <c r="TY15" s="8">
        <v>1984269</v>
      </c>
      <c r="TZ15" s="8">
        <v>39587008</v>
      </c>
      <c r="UA15" s="6">
        <v>9000000</v>
      </c>
      <c r="UB15" s="2">
        <v>0</v>
      </c>
      <c r="UC15" s="2" t="s">
        <v>9</v>
      </c>
      <c r="UD15" s="2">
        <v>110</v>
      </c>
      <c r="UE15" s="5">
        <v>310000</v>
      </c>
      <c r="UF15" s="6">
        <v>413333.33</v>
      </c>
      <c r="UG15" s="6">
        <v>413333.33</v>
      </c>
      <c r="UH15" s="6">
        <v>438133.33</v>
      </c>
      <c r="UI15" s="6">
        <v>48194666.670000002</v>
      </c>
      <c r="UJ15" s="6">
        <v>7711146</v>
      </c>
      <c r="UK15" s="2" t="s">
        <v>97</v>
      </c>
      <c r="UL15" s="6">
        <v>7711146</v>
      </c>
      <c r="UM15" s="6">
        <v>55905812.670000002</v>
      </c>
      <c r="UN15" s="6">
        <v>36487008</v>
      </c>
      <c r="UO15" s="4">
        <v>0.99990000000000001</v>
      </c>
      <c r="UP15" s="2" t="s">
        <v>9</v>
      </c>
      <c r="UQ15" s="6">
        <v>0</v>
      </c>
      <c r="UR15" s="6">
        <v>0</v>
      </c>
      <c r="US15" s="6">
        <v>1041440.25</v>
      </c>
      <c r="UT15" s="6">
        <v>1041440.25</v>
      </c>
      <c r="UU15" s="6">
        <v>0</v>
      </c>
      <c r="UV15" s="6">
        <v>1041440.25</v>
      </c>
      <c r="UW15" s="6">
        <v>0</v>
      </c>
      <c r="UX15" s="6">
        <v>1041440.25</v>
      </c>
      <c r="UY15" s="2" t="s">
        <v>3457</v>
      </c>
      <c r="UZ15" s="2" t="s">
        <v>3288</v>
      </c>
      <c r="VA15" s="2" t="s">
        <v>17</v>
      </c>
      <c r="VB15" s="2" t="s">
        <v>17</v>
      </c>
      <c r="VC15" s="2" t="s">
        <v>17</v>
      </c>
      <c r="VD15" s="2" t="s">
        <v>17</v>
      </c>
      <c r="VE15" s="2" t="s">
        <v>17</v>
      </c>
      <c r="VF15" s="2" t="s">
        <v>17</v>
      </c>
      <c r="VG15" s="2" t="s">
        <v>3583</v>
      </c>
      <c r="VH15" s="2"/>
      <c r="VI15" s="388" t="s">
        <v>1820</v>
      </c>
      <c r="VJ15" s="2" t="s">
        <v>98</v>
      </c>
      <c r="VK15" s="2" t="s">
        <v>1851</v>
      </c>
      <c r="VL15" s="23">
        <f t="shared" si="0"/>
        <v>226</v>
      </c>
      <c r="VM15" s="17">
        <f t="shared" si="1"/>
        <v>2.0545454545454547</v>
      </c>
      <c r="VN15" s="17" t="str">
        <f t="shared" si="2"/>
        <v>NC-HR-F</v>
      </c>
      <c r="VO15" s="17" t="str">
        <f t="shared" si="14"/>
        <v>NC-HR-F-ESS</v>
      </c>
      <c r="VP15" s="12">
        <v>9</v>
      </c>
      <c r="VQ15" s="57">
        <v>1</v>
      </c>
      <c r="VR15" s="57">
        <f t="shared" si="3"/>
        <v>1</v>
      </c>
      <c r="VS15" s="14">
        <f t="shared" si="4"/>
        <v>1</v>
      </c>
      <c r="VT15" s="12">
        <f t="shared" si="5"/>
        <v>0.88350000000000006</v>
      </c>
      <c r="VU15" s="29">
        <f t="shared" si="6"/>
        <v>25273047.600000001</v>
      </c>
      <c r="VV15" s="29">
        <f t="shared" si="7"/>
        <v>229754.98</v>
      </c>
      <c r="VW15" s="12" t="str">
        <f t="shared" si="15"/>
        <v>A</v>
      </c>
      <c r="VX15" s="12" t="str">
        <f t="shared" si="8"/>
        <v>NC-HR-ESS</v>
      </c>
      <c r="VY15" s="352">
        <f t="shared" si="16"/>
        <v>2</v>
      </c>
      <c r="WA15" s="12">
        <f t="shared" si="17"/>
        <v>0</v>
      </c>
      <c r="WB15" s="12">
        <f t="shared" si="18"/>
        <v>0</v>
      </c>
      <c r="WC15" s="12">
        <f t="shared" si="18"/>
        <v>0</v>
      </c>
      <c r="WD15" s="12">
        <f t="shared" si="18"/>
        <v>0</v>
      </c>
      <c r="WE15" s="12">
        <f t="shared" si="19"/>
        <v>1</v>
      </c>
      <c r="WF15" s="12">
        <f t="shared" si="9"/>
        <v>0</v>
      </c>
      <c r="WG15" s="12">
        <f t="shared" si="10"/>
        <v>0</v>
      </c>
      <c r="WH15" s="12">
        <f t="shared" si="11"/>
        <v>1</v>
      </c>
      <c r="WI15" s="31">
        <f t="shared" si="12"/>
        <v>2</v>
      </c>
      <c r="WJ15" s="2"/>
      <c r="WK15" s="444" t="str">
        <f t="shared" si="20"/>
        <v>NC-HR-ESS-BBN-BRN-NPH-F</v>
      </c>
      <c r="WL15" s="444"/>
      <c r="WM15" s="444"/>
    </row>
    <row r="16" spans="1:622" x14ac:dyDescent="0.25">
      <c r="A16" s="2">
        <v>9675</v>
      </c>
      <c r="B16" s="2" t="s">
        <v>3584</v>
      </c>
      <c r="C16" s="2" t="s">
        <v>3305</v>
      </c>
      <c r="D16" s="3">
        <v>45159</v>
      </c>
      <c r="E16" s="2" t="s">
        <v>9</v>
      </c>
      <c r="F16" s="2">
        <v>3</v>
      </c>
      <c r="G16" s="2" t="s">
        <v>9</v>
      </c>
      <c r="H16" s="2">
        <v>3</v>
      </c>
      <c r="I16" s="2" t="s">
        <v>9</v>
      </c>
      <c r="J16" s="2">
        <v>2</v>
      </c>
      <c r="K16" s="2" t="s">
        <v>9</v>
      </c>
      <c r="L16" s="2">
        <v>3</v>
      </c>
      <c r="M16" s="2" t="s">
        <v>10</v>
      </c>
      <c r="N16" s="2">
        <v>0</v>
      </c>
      <c r="O16" s="2" t="s">
        <v>10</v>
      </c>
      <c r="P16" s="2">
        <v>0</v>
      </c>
      <c r="Q16" s="2" t="s">
        <v>11</v>
      </c>
      <c r="R16" s="2">
        <v>0</v>
      </c>
      <c r="S16" s="2" t="s">
        <v>9</v>
      </c>
      <c r="T16" s="2">
        <v>2</v>
      </c>
      <c r="U16" s="2" t="s">
        <v>9</v>
      </c>
      <c r="V16" s="2">
        <v>2</v>
      </c>
      <c r="W16" s="2" t="s">
        <v>9</v>
      </c>
      <c r="X16" s="2">
        <v>2</v>
      </c>
      <c r="Y16" s="2" t="s">
        <v>12</v>
      </c>
      <c r="Z16" s="2" t="s">
        <v>15</v>
      </c>
      <c r="AA16" s="2" t="s">
        <v>15</v>
      </c>
      <c r="AB16" s="2" t="s">
        <v>15</v>
      </c>
      <c r="AC16" s="2" t="s">
        <v>15</v>
      </c>
      <c r="AD16" s="2" t="s">
        <v>15</v>
      </c>
      <c r="AE16" s="2" t="s">
        <v>1262</v>
      </c>
      <c r="AF16" s="2">
        <v>0</v>
      </c>
      <c r="AG16" s="2" t="s">
        <v>234</v>
      </c>
      <c r="AH16" s="2" t="s">
        <v>17</v>
      </c>
      <c r="AI16" s="4">
        <v>0.1</v>
      </c>
      <c r="AJ16" s="2" t="s">
        <v>17</v>
      </c>
      <c r="AK16" s="2" t="s">
        <v>9</v>
      </c>
      <c r="AL16" s="2" t="s">
        <v>17</v>
      </c>
      <c r="AM16" s="2" t="s">
        <v>17</v>
      </c>
      <c r="AN16" s="2" t="s">
        <v>17</v>
      </c>
      <c r="AO16" s="2" t="s">
        <v>9</v>
      </c>
      <c r="AP16" s="2" t="s">
        <v>17</v>
      </c>
      <c r="AQ16" s="2" t="s">
        <v>17</v>
      </c>
      <c r="AR16" s="2" t="s">
        <v>17</v>
      </c>
      <c r="AS16" s="2" t="s">
        <v>17</v>
      </c>
      <c r="AT16" s="2">
        <v>5</v>
      </c>
      <c r="AU16" s="5">
        <v>100000</v>
      </c>
      <c r="AV16" s="2" t="s">
        <v>85</v>
      </c>
      <c r="AW16" s="2">
        <v>0</v>
      </c>
      <c r="AX16" s="2">
        <v>10</v>
      </c>
      <c r="AY16" s="2">
        <v>0</v>
      </c>
      <c r="AZ16" s="2">
        <v>18</v>
      </c>
      <c r="BA16" s="2">
        <v>0</v>
      </c>
      <c r="BB16" s="2">
        <v>0</v>
      </c>
      <c r="BC16" s="2">
        <v>0</v>
      </c>
      <c r="BD16" s="2">
        <v>5</v>
      </c>
      <c r="BE16" s="2">
        <v>0</v>
      </c>
      <c r="BF16" s="2">
        <v>1</v>
      </c>
      <c r="BG16" s="2">
        <v>0</v>
      </c>
      <c r="BH16" s="2">
        <v>0</v>
      </c>
      <c r="BI16" s="2">
        <v>13</v>
      </c>
      <c r="BJ16" s="2">
        <v>1</v>
      </c>
      <c r="BK16" s="2">
        <v>0</v>
      </c>
      <c r="BL16" s="2">
        <v>2</v>
      </c>
      <c r="BM16" s="2">
        <v>1</v>
      </c>
      <c r="BN16" s="2">
        <v>10</v>
      </c>
      <c r="BO16" s="2">
        <v>11</v>
      </c>
      <c r="BP16" s="2">
        <v>0</v>
      </c>
      <c r="BQ16" s="2">
        <v>10</v>
      </c>
      <c r="BR16" s="2">
        <v>11.35</v>
      </c>
      <c r="BS16" s="2">
        <v>0</v>
      </c>
      <c r="BT16" s="4">
        <v>0.06</v>
      </c>
      <c r="BU16" s="2" t="s">
        <v>9</v>
      </c>
      <c r="BV16" s="6">
        <v>191789.33</v>
      </c>
      <c r="BW16" s="2" t="s">
        <v>126</v>
      </c>
      <c r="BX16" s="2" t="s">
        <v>17</v>
      </c>
      <c r="BY16" s="2" t="s">
        <v>17</v>
      </c>
      <c r="BZ16" s="2" t="s">
        <v>17</v>
      </c>
      <c r="CA16" s="2" t="s">
        <v>17</v>
      </c>
      <c r="CB16" s="2" t="s">
        <v>17</v>
      </c>
      <c r="CC16" s="2" t="s">
        <v>17</v>
      </c>
      <c r="CD16" s="2" t="s">
        <v>17</v>
      </c>
      <c r="CE16" s="2" t="s">
        <v>3585</v>
      </c>
      <c r="CF16" s="2" t="s">
        <v>17</v>
      </c>
      <c r="CG16" s="2" t="s">
        <v>3586</v>
      </c>
      <c r="CH16" s="2"/>
      <c r="CI16" s="2"/>
      <c r="CJ16" s="2" t="s">
        <v>9</v>
      </c>
      <c r="CK16" s="2" t="s">
        <v>3534</v>
      </c>
      <c r="CL16" s="2" t="s">
        <v>3586</v>
      </c>
      <c r="CM16" s="2" t="s">
        <v>3535</v>
      </c>
      <c r="CN16" s="2" t="s">
        <v>305</v>
      </c>
      <c r="CO16" s="2" t="s">
        <v>24</v>
      </c>
      <c r="CP16" s="2"/>
      <c r="CQ16" s="2">
        <v>119</v>
      </c>
      <c r="CR16" s="2" t="s">
        <v>2659</v>
      </c>
      <c r="CS16" s="2">
        <v>2021</v>
      </c>
      <c r="CT16" s="2" t="s">
        <v>26</v>
      </c>
      <c r="CU16" s="2" t="s">
        <v>27</v>
      </c>
      <c r="CV16" s="2" t="s">
        <v>3536</v>
      </c>
      <c r="CW16" s="2" t="s">
        <v>2661</v>
      </c>
      <c r="CX16" s="2" t="s">
        <v>24</v>
      </c>
      <c r="CY16" s="2"/>
      <c r="CZ16" s="2">
        <v>271</v>
      </c>
      <c r="DA16" s="2" t="s">
        <v>2659</v>
      </c>
      <c r="DB16" s="2">
        <v>2022</v>
      </c>
      <c r="DC16" s="2" t="s">
        <v>30</v>
      </c>
      <c r="DD16" s="2" t="s">
        <v>27</v>
      </c>
      <c r="DE16" s="2" t="s">
        <v>3537</v>
      </c>
      <c r="DF16" s="2" t="s">
        <v>3538</v>
      </c>
      <c r="DG16" s="2" t="s">
        <v>413</v>
      </c>
      <c r="DH16" s="2" t="s">
        <v>3539</v>
      </c>
      <c r="DI16" s="2">
        <v>280</v>
      </c>
      <c r="DJ16" s="2" t="s">
        <v>2659</v>
      </c>
      <c r="DK16" s="2">
        <v>2022</v>
      </c>
      <c r="DL16" s="2" t="s">
        <v>26</v>
      </c>
      <c r="DM16" s="2" t="s">
        <v>27</v>
      </c>
      <c r="DN16" s="2" t="s">
        <v>33</v>
      </c>
      <c r="DO16" s="2" t="s">
        <v>1179</v>
      </c>
      <c r="DP16" s="2" t="s">
        <v>951</v>
      </c>
      <c r="DQ16" s="2" t="s">
        <v>1180</v>
      </c>
      <c r="DR16" s="2" t="s">
        <v>3540</v>
      </c>
      <c r="DS16" s="2">
        <v>1</v>
      </c>
      <c r="DT16" s="2" t="s">
        <v>1182</v>
      </c>
      <c r="DU16" s="2" t="s">
        <v>299</v>
      </c>
      <c r="DV16" s="2" t="s">
        <v>39</v>
      </c>
      <c r="DW16" s="2">
        <v>33176</v>
      </c>
      <c r="DX16" s="2" t="s">
        <v>3541</v>
      </c>
      <c r="DY16" s="2"/>
      <c r="DZ16" s="2" t="s">
        <v>1184</v>
      </c>
      <c r="EA16" s="2" t="s">
        <v>3540</v>
      </c>
      <c r="EB16" s="2" t="s">
        <v>3542</v>
      </c>
      <c r="EC16" s="2" t="s">
        <v>2661</v>
      </c>
      <c r="ED16" s="2" t="s">
        <v>44</v>
      </c>
      <c r="EE16" s="2">
        <v>179</v>
      </c>
      <c r="EF16" s="2" t="s">
        <v>2672</v>
      </c>
      <c r="EG16" s="2">
        <v>16</v>
      </c>
      <c r="EH16" s="2" t="s">
        <v>46</v>
      </c>
      <c r="EI16" s="2" t="s">
        <v>47</v>
      </c>
      <c r="EJ16" s="2" t="s">
        <v>3543</v>
      </c>
      <c r="EK16" s="2" t="s">
        <v>2661</v>
      </c>
      <c r="EL16" s="2" t="s">
        <v>44</v>
      </c>
      <c r="EM16" s="2">
        <v>176</v>
      </c>
      <c r="EN16" s="2" t="s">
        <v>2672</v>
      </c>
      <c r="EO16" s="2">
        <v>7</v>
      </c>
      <c r="EP16" s="2" t="s">
        <v>46</v>
      </c>
      <c r="EQ16" s="2" t="s">
        <v>47</v>
      </c>
      <c r="ER16" s="2" t="s">
        <v>1300</v>
      </c>
      <c r="ES16" s="2"/>
      <c r="ET16" s="2" t="s">
        <v>3544</v>
      </c>
      <c r="EU16" s="2" t="s">
        <v>3585</v>
      </c>
      <c r="EV16" s="2" t="s">
        <v>3545</v>
      </c>
      <c r="EW16" s="2" t="s">
        <v>299</v>
      </c>
      <c r="EX16" s="2" t="s">
        <v>39</v>
      </c>
      <c r="EY16" s="2">
        <v>33131</v>
      </c>
      <c r="EZ16" s="2" t="s">
        <v>3546</v>
      </c>
      <c r="FA16" s="2"/>
      <c r="FB16" s="2" t="s">
        <v>3547</v>
      </c>
      <c r="FC16" s="2" t="s">
        <v>3548</v>
      </c>
      <c r="FD16" s="2"/>
      <c r="FE16" s="2" t="s">
        <v>3549</v>
      </c>
      <c r="FF16" s="2" t="s">
        <v>3550</v>
      </c>
      <c r="FG16" s="2" t="s">
        <v>3545</v>
      </c>
      <c r="FH16" s="2" t="s">
        <v>299</v>
      </c>
      <c r="FI16" s="2" t="s">
        <v>39</v>
      </c>
      <c r="FJ16" s="2">
        <v>33131</v>
      </c>
      <c r="FK16" s="2" t="s">
        <v>3551</v>
      </c>
      <c r="FL16" s="2"/>
      <c r="FM16" s="2" t="s">
        <v>3552</v>
      </c>
      <c r="FN16" s="2" t="s">
        <v>3587</v>
      </c>
      <c r="FO16" s="2" t="s">
        <v>63</v>
      </c>
      <c r="FP16" s="2" t="s">
        <v>64</v>
      </c>
      <c r="FQ16" s="2" t="s">
        <v>9</v>
      </c>
      <c r="FR16" s="2" t="s">
        <v>17</v>
      </c>
      <c r="FS16" s="2" t="s">
        <v>17</v>
      </c>
      <c r="FT16" s="2" t="s">
        <v>9</v>
      </c>
      <c r="FU16" s="2"/>
      <c r="FV16" s="2"/>
      <c r="FW16" s="2">
        <v>0</v>
      </c>
      <c r="FX16" s="2">
        <v>0</v>
      </c>
      <c r="FY16" s="4">
        <v>0</v>
      </c>
      <c r="FZ16" s="4">
        <v>0</v>
      </c>
      <c r="GA16" s="2" t="s">
        <v>65</v>
      </c>
      <c r="GB16" s="2"/>
      <c r="GC16" s="2" t="s">
        <v>66</v>
      </c>
      <c r="GD16" s="2" t="s">
        <v>67</v>
      </c>
      <c r="GE16" s="2" t="s">
        <v>1612</v>
      </c>
      <c r="GF16" s="2"/>
      <c r="GG16" s="2"/>
      <c r="GH16" s="2"/>
      <c r="GI16" s="2">
        <v>120</v>
      </c>
      <c r="GJ16" s="2"/>
      <c r="GK16" s="2"/>
      <c r="GL16" s="2"/>
      <c r="GM16" s="2"/>
      <c r="GN16" s="2"/>
      <c r="GO16" s="2"/>
      <c r="GP16" s="2"/>
      <c r="GQ16" s="2">
        <v>120</v>
      </c>
      <c r="GR16" s="2" t="s">
        <v>3332</v>
      </c>
      <c r="GS16" s="2" t="s">
        <v>2686</v>
      </c>
      <c r="GT16" s="2" t="s">
        <v>3588</v>
      </c>
      <c r="GU16" s="2" t="s">
        <v>3555</v>
      </c>
      <c r="GV16" s="2" t="s">
        <v>17</v>
      </c>
      <c r="GW16" s="2">
        <v>25.522466999999999</v>
      </c>
      <c r="GX16" s="2">
        <v>-80.421536000000003</v>
      </c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>
        <v>25.521356000000001</v>
      </c>
      <c r="HS16" s="2">
        <v>-80.426128000000006</v>
      </c>
      <c r="HT16" s="2">
        <v>0.3</v>
      </c>
      <c r="HU16" s="2">
        <v>6</v>
      </c>
      <c r="HV16" s="2" t="s">
        <v>595</v>
      </c>
      <c r="HW16" s="2" t="s">
        <v>3589</v>
      </c>
      <c r="HX16" s="2">
        <v>0.18</v>
      </c>
      <c r="HY16" s="2">
        <v>4</v>
      </c>
      <c r="HZ16" s="2" t="s">
        <v>3590</v>
      </c>
      <c r="IA16" s="2" t="s">
        <v>3591</v>
      </c>
      <c r="IB16" s="2">
        <v>0.17</v>
      </c>
      <c r="IC16" s="2">
        <v>4</v>
      </c>
      <c r="ID16" s="2" t="s">
        <v>76</v>
      </c>
      <c r="IE16" s="2">
        <v>0.18</v>
      </c>
      <c r="IF16" s="2">
        <v>4</v>
      </c>
      <c r="IG16" s="2"/>
      <c r="IH16" s="2"/>
      <c r="II16" s="2"/>
      <c r="IJ16" s="2" t="s">
        <v>9</v>
      </c>
      <c r="IK16" s="2" t="s">
        <v>3439</v>
      </c>
      <c r="IL16" s="2" t="s">
        <v>3341</v>
      </c>
      <c r="IM16" s="2" t="s">
        <v>17</v>
      </c>
      <c r="IN16" s="2"/>
      <c r="IO16" s="2" t="s">
        <v>79</v>
      </c>
      <c r="IP16" s="2">
        <v>6</v>
      </c>
      <c r="IQ16" s="2">
        <v>12</v>
      </c>
      <c r="IR16" s="2">
        <v>18</v>
      </c>
      <c r="IS16" s="2" t="s">
        <v>17</v>
      </c>
      <c r="IT16" s="2" t="s">
        <v>17</v>
      </c>
      <c r="IU16" s="2" t="s">
        <v>9</v>
      </c>
      <c r="IV16" s="2" t="s">
        <v>9</v>
      </c>
      <c r="IW16" s="2" t="s">
        <v>9</v>
      </c>
      <c r="IX16" s="2" t="s">
        <v>9</v>
      </c>
      <c r="IY16" s="2">
        <v>18</v>
      </c>
      <c r="IZ16" s="2">
        <v>120</v>
      </c>
      <c r="JA16" s="2" t="s">
        <v>3399</v>
      </c>
      <c r="JB16" s="2"/>
      <c r="JC16" s="2" t="s">
        <v>173</v>
      </c>
      <c r="JD16" s="7">
        <v>0.1</v>
      </c>
      <c r="JE16" s="7">
        <v>0.9</v>
      </c>
      <c r="JF16" s="7">
        <v>0</v>
      </c>
      <c r="JG16" s="7"/>
      <c r="JH16" s="7"/>
      <c r="JI16" s="2">
        <v>120</v>
      </c>
      <c r="JJ16" s="7">
        <v>1</v>
      </c>
      <c r="JK16" s="2">
        <v>120</v>
      </c>
      <c r="JL16" s="7">
        <v>1</v>
      </c>
      <c r="JM16" s="2"/>
      <c r="JN16" s="2"/>
      <c r="JO16" s="2"/>
      <c r="JP16" s="2"/>
      <c r="JQ16" s="2"/>
      <c r="JR16" s="2"/>
      <c r="JS16" s="2">
        <v>0</v>
      </c>
      <c r="JT16" s="2">
        <v>0</v>
      </c>
      <c r="JU16" s="2"/>
      <c r="JV16" s="2">
        <v>0</v>
      </c>
      <c r="JW16" s="4">
        <v>0</v>
      </c>
      <c r="JX16" s="2">
        <v>0</v>
      </c>
      <c r="JY16" s="4">
        <v>0</v>
      </c>
      <c r="JZ16" s="2">
        <v>0</v>
      </c>
      <c r="KA16" s="2"/>
      <c r="KB16" s="2"/>
      <c r="KC16" s="2"/>
      <c r="KD16" s="2"/>
      <c r="KE16" s="2"/>
      <c r="KF16" s="2"/>
      <c r="KG16" s="2"/>
      <c r="KH16" s="2">
        <v>110</v>
      </c>
      <c r="KI16" s="2"/>
      <c r="KJ16" s="2"/>
      <c r="KK16" s="2">
        <v>10</v>
      </c>
      <c r="KL16" s="2"/>
      <c r="KM16" s="2"/>
      <c r="KN16" s="2"/>
      <c r="KO16" s="2"/>
      <c r="KP16" s="2"/>
      <c r="KQ16" s="2" t="s">
        <v>83</v>
      </c>
      <c r="KR16" s="2"/>
      <c r="KS16" s="2" t="s">
        <v>73</v>
      </c>
      <c r="KT16" s="2">
        <v>1</v>
      </c>
      <c r="KU16" s="2" t="s">
        <v>84</v>
      </c>
      <c r="KV16" s="2" t="s">
        <v>85</v>
      </c>
      <c r="KW16" s="2" t="s">
        <v>599</v>
      </c>
      <c r="KX16" s="2" t="s">
        <v>17</v>
      </c>
      <c r="KY16" s="2" t="s">
        <v>17</v>
      </c>
      <c r="KZ16" s="2" t="s">
        <v>17</v>
      </c>
      <c r="LA16" s="2" t="s">
        <v>17</v>
      </c>
      <c r="LB16" s="2" t="s">
        <v>17</v>
      </c>
      <c r="LC16" s="2" t="s">
        <v>17</v>
      </c>
      <c r="LD16" s="2" t="s">
        <v>17</v>
      </c>
      <c r="LE16" s="2" t="s">
        <v>17</v>
      </c>
      <c r="LF16" s="2" t="s">
        <v>17</v>
      </c>
      <c r="LG16" s="2" t="s">
        <v>17</v>
      </c>
      <c r="LH16" s="2" t="s">
        <v>17</v>
      </c>
      <c r="LI16" s="2" t="s">
        <v>17</v>
      </c>
      <c r="LJ16" s="2" t="s">
        <v>87</v>
      </c>
      <c r="LK16" s="2" t="s">
        <v>17</v>
      </c>
      <c r="LL16" s="2" t="s">
        <v>17</v>
      </c>
      <c r="LM16" s="2">
        <v>0</v>
      </c>
      <c r="LN16" s="2" t="s">
        <v>17</v>
      </c>
      <c r="LO16" s="2" t="s">
        <v>17</v>
      </c>
      <c r="LP16" s="2" t="s">
        <v>17</v>
      </c>
      <c r="LQ16" s="2" t="s">
        <v>17</v>
      </c>
      <c r="LR16" s="2" t="s">
        <v>17</v>
      </c>
      <c r="LS16" s="2" t="s">
        <v>17</v>
      </c>
      <c r="LT16" s="2" t="s">
        <v>9</v>
      </c>
      <c r="LU16" s="2" t="s">
        <v>9</v>
      </c>
      <c r="LV16" s="2" t="s">
        <v>9</v>
      </c>
      <c r="LW16" s="2" t="s">
        <v>17</v>
      </c>
      <c r="LX16" s="2" t="s">
        <v>17</v>
      </c>
      <c r="LY16" s="5">
        <v>6500000</v>
      </c>
      <c r="LZ16" s="5">
        <v>0</v>
      </c>
      <c r="MA16" s="5">
        <v>8400000</v>
      </c>
      <c r="MB16" s="5">
        <v>0</v>
      </c>
      <c r="MC16" s="5">
        <v>0</v>
      </c>
      <c r="MD16" s="5">
        <v>0</v>
      </c>
      <c r="ME16" s="5">
        <v>10000000</v>
      </c>
      <c r="MF16" s="5">
        <v>0</v>
      </c>
      <c r="MG16" s="5">
        <v>0</v>
      </c>
      <c r="MH16" s="5">
        <v>0</v>
      </c>
      <c r="MI16" s="5">
        <v>0</v>
      </c>
      <c r="MJ16" s="5">
        <v>0</v>
      </c>
      <c r="MK16" s="5">
        <v>0</v>
      </c>
      <c r="ML16" s="2">
        <v>0</v>
      </c>
      <c r="MM16" s="5">
        <v>0</v>
      </c>
      <c r="MN16" s="5">
        <v>0</v>
      </c>
      <c r="MO16" s="2">
        <v>0</v>
      </c>
      <c r="MP16" s="2">
        <v>0</v>
      </c>
      <c r="MQ16" s="2">
        <v>0</v>
      </c>
      <c r="MR16" s="5">
        <v>2950000</v>
      </c>
      <c r="MS16" s="5">
        <v>0</v>
      </c>
      <c r="MT16" s="5">
        <v>4600000</v>
      </c>
      <c r="MU16" s="5">
        <v>0</v>
      </c>
      <c r="MV16" s="5">
        <v>0</v>
      </c>
      <c r="MW16" s="5">
        <v>0</v>
      </c>
      <c r="MX16" s="5">
        <v>0</v>
      </c>
      <c r="MY16" s="5">
        <v>2500000</v>
      </c>
      <c r="MZ16" s="5">
        <v>0</v>
      </c>
      <c r="NA16" s="5">
        <v>5000000</v>
      </c>
      <c r="NB16" s="5">
        <v>0</v>
      </c>
      <c r="NC16" s="5">
        <v>0</v>
      </c>
      <c r="ND16" s="5">
        <v>0</v>
      </c>
      <c r="NE16" s="5">
        <v>0</v>
      </c>
      <c r="NF16" s="5">
        <v>0</v>
      </c>
      <c r="NG16" s="5">
        <v>3458400</v>
      </c>
      <c r="NH16" s="5">
        <v>3458000</v>
      </c>
      <c r="NI16" s="5">
        <v>3458000</v>
      </c>
      <c r="NJ16" s="5"/>
      <c r="NK16" s="5">
        <v>0</v>
      </c>
      <c r="NL16" s="2" t="s">
        <v>17</v>
      </c>
      <c r="NM16" s="2" t="s">
        <v>17</v>
      </c>
      <c r="NN16" s="2"/>
      <c r="NO16" s="2" t="s">
        <v>17</v>
      </c>
      <c r="NP16" s="2"/>
      <c r="NQ16" s="2"/>
      <c r="NR16" s="2" t="s">
        <v>17</v>
      </c>
      <c r="NS16" s="2"/>
      <c r="NT16" s="2" t="s">
        <v>9</v>
      </c>
      <c r="NU16" s="2" t="s">
        <v>450</v>
      </c>
      <c r="NV16" s="2">
        <v>108.03</v>
      </c>
      <c r="NW16" s="2" t="s">
        <v>3342</v>
      </c>
      <c r="NX16" s="2" t="s">
        <v>17</v>
      </c>
      <c r="NY16" s="2"/>
      <c r="NZ16" s="2"/>
      <c r="OA16" s="2" t="s">
        <v>118</v>
      </c>
      <c r="OB16" s="2" t="s">
        <v>118</v>
      </c>
      <c r="OC16" s="2" t="s">
        <v>118</v>
      </c>
      <c r="OD16" s="2" t="s">
        <v>3343</v>
      </c>
      <c r="OE16" s="2" t="s">
        <v>3440</v>
      </c>
      <c r="OF16" s="2"/>
      <c r="OG16" s="2" t="s">
        <v>17</v>
      </c>
      <c r="OH16" s="2" t="s">
        <v>119</v>
      </c>
      <c r="OI16" s="2" t="s">
        <v>17</v>
      </c>
      <c r="OJ16" s="2"/>
      <c r="OK16" s="2" t="s">
        <v>17</v>
      </c>
      <c r="OL16" s="2" t="s">
        <v>17</v>
      </c>
      <c r="OM16" s="2" t="s">
        <v>85</v>
      </c>
      <c r="ON16" s="6">
        <v>0</v>
      </c>
      <c r="OO16" s="6">
        <v>0</v>
      </c>
      <c r="OP16" s="2" t="s">
        <v>93</v>
      </c>
      <c r="OQ16" s="2" t="s">
        <v>93</v>
      </c>
      <c r="OR16" s="6">
        <v>0</v>
      </c>
      <c r="OS16" s="4">
        <v>0</v>
      </c>
      <c r="OT16" s="2" t="s">
        <v>17</v>
      </c>
      <c r="OU16" s="2" t="s">
        <v>17</v>
      </c>
      <c r="OV16" s="2"/>
      <c r="OW16" s="2"/>
      <c r="OX16" s="5">
        <v>23014719</v>
      </c>
      <c r="OY16" s="6">
        <v>191789.33</v>
      </c>
      <c r="OZ16" s="8">
        <v>100000</v>
      </c>
      <c r="PA16" s="8">
        <v>100000</v>
      </c>
      <c r="PB16" s="8">
        <v>150000</v>
      </c>
      <c r="PC16" s="8">
        <v>150000</v>
      </c>
      <c r="PD16" s="8">
        <v>21550000</v>
      </c>
      <c r="PE16" s="8">
        <v>200000</v>
      </c>
      <c r="PF16" s="8">
        <v>21750000</v>
      </c>
      <c r="PG16" s="2"/>
      <c r="PH16" s="2"/>
      <c r="PI16" s="2"/>
      <c r="PJ16" s="2"/>
      <c r="PK16" s="2"/>
      <c r="PL16" s="2"/>
      <c r="PM16" s="8">
        <v>21550000</v>
      </c>
      <c r="PN16" s="8">
        <v>450000</v>
      </c>
      <c r="PO16" s="8">
        <v>22000000</v>
      </c>
      <c r="PP16" s="8">
        <v>3025000</v>
      </c>
      <c r="PQ16" s="2"/>
      <c r="PR16" s="8">
        <v>3025000</v>
      </c>
      <c r="PS16" s="6">
        <v>3080000</v>
      </c>
      <c r="PT16" s="8">
        <v>24575000</v>
      </c>
      <c r="PU16" s="8">
        <v>450000</v>
      </c>
      <c r="PV16" s="8">
        <v>25025000</v>
      </c>
      <c r="PW16" s="8">
        <v>1251250</v>
      </c>
      <c r="PX16" s="2"/>
      <c r="PY16" s="8">
        <v>1251250</v>
      </c>
      <c r="PZ16" s="6">
        <v>1251250</v>
      </c>
      <c r="QA16" s="8">
        <v>1725000</v>
      </c>
      <c r="QB16" s="8">
        <v>640000</v>
      </c>
      <c r="QC16" s="8">
        <v>2365000</v>
      </c>
      <c r="QD16" s="8">
        <v>450000</v>
      </c>
      <c r="QE16" s="2"/>
      <c r="QF16" s="8">
        <v>450000</v>
      </c>
      <c r="QG16" s="8">
        <v>592245</v>
      </c>
      <c r="QH16" s="2"/>
      <c r="QI16" s="8">
        <v>592245</v>
      </c>
      <c r="QJ16" s="2"/>
      <c r="QK16" s="8">
        <v>552715</v>
      </c>
      <c r="QL16" s="8">
        <v>552715</v>
      </c>
      <c r="QM16" s="2"/>
      <c r="QN16" s="2"/>
      <c r="QO16" s="2"/>
      <c r="QP16" s="2"/>
      <c r="QQ16" s="2"/>
      <c r="QR16" s="2"/>
      <c r="QS16" s="8">
        <v>2767245</v>
      </c>
      <c r="QT16" s="8">
        <v>1192715</v>
      </c>
      <c r="QU16" s="8">
        <v>3959960</v>
      </c>
      <c r="QV16" s="8">
        <v>197998</v>
      </c>
      <c r="QW16" s="2"/>
      <c r="QX16" s="8">
        <v>197998</v>
      </c>
      <c r="QY16" s="6">
        <v>197998</v>
      </c>
      <c r="QZ16" s="8">
        <v>1268750</v>
      </c>
      <c r="RA16" s="8">
        <v>1000000</v>
      </c>
      <c r="RB16" s="8">
        <v>2268750</v>
      </c>
      <c r="RC16" s="8">
        <v>148500</v>
      </c>
      <c r="RD16" s="8">
        <v>148500</v>
      </c>
      <c r="RE16" s="2"/>
      <c r="RF16" s="2"/>
      <c r="RG16" s="2"/>
      <c r="RH16" s="8">
        <v>1268750</v>
      </c>
      <c r="RI16" s="8">
        <v>1148500</v>
      </c>
      <c r="RJ16" s="8">
        <v>2417250</v>
      </c>
      <c r="RK16" s="8">
        <v>30060243</v>
      </c>
      <c r="RL16" s="8">
        <v>2791215</v>
      </c>
      <c r="RM16" s="8">
        <v>32851458</v>
      </c>
      <c r="RN16" s="2">
        <v>0</v>
      </c>
      <c r="RO16" s="6">
        <v>0</v>
      </c>
      <c r="RP16" s="8">
        <v>5256233</v>
      </c>
      <c r="RQ16" s="2"/>
      <c r="RR16" s="8">
        <v>5256233</v>
      </c>
      <c r="RS16" s="6">
        <v>5256233</v>
      </c>
      <c r="RT16" s="6">
        <v>0</v>
      </c>
      <c r="RU16" s="8">
        <v>5256233</v>
      </c>
      <c r="RV16" s="2"/>
      <c r="RW16" s="8">
        <v>5256233</v>
      </c>
      <c r="RX16" s="6">
        <v>5256233</v>
      </c>
      <c r="RY16" s="8">
        <v>420000</v>
      </c>
      <c r="RZ16" s="8">
        <v>420000</v>
      </c>
      <c r="SA16" s="6">
        <v>420000</v>
      </c>
      <c r="SB16" s="8">
        <v>4850000</v>
      </c>
      <c r="SC16" s="8">
        <v>4850000</v>
      </c>
      <c r="SD16" s="8">
        <v>35316476</v>
      </c>
      <c r="SE16" s="8">
        <v>8061215</v>
      </c>
      <c r="SF16" s="8">
        <v>43377691</v>
      </c>
      <c r="SG16" s="2"/>
      <c r="SH16" s="2"/>
      <c r="SI16" s="2"/>
      <c r="SJ16" s="2"/>
      <c r="SK16" s="8">
        <v>32500000</v>
      </c>
      <c r="SL16" s="2" t="s">
        <v>95</v>
      </c>
      <c r="SM16" s="2"/>
      <c r="SN16" s="2"/>
      <c r="SO16" s="2"/>
      <c r="SP16" s="2"/>
      <c r="SQ16" s="2"/>
      <c r="SR16" s="2"/>
      <c r="SS16" s="2" t="s">
        <v>96</v>
      </c>
      <c r="ST16" s="2" t="s">
        <v>96</v>
      </c>
      <c r="SU16" s="2" t="s">
        <v>96</v>
      </c>
      <c r="SV16" s="2" t="s">
        <v>96</v>
      </c>
      <c r="SW16" s="8">
        <v>6569543</v>
      </c>
      <c r="SX16" s="2"/>
      <c r="SY16" s="2"/>
      <c r="SZ16" s="2"/>
      <c r="TA16" s="2"/>
      <c r="TB16" s="2"/>
      <c r="TC16" s="2"/>
      <c r="TD16" s="8">
        <v>4308148</v>
      </c>
      <c r="TE16" s="8">
        <v>43377691</v>
      </c>
      <c r="TF16" s="2">
        <v>0</v>
      </c>
      <c r="TG16" s="2" t="s">
        <v>9</v>
      </c>
      <c r="TH16" s="8">
        <v>6350000</v>
      </c>
      <c r="TI16" s="2" t="s">
        <v>95</v>
      </c>
      <c r="TJ16" s="2"/>
      <c r="TK16" s="2"/>
      <c r="TL16" s="2"/>
      <c r="TM16" s="2"/>
      <c r="TN16" s="2" t="s">
        <v>96</v>
      </c>
      <c r="TO16" s="2" t="s">
        <v>96</v>
      </c>
      <c r="TP16" s="2" t="s">
        <v>96</v>
      </c>
      <c r="TQ16" s="2" t="s">
        <v>96</v>
      </c>
      <c r="TR16" s="8">
        <v>32847715</v>
      </c>
      <c r="TS16" s="2"/>
      <c r="TT16" s="2"/>
      <c r="TU16" s="2"/>
      <c r="TV16" s="2"/>
      <c r="TW16" s="2"/>
      <c r="TX16" s="2"/>
      <c r="TY16" s="8">
        <v>4179976</v>
      </c>
      <c r="TZ16" s="8">
        <v>43377691</v>
      </c>
      <c r="UA16" s="6">
        <v>6350000</v>
      </c>
      <c r="UB16" s="2">
        <v>0</v>
      </c>
      <c r="UC16" s="2" t="s">
        <v>9</v>
      </c>
      <c r="UD16" s="2">
        <v>120</v>
      </c>
      <c r="UE16" s="5">
        <v>290000</v>
      </c>
      <c r="UF16" s="6">
        <v>386666.67</v>
      </c>
      <c r="UG16" s="6">
        <v>386666.67</v>
      </c>
      <c r="UH16" s="6">
        <v>409866.67</v>
      </c>
      <c r="UI16" s="6">
        <v>49184000</v>
      </c>
      <c r="UJ16" s="6">
        <v>7869440</v>
      </c>
      <c r="UK16" s="2" t="s">
        <v>97</v>
      </c>
      <c r="UL16" s="6">
        <v>7869440</v>
      </c>
      <c r="UM16" s="6">
        <v>57053440</v>
      </c>
      <c r="UN16" s="6">
        <v>37857691</v>
      </c>
      <c r="UO16" s="4">
        <v>0.99990000000000001</v>
      </c>
      <c r="UP16" s="2" t="s">
        <v>9</v>
      </c>
      <c r="UQ16" s="6">
        <v>0</v>
      </c>
      <c r="UR16" s="6">
        <v>0</v>
      </c>
      <c r="US16" s="6">
        <v>703116.13</v>
      </c>
      <c r="UT16" s="6">
        <v>703116.13</v>
      </c>
      <c r="UU16" s="6">
        <v>0</v>
      </c>
      <c r="UV16" s="6">
        <v>703116.13</v>
      </c>
      <c r="UW16" s="6">
        <v>0</v>
      </c>
      <c r="UX16" s="6">
        <v>703116.13</v>
      </c>
      <c r="UY16" s="2" t="s">
        <v>3387</v>
      </c>
      <c r="UZ16" s="2" t="s">
        <v>3288</v>
      </c>
      <c r="VA16" s="2" t="s">
        <v>17</v>
      </c>
      <c r="VB16" s="2" t="s">
        <v>17</v>
      </c>
      <c r="VC16" s="2" t="s">
        <v>17</v>
      </c>
      <c r="VD16" s="2" t="s">
        <v>17</v>
      </c>
      <c r="VE16" s="2" t="s">
        <v>17</v>
      </c>
      <c r="VF16" s="2" t="s">
        <v>17</v>
      </c>
      <c r="VG16" s="2" t="s">
        <v>3592</v>
      </c>
      <c r="VH16" s="2"/>
      <c r="VI16" s="388" t="s">
        <v>3560</v>
      </c>
      <c r="VJ16" s="2" t="s">
        <v>98</v>
      </c>
      <c r="VK16" s="2" t="s">
        <v>685</v>
      </c>
      <c r="VL16" s="23">
        <f t="shared" si="0"/>
        <v>130</v>
      </c>
      <c r="VM16" s="17">
        <f t="shared" si="1"/>
        <v>1.0833333333333333</v>
      </c>
      <c r="VN16" s="17" t="str">
        <f t="shared" si="2"/>
        <v>NC-MR-E</v>
      </c>
      <c r="VO16" s="17" t="str">
        <f t="shared" si="14"/>
        <v>NC-MR-E-ESS</v>
      </c>
      <c r="VP16" s="12">
        <v>9</v>
      </c>
      <c r="VQ16" s="57">
        <v>1</v>
      </c>
      <c r="VR16" s="57">
        <f t="shared" si="3"/>
        <v>1</v>
      </c>
      <c r="VS16" s="14">
        <f t="shared" si="4"/>
        <v>1</v>
      </c>
      <c r="VT16" s="12">
        <f t="shared" si="5"/>
        <v>0.90210000000000001</v>
      </c>
      <c r="VU16" s="29">
        <f t="shared" si="6"/>
        <v>28075156.199999999</v>
      </c>
      <c r="VV16" s="29">
        <f t="shared" si="7"/>
        <v>233959.64</v>
      </c>
      <c r="VW16" s="12" t="str">
        <f t="shared" si="15"/>
        <v>A</v>
      </c>
      <c r="VX16" s="12" t="str">
        <f t="shared" si="8"/>
        <v>NC-MR-ESS</v>
      </c>
      <c r="VY16" s="352">
        <f t="shared" si="16"/>
        <v>2</v>
      </c>
      <c r="WA16" s="12">
        <f t="shared" si="17"/>
        <v>1</v>
      </c>
      <c r="WB16" s="12">
        <f t="shared" si="18"/>
        <v>0</v>
      </c>
      <c r="WC16" s="12">
        <f t="shared" si="18"/>
        <v>0</v>
      </c>
      <c r="WD16" s="12">
        <f t="shared" si="18"/>
        <v>0</v>
      </c>
      <c r="WE16" s="12">
        <f t="shared" si="19"/>
        <v>1</v>
      </c>
      <c r="WF16" s="12">
        <f t="shared" si="9"/>
        <v>0</v>
      </c>
      <c r="WG16" s="12">
        <f t="shared" si="10"/>
        <v>1</v>
      </c>
      <c r="WH16" s="12">
        <f t="shared" si="11"/>
        <v>0</v>
      </c>
      <c r="WI16" s="31">
        <f t="shared" si="12"/>
        <v>3</v>
      </c>
      <c r="WJ16" s="2"/>
      <c r="WK16" s="444" t="str">
        <f t="shared" si="20"/>
        <v>NC-MR-ESS-BBN-BRN-NPH-E</v>
      </c>
      <c r="WL16" s="444"/>
      <c r="WM16" s="444"/>
    </row>
    <row r="17" spans="1:611" x14ac:dyDescent="0.25">
      <c r="A17" s="2">
        <v>9663</v>
      </c>
      <c r="B17" s="2" t="s">
        <v>3593</v>
      </c>
      <c r="C17" s="2" t="s">
        <v>3305</v>
      </c>
      <c r="D17" s="3">
        <v>45159</v>
      </c>
      <c r="E17" s="2" t="s">
        <v>9</v>
      </c>
      <c r="F17" s="2">
        <v>3</v>
      </c>
      <c r="G17" s="2" t="s">
        <v>9</v>
      </c>
      <c r="H17" s="2">
        <v>3</v>
      </c>
      <c r="I17" s="2" t="s">
        <v>9</v>
      </c>
      <c r="J17" s="2">
        <v>2</v>
      </c>
      <c r="K17" s="2" t="s">
        <v>9</v>
      </c>
      <c r="L17" s="2">
        <v>3</v>
      </c>
      <c r="M17" s="2" t="s">
        <v>10</v>
      </c>
      <c r="N17" s="2">
        <v>0</v>
      </c>
      <c r="O17" s="2" t="s">
        <v>10</v>
      </c>
      <c r="P17" s="2">
        <v>0</v>
      </c>
      <c r="Q17" s="2" t="s">
        <v>11</v>
      </c>
      <c r="R17" s="2">
        <v>0</v>
      </c>
      <c r="S17" s="2" t="s">
        <v>9</v>
      </c>
      <c r="T17" s="2">
        <v>2</v>
      </c>
      <c r="U17" s="2" t="s">
        <v>9</v>
      </c>
      <c r="V17" s="2">
        <v>2</v>
      </c>
      <c r="W17" s="2" t="s">
        <v>9</v>
      </c>
      <c r="X17" s="2">
        <v>2</v>
      </c>
      <c r="Y17" s="2" t="s">
        <v>12</v>
      </c>
      <c r="Z17" s="2" t="s">
        <v>15</v>
      </c>
      <c r="AA17" s="2" t="s">
        <v>15</v>
      </c>
      <c r="AB17" s="2" t="s">
        <v>15</v>
      </c>
      <c r="AC17" s="2" t="s">
        <v>15</v>
      </c>
      <c r="AD17" s="2" t="s">
        <v>834</v>
      </c>
      <c r="AE17" s="2" t="s">
        <v>15</v>
      </c>
      <c r="AF17" s="2">
        <v>0</v>
      </c>
      <c r="AG17" s="2" t="s">
        <v>234</v>
      </c>
      <c r="AH17" s="2" t="s">
        <v>17</v>
      </c>
      <c r="AI17" s="4">
        <v>0.15</v>
      </c>
      <c r="AJ17" s="2" t="s">
        <v>17</v>
      </c>
      <c r="AK17" s="2" t="s">
        <v>9</v>
      </c>
      <c r="AL17" s="2" t="s">
        <v>17</v>
      </c>
      <c r="AM17" s="2" t="s">
        <v>17</v>
      </c>
      <c r="AN17" s="2" t="s">
        <v>17</v>
      </c>
      <c r="AO17" s="2" t="s">
        <v>17</v>
      </c>
      <c r="AP17" s="2" t="s">
        <v>9</v>
      </c>
      <c r="AQ17" s="2" t="s">
        <v>17</v>
      </c>
      <c r="AR17" s="2" t="s">
        <v>17</v>
      </c>
      <c r="AS17" s="2" t="s">
        <v>17</v>
      </c>
      <c r="AT17" s="2">
        <v>5</v>
      </c>
      <c r="AU17" s="5">
        <v>100000</v>
      </c>
      <c r="AV17" s="2" t="s">
        <v>85</v>
      </c>
      <c r="AW17" s="2">
        <v>0</v>
      </c>
      <c r="AX17" s="2">
        <v>9</v>
      </c>
      <c r="AY17" s="2">
        <v>0</v>
      </c>
      <c r="AZ17" s="2">
        <v>18</v>
      </c>
      <c r="BA17" s="2">
        <v>0</v>
      </c>
      <c r="BB17" s="2">
        <v>0</v>
      </c>
      <c r="BC17" s="2">
        <v>1</v>
      </c>
      <c r="BD17" s="2">
        <v>5</v>
      </c>
      <c r="BE17" s="2">
        <v>0</v>
      </c>
      <c r="BF17" s="2">
        <v>1</v>
      </c>
      <c r="BG17" s="2">
        <v>0</v>
      </c>
      <c r="BH17" s="2">
        <v>0</v>
      </c>
      <c r="BI17" s="2">
        <v>13</v>
      </c>
      <c r="BJ17" s="2">
        <v>1</v>
      </c>
      <c r="BK17" s="2">
        <v>0</v>
      </c>
      <c r="BL17" s="2">
        <v>3</v>
      </c>
      <c r="BM17" s="2">
        <v>1</v>
      </c>
      <c r="BN17" s="2">
        <v>12</v>
      </c>
      <c r="BO17" s="2">
        <v>11</v>
      </c>
      <c r="BP17" s="2">
        <v>0</v>
      </c>
      <c r="BQ17" s="2">
        <v>10</v>
      </c>
      <c r="BR17" s="2">
        <v>11.35</v>
      </c>
      <c r="BS17" s="2">
        <v>0</v>
      </c>
      <c r="BT17" s="4">
        <v>0.06</v>
      </c>
      <c r="BU17" s="2" t="s">
        <v>9</v>
      </c>
      <c r="BV17" s="6">
        <v>191811.51</v>
      </c>
      <c r="BW17" s="2" t="s">
        <v>18</v>
      </c>
      <c r="BX17" s="2" t="s">
        <v>17</v>
      </c>
      <c r="BY17" s="2" t="s">
        <v>17</v>
      </c>
      <c r="BZ17" s="2" t="s">
        <v>17</v>
      </c>
      <c r="CA17" s="2" t="s">
        <v>17</v>
      </c>
      <c r="CB17" s="2" t="s">
        <v>17</v>
      </c>
      <c r="CC17" s="2" t="s">
        <v>17</v>
      </c>
      <c r="CD17" s="2" t="s">
        <v>17</v>
      </c>
      <c r="CE17" s="2" t="s">
        <v>3594</v>
      </c>
      <c r="CF17" s="2" t="s">
        <v>17</v>
      </c>
      <c r="CG17" s="2" t="s">
        <v>3595</v>
      </c>
      <c r="CH17" s="2"/>
      <c r="CI17" s="2"/>
      <c r="CJ17" s="2" t="s">
        <v>9</v>
      </c>
      <c r="CK17" s="2" t="s">
        <v>458</v>
      </c>
      <c r="CL17" s="2" t="s">
        <v>3595</v>
      </c>
      <c r="CM17" s="2" t="s">
        <v>1245</v>
      </c>
      <c r="CN17" s="2" t="s">
        <v>1243</v>
      </c>
      <c r="CO17" s="2" t="s">
        <v>24</v>
      </c>
      <c r="CP17" s="2"/>
      <c r="CQ17" s="2">
        <v>123</v>
      </c>
      <c r="CR17" s="2" t="s">
        <v>2659</v>
      </c>
      <c r="CS17" s="2">
        <v>2016</v>
      </c>
      <c r="CT17" s="2" t="s">
        <v>26</v>
      </c>
      <c r="CU17" s="2" t="s">
        <v>27</v>
      </c>
      <c r="CV17" s="2" t="s">
        <v>3596</v>
      </c>
      <c r="CW17" s="2" t="s">
        <v>1243</v>
      </c>
      <c r="CX17" s="2" t="s">
        <v>24</v>
      </c>
      <c r="CY17" s="2"/>
      <c r="CZ17" s="2">
        <v>108</v>
      </c>
      <c r="DA17" s="2" t="s">
        <v>2659</v>
      </c>
      <c r="DB17" s="2">
        <v>2018</v>
      </c>
      <c r="DC17" s="2" t="s">
        <v>30</v>
      </c>
      <c r="DD17" s="2" t="s">
        <v>27</v>
      </c>
      <c r="DE17" s="2" t="s">
        <v>3597</v>
      </c>
      <c r="DF17" s="2" t="s">
        <v>3598</v>
      </c>
      <c r="DG17" s="2" t="s">
        <v>3599</v>
      </c>
      <c r="DH17" s="2"/>
      <c r="DI17" s="2">
        <v>94</v>
      </c>
      <c r="DJ17" s="2" t="s">
        <v>2659</v>
      </c>
      <c r="DK17" s="2">
        <v>2019</v>
      </c>
      <c r="DL17" s="2" t="s">
        <v>26</v>
      </c>
      <c r="DM17" s="2" t="s">
        <v>27</v>
      </c>
      <c r="DN17" s="2" t="s">
        <v>33</v>
      </c>
      <c r="DO17" s="2" t="s">
        <v>336</v>
      </c>
      <c r="DP17" s="2"/>
      <c r="DQ17" s="2" t="s">
        <v>338</v>
      </c>
      <c r="DR17" s="2" t="s">
        <v>36</v>
      </c>
      <c r="DS17" s="2">
        <v>1</v>
      </c>
      <c r="DT17" s="2" t="s">
        <v>3600</v>
      </c>
      <c r="DU17" s="2" t="s">
        <v>38</v>
      </c>
      <c r="DV17" s="2" t="s">
        <v>39</v>
      </c>
      <c r="DW17" s="2">
        <v>32405</v>
      </c>
      <c r="DX17" s="2" t="s">
        <v>3601</v>
      </c>
      <c r="DY17" s="2"/>
      <c r="DZ17" s="2" t="s">
        <v>341</v>
      </c>
      <c r="EA17" s="2" t="s">
        <v>36</v>
      </c>
      <c r="EB17" s="2" t="s">
        <v>3602</v>
      </c>
      <c r="EC17" s="2" t="s">
        <v>3603</v>
      </c>
      <c r="ED17" s="2" t="s">
        <v>44</v>
      </c>
      <c r="EE17" s="2">
        <v>259</v>
      </c>
      <c r="EF17" s="2" t="s">
        <v>2672</v>
      </c>
      <c r="EG17" s="2">
        <v>10</v>
      </c>
      <c r="EH17" s="2" t="s">
        <v>46</v>
      </c>
      <c r="EI17" s="2" t="s">
        <v>47</v>
      </c>
      <c r="EJ17" s="2" t="s">
        <v>3604</v>
      </c>
      <c r="EK17" s="2" t="s">
        <v>3603</v>
      </c>
      <c r="EL17" s="2" t="s">
        <v>44</v>
      </c>
      <c r="EM17" s="2">
        <v>103</v>
      </c>
      <c r="EN17" s="2" t="s">
        <v>2672</v>
      </c>
      <c r="EO17" s="2">
        <v>13</v>
      </c>
      <c r="EP17" s="2" t="s">
        <v>46</v>
      </c>
      <c r="EQ17" s="2" t="s">
        <v>47</v>
      </c>
      <c r="ER17" s="2" t="s">
        <v>3605</v>
      </c>
      <c r="ES17" s="2" t="s">
        <v>514</v>
      </c>
      <c r="ET17" s="2" t="s">
        <v>3606</v>
      </c>
      <c r="EU17" s="2" t="s">
        <v>3594</v>
      </c>
      <c r="EV17" s="2" t="s">
        <v>2871</v>
      </c>
      <c r="EW17" s="2" t="s">
        <v>479</v>
      </c>
      <c r="EX17" s="2" t="s">
        <v>39</v>
      </c>
      <c r="EY17" s="2">
        <v>32207</v>
      </c>
      <c r="EZ17" s="2" t="s">
        <v>3607</v>
      </c>
      <c r="FA17" s="2"/>
      <c r="FB17" s="2" t="s">
        <v>3608</v>
      </c>
      <c r="FC17" s="2" t="s">
        <v>913</v>
      </c>
      <c r="FD17" s="2" t="s">
        <v>3609</v>
      </c>
      <c r="FE17" s="2" t="s">
        <v>3610</v>
      </c>
      <c r="FF17" s="2" t="s">
        <v>3594</v>
      </c>
      <c r="FG17" s="2" t="s">
        <v>2871</v>
      </c>
      <c r="FH17" s="2" t="s">
        <v>479</v>
      </c>
      <c r="FI17" s="2" t="s">
        <v>39</v>
      </c>
      <c r="FJ17" s="2">
        <v>32207</v>
      </c>
      <c r="FK17" s="2" t="s">
        <v>3611</v>
      </c>
      <c r="FL17" s="2"/>
      <c r="FM17" s="2" t="s">
        <v>3612</v>
      </c>
      <c r="FN17" s="2" t="s">
        <v>3613</v>
      </c>
      <c r="FO17" s="2" t="s">
        <v>63</v>
      </c>
      <c r="FP17" s="2" t="s">
        <v>64</v>
      </c>
      <c r="FQ17" s="2" t="s">
        <v>9</v>
      </c>
      <c r="FR17" s="2" t="s">
        <v>17</v>
      </c>
      <c r="FS17" s="2" t="s">
        <v>17</v>
      </c>
      <c r="FT17" s="2" t="s">
        <v>9</v>
      </c>
      <c r="FU17" s="2"/>
      <c r="FV17" s="2"/>
      <c r="FW17" s="2">
        <v>0</v>
      </c>
      <c r="FX17" s="2">
        <v>0</v>
      </c>
      <c r="FY17" s="4">
        <v>0</v>
      </c>
      <c r="FZ17" s="4">
        <v>0</v>
      </c>
      <c r="GA17" s="2" t="s">
        <v>65</v>
      </c>
      <c r="GB17" s="2"/>
      <c r="GC17" s="2" t="s">
        <v>66</v>
      </c>
      <c r="GD17" s="2" t="s">
        <v>67</v>
      </c>
      <c r="GE17" s="2" t="s">
        <v>1612</v>
      </c>
      <c r="GF17" s="2"/>
      <c r="GG17" s="2"/>
      <c r="GH17" s="2"/>
      <c r="GI17" s="2">
        <v>120</v>
      </c>
      <c r="GJ17" s="2"/>
      <c r="GK17" s="2"/>
      <c r="GL17" s="2"/>
      <c r="GM17" s="2"/>
      <c r="GN17" s="2"/>
      <c r="GO17" s="2"/>
      <c r="GP17" s="2"/>
      <c r="GQ17" s="2">
        <v>120</v>
      </c>
      <c r="GR17" s="2" t="s">
        <v>3332</v>
      </c>
      <c r="GS17" s="2" t="s">
        <v>2686</v>
      </c>
      <c r="GT17" s="2" t="s">
        <v>3614</v>
      </c>
      <c r="GU17" s="2" t="s">
        <v>906</v>
      </c>
      <c r="GV17" s="2" t="s">
        <v>17</v>
      </c>
      <c r="GW17" s="2">
        <v>25.441908999999999</v>
      </c>
      <c r="GX17" s="2">
        <v>-80.474605999999994</v>
      </c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>
        <v>25.448456</v>
      </c>
      <c r="HO17" s="2">
        <v>-80.479217000000006</v>
      </c>
      <c r="HP17" s="2">
        <v>0.54</v>
      </c>
      <c r="HQ17" s="2">
        <v>5</v>
      </c>
      <c r="HR17" s="2"/>
      <c r="HS17" s="2"/>
      <c r="HT17" s="2"/>
      <c r="HU17" s="2"/>
      <c r="HV17" s="2"/>
      <c r="HW17" s="2"/>
      <c r="HX17" s="2"/>
      <c r="HY17" s="2"/>
      <c r="HZ17" s="2" t="s">
        <v>3615</v>
      </c>
      <c r="IA17" s="2" t="s">
        <v>3616</v>
      </c>
      <c r="IB17" s="2">
        <v>0.95</v>
      </c>
      <c r="IC17" s="2">
        <v>2.5</v>
      </c>
      <c r="ID17" s="2" t="s">
        <v>1118</v>
      </c>
      <c r="IE17" s="2">
        <v>0.47</v>
      </c>
      <c r="IF17" s="2">
        <v>3.5</v>
      </c>
      <c r="IG17" s="2" t="s">
        <v>3617</v>
      </c>
      <c r="IH17" s="2">
        <v>1</v>
      </c>
      <c r="II17" s="2">
        <v>3</v>
      </c>
      <c r="IJ17" s="2" t="s">
        <v>17</v>
      </c>
      <c r="IK17" s="2"/>
      <c r="IL17" s="2" t="s">
        <v>79</v>
      </c>
      <c r="IM17" s="2" t="s">
        <v>17</v>
      </c>
      <c r="IN17" s="2"/>
      <c r="IO17" s="2" t="s">
        <v>79</v>
      </c>
      <c r="IP17" s="2">
        <v>5</v>
      </c>
      <c r="IQ17" s="2">
        <v>9</v>
      </c>
      <c r="IR17" s="2">
        <v>14</v>
      </c>
      <c r="IS17" s="2" t="s">
        <v>17</v>
      </c>
      <c r="IT17" s="2" t="s">
        <v>17</v>
      </c>
      <c r="IU17" s="2" t="s">
        <v>17</v>
      </c>
      <c r="IV17" s="2" t="s">
        <v>9</v>
      </c>
      <c r="IW17" s="2" t="s">
        <v>9</v>
      </c>
      <c r="IX17" s="2" t="s">
        <v>9</v>
      </c>
      <c r="IY17" s="2">
        <v>14</v>
      </c>
      <c r="IZ17" s="2">
        <v>120</v>
      </c>
      <c r="JA17" s="2" t="s">
        <v>3618</v>
      </c>
      <c r="JB17" s="2"/>
      <c r="JC17" s="2" t="s">
        <v>82</v>
      </c>
      <c r="JD17" s="2"/>
      <c r="JE17" s="2"/>
      <c r="JF17" s="7">
        <v>0</v>
      </c>
      <c r="JG17" s="7"/>
      <c r="JH17" s="7"/>
      <c r="JI17" s="2">
        <v>0</v>
      </c>
      <c r="JJ17" s="7">
        <v>0</v>
      </c>
      <c r="JK17" s="2">
        <v>0</v>
      </c>
      <c r="JL17" s="7">
        <v>0</v>
      </c>
      <c r="JM17" s="2">
        <v>18</v>
      </c>
      <c r="JN17" s="2"/>
      <c r="JO17" s="2"/>
      <c r="JP17" s="2">
        <v>51</v>
      </c>
      <c r="JQ17" s="2">
        <v>51</v>
      </c>
      <c r="JR17" s="2"/>
      <c r="JS17" s="2">
        <v>0</v>
      </c>
      <c r="JT17" s="2">
        <v>0</v>
      </c>
      <c r="JU17" s="2"/>
      <c r="JV17" s="2">
        <v>120</v>
      </c>
      <c r="JW17" s="4">
        <v>1</v>
      </c>
      <c r="JX17" s="2">
        <v>120</v>
      </c>
      <c r="JY17" s="4">
        <v>0.59750000000000003</v>
      </c>
      <c r="JZ17" s="2">
        <v>0</v>
      </c>
      <c r="KA17" s="2"/>
      <c r="KB17" s="2"/>
      <c r="KC17" s="2"/>
      <c r="KD17" s="2"/>
      <c r="KE17" s="2"/>
      <c r="KF17" s="2"/>
      <c r="KG17" s="2"/>
      <c r="KH17" s="2">
        <v>50</v>
      </c>
      <c r="KI17" s="2"/>
      <c r="KJ17" s="2"/>
      <c r="KK17" s="2">
        <v>50</v>
      </c>
      <c r="KL17" s="2">
        <v>20</v>
      </c>
      <c r="KM17" s="2"/>
      <c r="KN17" s="2"/>
      <c r="KO17" s="2"/>
      <c r="KP17" s="2"/>
      <c r="KQ17" s="2" t="s">
        <v>83</v>
      </c>
      <c r="KR17" s="2" t="s">
        <v>73</v>
      </c>
      <c r="KS17" s="2"/>
      <c r="KT17" s="2">
        <v>1</v>
      </c>
      <c r="KU17" s="2" t="s">
        <v>84</v>
      </c>
      <c r="KV17" s="2" t="s">
        <v>85</v>
      </c>
      <c r="KW17" s="2" t="s">
        <v>530</v>
      </c>
      <c r="KX17" s="2" t="s">
        <v>17</v>
      </c>
      <c r="KY17" s="2" t="s">
        <v>17</v>
      </c>
      <c r="KZ17" s="2" t="s">
        <v>17</v>
      </c>
      <c r="LA17" s="2" t="s">
        <v>17</v>
      </c>
      <c r="LB17" s="2" t="s">
        <v>17</v>
      </c>
      <c r="LC17" s="2" t="s">
        <v>17</v>
      </c>
      <c r="LD17" s="2" t="s">
        <v>17</v>
      </c>
      <c r="LE17" s="2" t="s">
        <v>17</v>
      </c>
      <c r="LF17" s="2" t="s">
        <v>17</v>
      </c>
      <c r="LG17" s="2" t="s">
        <v>17</v>
      </c>
      <c r="LH17" s="2" t="s">
        <v>17</v>
      </c>
      <c r="LI17" s="2" t="s">
        <v>17</v>
      </c>
      <c r="LJ17" s="2" t="s">
        <v>87</v>
      </c>
      <c r="LK17" s="2" t="s">
        <v>17</v>
      </c>
      <c r="LL17" s="2" t="s">
        <v>17</v>
      </c>
      <c r="LM17" s="2">
        <v>0</v>
      </c>
      <c r="LN17" s="2" t="s">
        <v>17</v>
      </c>
      <c r="LO17" s="2" t="s">
        <v>17</v>
      </c>
      <c r="LP17" s="2" t="s">
        <v>9</v>
      </c>
      <c r="LQ17" s="2" t="s">
        <v>17</v>
      </c>
      <c r="LR17" s="2" t="s">
        <v>9</v>
      </c>
      <c r="LS17" s="2" t="s">
        <v>9</v>
      </c>
      <c r="LT17" s="2" t="s">
        <v>17</v>
      </c>
      <c r="LU17" s="2" t="s">
        <v>17</v>
      </c>
      <c r="LV17" s="2" t="s">
        <v>17</v>
      </c>
      <c r="LW17" s="2" t="s">
        <v>17</v>
      </c>
      <c r="LX17" s="2" t="s">
        <v>17</v>
      </c>
      <c r="LY17" s="5">
        <v>6500000</v>
      </c>
      <c r="LZ17" s="5">
        <v>0</v>
      </c>
      <c r="MA17" s="5">
        <v>8400000</v>
      </c>
      <c r="MB17" s="5">
        <v>0</v>
      </c>
      <c r="MC17" s="5">
        <v>0</v>
      </c>
      <c r="MD17" s="5">
        <v>0</v>
      </c>
      <c r="ME17" s="5">
        <v>10000000</v>
      </c>
      <c r="MF17" s="5">
        <v>0</v>
      </c>
      <c r="MG17" s="5">
        <v>0</v>
      </c>
      <c r="MH17" s="5">
        <v>0</v>
      </c>
      <c r="MI17" s="5">
        <v>0</v>
      </c>
      <c r="MJ17" s="5">
        <v>0</v>
      </c>
      <c r="MK17" s="5">
        <v>0</v>
      </c>
      <c r="ML17" s="2">
        <v>0</v>
      </c>
      <c r="MM17" s="5">
        <v>0</v>
      </c>
      <c r="MN17" s="5">
        <v>0</v>
      </c>
      <c r="MO17" s="2">
        <v>0</v>
      </c>
      <c r="MP17" s="2">
        <v>0</v>
      </c>
      <c r="MQ17" s="2">
        <v>0</v>
      </c>
      <c r="MR17" s="5">
        <v>2950000</v>
      </c>
      <c r="MS17" s="5">
        <v>0</v>
      </c>
      <c r="MT17" s="5">
        <v>4600000</v>
      </c>
      <c r="MU17" s="5">
        <v>0</v>
      </c>
      <c r="MV17" s="5">
        <v>0</v>
      </c>
      <c r="MW17" s="5">
        <v>0</v>
      </c>
      <c r="MX17" s="5">
        <v>0</v>
      </c>
      <c r="MY17" s="5">
        <v>2500000</v>
      </c>
      <c r="MZ17" s="5">
        <v>0</v>
      </c>
      <c r="NA17" s="5">
        <v>5000000</v>
      </c>
      <c r="NB17" s="5">
        <v>0</v>
      </c>
      <c r="NC17" s="5">
        <v>0</v>
      </c>
      <c r="ND17" s="5">
        <v>0</v>
      </c>
      <c r="NE17" s="5">
        <v>0</v>
      </c>
      <c r="NF17" s="5">
        <v>0</v>
      </c>
      <c r="NG17" s="5">
        <v>3458400</v>
      </c>
      <c r="NH17" s="5">
        <v>3458400</v>
      </c>
      <c r="NI17" s="5">
        <v>3458400</v>
      </c>
      <c r="NJ17" s="5"/>
      <c r="NK17" s="5">
        <v>0</v>
      </c>
      <c r="NL17" s="2" t="s">
        <v>17</v>
      </c>
      <c r="NM17" s="2" t="s">
        <v>17</v>
      </c>
      <c r="NN17" s="2"/>
      <c r="NO17" s="2" t="s">
        <v>17</v>
      </c>
      <c r="NP17" s="2"/>
      <c r="NQ17" s="2"/>
      <c r="NR17" s="2" t="s">
        <v>17</v>
      </c>
      <c r="NS17" s="2"/>
      <c r="NT17" s="2" t="s">
        <v>17</v>
      </c>
      <c r="NU17" s="2"/>
      <c r="NV17" s="2"/>
      <c r="NW17" s="2"/>
      <c r="NX17" s="2" t="s">
        <v>9</v>
      </c>
      <c r="NY17" s="2" t="s">
        <v>88</v>
      </c>
      <c r="NZ17" s="2">
        <v>114.12</v>
      </c>
      <c r="OA17" s="2" t="s">
        <v>3400</v>
      </c>
      <c r="OB17" s="2" t="s">
        <v>3401</v>
      </c>
      <c r="OC17" s="2" t="s">
        <v>3401</v>
      </c>
      <c r="OD17" s="2" t="s">
        <v>3384</v>
      </c>
      <c r="OE17" s="2" t="s">
        <v>85</v>
      </c>
      <c r="OF17" s="2" t="s">
        <v>17</v>
      </c>
      <c r="OG17" s="2" t="s">
        <v>17</v>
      </c>
      <c r="OH17" s="2"/>
      <c r="OI17" s="2" t="s">
        <v>9</v>
      </c>
      <c r="OJ17" s="2" t="s">
        <v>92</v>
      </c>
      <c r="OK17" s="2" t="s">
        <v>17</v>
      </c>
      <c r="OL17" s="2" t="s">
        <v>17</v>
      </c>
      <c r="OM17" s="2" t="s">
        <v>85</v>
      </c>
      <c r="ON17" s="6">
        <v>0</v>
      </c>
      <c r="OO17" s="6">
        <v>0</v>
      </c>
      <c r="OP17" s="2" t="s">
        <v>93</v>
      </c>
      <c r="OQ17" s="2" t="s">
        <v>93</v>
      </c>
      <c r="OR17" s="6">
        <v>0</v>
      </c>
      <c r="OS17" s="4">
        <v>0</v>
      </c>
      <c r="OT17" s="2" t="s">
        <v>17</v>
      </c>
      <c r="OU17" s="2" t="s">
        <v>17</v>
      </c>
      <c r="OV17" s="2"/>
      <c r="OW17" s="2"/>
      <c r="OX17" s="5">
        <v>23017381</v>
      </c>
      <c r="OY17" s="6">
        <v>191811.51</v>
      </c>
      <c r="OZ17" s="2"/>
      <c r="PA17" s="2"/>
      <c r="PB17" s="2"/>
      <c r="PC17" s="2"/>
      <c r="PD17" s="8">
        <v>21894912</v>
      </c>
      <c r="PE17" s="2"/>
      <c r="PF17" s="8">
        <v>21894912</v>
      </c>
      <c r="PG17" s="2"/>
      <c r="PH17" s="2"/>
      <c r="PI17" s="2"/>
      <c r="PJ17" s="2"/>
      <c r="PK17" s="2"/>
      <c r="PL17" s="2"/>
      <c r="PM17" s="8">
        <v>21894912</v>
      </c>
      <c r="PN17" s="2"/>
      <c r="PO17" s="8">
        <v>21894912</v>
      </c>
      <c r="PP17" s="8">
        <v>3022588</v>
      </c>
      <c r="PQ17" s="2"/>
      <c r="PR17" s="8">
        <v>3022588</v>
      </c>
      <c r="PS17" s="6">
        <v>3065287</v>
      </c>
      <c r="PT17" s="8">
        <v>24917500</v>
      </c>
      <c r="PU17" s="2"/>
      <c r="PV17" s="8">
        <v>24917500</v>
      </c>
      <c r="PW17" s="8">
        <v>1240000</v>
      </c>
      <c r="PX17" s="2"/>
      <c r="PY17" s="8">
        <v>1240000</v>
      </c>
      <c r="PZ17" s="6">
        <v>1245875</v>
      </c>
      <c r="QA17" s="8">
        <v>1108714</v>
      </c>
      <c r="QB17" s="8">
        <v>198700</v>
      </c>
      <c r="QC17" s="8">
        <v>1307414</v>
      </c>
      <c r="QD17" s="8">
        <v>170369</v>
      </c>
      <c r="QE17" s="2"/>
      <c r="QF17" s="8">
        <v>170369</v>
      </c>
      <c r="QG17" s="8">
        <v>1522933</v>
      </c>
      <c r="QH17" s="8">
        <v>88000</v>
      </c>
      <c r="QI17" s="8">
        <v>1610933</v>
      </c>
      <c r="QJ17" s="2"/>
      <c r="QK17" s="8">
        <v>346991</v>
      </c>
      <c r="QL17" s="8">
        <v>346991</v>
      </c>
      <c r="QM17" s="2"/>
      <c r="QN17" s="2"/>
      <c r="QO17" s="2"/>
      <c r="QP17" s="8">
        <v>142735</v>
      </c>
      <c r="QQ17" s="8">
        <v>278000</v>
      </c>
      <c r="QR17" s="8">
        <v>420735</v>
      </c>
      <c r="QS17" s="8">
        <v>2944751</v>
      </c>
      <c r="QT17" s="8">
        <v>911691</v>
      </c>
      <c r="QU17" s="8">
        <v>3856442</v>
      </c>
      <c r="QV17" s="8">
        <v>150000</v>
      </c>
      <c r="QW17" s="2"/>
      <c r="QX17" s="8">
        <v>150000</v>
      </c>
      <c r="QY17" s="6">
        <v>192822.1</v>
      </c>
      <c r="QZ17" s="8">
        <v>1900600</v>
      </c>
      <c r="RA17" s="8">
        <v>1609102</v>
      </c>
      <c r="RB17" s="8">
        <v>3509702</v>
      </c>
      <c r="RC17" s="8">
        <v>150500</v>
      </c>
      <c r="RD17" s="8">
        <v>150500</v>
      </c>
      <c r="RE17" s="2"/>
      <c r="RF17" s="8">
        <v>67200</v>
      </c>
      <c r="RG17" s="8">
        <v>67200</v>
      </c>
      <c r="RH17" s="8">
        <v>1900600</v>
      </c>
      <c r="RI17" s="8">
        <v>1826802</v>
      </c>
      <c r="RJ17" s="8">
        <v>3727402</v>
      </c>
      <c r="RK17" s="8">
        <v>31152851</v>
      </c>
      <c r="RL17" s="8">
        <v>2738493</v>
      </c>
      <c r="RM17" s="8">
        <v>33891344</v>
      </c>
      <c r="RN17" s="2">
        <v>0</v>
      </c>
      <c r="RO17" s="6">
        <v>0</v>
      </c>
      <c r="RP17" s="8">
        <v>5422000</v>
      </c>
      <c r="RQ17" s="2"/>
      <c r="RR17" s="8">
        <v>5422000</v>
      </c>
      <c r="RS17" s="6">
        <v>5422615</v>
      </c>
      <c r="RT17" s="6">
        <v>0</v>
      </c>
      <c r="RU17" s="8">
        <v>5422000</v>
      </c>
      <c r="RV17" s="2"/>
      <c r="RW17" s="8">
        <v>5422000</v>
      </c>
      <c r="RX17" s="6">
        <v>5422615</v>
      </c>
      <c r="RY17" s="8">
        <v>405000</v>
      </c>
      <c r="RZ17" s="8">
        <v>405000</v>
      </c>
      <c r="SA17" s="6">
        <v>420000</v>
      </c>
      <c r="SB17" s="8">
        <v>3950000</v>
      </c>
      <c r="SC17" s="8">
        <v>3950000</v>
      </c>
      <c r="SD17" s="8">
        <v>36574851</v>
      </c>
      <c r="SE17" s="8">
        <v>7093493</v>
      </c>
      <c r="SF17" s="8">
        <v>43668344</v>
      </c>
      <c r="SG17" s="2"/>
      <c r="SH17" s="2"/>
      <c r="SI17" s="2" t="s">
        <v>3619</v>
      </c>
      <c r="SJ17" s="2" t="s">
        <v>3620</v>
      </c>
      <c r="SK17" s="8">
        <v>18000000</v>
      </c>
      <c r="SL17" s="2" t="s">
        <v>95</v>
      </c>
      <c r="SM17" s="2"/>
      <c r="SN17" s="2"/>
      <c r="SO17" s="2"/>
      <c r="SP17" s="2"/>
      <c r="SQ17" s="2"/>
      <c r="SR17" s="2"/>
      <c r="SS17" s="2" t="s">
        <v>96</v>
      </c>
      <c r="ST17" s="2" t="s">
        <v>96</v>
      </c>
      <c r="SU17" s="2" t="s">
        <v>96</v>
      </c>
      <c r="SV17" s="2" t="s">
        <v>96</v>
      </c>
      <c r="SW17" s="8">
        <v>24119687</v>
      </c>
      <c r="SX17" s="2"/>
      <c r="SY17" s="2"/>
      <c r="SZ17" s="2"/>
      <c r="TA17" s="2"/>
      <c r="TB17" s="2"/>
      <c r="TC17" s="2"/>
      <c r="TD17" s="8">
        <v>1548657</v>
      </c>
      <c r="TE17" s="8">
        <v>43668344</v>
      </c>
      <c r="TF17" s="2">
        <v>0</v>
      </c>
      <c r="TG17" s="2" t="s">
        <v>9</v>
      </c>
      <c r="TH17" s="8">
        <v>10300000</v>
      </c>
      <c r="TI17" s="2" t="s">
        <v>95</v>
      </c>
      <c r="TJ17" s="2"/>
      <c r="TK17" s="2"/>
      <c r="TL17" s="2"/>
      <c r="TM17" s="2"/>
      <c r="TN17" s="2" t="s">
        <v>96</v>
      </c>
      <c r="TO17" s="2" t="s">
        <v>96</v>
      </c>
      <c r="TP17" s="2" t="s">
        <v>96</v>
      </c>
      <c r="TQ17" s="2" t="s">
        <v>96</v>
      </c>
      <c r="TR17" s="8">
        <v>32159582</v>
      </c>
      <c r="TS17" s="2"/>
      <c r="TT17" s="2"/>
      <c r="TU17" s="2"/>
      <c r="TV17" s="2"/>
      <c r="TW17" s="2"/>
      <c r="TX17" s="2"/>
      <c r="TY17" s="8">
        <v>1208762</v>
      </c>
      <c r="TZ17" s="8">
        <v>43668344</v>
      </c>
      <c r="UA17" s="6">
        <v>10300000</v>
      </c>
      <c r="UB17" s="2">
        <v>0</v>
      </c>
      <c r="UC17" s="2" t="s">
        <v>9</v>
      </c>
      <c r="UD17" s="2">
        <v>120</v>
      </c>
      <c r="UE17" s="5">
        <v>290000</v>
      </c>
      <c r="UF17" s="6">
        <v>386666.67</v>
      </c>
      <c r="UG17" s="6">
        <v>386666.67</v>
      </c>
      <c r="UH17" s="6">
        <v>409866.67</v>
      </c>
      <c r="UI17" s="6">
        <v>49184000</v>
      </c>
      <c r="UJ17" s="6">
        <v>7869440</v>
      </c>
      <c r="UK17" s="2" t="s">
        <v>97</v>
      </c>
      <c r="UL17" s="6">
        <v>7869440</v>
      </c>
      <c r="UM17" s="6">
        <v>57053440</v>
      </c>
      <c r="UN17" s="6">
        <v>39313344</v>
      </c>
      <c r="UO17" s="4">
        <v>0.99990000000000001</v>
      </c>
      <c r="UP17" s="2" t="s">
        <v>9</v>
      </c>
      <c r="UQ17" s="6">
        <v>0</v>
      </c>
      <c r="UR17" s="6">
        <v>0</v>
      </c>
      <c r="US17" s="6">
        <v>390760.4</v>
      </c>
      <c r="UT17" s="6">
        <v>390760.4</v>
      </c>
      <c r="UU17" s="6">
        <v>0</v>
      </c>
      <c r="UV17" s="6">
        <v>390760.4</v>
      </c>
      <c r="UW17" s="6">
        <v>0</v>
      </c>
      <c r="UX17" s="6">
        <v>390760.4</v>
      </c>
      <c r="UY17" s="2" t="s">
        <v>3387</v>
      </c>
      <c r="UZ17" s="2" t="s">
        <v>3288</v>
      </c>
      <c r="VA17" s="2" t="s">
        <v>17</v>
      </c>
      <c r="VB17" s="2" t="s">
        <v>17</v>
      </c>
      <c r="VC17" s="2" t="s">
        <v>17</v>
      </c>
      <c r="VD17" s="2" t="s">
        <v>17</v>
      </c>
      <c r="VE17" s="2" t="s">
        <v>17</v>
      </c>
      <c r="VF17" s="2" t="s">
        <v>17</v>
      </c>
      <c r="VG17" s="2" t="s">
        <v>3621</v>
      </c>
      <c r="VH17" s="2"/>
      <c r="VI17" s="388" t="s">
        <v>3622</v>
      </c>
      <c r="VJ17" s="2" t="s">
        <v>98</v>
      </c>
      <c r="VK17" s="2" t="s">
        <v>3623</v>
      </c>
      <c r="VL17" s="23">
        <f t="shared" si="0"/>
        <v>210</v>
      </c>
      <c r="VM17" s="17">
        <f t="shared" si="1"/>
        <v>1.75</v>
      </c>
      <c r="VN17" s="17" t="str">
        <f t="shared" si="2"/>
        <v>NC-MR-F</v>
      </c>
      <c r="VO17" s="17" t="str">
        <f t="shared" si="14"/>
        <v>NC-MR-F-ESS</v>
      </c>
      <c r="VP17" s="12">
        <v>9</v>
      </c>
      <c r="VQ17" s="57">
        <v>1</v>
      </c>
      <c r="VR17" s="57">
        <f t="shared" si="3"/>
        <v>1</v>
      </c>
      <c r="VS17" s="14">
        <f t="shared" si="4"/>
        <v>1</v>
      </c>
      <c r="VT17" s="12">
        <f t="shared" si="5"/>
        <v>0.90210000000000001</v>
      </c>
      <c r="VU17" s="29">
        <f t="shared" si="6"/>
        <v>28078403.760000002</v>
      </c>
      <c r="VV17" s="29">
        <f t="shared" si="7"/>
        <v>233986.7</v>
      </c>
      <c r="VW17" s="12" t="str">
        <f t="shared" si="15"/>
        <v>A</v>
      </c>
      <c r="VX17" s="12" t="str">
        <f t="shared" si="8"/>
        <v>NC-MR-ESS</v>
      </c>
      <c r="VY17" s="352">
        <f t="shared" si="16"/>
        <v>3</v>
      </c>
      <c r="WA17" s="12">
        <f t="shared" si="17"/>
        <v>0</v>
      </c>
      <c r="WB17" s="12">
        <f t="shared" si="18"/>
        <v>0</v>
      </c>
      <c r="WC17" s="12">
        <f t="shared" si="18"/>
        <v>0</v>
      </c>
      <c r="WD17" s="12">
        <f t="shared" si="18"/>
        <v>0</v>
      </c>
      <c r="WE17" s="12">
        <f t="shared" si="19"/>
        <v>1</v>
      </c>
      <c r="WF17" s="12">
        <f t="shared" si="9"/>
        <v>0</v>
      </c>
      <c r="WG17" s="12">
        <f t="shared" si="10"/>
        <v>1</v>
      </c>
      <c r="WH17" s="12">
        <f t="shared" si="11"/>
        <v>0</v>
      </c>
      <c r="WI17" s="31">
        <f t="shared" si="12"/>
        <v>2</v>
      </c>
      <c r="WJ17" s="2"/>
      <c r="WK17" s="444" t="str">
        <f t="shared" si="20"/>
        <v>NC-MR-ESS-BBN-BRN-NPH-F</v>
      </c>
      <c r="WL17" s="444"/>
      <c r="WM17" s="444"/>
    </row>
    <row r="18" spans="1:611" x14ac:dyDescent="0.25">
      <c r="A18" s="2">
        <v>9672</v>
      </c>
      <c r="B18" s="2" t="s">
        <v>3624</v>
      </c>
      <c r="C18" s="2" t="s">
        <v>3305</v>
      </c>
      <c r="D18" s="3">
        <v>45159</v>
      </c>
      <c r="E18" s="2" t="s">
        <v>9</v>
      </c>
      <c r="F18" s="2">
        <v>3</v>
      </c>
      <c r="G18" s="2" t="s">
        <v>9</v>
      </c>
      <c r="H18" s="2">
        <v>3</v>
      </c>
      <c r="I18" s="2" t="s">
        <v>9</v>
      </c>
      <c r="J18" s="2">
        <v>3</v>
      </c>
      <c r="K18" s="2" t="s">
        <v>9</v>
      </c>
      <c r="L18" s="2">
        <v>3</v>
      </c>
      <c r="M18" s="2" t="s">
        <v>10</v>
      </c>
      <c r="N18" s="2">
        <v>0</v>
      </c>
      <c r="O18" s="2" t="s">
        <v>10</v>
      </c>
      <c r="P18" s="2">
        <v>0</v>
      </c>
      <c r="Q18" s="2" t="s">
        <v>11</v>
      </c>
      <c r="R18" s="2">
        <v>0</v>
      </c>
      <c r="S18" s="2" t="s">
        <v>9</v>
      </c>
      <c r="T18" s="2">
        <v>2</v>
      </c>
      <c r="U18" s="2" t="s">
        <v>9</v>
      </c>
      <c r="V18" s="2">
        <v>2</v>
      </c>
      <c r="W18" s="2" t="s">
        <v>9</v>
      </c>
      <c r="X18" s="2">
        <v>2</v>
      </c>
      <c r="Y18" s="2" t="s">
        <v>12</v>
      </c>
      <c r="Z18" s="2" t="s">
        <v>15</v>
      </c>
      <c r="AA18" s="2" t="s">
        <v>15</v>
      </c>
      <c r="AB18" s="2" t="s">
        <v>15</v>
      </c>
      <c r="AC18" s="2" t="s">
        <v>3625</v>
      </c>
      <c r="AD18" s="2" t="s">
        <v>15</v>
      </c>
      <c r="AE18" s="2" t="s">
        <v>15</v>
      </c>
      <c r="AF18" s="2">
        <v>0</v>
      </c>
      <c r="AG18" s="2" t="s">
        <v>234</v>
      </c>
      <c r="AH18" s="2" t="s">
        <v>17</v>
      </c>
      <c r="AI18" s="4">
        <v>0.15789</v>
      </c>
      <c r="AJ18" s="2" t="s">
        <v>17</v>
      </c>
      <c r="AK18" s="2" t="s">
        <v>9</v>
      </c>
      <c r="AL18" s="2" t="s">
        <v>17</v>
      </c>
      <c r="AM18" s="2" t="s">
        <v>17</v>
      </c>
      <c r="AN18" s="2" t="s">
        <v>17</v>
      </c>
      <c r="AO18" s="2" t="s">
        <v>9</v>
      </c>
      <c r="AP18" s="2" t="s">
        <v>17</v>
      </c>
      <c r="AQ18" s="2" t="s">
        <v>17</v>
      </c>
      <c r="AR18" s="2" t="s">
        <v>17</v>
      </c>
      <c r="AS18" s="2" t="s">
        <v>17</v>
      </c>
      <c r="AT18" s="2">
        <v>5</v>
      </c>
      <c r="AU18" s="5">
        <v>100000</v>
      </c>
      <c r="AV18" s="2" t="s">
        <v>85</v>
      </c>
      <c r="AW18" s="2">
        <v>0</v>
      </c>
      <c r="AX18" s="2">
        <v>7</v>
      </c>
      <c r="AY18" s="2">
        <v>0</v>
      </c>
      <c r="AZ18" s="2">
        <v>18</v>
      </c>
      <c r="BA18" s="2">
        <v>0</v>
      </c>
      <c r="BB18" s="2">
        <v>0</v>
      </c>
      <c r="BC18" s="2">
        <v>0</v>
      </c>
      <c r="BD18" s="2">
        <v>5</v>
      </c>
      <c r="BE18" s="2">
        <v>0</v>
      </c>
      <c r="BF18" s="2">
        <v>1</v>
      </c>
      <c r="BG18" s="2">
        <v>0</v>
      </c>
      <c r="BH18" s="2">
        <v>0</v>
      </c>
      <c r="BI18" s="2">
        <v>13</v>
      </c>
      <c r="BJ18" s="2">
        <v>1</v>
      </c>
      <c r="BK18" s="2">
        <v>0</v>
      </c>
      <c r="BL18" s="2">
        <v>2</v>
      </c>
      <c r="BM18" s="2">
        <v>2</v>
      </c>
      <c r="BN18" s="2">
        <v>13</v>
      </c>
      <c r="BO18" s="2">
        <v>11</v>
      </c>
      <c r="BP18" s="2">
        <v>0</v>
      </c>
      <c r="BQ18" s="2">
        <v>10</v>
      </c>
      <c r="BR18" s="2">
        <v>10.78</v>
      </c>
      <c r="BS18" s="2">
        <v>0</v>
      </c>
      <c r="BT18" s="4">
        <v>0.06</v>
      </c>
      <c r="BU18" s="2" t="s">
        <v>9</v>
      </c>
      <c r="BV18" s="6">
        <v>194780.73</v>
      </c>
      <c r="BW18" s="2" t="s">
        <v>126</v>
      </c>
      <c r="BX18" s="2" t="s">
        <v>17</v>
      </c>
      <c r="BY18" s="2" t="s">
        <v>17</v>
      </c>
      <c r="BZ18" s="2" t="s">
        <v>17</v>
      </c>
      <c r="CA18" s="2" t="s">
        <v>17</v>
      </c>
      <c r="CB18" s="2" t="s">
        <v>17</v>
      </c>
      <c r="CC18" s="2" t="s">
        <v>17</v>
      </c>
      <c r="CD18" s="2" t="s">
        <v>17</v>
      </c>
      <c r="CE18" s="2" t="s">
        <v>3626</v>
      </c>
      <c r="CF18" s="2" t="s">
        <v>17</v>
      </c>
      <c r="CG18" s="2" t="s">
        <v>649</v>
      </c>
      <c r="CH18" s="2"/>
      <c r="CI18" s="2"/>
      <c r="CJ18" s="2" t="s">
        <v>9</v>
      </c>
      <c r="CK18" s="2" t="s">
        <v>650</v>
      </c>
      <c r="CL18" s="2" t="s">
        <v>649</v>
      </c>
      <c r="CM18" s="2" t="s">
        <v>651</v>
      </c>
      <c r="CN18" s="2" t="s">
        <v>464</v>
      </c>
      <c r="CO18" s="2" t="s">
        <v>24</v>
      </c>
      <c r="CP18" s="2"/>
      <c r="CQ18" s="2">
        <v>72</v>
      </c>
      <c r="CR18" s="2" t="s">
        <v>1900</v>
      </c>
      <c r="CS18" s="2">
        <v>2020</v>
      </c>
      <c r="CT18" s="2" t="s">
        <v>26</v>
      </c>
      <c r="CU18" s="2" t="s">
        <v>27</v>
      </c>
      <c r="CV18" s="2" t="s">
        <v>652</v>
      </c>
      <c r="CW18" s="2" t="s">
        <v>653</v>
      </c>
      <c r="CX18" s="2" t="s">
        <v>24</v>
      </c>
      <c r="CY18" s="2"/>
      <c r="CZ18" s="2">
        <v>96</v>
      </c>
      <c r="DA18" s="2" t="s">
        <v>1900</v>
      </c>
      <c r="DB18" s="2">
        <v>2016</v>
      </c>
      <c r="DC18" s="2" t="s">
        <v>30</v>
      </c>
      <c r="DD18" s="2" t="s">
        <v>27</v>
      </c>
      <c r="DE18" s="2" t="s">
        <v>654</v>
      </c>
      <c r="DF18" s="2" t="s">
        <v>655</v>
      </c>
      <c r="DG18" s="2" t="s">
        <v>24</v>
      </c>
      <c r="DH18" s="2"/>
      <c r="DI18" s="2">
        <v>91</v>
      </c>
      <c r="DJ18" s="2" t="s">
        <v>1900</v>
      </c>
      <c r="DK18" s="2">
        <v>2016</v>
      </c>
      <c r="DL18" s="2" t="s">
        <v>30</v>
      </c>
      <c r="DM18" s="2" t="s">
        <v>27</v>
      </c>
      <c r="DN18" s="2" t="s">
        <v>33</v>
      </c>
      <c r="DO18" s="2" t="s">
        <v>656</v>
      </c>
      <c r="DP18" s="2" t="s">
        <v>657</v>
      </c>
      <c r="DQ18" s="2" t="s">
        <v>658</v>
      </c>
      <c r="DR18" s="2" t="s">
        <v>659</v>
      </c>
      <c r="DS18" s="2">
        <v>1</v>
      </c>
      <c r="DT18" s="2" t="s">
        <v>660</v>
      </c>
      <c r="DU18" s="2" t="s">
        <v>661</v>
      </c>
      <c r="DV18" s="2" t="s">
        <v>39</v>
      </c>
      <c r="DW18" s="2">
        <v>32751</v>
      </c>
      <c r="DX18" s="2" t="s">
        <v>662</v>
      </c>
      <c r="DY18" s="2"/>
      <c r="DZ18" s="2" t="s">
        <v>663</v>
      </c>
      <c r="EA18" s="2" t="s">
        <v>659</v>
      </c>
      <c r="EB18" s="2" t="s">
        <v>652</v>
      </c>
      <c r="EC18" s="2" t="s">
        <v>653</v>
      </c>
      <c r="ED18" s="2" t="s">
        <v>44</v>
      </c>
      <c r="EE18" s="2">
        <v>96</v>
      </c>
      <c r="EF18" s="2" t="s">
        <v>1901</v>
      </c>
      <c r="EG18" s="2">
        <v>7</v>
      </c>
      <c r="EH18" s="2" t="s">
        <v>46</v>
      </c>
      <c r="EI18" s="2" t="s">
        <v>47</v>
      </c>
      <c r="EJ18" s="2" t="s">
        <v>651</v>
      </c>
      <c r="EK18" s="2" t="s">
        <v>464</v>
      </c>
      <c r="EL18" s="2" t="s">
        <v>44</v>
      </c>
      <c r="EM18" s="2">
        <v>72</v>
      </c>
      <c r="EN18" s="2" t="s">
        <v>1901</v>
      </c>
      <c r="EO18" s="2">
        <v>3</v>
      </c>
      <c r="EP18" s="2" t="s">
        <v>46</v>
      </c>
      <c r="EQ18" s="2" t="s">
        <v>47</v>
      </c>
      <c r="ER18" s="2" t="s">
        <v>664</v>
      </c>
      <c r="ES18" s="2" t="s">
        <v>665</v>
      </c>
      <c r="ET18" s="2" t="s">
        <v>666</v>
      </c>
      <c r="EU18" s="2" t="s">
        <v>649</v>
      </c>
      <c r="EV18" s="2" t="s">
        <v>667</v>
      </c>
      <c r="EW18" s="2" t="s">
        <v>668</v>
      </c>
      <c r="EX18" s="2" t="s">
        <v>39</v>
      </c>
      <c r="EY18" s="2">
        <v>34236</v>
      </c>
      <c r="EZ18" s="2" t="s">
        <v>669</v>
      </c>
      <c r="FA18" s="2">
        <v>110</v>
      </c>
      <c r="FB18" s="2" t="s">
        <v>670</v>
      </c>
      <c r="FC18" s="2" t="s">
        <v>671</v>
      </c>
      <c r="FD18" s="2" t="s">
        <v>672</v>
      </c>
      <c r="FE18" s="2" t="s">
        <v>673</v>
      </c>
      <c r="FF18" s="2" t="s">
        <v>649</v>
      </c>
      <c r="FG18" s="2" t="s">
        <v>667</v>
      </c>
      <c r="FH18" s="2" t="s">
        <v>668</v>
      </c>
      <c r="FI18" s="2" t="s">
        <v>39</v>
      </c>
      <c r="FJ18" s="2">
        <v>34236</v>
      </c>
      <c r="FK18" s="2" t="s">
        <v>669</v>
      </c>
      <c r="FL18" s="2">
        <v>130</v>
      </c>
      <c r="FM18" s="2" t="s">
        <v>674</v>
      </c>
      <c r="FN18" s="2" t="s">
        <v>3627</v>
      </c>
      <c r="FO18" s="2" t="s">
        <v>63</v>
      </c>
      <c r="FP18" s="2" t="s">
        <v>64</v>
      </c>
      <c r="FQ18" s="2" t="s">
        <v>9</v>
      </c>
      <c r="FR18" s="2" t="s">
        <v>17</v>
      </c>
      <c r="FS18" s="2" t="s">
        <v>17</v>
      </c>
      <c r="FT18" s="2" t="s">
        <v>9</v>
      </c>
      <c r="FU18" s="2"/>
      <c r="FV18" s="2"/>
      <c r="FW18" s="2">
        <v>0</v>
      </c>
      <c r="FX18" s="2">
        <v>0</v>
      </c>
      <c r="FY18" s="4">
        <v>0</v>
      </c>
      <c r="FZ18" s="4">
        <v>0</v>
      </c>
      <c r="GA18" s="2" t="s">
        <v>65</v>
      </c>
      <c r="GB18" s="2"/>
      <c r="GC18" s="2" t="s">
        <v>66</v>
      </c>
      <c r="GD18" s="2" t="s">
        <v>67</v>
      </c>
      <c r="GE18" s="2" t="s">
        <v>2684</v>
      </c>
      <c r="GF18" s="2"/>
      <c r="GG18" s="2"/>
      <c r="GH18" s="2"/>
      <c r="GI18" s="2"/>
      <c r="GJ18" s="2"/>
      <c r="GK18" s="2">
        <v>114</v>
      </c>
      <c r="GL18" s="2"/>
      <c r="GM18" s="2"/>
      <c r="GN18" s="2"/>
      <c r="GO18" s="2"/>
      <c r="GP18" s="2"/>
      <c r="GQ18" s="2">
        <v>114</v>
      </c>
      <c r="GR18" s="2" t="s">
        <v>3332</v>
      </c>
      <c r="GS18" s="2" t="s">
        <v>2686</v>
      </c>
      <c r="GT18" s="2" t="s">
        <v>3628</v>
      </c>
      <c r="GU18" s="2" t="s">
        <v>299</v>
      </c>
      <c r="GV18" s="2" t="s">
        <v>17</v>
      </c>
      <c r="GW18" s="2">
        <v>25.847909000000001</v>
      </c>
      <c r="GX18" s="2">
        <v>-80.190565000000007</v>
      </c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>
        <v>25.848305</v>
      </c>
      <c r="HK18" s="2">
        <v>-80.184782999999996</v>
      </c>
      <c r="HL18" s="2">
        <v>0.37</v>
      </c>
      <c r="HM18" s="2">
        <v>5.5</v>
      </c>
      <c r="HN18" s="2"/>
      <c r="HO18" s="2"/>
      <c r="HP18" s="2"/>
      <c r="HQ18" s="2"/>
      <c r="HR18" s="2"/>
      <c r="HS18" s="2"/>
      <c r="HT18" s="2"/>
      <c r="HU18" s="2"/>
      <c r="HV18" s="2" t="s">
        <v>3629</v>
      </c>
      <c r="HW18" s="2" t="s">
        <v>3630</v>
      </c>
      <c r="HX18" s="2">
        <v>0.23</v>
      </c>
      <c r="HY18" s="2">
        <v>4</v>
      </c>
      <c r="HZ18" s="2" t="s">
        <v>3631</v>
      </c>
      <c r="IA18" s="2" t="s">
        <v>3632</v>
      </c>
      <c r="IB18" s="2">
        <v>1.1000000000000001</v>
      </c>
      <c r="IC18" s="2">
        <v>2</v>
      </c>
      <c r="ID18" s="2" t="s">
        <v>527</v>
      </c>
      <c r="IE18" s="2">
        <v>0.34</v>
      </c>
      <c r="IF18" s="2">
        <v>3.5</v>
      </c>
      <c r="IG18" s="2"/>
      <c r="IH18" s="2"/>
      <c r="II18" s="2"/>
      <c r="IJ18" s="2" t="s">
        <v>17</v>
      </c>
      <c r="IK18" s="2"/>
      <c r="IL18" s="2" t="s">
        <v>79</v>
      </c>
      <c r="IM18" s="2" t="s">
        <v>17</v>
      </c>
      <c r="IN18" s="2"/>
      <c r="IO18" s="2" t="s">
        <v>79</v>
      </c>
      <c r="IP18" s="2">
        <v>5.5</v>
      </c>
      <c r="IQ18" s="2">
        <v>9.5</v>
      </c>
      <c r="IR18" s="2">
        <v>15</v>
      </c>
      <c r="IS18" s="2" t="s">
        <v>17</v>
      </c>
      <c r="IT18" s="2" t="s">
        <v>17</v>
      </c>
      <c r="IU18" s="2" t="s">
        <v>17</v>
      </c>
      <c r="IV18" s="2" t="s">
        <v>9</v>
      </c>
      <c r="IW18" s="2" t="s">
        <v>9</v>
      </c>
      <c r="IX18" s="2" t="s">
        <v>9</v>
      </c>
      <c r="IY18" s="2">
        <v>15</v>
      </c>
      <c r="IZ18" s="2">
        <v>114</v>
      </c>
      <c r="JA18" s="2" t="s">
        <v>3085</v>
      </c>
      <c r="JB18" s="2"/>
      <c r="JC18" s="2" t="s">
        <v>82</v>
      </c>
      <c r="JD18" s="2"/>
      <c r="JE18" s="2"/>
      <c r="JF18" s="7">
        <v>0</v>
      </c>
      <c r="JG18" s="7"/>
      <c r="JH18" s="7"/>
      <c r="JI18" s="2">
        <v>0</v>
      </c>
      <c r="JJ18" s="7">
        <v>0</v>
      </c>
      <c r="JK18" s="2">
        <v>0</v>
      </c>
      <c r="JL18" s="7">
        <v>0</v>
      </c>
      <c r="JM18" s="2">
        <v>18</v>
      </c>
      <c r="JN18" s="2"/>
      <c r="JO18" s="2"/>
      <c r="JP18" s="2">
        <v>70</v>
      </c>
      <c r="JQ18" s="2"/>
      <c r="JR18" s="2">
        <v>26</v>
      </c>
      <c r="JS18" s="2">
        <v>0</v>
      </c>
      <c r="JT18" s="2">
        <v>0</v>
      </c>
      <c r="JU18" s="2"/>
      <c r="JV18" s="2">
        <v>114</v>
      </c>
      <c r="JW18" s="4">
        <v>1</v>
      </c>
      <c r="JX18" s="2">
        <v>114</v>
      </c>
      <c r="JY18" s="4">
        <v>0.59824999999999995</v>
      </c>
      <c r="JZ18" s="2">
        <v>0</v>
      </c>
      <c r="KA18" s="2"/>
      <c r="KB18" s="2"/>
      <c r="KC18" s="2"/>
      <c r="KD18" s="2"/>
      <c r="KE18" s="2"/>
      <c r="KF18" s="2"/>
      <c r="KG18" s="2"/>
      <c r="KH18" s="2">
        <v>57</v>
      </c>
      <c r="KI18" s="2"/>
      <c r="KJ18" s="2"/>
      <c r="KK18" s="2">
        <v>57</v>
      </c>
      <c r="KL18" s="2"/>
      <c r="KM18" s="2"/>
      <c r="KN18" s="2"/>
      <c r="KO18" s="2"/>
      <c r="KP18" s="2"/>
      <c r="KQ18" s="2" t="s">
        <v>83</v>
      </c>
      <c r="KR18" s="2"/>
      <c r="KS18" s="2" t="s">
        <v>73</v>
      </c>
      <c r="KT18" s="2">
        <v>1</v>
      </c>
      <c r="KU18" s="2" t="s">
        <v>84</v>
      </c>
      <c r="KV18" s="2" t="s">
        <v>85</v>
      </c>
      <c r="KW18" s="2" t="s">
        <v>530</v>
      </c>
      <c r="KX18" s="2" t="s">
        <v>17</v>
      </c>
      <c r="KY18" s="2" t="s">
        <v>17</v>
      </c>
      <c r="KZ18" s="2" t="s">
        <v>17</v>
      </c>
      <c r="LA18" s="2" t="s">
        <v>17</v>
      </c>
      <c r="LB18" s="2" t="s">
        <v>17</v>
      </c>
      <c r="LC18" s="2" t="s">
        <v>17</v>
      </c>
      <c r="LD18" s="2" t="s">
        <v>17</v>
      </c>
      <c r="LE18" s="2" t="s">
        <v>17</v>
      </c>
      <c r="LF18" s="2" t="s">
        <v>17</v>
      </c>
      <c r="LG18" s="2" t="s">
        <v>17</v>
      </c>
      <c r="LH18" s="2" t="s">
        <v>17</v>
      </c>
      <c r="LI18" s="2" t="s">
        <v>17</v>
      </c>
      <c r="LJ18" s="2" t="s">
        <v>87</v>
      </c>
      <c r="LK18" s="2" t="s">
        <v>17</v>
      </c>
      <c r="LL18" s="2" t="s">
        <v>17</v>
      </c>
      <c r="LM18" s="2">
        <v>0</v>
      </c>
      <c r="LN18" s="2" t="s">
        <v>17</v>
      </c>
      <c r="LO18" s="2" t="s">
        <v>17</v>
      </c>
      <c r="LP18" s="2" t="s">
        <v>17</v>
      </c>
      <c r="LQ18" s="2" t="s">
        <v>17</v>
      </c>
      <c r="LR18" s="2" t="s">
        <v>17</v>
      </c>
      <c r="LS18" s="2" t="s">
        <v>17</v>
      </c>
      <c r="LT18" s="2" t="s">
        <v>17</v>
      </c>
      <c r="LU18" s="2" t="s">
        <v>9</v>
      </c>
      <c r="LV18" s="2" t="s">
        <v>9</v>
      </c>
      <c r="LW18" s="2" t="s">
        <v>17</v>
      </c>
      <c r="LX18" s="2" t="s">
        <v>9</v>
      </c>
      <c r="LY18" s="5">
        <v>6500000</v>
      </c>
      <c r="LZ18" s="5">
        <v>0</v>
      </c>
      <c r="MA18" s="5">
        <v>8400000</v>
      </c>
      <c r="MB18" s="5">
        <v>0</v>
      </c>
      <c r="MC18" s="5">
        <v>0</v>
      </c>
      <c r="MD18" s="5">
        <v>0</v>
      </c>
      <c r="ME18" s="5">
        <v>10000000</v>
      </c>
      <c r="MF18" s="5">
        <v>0</v>
      </c>
      <c r="MG18" s="5">
        <v>0</v>
      </c>
      <c r="MH18" s="5">
        <v>0</v>
      </c>
      <c r="MI18" s="5">
        <v>0</v>
      </c>
      <c r="MJ18" s="5">
        <v>0</v>
      </c>
      <c r="MK18" s="5">
        <v>0</v>
      </c>
      <c r="ML18" s="2">
        <v>0</v>
      </c>
      <c r="MM18" s="5">
        <v>0</v>
      </c>
      <c r="MN18" s="5">
        <v>0</v>
      </c>
      <c r="MO18" s="2">
        <v>0</v>
      </c>
      <c r="MP18" s="2">
        <v>0</v>
      </c>
      <c r="MQ18" s="2">
        <v>0</v>
      </c>
      <c r="MR18" s="5">
        <v>2950000</v>
      </c>
      <c r="MS18" s="5">
        <v>0</v>
      </c>
      <c r="MT18" s="5">
        <v>4600000</v>
      </c>
      <c r="MU18" s="5">
        <v>0</v>
      </c>
      <c r="MV18" s="5">
        <v>0</v>
      </c>
      <c r="MW18" s="5">
        <v>0</v>
      </c>
      <c r="MX18" s="5">
        <v>0</v>
      </c>
      <c r="MY18" s="5">
        <v>2500000</v>
      </c>
      <c r="MZ18" s="5">
        <v>0</v>
      </c>
      <c r="NA18" s="5">
        <v>5000000</v>
      </c>
      <c r="NB18" s="5">
        <v>0</v>
      </c>
      <c r="NC18" s="5">
        <v>0</v>
      </c>
      <c r="ND18" s="5">
        <v>0</v>
      </c>
      <c r="NE18" s="5">
        <v>0</v>
      </c>
      <c r="NF18" s="5">
        <v>0</v>
      </c>
      <c r="NG18" s="5">
        <v>3458400</v>
      </c>
      <c r="NH18" s="5">
        <v>3458400</v>
      </c>
      <c r="NI18" s="5">
        <v>3458400</v>
      </c>
      <c r="NJ18" s="5"/>
      <c r="NK18" s="5">
        <v>0</v>
      </c>
      <c r="NL18" s="2" t="s">
        <v>17</v>
      </c>
      <c r="NM18" s="2" t="s">
        <v>17</v>
      </c>
      <c r="NN18" s="2"/>
      <c r="NO18" s="2" t="s">
        <v>17</v>
      </c>
      <c r="NP18" s="2"/>
      <c r="NQ18" s="2"/>
      <c r="NR18" s="2" t="s">
        <v>17</v>
      </c>
      <c r="NS18" s="2"/>
      <c r="NT18" s="2" t="s">
        <v>9</v>
      </c>
      <c r="NU18" s="2" t="s">
        <v>450</v>
      </c>
      <c r="NV18" s="2">
        <v>14.02</v>
      </c>
      <c r="NW18" s="2" t="s">
        <v>3342</v>
      </c>
      <c r="NX18" s="2"/>
      <c r="NY18" s="2"/>
      <c r="NZ18" s="2"/>
      <c r="OA18" s="2" t="s">
        <v>118</v>
      </c>
      <c r="OB18" s="2" t="s">
        <v>118</v>
      </c>
      <c r="OC18" s="2" t="s">
        <v>118</v>
      </c>
      <c r="OD18" s="2" t="s">
        <v>3384</v>
      </c>
      <c r="OE18" s="2" t="s">
        <v>85</v>
      </c>
      <c r="OF18" s="2" t="s">
        <v>17</v>
      </c>
      <c r="OG18" s="2" t="s">
        <v>17</v>
      </c>
      <c r="OH18" s="2" t="s">
        <v>119</v>
      </c>
      <c r="OI18" s="2" t="s">
        <v>17</v>
      </c>
      <c r="OJ18" s="2"/>
      <c r="OK18" s="2" t="s">
        <v>17</v>
      </c>
      <c r="OL18" s="2" t="s">
        <v>17</v>
      </c>
      <c r="OM18" s="2" t="s">
        <v>85</v>
      </c>
      <c r="ON18" s="6">
        <v>0</v>
      </c>
      <c r="OO18" s="6">
        <v>0</v>
      </c>
      <c r="OP18" s="2" t="s">
        <v>93</v>
      </c>
      <c r="OQ18" s="2" t="s">
        <v>93</v>
      </c>
      <c r="OR18" s="6">
        <v>0</v>
      </c>
      <c r="OS18" s="4">
        <v>0</v>
      </c>
      <c r="OT18" s="2" t="s">
        <v>17</v>
      </c>
      <c r="OU18" s="2" t="s">
        <v>17</v>
      </c>
      <c r="OV18" s="2"/>
      <c r="OW18" s="2"/>
      <c r="OX18" s="5">
        <v>22205003</v>
      </c>
      <c r="OY18" s="6">
        <v>194780.73</v>
      </c>
      <c r="OZ18" s="2"/>
      <c r="PA18" s="2"/>
      <c r="PB18" s="2"/>
      <c r="PC18" s="2"/>
      <c r="PD18" s="8">
        <v>22520803</v>
      </c>
      <c r="PE18" s="2"/>
      <c r="PF18" s="8">
        <v>22520803</v>
      </c>
      <c r="PG18" s="8">
        <v>900000</v>
      </c>
      <c r="PH18" s="8">
        <v>100000</v>
      </c>
      <c r="PI18" s="8">
        <v>1000000</v>
      </c>
      <c r="PJ18" s="2"/>
      <c r="PK18" s="2"/>
      <c r="PL18" s="2"/>
      <c r="PM18" s="8">
        <v>23420803</v>
      </c>
      <c r="PN18" s="8">
        <v>100000</v>
      </c>
      <c r="PO18" s="8">
        <v>23520803</v>
      </c>
      <c r="PP18" s="8">
        <v>3204849</v>
      </c>
      <c r="PQ18" s="2"/>
      <c r="PR18" s="8">
        <v>3204849</v>
      </c>
      <c r="PS18" s="6">
        <v>3292912</v>
      </c>
      <c r="PT18" s="8">
        <v>26625652</v>
      </c>
      <c r="PU18" s="8">
        <v>100000</v>
      </c>
      <c r="PV18" s="8">
        <v>26725652</v>
      </c>
      <c r="PW18" s="8">
        <v>1304833</v>
      </c>
      <c r="PX18" s="2"/>
      <c r="PY18" s="8">
        <v>1304833</v>
      </c>
      <c r="PZ18" s="6">
        <v>1336282.6000000001</v>
      </c>
      <c r="QA18" s="8">
        <v>731454</v>
      </c>
      <c r="QB18" s="8">
        <v>30000</v>
      </c>
      <c r="QC18" s="8">
        <v>761454</v>
      </c>
      <c r="QD18" s="8">
        <v>211178</v>
      </c>
      <c r="QE18" s="8">
        <v>75655</v>
      </c>
      <c r="QF18" s="8">
        <v>286833</v>
      </c>
      <c r="QG18" s="8">
        <v>648636</v>
      </c>
      <c r="QH18" s="2"/>
      <c r="QI18" s="8">
        <v>648636</v>
      </c>
      <c r="QJ18" s="2"/>
      <c r="QK18" s="8">
        <v>499797</v>
      </c>
      <c r="QL18" s="8">
        <v>499797</v>
      </c>
      <c r="QM18" s="2"/>
      <c r="QN18" s="2"/>
      <c r="QO18" s="2"/>
      <c r="QP18" s="2"/>
      <c r="QQ18" s="2"/>
      <c r="QR18" s="2"/>
      <c r="QS18" s="8">
        <v>1591268</v>
      </c>
      <c r="QT18" s="8">
        <v>605452</v>
      </c>
      <c r="QU18" s="8">
        <v>2196720</v>
      </c>
      <c r="QV18" s="8">
        <v>108780</v>
      </c>
      <c r="QW18" s="2"/>
      <c r="QX18" s="8">
        <v>108780</v>
      </c>
      <c r="QY18" s="6">
        <v>109836</v>
      </c>
      <c r="QZ18" s="8">
        <v>1610662</v>
      </c>
      <c r="RA18" s="2"/>
      <c r="RB18" s="8">
        <v>1610662</v>
      </c>
      <c r="RC18" s="8">
        <v>98439</v>
      </c>
      <c r="RD18" s="8">
        <v>98439</v>
      </c>
      <c r="RE18" s="2"/>
      <c r="RF18" s="2"/>
      <c r="RG18" s="2"/>
      <c r="RH18" s="8">
        <v>1610662</v>
      </c>
      <c r="RI18" s="8">
        <v>98439</v>
      </c>
      <c r="RJ18" s="8">
        <v>1709101</v>
      </c>
      <c r="RK18" s="8">
        <v>31241195</v>
      </c>
      <c r="RL18" s="8">
        <v>803891</v>
      </c>
      <c r="RM18" s="8">
        <v>32045086</v>
      </c>
      <c r="RN18" s="2">
        <v>0</v>
      </c>
      <c r="RO18" s="6">
        <v>0</v>
      </c>
      <c r="RP18" s="8">
        <v>5066556</v>
      </c>
      <c r="RQ18" s="2"/>
      <c r="RR18" s="8">
        <v>5066556</v>
      </c>
      <c r="RS18" s="6">
        <v>5127213</v>
      </c>
      <c r="RT18" s="6">
        <v>0</v>
      </c>
      <c r="RU18" s="8">
        <v>5066556</v>
      </c>
      <c r="RV18" s="2"/>
      <c r="RW18" s="8">
        <v>5066556</v>
      </c>
      <c r="RX18" s="6">
        <v>5127213</v>
      </c>
      <c r="RY18" s="8">
        <v>128726</v>
      </c>
      <c r="RZ18" s="8">
        <v>128726</v>
      </c>
      <c r="SA18" s="6">
        <v>399000</v>
      </c>
      <c r="SB18" s="8">
        <v>5500000</v>
      </c>
      <c r="SC18" s="8">
        <v>5500000</v>
      </c>
      <c r="SD18" s="8">
        <v>36307751</v>
      </c>
      <c r="SE18" s="8">
        <v>6432617</v>
      </c>
      <c r="SF18" s="8">
        <v>42740368</v>
      </c>
      <c r="SG18" s="2" t="s">
        <v>783</v>
      </c>
      <c r="SH18" s="2"/>
      <c r="SI18" s="2"/>
      <c r="SJ18" s="2"/>
      <c r="SK18" s="8">
        <v>20467703</v>
      </c>
      <c r="SL18" s="2" t="s">
        <v>95</v>
      </c>
      <c r="SM18" s="2"/>
      <c r="SN18" s="2"/>
      <c r="SO18" s="2"/>
      <c r="SP18" s="2"/>
      <c r="SQ18" s="2"/>
      <c r="SR18" s="2"/>
      <c r="SS18" s="2" t="s">
        <v>96</v>
      </c>
      <c r="ST18" s="2" t="s">
        <v>96</v>
      </c>
      <c r="SU18" s="2" t="s">
        <v>96</v>
      </c>
      <c r="SV18" s="2" t="s">
        <v>96</v>
      </c>
      <c r="SW18" s="8">
        <v>18203197</v>
      </c>
      <c r="SX18" s="2"/>
      <c r="SY18" s="2"/>
      <c r="SZ18" s="2"/>
      <c r="TA18" s="2"/>
      <c r="TB18" s="2"/>
      <c r="TC18" s="2"/>
      <c r="TD18" s="8">
        <v>4069468</v>
      </c>
      <c r="TE18" s="8">
        <v>42740368</v>
      </c>
      <c r="TF18" s="2">
        <v>0</v>
      </c>
      <c r="TG18" s="2" t="s">
        <v>9</v>
      </c>
      <c r="TH18" s="8">
        <v>6536585</v>
      </c>
      <c r="TI18" s="2" t="s">
        <v>95</v>
      </c>
      <c r="TJ18" s="2"/>
      <c r="TK18" s="2"/>
      <c r="TL18" s="2"/>
      <c r="TM18" s="2"/>
      <c r="TN18" s="2" t="s">
        <v>96</v>
      </c>
      <c r="TO18" s="2" t="s">
        <v>96</v>
      </c>
      <c r="TP18" s="2" t="s">
        <v>96</v>
      </c>
      <c r="TQ18" s="2" t="s">
        <v>96</v>
      </c>
      <c r="TR18" s="8">
        <v>32505709</v>
      </c>
      <c r="TS18" s="2"/>
      <c r="TT18" s="2"/>
      <c r="TU18" s="2"/>
      <c r="TV18" s="2"/>
      <c r="TW18" s="2"/>
      <c r="TX18" s="2"/>
      <c r="TY18" s="8">
        <v>3698074</v>
      </c>
      <c r="TZ18" s="8">
        <v>42740368</v>
      </c>
      <c r="UA18" s="6">
        <v>6536585</v>
      </c>
      <c r="UB18" s="2">
        <v>0</v>
      </c>
      <c r="UC18" s="2" t="s">
        <v>9</v>
      </c>
      <c r="UD18" s="2">
        <v>114</v>
      </c>
      <c r="UE18" s="5">
        <v>310000</v>
      </c>
      <c r="UF18" s="6">
        <v>413333.33</v>
      </c>
      <c r="UG18" s="6">
        <v>413333.33</v>
      </c>
      <c r="UH18" s="6">
        <v>438133.33</v>
      </c>
      <c r="UI18" s="6">
        <v>49947200</v>
      </c>
      <c r="UJ18" s="6">
        <v>7991552</v>
      </c>
      <c r="UK18" s="2" t="s">
        <v>97</v>
      </c>
      <c r="UL18" s="6">
        <v>7991552</v>
      </c>
      <c r="UM18" s="6">
        <v>57938752</v>
      </c>
      <c r="UN18" s="6">
        <v>37111642</v>
      </c>
      <c r="UO18" s="4">
        <v>0.99990000000000001</v>
      </c>
      <c r="UP18" s="2" t="s">
        <v>9</v>
      </c>
      <c r="UQ18" s="6">
        <v>0</v>
      </c>
      <c r="UR18" s="6">
        <v>0</v>
      </c>
      <c r="US18" s="6">
        <v>467903.47</v>
      </c>
      <c r="UT18" s="6">
        <v>467903.47</v>
      </c>
      <c r="UU18" s="6">
        <v>0</v>
      </c>
      <c r="UV18" s="6">
        <v>467903.47</v>
      </c>
      <c r="UW18" s="6">
        <v>0</v>
      </c>
      <c r="UX18" s="6">
        <v>467903.47</v>
      </c>
      <c r="UY18" s="2" t="s">
        <v>3633</v>
      </c>
      <c r="UZ18" s="2" t="s">
        <v>3288</v>
      </c>
      <c r="VA18" s="2" t="s">
        <v>17</v>
      </c>
      <c r="VB18" s="2" t="s">
        <v>17</v>
      </c>
      <c r="VC18" s="2" t="s">
        <v>17</v>
      </c>
      <c r="VD18" s="2" t="s">
        <v>17</v>
      </c>
      <c r="VE18" s="2" t="s">
        <v>17</v>
      </c>
      <c r="VF18" s="2" t="s">
        <v>17</v>
      </c>
      <c r="VG18" s="2">
        <v>9590410283</v>
      </c>
      <c r="VH18" s="2"/>
      <c r="VI18" s="388" t="s">
        <v>650</v>
      </c>
      <c r="VJ18" s="2" t="s">
        <v>98</v>
      </c>
      <c r="VK18" s="2" t="s">
        <v>685</v>
      </c>
      <c r="VL18" s="23">
        <f t="shared" si="0"/>
        <v>171</v>
      </c>
      <c r="VM18" s="17">
        <f t="shared" si="1"/>
        <v>1.5</v>
      </c>
      <c r="VN18" s="17" t="str">
        <f t="shared" si="2"/>
        <v>NC-HR-E</v>
      </c>
      <c r="VO18" s="17" t="str">
        <f t="shared" si="14"/>
        <v>NC-HR-E-ESS</v>
      </c>
      <c r="VP18" s="12">
        <v>9</v>
      </c>
      <c r="VQ18" s="57">
        <v>1</v>
      </c>
      <c r="VR18" s="57">
        <f t="shared" si="3"/>
        <v>1</v>
      </c>
      <c r="VS18" s="14">
        <f t="shared" si="4"/>
        <v>1</v>
      </c>
      <c r="VT18" s="12">
        <f t="shared" si="5"/>
        <v>0.88350000000000006</v>
      </c>
      <c r="VU18" s="29">
        <f t="shared" si="6"/>
        <v>27499467.600000001</v>
      </c>
      <c r="VV18" s="29">
        <f t="shared" si="7"/>
        <v>241223.4</v>
      </c>
      <c r="VW18" s="12" t="str">
        <f t="shared" si="15"/>
        <v>A</v>
      </c>
      <c r="VX18" s="12" t="str">
        <f t="shared" si="8"/>
        <v>NC-HR-ESS</v>
      </c>
      <c r="VY18" s="352">
        <f t="shared" si="16"/>
        <v>3</v>
      </c>
      <c r="WA18" s="12">
        <f t="shared" si="17"/>
        <v>1</v>
      </c>
      <c r="WB18" s="12">
        <f t="shared" si="18"/>
        <v>0</v>
      </c>
      <c r="WC18" s="12">
        <f t="shared" si="18"/>
        <v>0</v>
      </c>
      <c r="WD18" s="12">
        <f t="shared" si="18"/>
        <v>0</v>
      </c>
      <c r="WE18" s="12">
        <f t="shared" si="19"/>
        <v>1</v>
      </c>
      <c r="WF18" s="12">
        <f t="shared" si="9"/>
        <v>0</v>
      </c>
      <c r="WG18" s="12">
        <f t="shared" si="10"/>
        <v>0</v>
      </c>
      <c r="WH18" s="12">
        <f t="shared" si="11"/>
        <v>1</v>
      </c>
      <c r="WI18" s="31">
        <f t="shared" si="12"/>
        <v>3</v>
      </c>
      <c r="WJ18" s="2"/>
      <c r="WK18" s="444" t="str">
        <f t="shared" si="20"/>
        <v>NC-HR-ESS-BBN-BRN-NPH-E</v>
      </c>
      <c r="WL18" s="444"/>
      <c r="WM18" s="444"/>
    </row>
    <row r="19" spans="1:611" x14ac:dyDescent="0.25">
      <c r="A19" s="2">
        <v>9551</v>
      </c>
      <c r="B19" s="2" t="s">
        <v>3634</v>
      </c>
      <c r="C19" s="2" t="s">
        <v>3305</v>
      </c>
      <c r="D19" s="3">
        <v>45159</v>
      </c>
      <c r="E19" s="2" t="s">
        <v>9</v>
      </c>
      <c r="F19" s="2">
        <v>3</v>
      </c>
      <c r="G19" s="2" t="s">
        <v>9</v>
      </c>
      <c r="H19" s="2">
        <v>3</v>
      </c>
      <c r="I19" s="2" t="s">
        <v>9</v>
      </c>
      <c r="J19" s="2">
        <v>3</v>
      </c>
      <c r="K19" s="2" t="s">
        <v>9</v>
      </c>
      <c r="L19" s="2">
        <v>3</v>
      </c>
      <c r="M19" s="2" t="s">
        <v>10</v>
      </c>
      <c r="N19" s="2">
        <v>0</v>
      </c>
      <c r="O19" s="2" t="s">
        <v>10</v>
      </c>
      <c r="P19" s="2">
        <v>0</v>
      </c>
      <c r="Q19" s="2" t="s">
        <v>11</v>
      </c>
      <c r="R19" s="2">
        <v>0</v>
      </c>
      <c r="S19" s="2" t="s">
        <v>9</v>
      </c>
      <c r="T19" s="2">
        <v>2</v>
      </c>
      <c r="U19" s="2" t="s">
        <v>9</v>
      </c>
      <c r="V19" s="2">
        <v>2</v>
      </c>
      <c r="W19" s="2" t="s">
        <v>9</v>
      </c>
      <c r="X19" s="2">
        <v>2</v>
      </c>
      <c r="Y19" s="2" t="s">
        <v>3635</v>
      </c>
      <c r="Z19" s="2" t="s">
        <v>15</v>
      </c>
      <c r="AA19" s="2" t="s">
        <v>15</v>
      </c>
      <c r="AB19" s="2" t="s">
        <v>15</v>
      </c>
      <c r="AC19" s="2" t="s">
        <v>435</v>
      </c>
      <c r="AD19" s="2" t="s">
        <v>15</v>
      </c>
      <c r="AE19" s="2" t="s">
        <v>15</v>
      </c>
      <c r="AF19" s="2">
        <v>0</v>
      </c>
      <c r="AG19" s="2" t="s">
        <v>234</v>
      </c>
      <c r="AH19" s="2" t="s">
        <v>9</v>
      </c>
      <c r="AI19" s="4">
        <v>0.36</v>
      </c>
      <c r="AJ19" s="2" t="s">
        <v>9</v>
      </c>
      <c r="AK19" s="2" t="s">
        <v>9</v>
      </c>
      <c r="AL19" s="2" t="s">
        <v>17</v>
      </c>
      <c r="AM19" s="2" t="s">
        <v>17</v>
      </c>
      <c r="AN19" s="2" t="s">
        <v>17</v>
      </c>
      <c r="AO19" s="2" t="s">
        <v>9</v>
      </c>
      <c r="AP19" s="2" t="s">
        <v>17</v>
      </c>
      <c r="AQ19" s="2" t="s">
        <v>17</v>
      </c>
      <c r="AR19" s="2" t="s">
        <v>17</v>
      </c>
      <c r="AS19" s="2" t="s">
        <v>17</v>
      </c>
      <c r="AT19" s="2">
        <v>5</v>
      </c>
      <c r="AU19" s="5">
        <v>100000</v>
      </c>
      <c r="AV19" s="2" t="s">
        <v>85</v>
      </c>
      <c r="AW19" s="2">
        <v>0</v>
      </c>
      <c r="AX19" s="2">
        <v>8</v>
      </c>
      <c r="AY19" s="2">
        <v>0</v>
      </c>
      <c r="AZ19" s="2">
        <v>18</v>
      </c>
      <c r="BA19" s="2">
        <v>0</v>
      </c>
      <c r="BB19" s="2">
        <v>0</v>
      </c>
      <c r="BC19" s="2">
        <v>1</v>
      </c>
      <c r="BD19" s="2">
        <v>5</v>
      </c>
      <c r="BE19" s="2">
        <v>0</v>
      </c>
      <c r="BF19" s="2">
        <v>1</v>
      </c>
      <c r="BG19" s="2">
        <v>0</v>
      </c>
      <c r="BH19" s="2">
        <v>0</v>
      </c>
      <c r="BI19" s="2">
        <v>13</v>
      </c>
      <c r="BJ19" s="2">
        <v>1</v>
      </c>
      <c r="BK19" s="2">
        <v>0</v>
      </c>
      <c r="BL19" s="2">
        <v>2</v>
      </c>
      <c r="BM19" s="2">
        <v>2</v>
      </c>
      <c r="BN19" s="2">
        <v>13</v>
      </c>
      <c r="BO19" s="2">
        <v>11</v>
      </c>
      <c r="BP19" s="2">
        <v>0</v>
      </c>
      <c r="BQ19" s="2">
        <v>10</v>
      </c>
      <c r="BR19" s="2">
        <v>10.56</v>
      </c>
      <c r="BS19" s="2">
        <v>0</v>
      </c>
      <c r="BT19" s="4">
        <v>0.06</v>
      </c>
      <c r="BU19" s="2" t="s">
        <v>9</v>
      </c>
      <c r="BV19" s="6">
        <v>198963.61</v>
      </c>
      <c r="BW19" s="2" t="s">
        <v>126</v>
      </c>
      <c r="BX19" s="2" t="s">
        <v>17</v>
      </c>
      <c r="BY19" s="2" t="s">
        <v>17</v>
      </c>
      <c r="BZ19" s="2" t="s">
        <v>17</v>
      </c>
      <c r="CA19" s="2" t="s">
        <v>17</v>
      </c>
      <c r="CB19" s="2" t="s">
        <v>17</v>
      </c>
      <c r="CC19" s="2" t="s">
        <v>17</v>
      </c>
      <c r="CD19" s="2" t="s">
        <v>17</v>
      </c>
      <c r="CE19" s="2" t="s">
        <v>3636</v>
      </c>
      <c r="CF19" s="2" t="s">
        <v>9</v>
      </c>
      <c r="CG19" s="2" t="s">
        <v>3637</v>
      </c>
      <c r="CH19" s="2"/>
      <c r="CI19" s="2"/>
      <c r="CJ19" s="2" t="s">
        <v>9</v>
      </c>
      <c r="CK19" s="2" t="s">
        <v>3638</v>
      </c>
      <c r="CL19" s="2" t="s">
        <v>3639</v>
      </c>
      <c r="CM19" s="2" t="s">
        <v>3640</v>
      </c>
      <c r="CN19" s="2" t="s">
        <v>2661</v>
      </c>
      <c r="CO19" s="2" t="s">
        <v>24</v>
      </c>
      <c r="CP19" s="2"/>
      <c r="CQ19" s="2">
        <v>193</v>
      </c>
      <c r="CR19" s="2" t="s">
        <v>3029</v>
      </c>
      <c r="CS19" s="2">
        <v>2019</v>
      </c>
      <c r="CT19" s="2" t="s">
        <v>26</v>
      </c>
      <c r="CU19" s="2" t="s">
        <v>27</v>
      </c>
      <c r="CV19" s="2" t="s">
        <v>3641</v>
      </c>
      <c r="CW19" s="2" t="s">
        <v>3642</v>
      </c>
      <c r="CX19" s="2" t="s">
        <v>24</v>
      </c>
      <c r="CY19" s="2"/>
      <c r="CZ19" s="2">
        <v>86</v>
      </c>
      <c r="DA19" s="2" t="s">
        <v>3029</v>
      </c>
      <c r="DB19" s="2">
        <v>2019</v>
      </c>
      <c r="DC19" s="2" t="s">
        <v>30</v>
      </c>
      <c r="DD19" s="2" t="s">
        <v>27</v>
      </c>
      <c r="DE19" s="2" t="s">
        <v>3643</v>
      </c>
      <c r="DF19" s="2" t="s">
        <v>3644</v>
      </c>
      <c r="DG19" s="2" t="s">
        <v>24</v>
      </c>
      <c r="DH19" s="2"/>
      <c r="DI19" s="2">
        <v>67</v>
      </c>
      <c r="DJ19" s="2" t="s">
        <v>3029</v>
      </c>
      <c r="DK19" s="2">
        <v>2018</v>
      </c>
      <c r="DL19" s="2" t="s">
        <v>30</v>
      </c>
      <c r="DM19" s="2" t="s">
        <v>27</v>
      </c>
      <c r="DN19" s="2" t="s">
        <v>33</v>
      </c>
      <c r="DO19" s="2" t="s">
        <v>3645</v>
      </c>
      <c r="DP19" s="2"/>
      <c r="DQ19" s="2" t="s">
        <v>3646</v>
      </c>
      <c r="DR19" s="2" t="s">
        <v>3647</v>
      </c>
      <c r="DS19" s="2">
        <v>1</v>
      </c>
      <c r="DT19" s="2" t="s">
        <v>3648</v>
      </c>
      <c r="DU19" s="2" t="s">
        <v>1144</v>
      </c>
      <c r="DV19" s="2" t="s">
        <v>39</v>
      </c>
      <c r="DW19" s="2" t="s">
        <v>3649</v>
      </c>
      <c r="DX19" s="2" t="s">
        <v>3650</v>
      </c>
      <c r="DY19" s="2" t="s">
        <v>229</v>
      </c>
      <c r="DZ19" s="2" t="s">
        <v>3651</v>
      </c>
      <c r="EA19" s="2" t="s">
        <v>3647</v>
      </c>
      <c r="EB19" s="2" t="s">
        <v>3652</v>
      </c>
      <c r="EC19" s="2" t="s">
        <v>2661</v>
      </c>
      <c r="ED19" s="2" t="s">
        <v>44</v>
      </c>
      <c r="EE19" s="2">
        <v>123</v>
      </c>
      <c r="EF19" s="2" t="s">
        <v>3030</v>
      </c>
      <c r="EG19" s="2">
        <v>18</v>
      </c>
      <c r="EH19" s="2" t="s">
        <v>46</v>
      </c>
      <c r="EI19" s="2" t="s">
        <v>47</v>
      </c>
      <c r="EJ19" s="2" t="s">
        <v>3653</v>
      </c>
      <c r="EK19" s="2" t="s">
        <v>3654</v>
      </c>
      <c r="EL19" s="2" t="s">
        <v>44</v>
      </c>
      <c r="EM19" s="2">
        <v>123</v>
      </c>
      <c r="EN19" s="2" t="s">
        <v>3030</v>
      </c>
      <c r="EO19" s="2">
        <v>18</v>
      </c>
      <c r="EP19" s="2" t="s">
        <v>46</v>
      </c>
      <c r="EQ19" s="2" t="s">
        <v>47</v>
      </c>
      <c r="ER19" s="2" t="s">
        <v>3655</v>
      </c>
      <c r="ES19" s="2"/>
      <c r="ET19" s="2" t="s">
        <v>3656</v>
      </c>
      <c r="EU19" s="2" t="s">
        <v>3657</v>
      </c>
      <c r="EV19" s="2" t="s">
        <v>3658</v>
      </c>
      <c r="EW19" s="2" t="s">
        <v>3659</v>
      </c>
      <c r="EX19" s="2" t="s">
        <v>3660</v>
      </c>
      <c r="EY19" s="2">
        <v>22314</v>
      </c>
      <c r="EZ19" s="2" t="s">
        <v>3661</v>
      </c>
      <c r="FA19" s="2" t="s">
        <v>229</v>
      </c>
      <c r="FB19" s="2" t="s">
        <v>3662</v>
      </c>
      <c r="FC19" s="2" t="s">
        <v>3663</v>
      </c>
      <c r="FD19" s="2"/>
      <c r="FE19" s="2" t="s">
        <v>3664</v>
      </c>
      <c r="FF19" s="2" t="s">
        <v>3657</v>
      </c>
      <c r="FG19" s="2" t="s">
        <v>3658</v>
      </c>
      <c r="FH19" s="2" t="s">
        <v>3665</v>
      </c>
      <c r="FI19" s="2" t="s">
        <v>3660</v>
      </c>
      <c r="FJ19" s="2">
        <v>22314</v>
      </c>
      <c r="FK19" s="2" t="s">
        <v>3666</v>
      </c>
      <c r="FL19" s="2" t="s">
        <v>229</v>
      </c>
      <c r="FM19" s="2" t="s">
        <v>3667</v>
      </c>
      <c r="FN19" s="2" t="s">
        <v>3668</v>
      </c>
      <c r="FO19" s="2" t="s">
        <v>63</v>
      </c>
      <c r="FP19" s="2" t="s">
        <v>64</v>
      </c>
      <c r="FQ19" s="2" t="s">
        <v>9</v>
      </c>
      <c r="FR19" s="2" t="s">
        <v>17</v>
      </c>
      <c r="FS19" s="2" t="s">
        <v>17</v>
      </c>
      <c r="FT19" s="2" t="s">
        <v>9</v>
      </c>
      <c r="FU19" s="2">
        <v>25</v>
      </c>
      <c r="FV19" s="2" t="s">
        <v>3669</v>
      </c>
      <c r="FW19" s="2">
        <v>0</v>
      </c>
      <c r="FX19" s="2">
        <v>25</v>
      </c>
      <c r="FY19" s="4">
        <v>0</v>
      </c>
      <c r="FZ19" s="4">
        <v>0.33333000000000002</v>
      </c>
      <c r="GA19" s="2" t="s">
        <v>3670</v>
      </c>
      <c r="GB19" s="2"/>
      <c r="GC19" s="2" t="s">
        <v>66</v>
      </c>
      <c r="GD19" s="2" t="s">
        <v>67</v>
      </c>
      <c r="GE19" s="2" t="s">
        <v>2684</v>
      </c>
      <c r="GF19" s="2"/>
      <c r="GG19" s="2"/>
      <c r="GH19" s="2"/>
      <c r="GI19" s="2"/>
      <c r="GJ19" s="2"/>
      <c r="GK19" s="2">
        <v>75</v>
      </c>
      <c r="GL19" s="2"/>
      <c r="GM19" s="2"/>
      <c r="GN19" s="2"/>
      <c r="GO19" s="2"/>
      <c r="GP19" s="2"/>
      <c r="GQ19" s="2">
        <v>75</v>
      </c>
      <c r="GR19" s="2" t="s">
        <v>3332</v>
      </c>
      <c r="GS19" s="2" t="s">
        <v>2686</v>
      </c>
      <c r="GT19" s="2" t="s">
        <v>3671</v>
      </c>
      <c r="GU19" s="2" t="s">
        <v>299</v>
      </c>
      <c r="GV19" s="2" t="s">
        <v>17</v>
      </c>
      <c r="GW19" s="2">
        <v>25.776630000000001</v>
      </c>
      <c r="GX19" s="2">
        <v>-80.21508</v>
      </c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>
        <v>25.773720000000001</v>
      </c>
      <c r="HK19" s="2">
        <v>-80.213520000000003</v>
      </c>
      <c r="HL19" s="2">
        <v>0.21</v>
      </c>
      <c r="HM19" s="2">
        <v>6</v>
      </c>
      <c r="HN19" s="2"/>
      <c r="HO19" s="2"/>
      <c r="HP19" s="2"/>
      <c r="HQ19" s="2"/>
      <c r="HR19" s="2"/>
      <c r="HS19" s="2"/>
      <c r="HT19" s="2"/>
      <c r="HU19" s="2"/>
      <c r="HV19" s="2" t="s">
        <v>3672</v>
      </c>
      <c r="HW19" s="2" t="s">
        <v>3673</v>
      </c>
      <c r="HX19" s="2">
        <v>0.3</v>
      </c>
      <c r="HY19" s="2">
        <v>4</v>
      </c>
      <c r="HZ19" s="2"/>
      <c r="IA19" s="2"/>
      <c r="IB19" s="2"/>
      <c r="IC19" s="2"/>
      <c r="ID19" s="2" t="s">
        <v>224</v>
      </c>
      <c r="IE19" s="2">
        <v>0.23</v>
      </c>
      <c r="IF19" s="2">
        <v>4</v>
      </c>
      <c r="IG19" s="2" t="s">
        <v>3674</v>
      </c>
      <c r="IH19" s="2">
        <v>0.18</v>
      </c>
      <c r="II19" s="2">
        <v>4</v>
      </c>
      <c r="IJ19" s="2" t="s">
        <v>17</v>
      </c>
      <c r="IK19" s="2"/>
      <c r="IL19" s="2" t="s">
        <v>79</v>
      </c>
      <c r="IM19" s="2" t="s">
        <v>17</v>
      </c>
      <c r="IN19" s="2"/>
      <c r="IO19" s="2" t="s">
        <v>79</v>
      </c>
      <c r="IP19" s="2">
        <v>6</v>
      </c>
      <c r="IQ19" s="2">
        <v>12</v>
      </c>
      <c r="IR19" s="2">
        <v>18</v>
      </c>
      <c r="IS19" s="2" t="s">
        <v>17</v>
      </c>
      <c r="IT19" s="2" t="s">
        <v>17</v>
      </c>
      <c r="IU19" s="2" t="s">
        <v>17</v>
      </c>
      <c r="IV19" s="2" t="s">
        <v>9</v>
      </c>
      <c r="IW19" s="2" t="s">
        <v>9</v>
      </c>
      <c r="IX19" s="2" t="s">
        <v>9</v>
      </c>
      <c r="IY19" s="2">
        <v>18</v>
      </c>
      <c r="IZ19" s="2">
        <v>75</v>
      </c>
      <c r="JA19" s="2" t="s">
        <v>3085</v>
      </c>
      <c r="JB19" s="2"/>
      <c r="JC19" s="2" t="s">
        <v>82</v>
      </c>
      <c r="JD19" s="2"/>
      <c r="JE19" s="2"/>
      <c r="JF19" s="7">
        <v>0</v>
      </c>
      <c r="JG19" s="7"/>
      <c r="JH19" s="7"/>
      <c r="JI19" s="2">
        <v>0</v>
      </c>
      <c r="JJ19" s="7">
        <v>0</v>
      </c>
      <c r="JK19" s="2">
        <v>0</v>
      </c>
      <c r="JL19" s="7">
        <v>0</v>
      </c>
      <c r="JM19" s="2">
        <v>27</v>
      </c>
      <c r="JN19" s="2"/>
      <c r="JO19" s="2"/>
      <c r="JP19" s="2">
        <v>31</v>
      </c>
      <c r="JQ19" s="2"/>
      <c r="JR19" s="2">
        <v>17</v>
      </c>
      <c r="JS19" s="2">
        <v>0</v>
      </c>
      <c r="JT19" s="2">
        <v>0</v>
      </c>
      <c r="JU19" s="2"/>
      <c r="JV19" s="2">
        <v>75</v>
      </c>
      <c r="JW19" s="4">
        <v>1</v>
      </c>
      <c r="JX19" s="2">
        <v>75</v>
      </c>
      <c r="JY19" s="4">
        <v>0.53732999999999997</v>
      </c>
      <c r="JZ19" s="2">
        <v>0</v>
      </c>
      <c r="KA19" s="2"/>
      <c r="KB19" s="2"/>
      <c r="KC19" s="2"/>
      <c r="KD19" s="2"/>
      <c r="KE19" s="2"/>
      <c r="KF19" s="2"/>
      <c r="KG19" s="2"/>
      <c r="KH19" s="2">
        <v>54</v>
      </c>
      <c r="KI19" s="2">
        <v>21</v>
      </c>
      <c r="KJ19" s="2"/>
      <c r="KK19" s="2"/>
      <c r="KL19" s="2"/>
      <c r="KM19" s="2"/>
      <c r="KN19" s="2"/>
      <c r="KO19" s="2"/>
      <c r="KP19" s="2"/>
      <c r="KQ19" s="2" t="s">
        <v>83</v>
      </c>
      <c r="KR19" s="2"/>
      <c r="KS19" s="2" t="s">
        <v>73</v>
      </c>
      <c r="KT19" s="2">
        <v>1</v>
      </c>
      <c r="KU19" s="2" t="s">
        <v>84</v>
      </c>
      <c r="KV19" s="2" t="s">
        <v>85</v>
      </c>
      <c r="KW19" s="2" t="s">
        <v>530</v>
      </c>
      <c r="KX19" s="2" t="s">
        <v>17</v>
      </c>
      <c r="KY19" s="2" t="s">
        <v>17</v>
      </c>
      <c r="KZ19" s="2" t="s">
        <v>17</v>
      </c>
      <c r="LA19" s="2" t="s">
        <v>17</v>
      </c>
      <c r="LB19" s="2" t="s">
        <v>17</v>
      </c>
      <c r="LC19" s="2" t="s">
        <v>17</v>
      </c>
      <c r="LD19" s="2" t="s">
        <v>17</v>
      </c>
      <c r="LE19" s="2" t="s">
        <v>17</v>
      </c>
      <c r="LF19" s="2" t="s">
        <v>17</v>
      </c>
      <c r="LG19" s="2" t="s">
        <v>17</v>
      </c>
      <c r="LH19" s="2" t="s">
        <v>17</v>
      </c>
      <c r="LI19" s="2" t="s">
        <v>17</v>
      </c>
      <c r="LJ19" s="2" t="s">
        <v>87</v>
      </c>
      <c r="LK19" s="2" t="s">
        <v>17</v>
      </c>
      <c r="LL19" s="2" t="s">
        <v>17</v>
      </c>
      <c r="LM19" s="2">
        <v>0</v>
      </c>
      <c r="LN19" s="2" t="s">
        <v>17</v>
      </c>
      <c r="LO19" s="2" t="s">
        <v>17</v>
      </c>
      <c r="LP19" s="2" t="s">
        <v>17</v>
      </c>
      <c r="LQ19" s="2" t="s">
        <v>17</v>
      </c>
      <c r="LR19" s="2" t="s">
        <v>17</v>
      </c>
      <c r="LS19" s="2" t="s">
        <v>17</v>
      </c>
      <c r="LT19" s="2" t="s">
        <v>17</v>
      </c>
      <c r="LU19" s="2" t="s">
        <v>9</v>
      </c>
      <c r="LV19" s="2" t="s">
        <v>9</v>
      </c>
      <c r="LW19" s="2" t="s">
        <v>17</v>
      </c>
      <c r="LX19" s="2" t="s">
        <v>9</v>
      </c>
      <c r="LY19" s="5">
        <v>6000000</v>
      </c>
      <c r="LZ19" s="5">
        <v>0</v>
      </c>
      <c r="MA19" s="5">
        <v>7500000</v>
      </c>
      <c r="MB19" s="5">
        <v>0</v>
      </c>
      <c r="MC19" s="5">
        <v>0</v>
      </c>
      <c r="MD19" s="5">
        <v>0</v>
      </c>
      <c r="ME19" s="5">
        <v>7875000</v>
      </c>
      <c r="MF19" s="5">
        <v>0</v>
      </c>
      <c r="MG19" s="5">
        <v>0</v>
      </c>
      <c r="MH19" s="5">
        <v>0</v>
      </c>
      <c r="MI19" s="5">
        <v>0</v>
      </c>
      <c r="MJ19" s="5">
        <v>0</v>
      </c>
      <c r="MK19" s="5">
        <v>0</v>
      </c>
      <c r="ML19" s="2">
        <v>0</v>
      </c>
      <c r="MM19" s="5">
        <v>0</v>
      </c>
      <c r="MN19" s="5">
        <v>0</v>
      </c>
      <c r="MO19" s="2">
        <v>0</v>
      </c>
      <c r="MP19" s="2">
        <v>0</v>
      </c>
      <c r="MQ19" s="2">
        <v>0</v>
      </c>
      <c r="MR19" s="5">
        <v>2950000</v>
      </c>
      <c r="MS19" s="5">
        <v>0</v>
      </c>
      <c r="MT19" s="5">
        <v>4600000</v>
      </c>
      <c r="MU19" s="5">
        <v>0</v>
      </c>
      <c r="MV19" s="5">
        <v>0</v>
      </c>
      <c r="MW19" s="5">
        <v>0</v>
      </c>
      <c r="MX19" s="5">
        <v>0</v>
      </c>
      <c r="MY19" s="5">
        <v>2500000</v>
      </c>
      <c r="MZ19" s="5">
        <v>0</v>
      </c>
      <c r="NA19" s="5">
        <v>5000000</v>
      </c>
      <c r="NB19" s="5">
        <v>0</v>
      </c>
      <c r="NC19" s="5">
        <v>0</v>
      </c>
      <c r="ND19" s="5">
        <v>0</v>
      </c>
      <c r="NE19" s="5">
        <v>0</v>
      </c>
      <c r="NF19" s="5">
        <v>0</v>
      </c>
      <c r="NG19" s="5">
        <v>3458400</v>
      </c>
      <c r="NH19" s="5">
        <v>2324124</v>
      </c>
      <c r="NI19" s="5">
        <v>2324124</v>
      </c>
      <c r="NJ19" s="5"/>
      <c r="NK19" s="5">
        <v>0</v>
      </c>
      <c r="NL19" s="2" t="s">
        <v>17</v>
      </c>
      <c r="NM19" s="2" t="s">
        <v>17</v>
      </c>
      <c r="NN19" s="2"/>
      <c r="NO19" s="2" t="s">
        <v>17</v>
      </c>
      <c r="NP19" s="2"/>
      <c r="NQ19" s="2"/>
      <c r="NR19" s="2" t="s">
        <v>17</v>
      </c>
      <c r="NS19" s="2"/>
      <c r="NT19" s="2" t="s">
        <v>9</v>
      </c>
      <c r="NU19" s="2" t="s">
        <v>450</v>
      </c>
      <c r="NV19" s="2">
        <v>52.01</v>
      </c>
      <c r="NW19" s="2" t="s">
        <v>3342</v>
      </c>
      <c r="NX19" s="2"/>
      <c r="NY19" s="2"/>
      <c r="NZ19" s="2"/>
      <c r="OA19" s="2" t="s">
        <v>118</v>
      </c>
      <c r="OB19" s="2" t="s">
        <v>118</v>
      </c>
      <c r="OC19" s="2" t="s">
        <v>118</v>
      </c>
      <c r="OD19" s="2" t="s">
        <v>3384</v>
      </c>
      <c r="OE19" s="2" t="s">
        <v>85</v>
      </c>
      <c r="OF19" s="2" t="s">
        <v>17</v>
      </c>
      <c r="OG19" s="2" t="s">
        <v>17</v>
      </c>
      <c r="OH19" s="2" t="s">
        <v>119</v>
      </c>
      <c r="OI19" s="2" t="s">
        <v>17</v>
      </c>
      <c r="OJ19" s="2"/>
      <c r="OK19" s="2" t="s">
        <v>17</v>
      </c>
      <c r="OL19" s="2" t="s">
        <v>17</v>
      </c>
      <c r="OM19" s="2" t="s">
        <v>85</v>
      </c>
      <c r="ON19" s="6">
        <v>0</v>
      </c>
      <c r="OO19" s="6">
        <v>0</v>
      </c>
      <c r="OP19" s="2" t="s">
        <v>93</v>
      </c>
      <c r="OQ19" s="2" t="s">
        <v>93</v>
      </c>
      <c r="OR19" s="6">
        <v>0</v>
      </c>
      <c r="OS19" s="4">
        <v>0</v>
      </c>
      <c r="OT19" s="2" t="s">
        <v>17</v>
      </c>
      <c r="OU19" s="2" t="s">
        <v>17</v>
      </c>
      <c r="OV19" s="2"/>
      <c r="OW19" s="2"/>
      <c r="OX19" s="5">
        <v>14922271</v>
      </c>
      <c r="OY19" s="6">
        <v>198963.61</v>
      </c>
      <c r="OZ19" s="8">
        <v>251000</v>
      </c>
      <c r="PA19" s="8">
        <v>251000</v>
      </c>
      <c r="PB19" s="8">
        <v>373828</v>
      </c>
      <c r="PC19" s="8">
        <v>373828</v>
      </c>
      <c r="PD19" s="8">
        <v>14864506</v>
      </c>
      <c r="PE19" s="2"/>
      <c r="PF19" s="8">
        <v>14864506</v>
      </c>
      <c r="PG19" s="8">
        <v>341015</v>
      </c>
      <c r="PH19" s="8">
        <v>14889</v>
      </c>
      <c r="PI19" s="8">
        <v>355904</v>
      </c>
      <c r="PJ19" s="8">
        <v>784354</v>
      </c>
      <c r="PK19" s="8">
        <v>19726</v>
      </c>
      <c r="PL19" s="8">
        <v>804080</v>
      </c>
      <c r="PM19" s="8">
        <v>15989875</v>
      </c>
      <c r="PN19" s="8">
        <v>659443</v>
      </c>
      <c r="PO19" s="8">
        <v>16649318</v>
      </c>
      <c r="PP19" s="8">
        <v>2163913</v>
      </c>
      <c r="PQ19" s="8">
        <v>54420</v>
      </c>
      <c r="PR19" s="8">
        <v>2218333</v>
      </c>
      <c r="PS19" s="6">
        <v>2330904</v>
      </c>
      <c r="PT19" s="8">
        <v>18153788</v>
      </c>
      <c r="PU19" s="8">
        <v>713863</v>
      </c>
      <c r="PV19" s="8">
        <v>18867651</v>
      </c>
      <c r="PW19" s="8">
        <v>899652</v>
      </c>
      <c r="PX19" s="8">
        <v>22625</v>
      </c>
      <c r="PY19" s="8">
        <v>922277</v>
      </c>
      <c r="PZ19" s="6">
        <v>943382.55</v>
      </c>
      <c r="QA19" s="8">
        <v>1036406</v>
      </c>
      <c r="QB19" s="8">
        <v>143810</v>
      </c>
      <c r="QC19" s="8">
        <v>1180216</v>
      </c>
      <c r="QD19" s="8">
        <v>146320</v>
      </c>
      <c r="QE19" s="8">
        <v>3680</v>
      </c>
      <c r="QF19" s="8">
        <v>150000</v>
      </c>
      <c r="QG19" s="8">
        <v>652076</v>
      </c>
      <c r="QH19" s="8">
        <v>16399</v>
      </c>
      <c r="QI19" s="8">
        <v>668475</v>
      </c>
      <c r="QJ19" s="2"/>
      <c r="QK19" s="8">
        <v>371251</v>
      </c>
      <c r="QL19" s="8">
        <v>371251</v>
      </c>
      <c r="QM19" s="2"/>
      <c r="QN19" s="2"/>
      <c r="QO19" s="2"/>
      <c r="QP19" s="2"/>
      <c r="QQ19" s="2"/>
      <c r="QR19" s="2"/>
      <c r="QS19" s="8">
        <v>1834802</v>
      </c>
      <c r="QT19" s="8">
        <v>535140</v>
      </c>
      <c r="QU19" s="8">
        <v>2369942</v>
      </c>
      <c r="QV19" s="8">
        <v>115590</v>
      </c>
      <c r="QW19" s="8">
        <v>2907</v>
      </c>
      <c r="QX19" s="8">
        <v>118497</v>
      </c>
      <c r="QY19" s="6">
        <v>118497.1</v>
      </c>
      <c r="QZ19" s="8">
        <v>1891870</v>
      </c>
      <c r="RA19" s="8">
        <v>542240</v>
      </c>
      <c r="RB19" s="8">
        <v>2434110</v>
      </c>
      <c r="RC19" s="8">
        <v>105000</v>
      </c>
      <c r="RD19" s="8">
        <v>105000</v>
      </c>
      <c r="RE19" s="2"/>
      <c r="RF19" s="8">
        <v>200000</v>
      </c>
      <c r="RG19" s="8">
        <v>200000</v>
      </c>
      <c r="RH19" s="8">
        <v>1891870</v>
      </c>
      <c r="RI19" s="8">
        <v>847240</v>
      </c>
      <c r="RJ19" s="8">
        <v>2739110</v>
      </c>
      <c r="RK19" s="8">
        <v>22895702</v>
      </c>
      <c r="RL19" s="8">
        <v>2121775</v>
      </c>
      <c r="RM19" s="8">
        <v>25017477</v>
      </c>
      <c r="RN19" s="2">
        <v>0</v>
      </c>
      <c r="RO19" s="6">
        <v>0</v>
      </c>
      <c r="RP19" s="8">
        <v>3845668</v>
      </c>
      <c r="RQ19" s="8">
        <v>96715</v>
      </c>
      <c r="RR19" s="8">
        <v>3942383</v>
      </c>
      <c r="RS19" s="6">
        <v>4002796</v>
      </c>
      <c r="RT19" s="6">
        <v>0</v>
      </c>
      <c r="RU19" s="8">
        <v>3845668</v>
      </c>
      <c r="RV19" s="8">
        <v>96715</v>
      </c>
      <c r="RW19" s="8">
        <v>3942383</v>
      </c>
      <c r="RX19" s="6">
        <v>4002796</v>
      </c>
      <c r="RY19" s="2"/>
      <c r="RZ19" s="2"/>
      <c r="SA19" s="6">
        <v>262500</v>
      </c>
      <c r="SB19" s="8">
        <v>1200000</v>
      </c>
      <c r="SC19" s="8">
        <v>1200000</v>
      </c>
      <c r="SD19" s="8">
        <v>26741370</v>
      </c>
      <c r="SE19" s="8">
        <v>3418490</v>
      </c>
      <c r="SF19" s="8">
        <v>30159860</v>
      </c>
      <c r="SG19" s="2" t="s">
        <v>229</v>
      </c>
      <c r="SH19" s="2" t="s">
        <v>3675</v>
      </c>
      <c r="SI19" s="2"/>
      <c r="SJ19" s="2" t="s">
        <v>3676</v>
      </c>
      <c r="SK19" s="8">
        <v>17900000</v>
      </c>
      <c r="SL19" s="2" t="s">
        <v>95</v>
      </c>
      <c r="SM19" s="8">
        <v>4000000</v>
      </c>
      <c r="SN19" s="2" t="s">
        <v>413</v>
      </c>
      <c r="SO19" s="8">
        <v>105000</v>
      </c>
      <c r="SP19" s="2" t="s">
        <v>3677</v>
      </c>
      <c r="SQ19" s="8">
        <v>723477</v>
      </c>
      <c r="SR19" s="2" t="s">
        <v>3677</v>
      </c>
      <c r="SS19" s="2" t="s">
        <v>96</v>
      </c>
      <c r="ST19" s="2" t="s">
        <v>96</v>
      </c>
      <c r="SU19" s="2" t="s">
        <v>96</v>
      </c>
      <c r="SV19" s="2" t="s">
        <v>96</v>
      </c>
      <c r="SW19" s="8">
        <v>3277000</v>
      </c>
      <c r="SX19" s="2" t="s">
        <v>3678</v>
      </c>
      <c r="SY19" s="8">
        <v>750000</v>
      </c>
      <c r="SZ19" s="2" t="s">
        <v>413</v>
      </c>
      <c r="TA19" s="2" t="s">
        <v>3679</v>
      </c>
      <c r="TB19" s="8">
        <v>100000</v>
      </c>
      <c r="TC19" s="2" t="s">
        <v>413</v>
      </c>
      <c r="TD19" s="8">
        <v>3304383</v>
      </c>
      <c r="TE19" s="8">
        <v>30159860</v>
      </c>
      <c r="TF19" s="2">
        <v>0</v>
      </c>
      <c r="TG19" s="2" t="s">
        <v>9</v>
      </c>
      <c r="TH19" s="8">
        <v>2075000</v>
      </c>
      <c r="TI19" s="2" t="s">
        <v>95</v>
      </c>
      <c r="TJ19" s="8">
        <v>4000000</v>
      </c>
      <c r="TK19" s="2" t="s">
        <v>413</v>
      </c>
      <c r="TL19" s="2"/>
      <c r="TM19" s="2"/>
      <c r="TN19" s="2" t="s">
        <v>96</v>
      </c>
      <c r="TO19" s="2" t="s">
        <v>96</v>
      </c>
      <c r="TP19" s="2" t="s">
        <v>96</v>
      </c>
      <c r="TQ19" s="2" t="s">
        <v>96</v>
      </c>
      <c r="TR19" s="8">
        <v>21844581</v>
      </c>
      <c r="TS19" s="2" t="s">
        <v>3678</v>
      </c>
      <c r="TT19" s="8">
        <v>750000</v>
      </c>
      <c r="TU19" s="2" t="s">
        <v>413</v>
      </c>
      <c r="TV19" s="2" t="s">
        <v>3680</v>
      </c>
      <c r="TW19" s="8">
        <v>100000</v>
      </c>
      <c r="TX19" s="2" t="s">
        <v>413</v>
      </c>
      <c r="TY19" s="8">
        <v>1390279</v>
      </c>
      <c r="TZ19" s="8">
        <v>30159860</v>
      </c>
      <c r="UA19" s="6">
        <v>6925000</v>
      </c>
      <c r="UB19" s="2">
        <v>0</v>
      </c>
      <c r="UC19" s="2" t="s">
        <v>9</v>
      </c>
      <c r="UD19" s="2">
        <v>75</v>
      </c>
      <c r="UE19" s="5">
        <v>310000</v>
      </c>
      <c r="UF19" s="6">
        <v>413333.33</v>
      </c>
      <c r="UG19" s="6">
        <v>413333.33</v>
      </c>
      <c r="UH19" s="6">
        <v>438133.33</v>
      </c>
      <c r="UI19" s="6">
        <v>32860000</v>
      </c>
      <c r="UJ19" s="6">
        <v>5257600</v>
      </c>
      <c r="UK19" s="2" t="s">
        <v>97</v>
      </c>
      <c r="UL19" s="6">
        <v>5257600</v>
      </c>
      <c r="UM19" s="6">
        <v>38117600</v>
      </c>
      <c r="UN19" s="6">
        <v>28335032</v>
      </c>
      <c r="UO19" s="4">
        <v>0.99990000000000001</v>
      </c>
      <c r="UP19" s="2" t="s">
        <v>9</v>
      </c>
      <c r="UQ19" s="6">
        <v>0</v>
      </c>
      <c r="UR19" s="6">
        <v>0</v>
      </c>
      <c r="US19" s="6">
        <v>257220</v>
      </c>
      <c r="UT19" s="6">
        <v>257220</v>
      </c>
      <c r="UU19" s="6">
        <v>0</v>
      </c>
      <c r="UV19" s="6">
        <v>257220</v>
      </c>
      <c r="UW19" s="6">
        <v>0</v>
      </c>
      <c r="UX19" s="6">
        <v>257220</v>
      </c>
      <c r="UY19" s="2" t="s">
        <v>3332</v>
      </c>
      <c r="UZ19" s="2" t="s">
        <v>3288</v>
      </c>
      <c r="VA19" s="2" t="s">
        <v>17</v>
      </c>
      <c r="VB19" s="2" t="s">
        <v>17</v>
      </c>
      <c r="VC19" s="2" t="s">
        <v>17</v>
      </c>
      <c r="VD19" s="2" t="s">
        <v>17</v>
      </c>
      <c r="VE19" s="2" t="s">
        <v>17</v>
      </c>
      <c r="VF19" s="2" t="s">
        <v>17</v>
      </c>
      <c r="VG19" s="2" t="s">
        <v>3681</v>
      </c>
      <c r="VH19" s="2" t="s">
        <v>3682</v>
      </c>
      <c r="VI19" s="388" t="s">
        <v>3683</v>
      </c>
      <c r="VJ19" s="2" t="s">
        <v>98</v>
      </c>
      <c r="VK19" s="2" t="s">
        <v>3684</v>
      </c>
      <c r="VL19" s="23">
        <f t="shared" si="0"/>
        <v>96</v>
      </c>
      <c r="VM19" s="17">
        <f t="shared" si="1"/>
        <v>1.28</v>
      </c>
      <c r="VN19" s="17" t="str">
        <f t="shared" si="2"/>
        <v>NC-HR-E</v>
      </c>
      <c r="VO19" s="17" t="str">
        <f t="shared" si="14"/>
        <v>NC-HR-E-ESS</v>
      </c>
      <c r="VP19" s="12">
        <v>9</v>
      </c>
      <c r="VQ19" s="57">
        <v>1</v>
      </c>
      <c r="VR19" s="57">
        <f t="shared" si="3"/>
        <v>1</v>
      </c>
      <c r="VS19" s="14">
        <f t="shared" si="4"/>
        <v>1</v>
      </c>
      <c r="VT19" s="12">
        <f t="shared" si="5"/>
        <v>0.88350000000000006</v>
      </c>
      <c r="VU19" s="29">
        <f t="shared" si="6"/>
        <v>18480271.986000001</v>
      </c>
      <c r="VV19" s="29">
        <f t="shared" si="7"/>
        <v>246403.63</v>
      </c>
      <c r="VW19" s="12" t="str">
        <f t="shared" si="15"/>
        <v>A</v>
      </c>
      <c r="VX19" s="12" t="str">
        <f t="shared" si="8"/>
        <v>NC-HR-ESS</v>
      </c>
      <c r="VY19" s="352">
        <f t="shared" si="16"/>
        <v>3</v>
      </c>
      <c r="WA19" s="12">
        <f t="shared" si="17"/>
        <v>1</v>
      </c>
      <c r="WB19" s="12">
        <f t="shared" si="18"/>
        <v>0</v>
      </c>
      <c r="WC19" s="12">
        <f t="shared" si="18"/>
        <v>0</v>
      </c>
      <c r="WD19" s="12">
        <f t="shared" si="18"/>
        <v>0</v>
      </c>
      <c r="WE19" s="12">
        <f t="shared" si="19"/>
        <v>1</v>
      </c>
      <c r="WF19" s="12">
        <f t="shared" si="9"/>
        <v>0</v>
      </c>
      <c r="WG19" s="12">
        <f t="shared" si="10"/>
        <v>0</v>
      </c>
      <c r="WH19" s="12">
        <f t="shared" si="11"/>
        <v>1</v>
      </c>
      <c r="WI19" s="31">
        <f t="shared" si="12"/>
        <v>3</v>
      </c>
      <c r="WJ19" s="2"/>
      <c r="WK19" s="444" t="str">
        <f t="shared" si="20"/>
        <v>NC-HR-ESS-BBN-BRN-NPH-E</v>
      </c>
      <c r="WL19" s="444"/>
      <c r="WM19" s="444"/>
    </row>
    <row r="20" spans="1:611" x14ac:dyDescent="0.25">
      <c r="A20" s="2">
        <v>9660</v>
      </c>
      <c r="B20" s="2" t="s">
        <v>3685</v>
      </c>
      <c r="C20" s="2" t="s">
        <v>3305</v>
      </c>
      <c r="D20" s="3">
        <v>45159</v>
      </c>
      <c r="E20" s="2" t="s">
        <v>9</v>
      </c>
      <c r="F20" s="2">
        <v>3</v>
      </c>
      <c r="G20" s="2" t="s">
        <v>9</v>
      </c>
      <c r="H20" s="2">
        <v>3</v>
      </c>
      <c r="I20" s="2" t="s">
        <v>9</v>
      </c>
      <c r="J20" s="2">
        <v>2</v>
      </c>
      <c r="K20" s="2" t="s">
        <v>9</v>
      </c>
      <c r="L20" s="2">
        <v>2</v>
      </c>
      <c r="M20" s="2" t="s">
        <v>10</v>
      </c>
      <c r="N20" s="2">
        <v>0</v>
      </c>
      <c r="O20" s="2" t="s">
        <v>10</v>
      </c>
      <c r="P20" s="2">
        <v>0</v>
      </c>
      <c r="Q20" s="2" t="s">
        <v>11</v>
      </c>
      <c r="R20" s="2">
        <v>0</v>
      </c>
      <c r="S20" s="2" t="s">
        <v>9</v>
      </c>
      <c r="T20" s="2">
        <v>2</v>
      </c>
      <c r="U20" s="2" t="s">
        <v>9</v>
      </c>
      <c r="V20" s="2">
        <v>2</v>
      </c>
      <c r="W20" s="2" t="s">
        <v>9</v>
      </c>
      <c r="X20" s="2">
        <v>2</v>
      </c>
      <c r="Y20" s="2" t="s">
        <v>12</v>
      </c>
      <c r="Z20" s="2" t="s">
        <v>1517</v>
      </c>
      <c r="AA20" s="2" t="s">
        <v>3686</v>
      </c>
      <c r="AB20" s="2" t="s">
        <v>3686</v>
      </c>
      <c r="AC20" s="2" t="s">
        <v>15</v>
      </c>
      <c r="AD20" s="2" t="s">
        <v>15</v>
      </c>
      <c r="AE20" s="2" t="s">
        <v>15</v>
      </c>
      <c r="AF20" s="2">
        <v>3</v>
      </c>
      <c r="AG20" s="2" t="s">
        <v>3687</v>
      </c>
      <c r="AH20" s="2" t="s">
        <v>17</v>
      </c>
      <c r="AI20" s="4">
        <v>0.1</v>
      </c>
      <c r="AJ20" s="2" t="s">
        <v>17</v>
      </c>
      <c r="AK20" s="2" t="s">
        <v>9</v>
      </c>
      <c r="AL20" s="2" t="s">
        <v>17</v>
      </c>
      <c r="AM20" s="2" t="s">
        <v>17</v>
      </c>
      <c r="AN20" s="2" t="s">
        <v>17</v>
      </c>
      <c r="AO20" s="2" t="s">
        <v>17</v>
      </c>
      <c r="AP20" s="2" t="s">
        <v>9</v>
      </c>
      <c r="AQ20" s="2" t="s">
        <v>17</v>
      </c>
      <c r="AR20" s="2" t="s">
        <v>17</v>
      </c>
      <c r="AS20" s="2" t="s">
        <v>17</v>
      </c>
      <c r="AT20" s="2">
        <v>5</v>
      </c>
      <c r="AU20" s="5">
        <v>100000</v>
      </c>
      <c r="AV20" s="2" t="s">
        <v>85</v>
      </c>
      <c r="AW20" s="2">
        <v>0</v>
      </c>
      <c r="AX20" s="2">
        <v>10</v>
      </c>
      <c r="AY20" s="2">
        <v>0</v>
      </c>
      <c r="AZ20" s="2">
        <v>18</v>
      </c>
      <c r="BA20" s="2">
        <v>0</v>
      </c>
      <c r="BB20" s="2">
        <v>0</v>
      </c>
      <c r="BC20" s="2">
        <v>1</v>
      </c>
      <c r="BD20" s="2">
        <v>3</v>
      </c>
      <c r="BE20" s="2">
        <v>0</v>
      </c>
      <c r="BF20" s="2">
        <v>1</v>
      </c>
      <c r="BG20" s="2">
        <v>0</v>
      </c>
      <c r="BH20" s="2">
        <v>0</v>
      </c>
      <c r="BI20" s="2">
        <v>13</v>
      </c>
      <c r="BJ20" s="2">
        <v>1</v>
      </c>
      <c r="BK20" s="2">
        <v>0</v>
      </c>
      <c r="BL20" s="2">
        <v>3</v>
      </c>
      <c r="BM20" s="2">
        <v>1</v>
      </c>
      <c r="BN20" s="2">
        <v>12</v>
      </c>
      <c r="BO20" s="2">
        <v>11</v>
      </c>
      <c r="BP20" s="2">
        <v>0</v>
      </c>
      <c r="BQ20" s="2">
        <v>10</v>
      </c>
      <c r="BR20" s="2">
        <v>10.9</v>
      </c>
      <c r="BS20" s="2">
        <v>0</v>
      </c>
      <c r="BT20" s="4">
        <v>0.06</v>
      </c>
      <c r="BU20" s="2" t="s">
        <v>9</v>
      </c>
      <c r="BV20" s="6">
        <v>199665</v>
      </c>
      <c r="BW20" s="2" t="s">
        <v>18</v>
      </c>
      <c r="BX20" s="2" t="s">
        <v>17</v>
      </c>
      <c r="BY20" s="2" t="s">
        <v>17</v>
      </c>
      <c r="BZ20" s="2" t="s">
        <v>17</v>
      </c>
      <c r="CA20" s="2" t="s">
        <v>17</v>
      </c>
      <c r="CB20" s="2" t="s">
        <v>17</v>
      </c>
      <c r="CC20" s="2" t="s">
        <v>17</v>
      </c>
      <c r="CD20" s="2" t="s">
        <v>17</v>
      </c>
      <c r="CE20" s="2" t="s">
        <v>3688</v>
      </c>
      <c r="CF20" s="2" t="s">
        <v>17</v>
      </c>
      <c r="CG20" s="2" t="s">
        <v>3689</v>
      </c>
      <c r="CH20" s="2" t="s">
        <v>3690</v>
      </c>
      <c r="CI20" s="2"/>
      <c r="CJ20" s="2" t="s">
        <v>9</v>
      </c>
      <c r="CK20" s="2" t="s">
        <v>3691</v>
      </c>
      <c r="CL20" s="2" t="s">
        <v>3690</v>
      </c>
      <c r="CM20" s="2" t="s">
        <v>3692</v>
      </c>
      <c r="CN20" s="2" t="s">
        <v>3693</v>
      </c>
      <c r="CO20" s="2" t="s">
        <v>24</v>
      </c>
      <c r="CP20" s="2"/>
      <c r="CQ20" s="2">
        <v>84</v>
      </c>
      <c r="CR20" s="2" t="s">
        <v>3002</v>
      </c>
      <c r="CS20" s="2">
        <v>2021</v>
      </c>
      <c r="CT20" s="2" t="s">
        <v>26</v>
      </c>
      <c r="CU20" s="2" t="s">
        <v>27</v>
      </c>
      <c r="CV20" s="2" t="s">
        <v>3694</v>
      </c>
      <c r="CW20" s="2" t="s">
        <v>3693</v>
      </c>
      <c r="CX20" s="2" t="s">
        <v>24</v>
      </c>
      <c r="CY20" s="2"/>
      <c r="CZ20" s="2">
        <v>128</v>
      </c>
      <c r="DA20" s="2" t="s">
        <v>3002</v>
      </c>
      <c r="DB20" s="2">
        <v>2022</v>
      </c>
      <c r="DC20" s="2" t="s">
        <v>30</v>
      </c>
      <c r="DD20" s="2" t="s">
        <v>27</v>
      </c>
      <c r="DE20" s="2" t="s">
        <v>3695</v>
      </c>
      <c r="DF20" s="2" t="s">
        <v>3696</v>
      </c>
      <c r="DG20" s="2" t="s">
        <v>24</v>
      </c>
      <c r="DH20" s="2"/>
      <c r="DI20" s="2">
        <v>50</v>
      </c>
      <c r="DJ20" s="2" t="s">
        <v>3697</v>
      </c>
      <c r="DK20" s="2">
        <v>2012</v>
      </c>
      <c r="DL20" s="2" t="s">
        <v>243</v>
      </c>
      <c r="DM20" s="2" t="s">
        <v>27</v>
      </c>
      <c r="DN20" s="2" t="s">
        <v>33</v>
      </c>
      <c r="DO20" s="2" t="s">
        <v>1630</v>
      </c>
      <c r="DP20" s="2"/>
      <c r="DQ20" s="2" t="s">
        <v>1631</v>
      </c>
      <c r="DR20" s="2" t="s">
        <v>1632</v>
      </c>
      <c r="DS20" s="2">
        <v>1</v>
      </c>
      <c r="DT20" s="2" t="s">
        <v>3698</v>
      </c>
      <c r="DU20" s="2" t="s">
        <v>299</v>
      </c>
      <c r="DV20" s="2" t="s">
        <v>39</v>
      </c>
      <c r="DW20" s="2">
        <v>33127</v>
      </c>
      <c r="DX20" s="2" t="s">
        <v>3699</v>
      </c>
      <c r="DY20" s="2"/>
      <c r="DZ20" s="2" t="s">
        <v>1635</v>
      </c>
      <c r="EA20" s="2" t="s">
        <v>1632</v>
      </c>
      <c r="EB20" s="2" t="s">
        <v>3700</v>
      </c>
      <c r="EC20" s="2" t="s">
        <v>330</v>
      </c>
      <c r="ED20" s="2" t="s">
        <v>44</v>
      </c>
      <c r="EE20" s="2">
        <v>121</v>
      </c>
      <c r="EF20" s="2" t="s">
        <v>3003</v>
      </c>
      <c r="EG20" s="2">
        <v>17</v>
      </c>
      <c r="EH20" s="2" t="s">
        <v>46</v>
      </c>
      <c r="EI20" s="2" t="s">
        <v>47</v>
      </c>
      <c r="EJ20" s="2" t="s">
        <v>1628</v>
      </c>
      <c r="EK20" s="2" t="s">
        <v>1281</v>
      </c>
      <c r="EL20" s="2" t="s">
        <v>44</v>
      </c>
      <c r="EM20" s="2">
        <v>228</v>
      </c>
      <c r="EN20" s="2" t="s">
        <v>3003</v>
      </c>
      <c r="EO20" s="2">
        <v>4</v>
      </c>
      <c r="EP20" s="2" t="s">
        <v>46</v>
      </c>
      <c r="EQ20" s="2" t="s">
        <v>47</v>
      </c>
      <c r="ER20" s="2" t="s">
        <v>3701</v>
      </c>
      <c r="ES20" s="2"/>
      <c r="ET20" s="2" t="s">
        <v>3702</v>
      </c>
      <c r="EU20" s="2" t="s">
        <v>3688</v>
      </c>
      <c r="EV20" s="2" t="s">
        <v>3703</v>
      </c>
      <c r="EW20" s="2" t="s">
        <v>299</v>
      </c>
      <c r="EX20" s="2" t="s">
        <v>39</v>
      </c>
      <c r="EY20" s="2">
        <v>33138</v>
      </c>
      <c r="EZ20" s="2" t="s">
        <v>3704</v>
      </c>
      <c r="FA20" s="2"/>
      <c r="FB20" s="2" t="s">
        <v>3705</v>
      </c>
      <c r="FC20" s="2" t="s">
        <v>3706</v>
      </c>
      <c r="FD20" s="2"/>
      <c r="FE20" s="2" t="s">
        <v>3707</v>
      </c>
      <c r="FF20" s="2" t="s">
        <v>3689</v>
      </c>
      <c r="FG20" s="2" t="s">
        <v>3703</v>
      </c>
      <c r="FH20" s="2" t="s">
        <v>299</v>
      </c>
      <c r="FI20" s="2" t="s">
        <v>39</v>
      </c>
      <c r="FJ20" s="2">
        <v>33138</v>
      </c>
      <c r="FK20" s="2" t="s">
        <v>3708</v>
      </c>
      <c r="FL20" s="2"/>
      <c r="FM20" s="2" t="s">
        <v>3709</v>
      </c>
      <c r="FN20" s="2" t="s">
        <v>3710</v>
      </c>
      <c r="FO20" s="2" t="s">
        <v>63</v>
      </c>
      <c r="FP20" s="2" t="s">
        <v>64</v>
      </c>
      <c r="FQ20" s="2" t="s">
        <v>9</v>
      </c>
      <c r="FR20" s="2" t="s">
        <v>17</v>
      </c>
      <c r="FS20" s="2" t="s">
        <v>17</v>
      </c>
      <c r="FT20" s="2" t="s">
        <v>9</v>
      </c>
      <c r="FU20" s="2"/>
      <c r="FV20" s="2"/>
      <c r="FW20" s="2">
        <v>0</v>
      </c>
      <c r="FX20" s="2">
        <v>0</v>
      </c>
      <c r="FY20" s="4">
        <v>0</v>
      </c>
      <c r="FZ20" s="4">
        <v>0</v>
      </c>
      <c r="GA20" s="2" t="s">
        <v>65</v>
      </c>
      <c r="GB20" s="2"/>
      <c r="GC20" s="2" t="s">
        <v>66</v>
      </c>
      <c r="GD20" s="2" t="s">
        <v>67</v>
      </c>
      <c r="GE20" s="2" t="s">
        <v>1612</v>
      </c>
      <c r="GF20" s="2"/>
      <c r="GG20" s="2"/>
      <c r="GH20" s="2"/>
      <c r="GI20" s="2">
        <v>110</v>
      </c>
      <c r="GJ20" s="2"/>
      <c r="GK20" s="2"/>
      <c r="GL20" s="2"/>
      <c r="GM20" s="2"/>
      <c r="GN20" s="2"/>
      <c r="GO20" s="2"/>
      <c r="GP20" s="2"/>
      <c r="GQ20" s="2">
        <v>110</v>
      </c>
      <c r="GR20" s="2" t="s">
        <v>3332</v>
      </c>
      <c r="GS20" s="2" t="s">
        <v>2686</v>
      </c>
      <c r="GT20" s="2" t="s">
        <v>3711</v>
      </c>
      <c r="GU20" s="2" t="s">
        <v>2720</v>
      </c>
      <c r="GV20" s="2" t="s">
        <v>17</v>
      </c>
      <c r="GW20" s="2">
        <v>25.582809000000001</v>
      </c>
      <c r="GX20" s="2">
        <v>-80.397271000000003</v>
      </c>
      <c r="GY20" s="2"/>
      <c r="GZ20" s="2">
        <v>25.581956999999999</v>
      </c>
      <c r="HA20" s="2">
        <v>-80.391812999999999</v>
      </c>
      <c r="HB20" s="2">
        <v>0.35</v>
      </c>
      <c r="HC20" s="2">
        <v>5</v>
      </c>
      <c r="HD20" s="2">
        <v>25.581054999999999</v>
      </c>
      <c r="HE20" s="2">
        <v>-80.389016999999996</v>
      </c>
      <c r="HF20" s="2">
        <v>0.53</v>
      </c>
      <c r="HG20" s="2">
        <v>25.581277</v>
      </c>
      <c r="HH20" s="2">
        <v>-80.388869999999997</v>
      </c>
      <c r="HI20" s="2">
        <v>0.53</v>
      </c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 t="s">
        <v>549</v>
      </c>
      <c r="HW20" s="2" t="s">
        <v>3712</v>
      </c>
      <c r="HX20" s="2">
        <v>0.24</v>
      </c>
      <c r="HY20" s="2">
        <v>4</v>
      </c>
      <c r="HZ20" s="2"/>
      <c r="IA20" s="2"/>
      <c r="IB20" s="2"/>
      <c r="IC20" s="2"/>
      <c r="ID20" s="2" t="s">
        <v>224</v>
      </c>
      <c r="IE20" s="2">
        <v>0.11</v>
      </c>
      <c r="IF20" s="2">
        <v>4</v>
      </c>
      <c r="IG20" s="2" t="s">
        <v>3713</v>
      </c>
      <c r="IH20" s="2">
        <v>0.71</v>
      </c>
      <c r="II20" s="2">
        <v>3.5</v>
      </c>
      <c r="IJ20" s="2" t="s">
        <v>17</v>
      </c>
      <c r="IK20" s="2"/>
      <c r="IL20" s="2" t="s">
        <v>79</v>
      </c>
      <c r="IM20" s="2" t="s">
        <v>17</v>
      </c>
      <c r="IN20" s="2"/>
      <c r="IO20" s="2" t="s">
        <v>79</v>
      </c>
      <c r="IP20" s="2">
        <v>5</v>
      </c>
      <c r="IQ20" s="2">
        <v>11.5</v>
      </c>
      <c r="IR20" s="2">
        <v>16.5</v>
      </c>
      <c r="IS20" s="2" t="s">
        <v>17</v>
      </c>
      <c r="IT20" s="2" t="s">
        <v>17</v>
      </c>
      <c r="IU20" s="2" t="s">
        <v>17</v>
      </c>
      <c r="IV20" s="2" t="s">
        <v>9</v>
      </c>
      <c r="IW20" s="2" t="s">
        <v>9</v>
      </c>
      <c r="IX20" s="2" t="s">
        <v>9</v>
      </c>
      <c r="IY20" s="2">
        <v>16.5</v>
      </c>
      <c r="IZ20" s="2">
        <v>110</v>
      </c>
      <c r="JA20" s="2" t="s">
        <v>2731</v>
      </c>
      <c r="JB20" s="2"/>
      <c r="JC20" s="2" t="s">
        <v>173</v>
      </c>
      <c r="JD20" s="7">
        <v>0.1</v>
      </c>
      <c r="JE20" s="7">
        <v>0.9</v>
      </c>
      <c r="JF20" s="7">
        <v>0</v>
      </c>
      <c r="JG20" s="7"/>
      <c r="JH20" s="7"/>
      <c r="JI20" s="2">
        <v>110</v>
      </c>
      <c r="JJ20" s="7">
        <v>1</v>
      </c>
      <c r="JK20" s="2">
        <v>110</v>
      </c>
      <c r="JL20" s="7">
        <v>1</v>
      </c>
      <c r="JM20" s="2"/>
      <c r="JN20" s="2"/>
      <c r="JO20" s="2"/>
      <c r="JP20" s="2"/>
      <c r="JQ20" s="2"/>
      <c r="JR20" s="2"/>
      <c r="JS20" s="2">
        <v>0</v>
      </c>
      <c r="JT20" s="2">
        <v>0</v>
      </c>
      <c r="JU20" s="2"/>
      <c r="JV20" s="2">
        <v>0</v>
      </c>
      <c r="JW20" s="4">
        <v>0</v>
      </c>
      <c r="JX20" s="2">
        <v>0</v>
      </c>
      <c r="JY20" s="4">
        <v>0</v>
      </c>
      <c r="JZ20" s="2">
        <v>0</v>
      </c>
      <c r="KA20" s="2"/>
      <c r="KB20" s="2"/>
      <c r="KC20" s="2"/>
      <c r="KD20" s="2"/>
      <c r="KE20" s="2"/>
      <c r="KF20" s="2"/>
      <c r="KG20" s="2"/>
      <c r="KH20" s="2">
        <v>39</v>
      </c>
      <c r="KI20" s="2"/>
      <c r="KJ20" s="2"/>
      <c r="KK20" s="2">
        <v>53</v>
      </c>
      <c r="KL20" s="2">
        <v>18</v>
      </c>
      <c r="KM20" s="2"/>
      <c r="KN20" s="2"/>
      <c r="KO20" s="2"/>
      <c r="KP20" s="2"/>
      <c r="KQ20" s="2" t="s">
        <v>83</v>
      </c>
      <c r="KR20" s="2" t="s">
        <v>73</v>
      </c>
      <c r="KS20" s="2"/>
      <c r="KT20" s="2">
        <v>1</v>
      </c>
      <c r="KU20" s="2" t="s">
        <v>84</v>
      </c>
      <c r="KV20" s="2" t="s">
        <v>85</v>
      </c>
      <c r="KW20" s="2" t="s">
        <v>86</v>
      </c>
      <c r="KX20" s="2" t="s">
        <v>17</v>
      </c>
      <c r="KY20" s="2" t="s">
        <v>17</v>
      </c>
      <c r="KZ20" s="2" t="s">
        <v>17</v>
      </c>
      <c r="LA20" s="2" t="s">
        <v>17</v>
      </c>
      <c r="LB20" s="2" t="s">
        <v>17</v>
      </c>
      <c r="LC20" s="2" t="s">
        <v>17</v>
      </c>
      <c r="LD20" s="2" t="s">
        <v>17</v>
      </c>
      <c r="LE20" s="2" t="s">
        <v>17</v>
      </c>
      <c r="LF20" s="2" t="s">
        <v>17</v>
      </c>
      <c r="LG20" s="2" t="s">
        <v>17</v>
      </c>
      <c r="LH20" s="2" t="s">
        <v>17</v>
      </c>
      <c r="LI20" s="2" t="s">
        <v>17</v>
      </c>
      <c r="LJ20" s="2" t="s">
        <v>87</v>
      </c>
      <c r="LK20" s="2" t="s">
        <v>17</v>
      </c>
      <c r="LL20" s="2" t="s">
        <v>17</v>
      </c>
      <c r="LM20" s="2">
        <v>0</v>
      </c>
      <c r="LN20" s="2" t="s">
        <v>17</v>
      </c>
      <c r="LO20" s="2" t="s">
        <v>9</v>
      </c>
      <c r="LP20" s="2" t="s">
        <v>9</v>
      </c>
      <c r="LQ20" s="2" t="s">
        <v>17</v>
      </c>
      <c r="LR20" s="2" t="s">
        <v>9</v>
      </c>
      <c r="LS20" s="2" t="s">
        <v>17</v>
      </c>
      <c r="LT20" s="2" t="s">
        <v>17</v>
      </c>
      <c r="LU20" s="2" t="s">
        <v>17</v>
      </c>
      <c r="LV20" s="2" t="s">
        <v>17</v>
      </c>
      <c r="LW20" s="2" t="s">
        <v>17</v>
      </c>
      <c r="LX20" s="2" t="s">
        <v>17</v>
      </c>
      <c r="LY20" s="5">
        <v>6500000</v>
      </c>
      <c r="LZ20" s="5">
        <v>0</v>
      </c>
      <c r="MA20" s="5">
        <v>8400000</v>
      </c>
      <c r="MB20" s="5">
        <v>0</v>
      </c>
      <c r="MC20" s="5">
        <v>0</v>
      </c>
      <c r="MD20" s="5">
        <v>0</v>
      </c>
      <c r="ME20" s="5">
        <v>10000000</v>
      </c>
      <c r="MF20" s="5">
        <v>0</v>
      </c>
      <c r="MG20" s="5">
        <v>0</v>
      </c>
      <c r="MH20" s="5">
        <v>0</v>
      </c>
      <c r="MI20" s="5">
        <v>0</v>
      </c>
      <c r="MJ20" s="5">
        <v>0</v>
      </c>
      <c r="MK20" s="5">
        <v>0</v>
      </c>
      <c r="ML20" s="2">
        <v>0</v>
      </c>
      <c r="MM20" s="5">
        <v>0</v>
      </c>
      <c r="MN20" s="5">
        <v>0</v>
      </c>
      <c r="MO20" s="2">
        <v>0</v>
      </c>
      <c r="MP20" s="2">
        <v>0</v>
      </c>
      <c r="MQ20" s="2">
        <v>0</v>
      </c>
      <c r="MR20" s="5">
        <v>2950000</v>
      </c>
      <c r="MS20" s="5">
        <v>0</v>
      </c>
      <c r="MT20" s="5">
        <v>4600000</v>
      </c>
      <c r="MU20" s="5">
        <v>0</v>
      </c>
      <c r="MV20" s="5">
        <v>0</v>
      </c>
      <c r="MW20" s="5">
        <v>0</v>
      </c>
      <c r="MX20" s="5">
        <v>0</v>
      </c>
      <c r="MY20" s="5">
        <v>2500000</v>
      </c>
      <c r="MZ20" s="5">
        <v>0</v>
      </c>
      <c r="NA20" s="5">
        <v>5000000</v>
      </c>
      <c r="NB20" s="5">
        <v>0</v>
      </c>
      <c r="NC20" s="5">
        <v>0</v>
      </c>
      <c r="ND20" s="5">
        <v>0</v>
      </c>
      <c r="NE20" s="5">
        <v>0</v>
      </c>
      <c r="NF20" s="5">
        <v>0</v>
      </c>
      <c r="NG20" s="5">
        <v>3458400</v>
      </c>
      <c r="NH20" s="5">
        <v>3300000</v>
      </c>
      <c r="NI20" s="5">
        <v>3300000</v>
      </c>
      <c r="NJ20" s="5"/>
      <c r="NK20" s="5">
        <v>0</v>
      </c>
      <c r="NL20" s="2" t="s">
        <v>17</v>
      </c>
      <c r="NM20" s="2" t="s">
        <v>17</v>
      </c>
      <c r="NN20" s="2"/>
      <c r="NO20" s="2" t="s">
        <v>17</v>
      </c>
      <c r="NP20" s="2"/>
      <c r="NQ20" s="2"/>
      <c r="NR20" s="2" t="s">
        <v>17</v>
      </c>
      <c r="NS20" s="2"/>
      <c r="NT20" s="2" t="s">
        <v>17</v>
      </c>
      <c r="NU20" s="2"/>
      <c r="NV20" s="2"/>
      <c r="NW20" s="2"/>
      <c r="NX20" s="2" t="s">
        <v>9</v>
      </c>
      <c r="NY20" s="2" t="s">
        <v>88</v>
      </c>
      <c r="NZ20" s="2">
        <v>102.12</v>
      </c>
      <c r="OA20" s="2" t="s">
        <v>3400</v>
      </c>
      <c r="OB20" s="2" t="s">
        <v>3401</v>
      </c>
      <c r="OC20" s="2" t="s">
        <v>3401</v>
      </c>
      <c r="OD20" s="2" t="s">
        <v>3384</v>
      </c>
      <c r="OE20" s="2" t="s">
        <v>85</v>
      </c>
      <c r="OF20" s="2" t="s">
        <v>17</v>
      </c>
      <c r="OG20" s="2" t="s">
        <v>17</v>
      </c>
      <c r="OH20" s="2"/>
      <c r="OI20" s="2" t="s">
        <v>9</v>
      </c>
      <c r="OJ20" s="2" t="s">
        <v>92</v>
      </c>
      <c r="OK20" s="2" t="s">
        <v>17</v>
      </c>
      <c r="OL20" s="2" t="s">
        <v>17</v>
      </c>
      <c r="OM20" s="2" t="s">
        <v>85</v>
      </c>
      <c r="ON20" s="6">
        <v>0</v>
      </c>
      <c r="OO20" s="6">
        <v>0</v>
      </c>
      <c r="OP20" s="2" t="s">
        <v>93</v>
      </c>
      <c r="OQ20" s="2" t="s">
        <v>93</v>
      </c>
      <c r="OR20" s="6">
        <v>0</v>
      </c>
      <c r="OS20" s="4">
        <v>0</v>
      </c>
      <c r="OT20" s="2" t="s">
        <v>17</v>
      </c>
      <c r="OU20" s="2" t="s">
        <v>17</v>
      </c>
      <c r="OV20" s="2"/>
      <c r="OW20" s="2"/>
      <c r="OX20" s="5">
        <v>21963150</v>
      </c>
      <c r="OY20" s="6">
        <v>199665</v>
      </c>
      <c r="OZ20" s="2"/>
      <c r="PA20" s="2"/>
      <c r="PB20" s="2"/>
      <c r="PC20" s="2"/>
      <c r="PD20" s="8">
        <v>20396857</v>
      </c>
      <c r="PE20" s="8">
        <v>468180</v>
      </c>
      <c r="PF20" s="8">
        <v>20865037</v>
      </c>
      <c r="PG20" s="2"/>
      <c r="PH20" s="2"/>
      <c r="PI20" s="2"/>
      <c r="PJ20" s="8">
        <v>300000</v>
      </c>
      <c r="PK20" s="8">
        <v>209000</v>
      </c>
      <c r="PL20" s="8">
        <v>509000</v>
      </c>
      <c r="PM20" s="8">
        <v>20696857</v>
      </c>
      <c r="PN20" s="8">
        <v>677180</v>
      </c>
      <c r="PO20" s="8">
        <v>21374037</v>
      </c>
      <c r="PP20" s="8">
        <v>2992000</v>
      </c>
      <c r="PQ20" s="2"/>
      <c r="PR20" s="8">
        <v>2992000</v>
      </c>
      <c r="PS20" s="6">
        <v>2992365</v>
      </c>
      <c r="PT20" s="8">
        <v>23688857</v>
      </c>
      <c r="PU20" s="8">
        <v>677180</v>
      </c>
      <c r="PV20" s="8">
        <v>24366037</v>
      </c>
      <c r="PW20" s="8">
        <v>1218300</v>
      </c>
      <c r="PX20" s="2"/>
      <c r="PY20" s="8">
        <v>1218300</v>
      </c>
      <c r="PZ20" s="6">
        <v>1218301.8500000001</v>
      </c>
      <c r="QA20" s="8">
        <v>1829250</v>
      </c>
      <c r="QB20" s="8">
        <v>284500</v>
      </c>
      <c r="QC20" s="8">
        <v>2113750</v>
      </c>
      <c r="QD20" s="8">
        <v>440658</v>
      </c>
      <c r="QE20" s="8">
        <v>99000</v>
      </c>
      <c r="QF20" s="8">
        <v>539658</v>
      </c>
      <c r="QG20" s="8">
        <v>1014520</v>
      </c>
      <c r="QH20" s="8">
        <v>35280</v>
      </c>
      <c r="QI20" s="8">
        <v>1049800</v>
      </c>
      <c r="QJ20" s="2"/>
      <c r="QK20" s="8">
        <v>478167</v>
      </c>
      <c r="QL20" s="8">
        <v>478167</v>
      </c>
      <c r="QM20" s="2"/>
      <c r="QN20" s="2"/>
      <c r="QO20" s="2"/>
      <c r="QP20" s="2"/>
      <c r="QQ20" s="2"/>
      <c r="QR20" s="2"/>
      <c r="QS20" s="8">
        <v>3284428</v>
      </c>
      <c r="QT20" s="8">
        <v>896947</v>
      </c>
      <c r="QU20" s="8">
        <v>4181375</v>
      </c>
      <c r="QV20" s="2"/>
      <c r="QW20" s="8">
        <v>209068</v>
      </c>
      <c r="QX20" s="8">
        <v>209068</v>
      </c>
      <c r="QY20" s="6">
        <v>209068.75</v>
      </c>
      <c r="QZ20" s="8">
        <v>1393160</v>
      </c>
      <c r="RA20" s="8">
        <v>1178828</v>
      </c>
      <c r="RB20" s="8">
        <v>2571988</v>
      </c>
      <c r="RC20" s="8">
        <v>720154</v>
      </c>
      <c r="RD20" s="8">
        <v>720154</v>
      </c>
      <c r="RE20" s="2"/>
      <c r="RF20" s="2"/>
      <c r="RG20" s="2"/>
      <c r="RH20" s="8">
        <v>1393160</v>
      </c>
      <c r="RI20" s="8">
        <v>1898982</v>
      </c>
      <c r="RJ20" s="8">
        <v>3292142</v>
      </c>
      <c r="RK20" s="8">
        <v>29584745</v>
      </c>
      <c r="RL20" s="8">
        <v>3682177</v>
      </c>
      <c r="RM20" s="8">
        <v>33266922</v>
      </c>
      <c r="RN20" s="2">
        <v>0</v>
      </c>
      <c r="RO20" s="6">
        <v>0</v>
      </c>
      <c r="RP20" s="8">
        <v>5322700</v>
      </c>
      <c r="RQ20" s="2"/>
      <c r="RR20" s="8">
        <v>5322700</v>
      </c>
      <c r="RS20" s="6">
        <v>5322707</v>
      </c>
      <c r="RT20" s="6">
        <v>0</v>
      </c>
      <c r="RU20" s="8">
        <v>5322700</v>
      </c>
      <c r="RV20" s="2"/>
      <c r="RW20" s="8">
        <v>5322700</v>
      </c>
      <c r="RX20" s="6">
        <v>5322707</v>
      </c>
      <c r="RY20" s="8">
        <v>385000</v>
      </c>
      <c r="RZ20" s="8">
        <v>385000</v>
      </c>
      <c r="SA20" s="6">
        <v>385000</v>
      </c>
      <c r="SB20" s="8">
        <v>3437500</v>
      </c>
      <c r="SC20" s="8">
        <v>3437500</v>
      </c>
      <c r="SD20" s="8">
        <v>34907445</v>
      </c>
      <c r="SE20" s="8">
        <v>7504677</v>
      </c>
      <c r="SF20" s="8">
        <v>42412122</v>
      </c>
      <c r="SG20" s="2"/>
      <c r="SH20" s="2" t="s">
        <v>3714</v>
      </c>
      <c r="SI20" s="2"/>
      <c r="SJ20" s="2"/>
      <c r="SK20" s="8">
        <v>34299290</v>
      </c>
      <c r="SL20" s="2" t="s">
        <v>95</v>
      </c>
      <c r="SM20" s="2"/>
      <c r="SN20" s="2"/>
      <c r="SO20" s="2"/>
      <c r="SP20" s="2"/>
      <c r="SQ20" s="2"/>
      <c r="SR20" s="2"/>
      <c r="SS20" s="2" t="s">
        <v>96</v>
      </c>
      <c r="ST20" s="2" t="s">
        <v>96</v>
      </c>
      <c r="SU20" s="2" t="s">
        <v>96</v>
      </c>
      <c r="SV20" s="2" t="s">
        <v>96</v>
      </c>
      <c r="SW20" s="8">
        <v>6269373</v>
      </c>
      <c r="SX20" s="2"/>
      <c r="SY20" s="2"/>
      <c r="SZ20" s="2"/>
      <c r="TA20" s="2"/>
      <c r="TB20" s="2"/>
      <c r="TC20" s="2"/>
      <c r="TD20" s="8">
        <v>1843459</v>
      </c>
      <c r="TE20" s="8">
        <v>42412122</v>
      </c>
      <c r="TF20" s="2">
        <v>0</v>
      </c>
      <c r="TG20" s="2" t="s">
        <v>9</v>
      </c>
      <c r="TH20" s="8">
        <v>5850000</v>
      </c>
      <c r="TI20" s="2" t="s">
        <v>95</v>
      </c>
      <c r="TJ20" s="2"/>
      <c r="TK20" s="2"/>
      <c r="TL20" s="2"/>
      <c r="TM20" s="2"/>
      <c r="TN20" s="2" t="s">
        <v>96</v>
      </c>
      <c r="TO20" s="2" t="s">
        <v>96</v>
      </c>
      <c r="TP20" s="2" t="s">
        <v>96</v>
      </c>
      <c r="TQ20" s="2" t="s">
        <v>96</v>
      </c>
      <c r="TR20" s="8">
        <v>31346865</v>
      </c>
      <c r="TS20" s="2"/>
      <c r="TT20" s="2"/>
      <c r="TU20" s="2"/>
      <c r="TV20" s="2"/>
      <c r="TW20" s="2"/>
      <c r="TX20" s="2"/>
      <c r="TY20" s="8">
        <v>5215257</v>
      </c>
      <c r="TZ20" s="8">
        <v>42412122</v>
      </c>
      <c r="UA20" s="6">
        <v>5850000</v>
      </c>
      <c r="UB20" s="2">
        <v>0</v>
      </c>
      <c r="UC20" s="2" t="s">
        <v>9</v>
      </c>
      <c r="UD20" s="2">
        <v>110</v>
      </c>
      <c r="UE20" s="5">
        <v>290000</v>
      </c>
      <c r="UF20" s="6">
        <v>386666.67</v>
      </c>
      <c r="UG20" s="6">
        <v>386666.67</v>
      </c>
      <c r="UH20" s="6">
        <v>409866.67</v>
      </c>
      <c r="UI20" s="6">
        <v>45085333.329999998</v>
      </c>
      <c r="UJ20" s="6">
        <v>7213653</v>
      </c>
      <c r="UK20" s="2" t="s">
        <v>97</v>
      </c>
      <c r="UL20" s="6">
        <v>7213653</v>
      </c>
      <c r="UM20" s="6">
        <v>52298986.329999998</v>
      </c>
      <c r="UN20" s="6">
        <v>38589622</v>
      </c>
      <c r="UO20" s="4">
        <v>0.99990000000000001</v>
      </c>
      <c r="UP20" s="2" t="s">
        <v>9</v>
      </c>
      <c r="UQ20" s="6">
        <v>0</v>
      </c>
      <c r="UR20" s="6">
        <v>0</v>
      </c>
      <c r="US20" s="6">
        <v>443039</v>
      </c>
      <c r="UT20" s="6">
        <v>443039</v>
      </c>
      <c r="UU20" s="6">
        <v>0</v>
      </c>
      <c r="UV20" s="6">
        <v>443039</v>
      </c>
      <c r="UW20" s="6">
        <v>0</v>
      </c>
      <c r="UX20" s="6">
        <v>443039</v>
      </c>
      <c r="UY20" s="2" t="s">
        <v>3387</v>
      </c>
      <c r="UZ20" s="2" t="s">
        <v>3288</v>
      </c>
      <c r="VA20" s="2" t="s">
        <v>17</v>
      </c>
      <c r="VB20" s="2" t="s">
        <v>17</v>
      </c>
      <c r="VC20" s="2" t="s">
        <v>17</v>
      </c>
      <c r="VD20" s="2" t="s">
        <v>17</v>
      </c>
      <c r="VE20" s="2" t="s">
        <v>17</v>
      </c>
      <c r="VF20" s="2" t="s">
        <v>17</v>
      </c>
      <c r="VG20" s="2">
        <v>230908063708</v>
      </c>
      <c r="VH20" s="2"/>
      <c r="VI20" s="388" t="s">
        <v>3715</v>
      </c>
      <c r="VJ20" s="2" t="s">
        <v>98</v>
      </c>
      <c r="VK20" s="2" t="s">
        <v>536</v>
      </c>
      <c r="VL20" s="23">
        <f t="shared" si="0"/>
        <v>199</v>
      </c>
      <c r="VM20" s="17">
        <f t="shared" si="1"/>
        <v>1.8090909090909091</v>
      </c>
      <c r="VN20" s="17" t="str">
        <f t="shared" si="2"/>
        <v>NC-MR-F</v>
      </c>
      <c r="VO20" s="17" t="str">
        <f t="shared" si="14"/>
        <v>NC-MR-F-ESS</v>
      </c>
      <c r="VP20" s="12">
        <v>9</v>
      </c>
      <c r="VQ20" s="57">
        <v>1</v>
      </c>
      <c r="VR20" s="57">
        <f t="shared" si="3"/>
        <v>1</v>
      </c>
      <c r="VS20" s="14">
        <f t="shared" si="4"/>
        <v>1</v>
      </c>
      <c r="VT20" s="12">
        <f t="shared" si="5"/>
        <v>0.90210000000000012</v>
      </c>
      <c r="VU20" s="29">
        <f t="shared" si="6"/>
        <v>26792370.000000004</v>
      </c>
      <c r="VV20" s="29">
        <f t="shared" si="7"/>
        <v>243567</v>
      </c>
      <c r="VW20" s="12" t="str">
        <f t="shared" si="15"/>
        <v>A</v>
      </c>
      <c r="VX20" s="12" t="str">
        <f t="shared" si="8"/>
        <v>NC-MR-ESS</v>
      </c>
      <c r="VY20" s="352">
        <f t="shared" si="16"/>
        <v>3</v>
      </c>
      <c r="WA20" s="12">
        <f t="shared" si="17"/>
        <v>0</v>
      </c>
      <c r="WB20" s="12">
        <f t="shared" si="18"/>
        <v>0</v>
      </c>
      <c r="WC20" s="12">
        <f t="shared" si="18"/>
        <v>0</v>
      </c>
      <c r="WD20" s="12">
        <f t="shared" si="18"/>
        <v>0</v>
      </c>
      <c r="WE20" s="12">
        <f t="shared" si="19"/>
        <v>1</v>
      </c>
      <c r="WF20" s="12">
        <f t="shared" si="9"/>
        <v>0</v>
      </c>
      <c r="WG20" s="12">
        <f t="shared" si="10"/>
        <v>1</v>
      </c>
      <c r="WH20" s="12">
        <f t="shared" si="11"/>
        <v>0</v>
      </c>
      <c r="WI20" s="31">
        <f t="shared" si="12"/>
        <v>2</v>
      </c>
      <c r="WJ20" s="2"/>
      <c r="WK20" s="444" t="str">
        <f t="shared" si="20"/>
        <v>NC-MR-ESS-BBN-BRN-NPH-F</v>
      </c>
      <c r="WL20" s="444"/>
      <c r="WM20" s="444"/>
    </row>
    <row r="21" spans="1:611" x14ac:dyDescent="0.25">
      <c r="A21" s="2">
        <v>9628</v>
      </c>
      <c r="B21" s="2" t="s">
        <v>3716</v>
      </c>
      <c r="C21" s="2" t="s">
        <v>3305</v>
      </c>
      <c r="D21" s="3">
        <v>45159</v>
      </c>
      <c r="E21" s="2" t="s">
        <v>9</v>
      </c>
      <c r="F21" s="2">
        <v>3</v>
      </c>
      <c r="G21" s="2" t="s">
        <v>9</v>
      </c>
      <c r="H21" s="2">
        <v>3</v>
      </c>
      <c r="I21" s="2" t="s">
        <v>9</v>
      </c>
      <c r="J21" s="2">
        <v>3</v>
      </c>
      <c r="K21" s="2" t="s">
        <v>9</v>
      </c>
      <c r="L21" s="2">
        <v>3</v>
      </c>
      <c r="M21" s="2" t="s">
        <v>10</v>
      </c>
      <c r="N21" s="2">
        <v>0</v>
      </c>
      <c r="O21" s="2" t="s">
        <v>10</v>
      </c>
      <c r="P21" s="2">
        <v>0</v>
      </c>
      <c r="Q21" s="2" t="s">
        <v>11</v>
      </c>
      <c r="R21" s="2">
        <v>0</v>
      </c>
      <c r="S21" s="2" t="s">
        <v>9</v>
      </c>
      <c r="T21" s="2">
        <v>2</v>
      </c>
      <c r="U21" s="2" t="s">
        <v>9</v>
      </c>
      <c r="V21" s="2">
        <v>2</v>
      </c>
      <c r="W21" s="2" t="s">
        <v>9</v>
      </c>
      <c r="X21" s="2">
        <v>2</v>
      </c>
      <c r="Y21" s="2" t="s">
        <v>12</v>
      </c>
      <c r="Z21" s="2" t="s">
        <v>15</v>
      </c>
      <c r="AA21" s="2" t="s">
        <v>15</v>
      </c>
      <c r="AB21" s="2" t="s">
        <v>15</v>
      </c>
      <c r="AC21" s="2" t="s">
        <v>15</v>
      </c>
      <c r="AD21" s="2" t="s">
        <v>15</v>
      </c>
      <c r="AE21" s="2" t="s">
        <v>188</v>
      </c>
      <c r="AF21" s="2">
        <v>0</v>
      </c>
      <c r="AG21" s="2" t="s">
        <v>234</v>
      </c>
      <c r="AH21" s="2" t="s">
        <v>17</v>
      </c>
      <c r="AI21" s="4">
        <v>0.1</v>
      </c>
      <c r="AJ21" s="2" t="s">
        <v>17</v>
      </c>
      <c r="AK21" s="2" t="s">
        <v>9</v>
      </c>
      <c r="AL21" s="2" t="s">
        <v>17</v>
      </c>
      <c r="AM21" s="2" t="s">
        <v>17</v>
      </c>
      <c r="AN21" s="2" t="s">
        <v>17</v>
      </c>
      <c r="AO21" s="2" t="s">
        <v>9</v>
      </c>
      <c r="AP21" s="2" t="s">
        <v>17</v>
      </c>
      <c r="AQ21" s="2" t="s">
        <v>17</v>
      </c>
      <c r="AR21" s="2" t="s">
        <v>17</v>
      </c>
      <c r="AS21" s="2" t="s">
        <v>17</v>
      </c>
      <c r="AT21" s="2">
        <v>5</v>
      </c>
      <c r="AU21" s="5">
        <v>100000</v>
      </c>
      <c r="AV21" s="2" t="s">
        <v>85</v>
      </c>
      <c r="AW21" s="2">
        <v>0</v>
      </c>
      <c r="AX21" s="2">
        <v>10</v>
      </c>
      <c r="AY21" s="2">
        <v>0</v>
      </c>
      <c r="AZ21" s="2">
        <v>18</v>
      </c>
      <c r="BA21" s="2">
        <v>0</v>
      </c>
      <c r="BB21" s="2">
        <v>0</v>
      </c>
      <c r="BC21" s="2">
        <v>1</v>
      </c>
      <c r="BD21" s="2">
        <v>5</v>
      </c>
      <c r="BE21" s="2">
        <v>0</v>
      </c>
      <c r="BF21" s="2">
        <v>1</v>
      </c>
      <c r="BG21" s="2">
        <v>0</v>
      </c>
      <c r="BH21" s="2">
        <v>0</v>
      </c>
      <c r="BI21" s="2">
        <v>13</v>
      </c>
      <c r="BJ21" s="2">
        <v>1</v>
      </c>
      <c r="BK21" s="2">
        <v>0</v>
      </c>
      <c r="BL21" s="2">
        <v>2</v>
      </c>
      <c r="BM21" s="2">
        <v>1</v>
      </c>
      <c r="BN21" s="2">
        <v>10</v>
      </c>
      <c r="BO21" s="2">
        <v>11</v>
      </c>
      <c r="BP21" s="2">
        <v>0</v>
      </c>
      <c r="BQ21" s="2">
        <v>10</v>
      </c>
      <c r="BR21" s="2">
        <v>10.51</v>
      </c>
      <c r="BS21" s="2">
        <v>0</v>
      </c>
      <c r="BT21" s="4">
        <v>0.06</v>
      </c>
      <c r="BU21" s="2" t="s">
        <v>9</v>
      </c>
      <c r="BV21" s="6">
        <v>199752</v>
      </c>
      <c r="BW21" s="2" t="s">
        <v>126</v>
      </c>
      <c r="BX21" s="2" t="s">
        <v>17</v>
      </c>
      <c r="BY21" s="2" t="s">
        <v>17</v>
      </c>
      <c r="BZ21" s="2" t="s">
        <v>17</v>
      </c>
      <c r="CA21" s="2" t="s">
        <v>17</v>
      </c>
      <c r="CB21" s="2" t="s">
        <v>17</v>
      </c>
      <c r="CC21" s="2" t="s">
        <v>17</v>
      </c>
      <c r="CD21" s="2" t="s">
        <v>17</v>
      </c>
      <c r="CE21" s="2" t="s">
        <v>3717</v>
      </c>
      <c r="CF21" s="2" t="s">
        <v>9</v>
      </c>
      <c r="CG21" s="2" t="s">
        <v>1623</v>
      </c>
      <c r="CH21" s="2" t="s">
        <v>3689</v>
      </c>
      <c r="CI21" s="2"/>
      <c r="CJ21" s="2" t="s">
        <v>9</v>
      </c>
      <c r="CK21" s="2" t="s">
        <v>1626</v>
      </c>
      <c r="CL21" s="2" t="s">
        <v>1623</v>
      </c>
      <c r="CM21" s="2" t="s">
        <v>3186</v>
      </c>
      <c r="CN21" s="2" t="s">
        <v>3187</v>
      </c>
      <c r="CO21" s="2" t="s">
        <v>24</v>
      </c>
      <c r="CP21" s="2"/>
      <c r="CQ21" s="2">
        <v>112</v>
      </c>
      <c r="CR21" s="2" t="s">
        <v>3718</v>
      </c>
      <c r="CS21" s="2">
        <v>2016</v>
      </c>
      <c r="CT21" s="2" t="s">
        <v>26</v>
      </c>
      <c r="CU21" s="2" t="s">
        <v>27</v>
      </c>
      <c r="CV21" s="2" t="s">
        <v>1628</v>
      </c>
      <c r="CW21" s="2" t="s">
        <v>1281</v>
      </c>
      <c r="CX21" s="2" t="s">
        <v>24</v>
      </c>
      <c r="CY21" s="2"/>
      <c r="CZ21" s="2">
        <v>228</v>
      </c>
      <c r="DA21" s="2" t="s">
        <v>3718</v>
      </c>
      <c r="DB21" s="2">
        <v>2019</v>
      </c>
      <c r="DC21" s="2" t="s">
        <v>30</v>
      </c>
      <c r="DD21" s="2" t="s">
        <v>27</v>
      </c>
      <c r="DE21" s="2" t="s">
        <v>1627</v>
      </c>
      <c r="DF21" s="2" t="s">
        <v>330</v>
      </c>
      <c r="DG21" s="2" t="s">
        <v>24</v>
      </c>
      <c r="DH21" s="2"/>
      <c r="DI21" s="2">
        <v>160</v>
      </c>
      <c r="DJ21" s="2" t="s">
        <v>3718</v>
      </c>
      <c r="DK21" s="2">
        <v>2019</v>
      </c>
      <c r="DL21" s="2" t="s">
        <v>30</v>
      </c>
      <c r="DM21" s="2" t="s">
        <v>27</v>
      </c>
      <c r="DN21" s="2" t="s">
        <v>33</v>
      </c>
      <c r="DO21" s="2" t="s">
        <v>1630</v>
      </c>
      <c r="DP21" s="2"/>
      <c r="DQ21" s="2" t="s">
        <v>1631</v>
      </c>
      <c r="DR21" s="2" t="s">
        <v>1632</v>
      </c>
      <c r="DS21" s="2">
        <v>1</v>
      </c>
      <c r="DT21" s="2" t="s">
        <v>3698</v>
      </c>
      <c r="DU21" s="2" t="s">
        <v>299</v>
      </c>
      <c r="DV21" s="2" t="s">
        <v>39</v>
      </c>
      <c r="DW21" s="2">
        <v>33127</v>
      </c>
      <c r="DX21" s="2" t="s">
        <v>3699</v>
      </c>
      <c r="DY21" s="2"/>
      <c r="DZ21" s="2" t="s">
        <v>1635</v>
      </c>
      <c r="EA21" s="2" t="s">
        <v>1632</v>
      </c>
      <c r="EB21" s="2" t="s">
        <v>3700</v>
      </c>
      <c r="EC21" s="2" t="s">
        <v>330</v>
      </c>
      <c r="ED21" s="2" t="s">
        <v>44</v>
      </c>
      <c r="EE21" s="2">
        <v>121</v>
      </c>
      <c r="EF21" s="2" t="s">
        <v>3719</v>
      </c>
      <c r="EG21" s="2">
        <v>17</v>
      </c>
      <c r="EH21" s="2" t="s">
        <v>46</v>
      </c>
      <c r="EI21" s="2" t="s">
        <v>47</v>
      </c>
      <c r="EJ21" s="2" t="s">
        <v>1628</v>
      </c>
      <c r="EK21" s="2" t="s">
        <v>1281</v>
      </c>
      <c r="EL21" s="2" t="s">
        <v>44</v>
      </c>
      <c r="EM21" s="2">
        <v>228</v>
      </c>
      <c r="EN21" s="2" t="s">
        <v>3719</v>
      </c>
      <c r="EO21" s="2">
        <v>4</v>
      </c>
      <c r="EP21" s="2" t="s">
        <v>46</v>
      </c>
      <c r="EQ21" s="2" t="s">
        <v>47</v>
      </c>
      <c r="ER21" s="2" t="s">
        <v>3701</v>
      </c>
      <c r="ES21" s="2"/>
      <c r="ET21" s="2" t="s">
        <v>3702</v>
      </c>
      <c r="EU21" s="2" t="s">
        <v>3717</v>
      </c>
      <c r="EV21" s="2" t="s">
        <v>3703</v>
      </c>
      <c r="EW21" s="2" t="s">
        <v>299</v>
      </c>
      <c r="EX21" s="2" t="s">
        <v>39</v>
      </c>
      <c r="EY21" s="2">
        <v>33138</v>
      </c>
      <c r="EZ21" s="2" t="s">
        <v>3704</v>
      </c>
      <c r="FA21" s="2"/>
      <c r="FB21" s="2" t="s">
        <v>3705</v>
      </c>
      <c r="FC21" s="2" t="s">
        <v>3706</v>
      </c>
      <c r="FD21" s="2"/>
      <c r="FE21" s="2" t="s">
        <v>3707</v>
      </c>
      <c r="FF21" s="2" t="s">
        <v>3689</v>
      </c>
      <c r="FG21" s="2" t="s">
        <v>3703</v>
      </c>
      <c r="FH21" s="2" t="s">
        <v>299</v>
      </c>
      <c r="FI21" s="2" t="s">
        <v>39</v>
      </c>
      <c r="FJ21" s="2">
        <v>33138</v>
      </c>
      <c r="FK21" s="2" t="s">
        <v>3708</v>
      </c>
      <c r="FL21" s="2"/>
      <c r="FM21" s="2" t="s">
        <v>3709</v>
      </c>
      <c r="FN21" s="2" t="s">
        <v>3720</v>
      </c>
      <c r="FO21" s="2" t="s">
        <v>63</v>
      </c>
      <c r="FP21" s="2" t="s">
        <v>64</v>
      </c>
      <c r="FQ21" s="2" t="s">
        <v>9</v>
      </c>
      <c r="FR21" s="2" t="s">
        <v>17</v>
      </c>
      <c r="FS21" s="2" t="s">
        <v>17</v>
      </c>
      <c r="FT21" s="2" t="s">
        <v>9</v>
      </c>
      <c r="FU21" s="2"/>
      <c r="FV21" s="2"/>
      <c r="FW21" s="2">
        <v>0</v>
      </c>
      <c r="FX21" s="2">
        <v>0</v>
      </c>
      <c r="FY21" s="4">
        <v>0</v>
      </c>
      <c r="FZ21" s="4">
        <v>0</v>
      </c>
      <c r="GA21" s="2" t="s">
        <v>65</v>
      </c>
      <c r="GB21" s="2"/>
      <c r="GC21" s="2" t="s">
        <v>66</v>
      </c>
      <c r="GD21" s="2" t="s">
        <v>67</v>
      </c>
      <c r="GE21" s="2" t="s">
        <v>2684</v>
      </c>
      <c r="GF21" s="2"/>
      <c r="GG21" s="2"/>
      <c r="GH21" s="2"/>
      <c r="GI21" s="2"/>
      <c r="GJ21" s="2"/>
      <c r="GK21" s="2">
        <v>108</v>
      </c>
      <c r="GL21" s="2"/>
      <c r="GM21" s="2"/>
      <c r="GN21" s="2"/>
      <c r="GO21" s="2"/>
      <c r="GP21" s="2"/>
      <c r="GQ21" s="2">
        <v>108</v>
      </c>
      <c r="GR21" s="2" t="s">
        <v>3332</v>
      </c>
      <c r="GS21" s="2" t="s">
        <v>2686</v>
      </c>
      <c r="GT21" s="2" t="s">
        <v>3721</v>
      </c>
      <c r="GU21" s="2" t="s">
        <v>2720</v>
      </c>
      <c r="GV21" s="2" t="s">
        <v>17</v>
      </c>
      <c r="GW21" s="2">
        <v>25.834674</v>
      </c>
      <c r="GX21" s="2">
        <v>-80.240945999999994</v>
      </c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>
        <v>25.832417</v>
      </c>
      <c r="HS21" s="2">
        <v>-80.241150000000005</v>
      </c>
      <c r="HT21" s="2">
        <v>0.16</v>
      </c>
      <c r="HU21" s="2">
        <v>6</v>
      </c>
      <c r="HV21" s="2" t="s">
        <v>74</v>
      </c>
      <c r="HW21" s="2" t="s">
        <v>3722</v>
      </c>
      <c r="HX21" s="2">
        <v>0.89</v>
      </c>
      <c r="HY21" s="2">
        <v>2.5</v>
      </c>
      <c r="HZ21" s="2"/>
      <c r="IA21" s="2"/>
      <c r="IB21" s="2"/>
      <c r="IC21" s="2"/>
      <c r="ID21" s="2" t="s">
        <v>74</v>
      </c>
      <c r="IE21" s="2">
        <v>0.89</v>
      </c>
      <c r="IF21" s="2">
        <v>2.5</v>
      </c>
      <c r="IG21" s="2" t="s">
        <v>3723</v>
      </c>
      <c r="IH21" s="2">
        <v>0.39</v>
      </c>
      <c r="II21" s="2">
        <v>4</v>
      </c>
      <c r="IJ21" s="2" t="s">
        <v>9</v>
      </c>
      <c r="IK21" s="2" t="s">
        <v>3454</v>
      </c>
      <c r="IL21" s="2" t="s">
        <v>3414</v>
      </c>
      <c r="IM21" s="2" t="s">
        <v>9</v>
      </c>
      <c r="IN21" s="2" t="s">
        <v>3724</v>
      </c>
      <c r="IO21" s="2" t="s">
        <v>3341</v>
      </c>
      <c r="IP21" s="2">
        <v>6</v>
      </c>
      <c r="IQ21" s="2">
        <v>9</v>
      </c>
      <c r="IR21" s="2">
        <v>15</v>
      </c>
      <c r="IS21" s="2" t="s">
        <v>17</v>
      </c>
      <c r="IT21" s="2" t="s">
        <v>17</v>
      </c>
      <c r="IU21" s="2" t="s">
        <v>9</v>
      </c>
      <c r="IV21" s="2" t="s">
        <v>9</v>
      </c>
      <c r="IW21" s="2" t="s">
        <v>9</v>
      </c>
      <c r="IX21" s="2" t="s">
        <v>9</v>
      </c>
      <c r="IY21" s="2">
        <v>15</v>
      </c>
      <c r="IZ21" s="2">
        <v>108</v>
      </c>
      <c r="JA21" s="2" t="s">
        <v>3085</v>
      </c>
      <c r="JB21" s="2"/>
      <c r="JC21" s="2" t="s">
        <v>173</v>
      </c>
      <c r="JD21" s="7">
        <v>0.1</v>
      </c>
      <c r="JE21" s="7">
        <v>0.9</v>
      </c>
      <c r="JF21" s="7">
        <v>0</v>
      </c>
      <c r="JG21" s="7"/>
      <c r="JH21" s="7"/>
      <c r="JI21" s="2">
        <v>108</v>
      </c>
      <c r="JJ21" s="7">
        <v>1</v>
      </c>
      <c r="JK21" s="2">
        <v>108</v>
      </c>
      <c r="JL21" s="7">
        <v>1</v>
      </c>
      <c r="JM21" s="2"/>
      <c r="JN21" s="2"/>
      <c r="JO21" s="2"/>
      <c r="JP21" s="2"/>
      <c r="JQ21" s="2"/>
      <c r="JR21" s="2"/>
      <c r="JS21" s="2">
        <v>0</v>
      </c>
      <c r="JT21" s="2">
        <v>0</v>
      </c>
      <c r="JU21" s="2"/>
      <c r="JV21" s="2">
        <v>0</v>
      </c>
      <c r="JW21" s="4">
        <v>0</v>
      </c>
      <c r="JX21" s="2">
        <v>0</v>
      </c>
      <c r="JY21" s="4">
        <v>0</v>
      </c>
      <c r="JZ21" s="2">
        <v>0</v>
      </c>
      <c r="KA21" s="2"/>
      <c r="KB21" s="2"/>
      <c r="KC21" s="2"/>
      <c r="KD21" s="2"/>
      <c r="KE21" s="2"/>
      <c r="KF21" s="2"/>
      <c r="KG21" s="2"/>
      <c r="KH21" s="2">
        <v>62</v>
      </c>
      <c r="KI21" s="2"/>
      <c r="KJ21" s="2"/>
      <c r="KK21" s="2">
        <v>46</v>
      </c>
      <c r="KL21" s="2"/>
      <c r="KM21" s="2"/>
      <c r="KN21" s="2"/>
      <c r="KO21" s="2"/>
      <c r="KP21" s="2"/>
      <c r="KQ21" s="2" t="s">
        <v>83</v>
      </c>
      <c r="KR21" s="2"/>
      <c r="KS21" s="2" t="s">
        <v>73</v>
      </c>
      <c r="KT21" s="2">
        <v>1</v>
      </c>
      <c r="KU21" s="2" t="s">
        <v>84</v>
      </c>
      <c r="KV21" s="2" t="s">
        <v>85</v>
      </c>
      <c r="KW21" s="2" t="s">
        <v>86</v>
      </c>
      <c r="KX21" s="2" t="s">
        <v>17</v>
      </c>
      <c r="KY21" s="2" t="s">
        <v>17</v>
      </c>
      <c r="KZ21" s="2" t="s">
        <v>17</v>
      </c>
      <c r="LA21" s="2" t="s">
        <v>17</v>
      </c>
      <c r="LB21" s="2" t="s">
        <v>17</v>
      </c>
      <c r="LC21" s="2" t="s">
        <v>17</v>
      </c>
      <c r="LD21" s="2" t="s">
        <v>17</v>
      </c>
      <c r="LE21" s="2" t="s">
        <v>17</v>
      </c>
      <c r="LF21" s="2" t="s">
        <v>17</v>
      </c>
      <c r="LG21" s="2" t="s">
        <v>17</v>
      </c>
      <c r="LH21" s="2" t="s">
        <v>17</v>
      </c>
      <c r="LI21" s="2" t="s">
        <v>17</v>
      </c>
      <c r="LJ21" s="2" t="s">
        <v>87</v>
      </c>
      <c r="LK21" s="2" t="s">
        <v>17</v>
      </c>
      <c r="LL21" s="2" t="s">
        <v>17</v>
      </c>
      <c r="LM21" s="2">
        <v>0</v>
      </c>
      <c r="LN21" s="2" t="s">
        <v>17</v>
      </c>
      <c r="LO21" s="2" t="s">
        <v>17</v>
      </c>
      <c r="LP21" s="2" t="s">
        <v>17</v>
      </c>
      <c r="LQ21" s="2" t="s">
        <v>17</v>
      </c>
      <c r="LR21" s="2" t="s">
        <v>17</v>
      </c>
      <c r="LS21" s="2" t="s">
        <v>17</v>
      </c>
      <c r="LT21" s="2" t="s">
        <v>9</v>
      </c>
      <c r="LU21" s="2" t="s">
        <v>9</v>
      </c>
      <c r="LV21" s="2" t="s">
        <v>9</v>
      </c>
      <c r="LW21" s="2" t="s">
        <v>17</v>
      </c>
      <c r="LX21" s="2" t="s">
        <v>17</v>
      </c>
      <c r="LY21" s="5">
        <v>6500000</v>
      </c>
      <c r="LZ21" s="5">
        <v>0</v>
      </c>
      <c r="MA21" s="5">
        <v>8400000</v>
      </c>
      <c r="MB21" s="5">
        <v>0</v>
      </c>
      <c r="MC21" s="5">
        <v>0</v>
      </c>
      <c r="MD21" s="5">
        <v>0</v>
      </c>
      <c r="ME21" s="5">
        <v>10000000</v>
      </c>
      <c r="MF21" s="5">
        <v>0</v>
      </c>
      <c r="MG21" s="5">
        <v>0</v>
      </c>
      <c r="MH21" s="5">
        <v>0</v>
      </c>
      <c r="MI21" s="5">
        <v>0</v>
      </c>
      <c r="MJ21" s="5">
        <v>0</v>
      </c>
      <c r="MK21" s="5">
        <v>0</v>
      </c>
      <c r="ML21" s="2">
        <v>0</v>
      </c>
      <c r="MM21" s="5">
        <v>0</v>
      </c>
      <c r="MN21" s="5">
        <v>0</v>
      </c>
      <c r="MO21" s="2">
        <v>0</v>
      </c>
      <c r="MP21" s="2">
        <v>0</v>
      </c>
      <c r="MQ21" s="2">
        <v>0</v>
      </c>
      <c r="MR21" s="5">
        <v>2950000</v>
      </c>
      <c r="MS21" s="5">
        <v>0</v>
      </c>
      <c r="MT21" s="5">
        <v>4600000</v>
      </c>
      <c r="MU21" s="5">
        <v>0</v>
      </c>
      <c r="MV21" s="5">
        <v>0</v>
      </c>
      <c r="MW21" s="5">
        <v>0</v>
      </c>
      <c r="MX21" s="5">
        <v>0</v>
      </c>
      <c r="MY21" s="5">
        <v>2500000</v>
      </c>
      <c r="MZ21" s="5">
        <v>0</v>
      </c>
      <c r="NA21" s="5">
        <v>5000000</v>
      </c>
      <c r="NB21" s="5">
        <v>0</v>
      </c>
      <c r="NC21" s="5">
        <v>0</v>
      </c>
      <c r="ND21" s="5">
        <v>0</v>
      </c>
      <c r="NE21" s="5">
        <v>0</v>
      </c>
      <c r="NF21" s="5">
        <v>0</v>
      </c>
      <c r="NG21" s="5">
        <v>3458400</v>
      </c>
      <c r="NH21" s="5">
        <v>3360000</v>
      </c>
      <c r="NI21" s="5">
        <v>3360000</v>
      </c>
      <c r="NJ21" s="5"/>
      <c r="NK21" s="5">
        <v>0</v>
      </c>
      <c r="NL21" s="2" t="s">
        <v>17</v>
      </c>
      <c r="NM21" s="2" t="s">
        <v>17</v>
      </c>
      <c r="NN21" s="2"/>
      <c r="NO21" s="2" t="s">
        <v>17</v>
      </c>
      <c r="NP21" s="2"/>
      <c r="NQ21" s="2"/>
      <c r="NR21" s="2" t="s">
        <v>17</v>
      </c>
      <c r="NS21" s="2"/>
      <c r="NT21" s="2" t="s">
        <v>9</v>
      </c>
      <c r="NU21" s="2" t="s">
        <v>450</v>
      </c>
      <c r="NV21" s="2">
        <v>15.02</v>
      </c>
      <c r="NW21" s="2" t="s">
        <v>3342</v>
      </c>
      <c r="NX21" s="2" t="s">
        <v>17</v>
      </c>
      <c r="NY21" s="2"/>
      <c r="NZ21" s="2"/>
      <c r="OA21" s="2" t="s">
        <v>118</v>
      </c>
      <c r="OB21" s="2" t="s">
        <v>118</v>
      </c>
      <c r="OC21" s="2" t="s">
        <v>118</v>
      </c>
      <c r="OD21" s="2" t="s">
        <v>3343</v>
      </c>
      <c r="OE21" s="2" t="s">
        <v>3456</v>
      </c>
      <c r="OF21" s="2"/>
      <c r="OG21" s="2" t="s">
        <v>17</v>
      </c>
      <c r="OH21" s="2" t="s">
        <v>119</v>
      </c>
      <c r="OI21" s="2" t="s">
        <v>17</v>
      </c>
      <c r="OJ21" s="2"/>
      <c r="OK21" s="2" t="s">
        <v>17</v>
      </c>
      <c r="OL21" s="2" t="s">
        <v>17</v>
      </c>
      <c r="OM21" s="2" t="s">
        <v>85</v>
      </c>
      <c r="ON21" s="6">
        <v>0</v>
      </c>
      <c r="OO21" s="6">
        <v>0</v>
      </c>
      <c r="OP21" s="2" t="s">
        <v>93</v>
      </c>
      <c r="OQ21" s="2" t="s">
        <v>93</v>
      </c>
      <c r="OR21" s="6">
        <v>0</v>
      </c>
      <c r="OS21" s="4">
        <v>0</v>
      </c>
      <c r="OT21" s="2" t="s">
        <v>17</v>
      </c>
      <c r="OU21" s="2" t="s">
        <v>17</v>
      </c>
      <c r="OV21" s="2"/>
      <c r="OW21" s="2"/>
      <c r="OX21" s="5">
        <v>21573216</v>
      </c>
      <c r="OY21" s="6">
        <v>199752</v>
      </c>
      <c r="OZ21" s="2"/>
      <c r="PA21" s="2"/>
      <c r="PB21" s="2"/>
      <c r="PC21" s="2"/>
      <c r="PD21" s="8">
        <v>19881721</v>
      </c>
      <c r="PE21" s="8">
        <v>468180</v>
      </c>
      <c r="PF21" s="8">
        <v>20349901</v>
      </c>
      <c r="PG21" s="2"/>
      <c r="PH21" s="2"/>
      <c r="PI21" s="2"/>
      <c r="PJ21" s="8">
        <v>510000</v>
      </c>
      <c r="PK21" s="8">
        <v>205200</v>
      </c>
      <c r="PL21" s="8">
        <v>715200</v>
      </c>
      <c r="PM21" s="8">
        <v>20391721</v>
      </c>
      <c r="PN21" s="8">
        <v>673380</v>
      </c>
      <c r="PO21" s="8">
        <v>21065101</v>
      </c>
      <c r="PP21" s="8">
        <v>2949000</v>
      </c>
      <c r="PQ21" s="2"/>
      <c r="PR21" s="8">
        <v>2949000</v>
      </c>
      <c r="PS21" s="6">
        <v>2949114</v>
      </c>
      <c r="PT21" s="8">
        <v>23340721</v>
      </c>
      <c r="PU21" s="8">
        <v>673380</v>
      </c>
      <c r="PV21" s="8">
        <v>24014101</v>
      </c>
      <c r="PW21" s="8">
        <v>1200550</v>
      </c>
      <c r="PX21" s="2"/>
      <c r="PY21" s="8">
        <v>1200550</v>
      </c>
      <c r="PZ21" s="6">
        <v>1200705.05</v>
      </c>
      <c r="QA21" s="8">
        <v>1909150</v>
      </c>
      <c r="QB21" s="8">
        <v>284500</v>
      </c>
      <c r="QC21" s="8">
        <v>2193650</v>
      </c>
      <c r="QD21" s="8">
        <v>427983</v>
      </c>
      <c r="QE21" s="8">
        <v>97200</v>
      </c>
      <c r="QF21" s="8">
        <v>525183</v>
      </c>
      <c r="QG21" s="8">
        <v>745520</v>
      </c>
      <c r="QH21" s="8">
        <v>35280</v>
      </c>
      <c r="QI21" s="8">
        <v>780800</v>
      </c>
      <c r="QJ21" s="2"/>
      <c r="QK21" s="8">
        <v>472755</v>
      </c>
      <c r="QL21" s="8">
        <v>472755</v>
      </c>
      <c r="QM21" s="2"/>
      <c r="QN21" s="2"/>
      <c r="QO21" s="2"/>
      <c r="QP21" s="2"/>
      <c r="QQ21" s="2"/>
      <c r="QR21" s="2"/>
      <c r="QS21" s="8">
        <v>3082653</v>
      </c>
      <c r="QT21" s="8">
        <v>889735</v>
      </c>
      <c r="QU21" s="8">
        <v>3972388</v>
      </c>
      <c r="QV21" s="2"/>
      <c r="QW21" s="8">
        <v>198619</v>
      </c>
      <c r="QX21" s="8">
        <v>198619</v>
      </c>
      <c r="QY21" s="6">
        <v>198619.4</v>
      </c>
      <c r="QZ21" s="8">
        <v>1289809</v>
      </c>
      <c r="RA21" s="8">
        <v>1091378</v>
      </c>
      <c r="RB21" s="8">
        <v>2381187</v>
      </c>
      <c r="RC21" s="8">
        <v>668854</v>
      </c>
      <c r="RD21" s="8">
        <v>668854</v>
      </c>
      <c r="RE21" s="2"/>
      <c r="RF21" s="2"/>
      <c r="RG21" s="2"/>
      <c r="RH21" s="8">
        <v>1289809</v>
      </c>
      <c r="RI21" s="8">
        <v>1760232</v>
      </c>
      <c r="RJ21" s="8">
        <v>3050041</v>
      </c>
      <c r="RK21" s="8">
        <v>28913733</v>
      </c>
      <c r="RL21" s="8">
        <v>3521966</v>
      </c>
      <c r="RM21" s="8">
        <v>32435699</v>
      </c>
      <c r="RN21" s="2">
        <v>0</v>
      </c>
      <c r="RO21" s="6">
        <v>0</v>
      </c>
      <c r="RP21" s="8">
        <v>5189700</v>
      </c>
      <c r="RQ21" s="2"/>
      <c r="RR21" s="8">
        <v>5189700</v>
      </c>
      <c r="RS21" s="6">
        <v>5189711</v>
      </c>
      <c r="RT21" s="6">
        <v>0</v>
      </c>
      <c r="RU21" s="8">
        <v>5189700</v>
      </c>
      <c r="RV21" s="2"/>
      <c r="RW21" s="8">
        <v>5189700</v>
      </c>
      <c r="RX21" s="6">
        <v>5189711</v>
      </c>
      <c r="RY21" s="8">
        <v>378000</v>
      </c>
      <c r="RZ21" s="8">
        <v>378000</v>
      </c>
      <c r="SA21" s="6">
        <v>378000</v>
      </c>
      <c r="SB21" s="8">
        <v>3500000</v>
      </c>
      <c r="SC21" s="8">
        <v>3500000</v>
      </c>
      <c r="SD21" s="8">
        <v>34103433</v>
      </c>
      <c r="SE21" s="8">
        <v>7399966</v>
      </c>
      <c r="SF21" s="8">
        <v>41503399</v>
      </c>
      <c r="SG21" s="2"/>
      <c r="SH21" s="2" t="s">
        <v>3725</v>
      </c>
      <c r="SI21" s="2"/>
      <c r="SJ21" s="2"/>
      <c r="SK21" s="8">
        <v>32291132</v>
      </c>
      <c r="SL21" s="2" t="s">
        <v>95</v>
      </c>
      <c r="SM21" s="2"/>
      <c r="SN21" s="2"/>
      <c r="SO21" s="2"/>
      <c r="SP21" s="2"/>
      <c r="SQ21" s="2"/>
      <c r="SR21" s="2"/>
      <c r="SS21" s="2" t="s">
        <v>96</v>
      </c>
      <c r="ST21" s="2" t="s">
        <v>96</v>
      </c>
      <c r="SU21" s="2" t="s">
        <v>96</v>
      </c>
      <c r="SV21" s="2" t="s">
        <v>96</v>
      </c>
      <c r="SW21" s="8">
        <v>6383362</v>
      </c>
      <c r="SX21" s="2"/>
      <c r="SY21" s="2"/>
      <c r="SZ21" s="2"/>
      <c r="TA21" s="2"/>
      <c r="TB21" s="2"/>
      <c r="TC21" s="2"/>
      <c r="TD21" s="8">
        <v>2828905</v>
      </c>
      <c r="TE21" s="8">
        <v>41503399</v>
      </c>
      <c r="TF21" s="2">
        <v>0</v>
      </c>
      <c r="TG21" s="2" t="s">
        <v>9</v>
      </c>
      <c r="TH21" s="8">
        <v>4500000</v>
      </c>
      <c r="TI21" s="2" t="s">
        <v>95</v>
      </c>
      <c r="TJ21" s="2"/>
      <c r="TK21" s="2"/>
      <c r="TL21" s="2"/>
      <c r="TM21" s="2"/>
      <c r="TN21" s="2" t="s">
        <v>96</v>
      </c>
      <c r="TO21" s="2" t="s">
        <v>96</v>
      </c>
      <c r="TP21" s="2" t="s">
        <v>96</v>
      </c>
      <c r="TQ21" s="2" t="s">
        <v>96</v>
      </c>
      <c r="TR21" s="8">
        <v>31916808</v>
      </c>
      <c r="TS21" s="2"/>
      <c r="TT21" s="2"/>
      <c r="TU21" s="2"/>
      <c r="TV21" s="2"/>
      <c r="TW21" s="2"/>
      <c r="TX21" s="2"/>
      <c r="TY21" s="8">
        <v>5086591</v>
      </c>
      <c r="TZ21" s="8">
        <v>41503399</v>
      </c>
      <c r="UA21" s="6">
        <v>4500000</v>
      </c>
      <c r="UB21" s="2">
        <v>0</v>
      </c>
      <c r="UC21" s="2" t="s">
        <v>9</v>
      </c>
      <c r="UD21" s="2">
        <v>108</v>
      </c>
      <c r="UE21" s="5">
        <v>310000</v>
      </c>
      <c r="UF21" s="6">
        <v>413333.33</v>
      </c>
      <c r="UG21" s="6">
        <v>413333.33</v>
      </c>
      <c r="UH21" s="6">
        <v>438133.33</v>
      </c>
      <c r="UI21" s="6">
        <v>47318400</v>
      </c>
      <c r="UJ21" s="6">
        <v>7570944</v>
      </c>
      <c r="UK21" s="2" t="s">
        <v>97</v>
      </c>
      <c r="UL21" s="6">
        <v>7570944</v>
      </c>
      <c r="UM21" s="6">
        <v>54889344</v>
      </c>
      <c r="UN21" s="6">
        <v>37625399</v>
      </c>
      <c r="UO21" s="4">
        <v>0.99990000000000001</v>
      </c>
      <c r="UP21" s="2" t="s">
        <v>9</v>
      </c>
      <c r="UQ21" s="6">
        <v>0</v>
      </c>
      <c r="UR21" s="6">
        <v>0</v>
      </c>
      <c r="US21" s="6">
        <v>443039</v>
      </c>
      <c r="UT21" s="6">
        <v>443039</v>
      </c>
      <c r="UU21" s="6">
        <v>0</v>
      </c>
      <c r="UV21" s="6">
        <v>443039</v>
      </c>
      <c r="UW21" s="6">
        <v>0</v>
      </c>
      <c r="UX21" s="6">
        <v>443039</v>
      </c>
      <c r="UY21" s="2" t="s">
        <v>3387</v>
      </c>
      <c r="UZ21" s="2" t="s">
        <v>3288</v>
      </c>
      <c r="VA21" s="2" t="s">
        <v>17</v>
      </c>
      <c r="VB21" s="2" t="s">
        <v>17</v>
      </c>
      <c r="VC21" s="2" t="s">
        <v>17</v>
      </c>
      <c r="VD21" s="2" t="s">
        <v>17</v>
      </c>
      <c r="VE21" s="2" t="s">
        <v>17</v>
      </c>
      <c r="VF21" s="2" t="s">
        <v>17</v>
      </c>
      <c r="VG21" s="2">
        <v>230908063357</v>
      </c>
      <c r="VH21" s="2" t="s">
        <v>3726</v>
      </c>
      <c r="VI21" s="388" t="s">
        <v>3715</v>
      </c>
      <c r="VJ21" s="2" t="s">
        <v>98</v>
      </c>
      <c r="VK21" s="2" t="s">
        <v>536</v>
      </c>
      <c r="VL21" s="23">
        <f t="shared" si="0"/>
        <v>154</v>
      </c>
      <c r="VM21" s="17">
        <f t="shared" si="1"/>
        <v>1.4259259259259258</v>
      </c>
      <c r="VN21" s="17" t="str">
        <f t="shared" si="2"/>
        <v>NC-HR-E</v>
      </c>
      <c r="VO21" s="17" t="str">
        <f t="shared" si="14"/>
        <v>NC-HR-E-ESS</v>
      </c>
      <c r="VP21" s="12">
        <v>9</v>
      </c>
      <c r="VQ21" s="57">
        <v>1</v>
      </c>
      <c r="VR21" s="57">
        <f t="shared" si="3"/>
        <v>1</v>
      </c>
      <c r="VS21" s="14">
        <f t="shared" si="4"/>
        <v>1</v>
      </c>
      <c r="VT21" s="12">
        <f t="shared" si="5"/>
        <v>0.88350000000000006</v>
      </c>
      <c r="VU21" s="29">
        <f t="shared" si="6"/>
        <v>26717040.000000004</v>
      </c>
      <c r="VV21" s="29">
        <f t="shared" si="7"/>
        <v>247380</v>
      </c>
      <c r="VW21" s="12" t="str">
        <f t="shared" si="15"/>
        <v>A</v>
      </c>
      <c r="VX21" s="12" t="str">
        <f t="shared" si="8"/>
        <v>NC-HR-ESS</v>
      </c>
      <c r="VY21" s="352">
        <f t="shared" si="16"/>
        <v>3</v>
      </c>
      <c r="WA21" s="12">
        <f t="shared" si="17"/>
        <v>1</v>
      </c>
      <c r="WB21" s="12">
        <f t="shared" si="18"/>
        <v>0</v>
      </c>
      <c r="WC21" s="12">
        <f t="shared" si="18"/>
        <v>0</v>
      </c>
      <c r="WD21" s="12">
        <f t="shared" si="18"/>
        <v>0</v>
      </c>
      <c r="WE21" s="12">
        <f t="shared" si="19"/>
        <v>1</v>
      </c>
      <c r="WF21" s="12">
        <f t="shared" si="9"/>
        <v>0</v>
      </c>
      <c r="WG21" s="12">
        <f t="shared" si="10"/>
        <v>0</v>
      </c>
      <c r="WH21" s="12">
        <f t="shared" si="11"/>
        <v>1</v>
      </c>
      <c r="WI21" s="31">
        <f t="shared" si="12"/>
        <v>3</v>
      </c>
      <c r="WJ21" s="2"/>
      <c r="WK21" s="444" t="str">
        <f t="shared" si="20"/>
        <v>NC-HR-ESS-BBN-BRN-NPH-E</v>
      </c>
      <c r="WL21" s="444"/>
      <c r="WM21" s="444"/>
    </row>
    <row r="22" spans="1:611" x14ac:dyDescent="0.25">
      <c r="A22" s="2">
        <v>9676</v>
      </c>
      <c r="B22" s="2" t="s">
        <v>3727</v>
      </c>
      <c r="C22" s="2" t="s">
        <v>3305</v>
      </c>
      <c r="D22" s="3">
        <v>45159</v>
      </c>
      <c r="E22" s="2" t="s">
        <v>9</v>
      </c>
      <c r="F22" s="2">
        <v>3</v>
      </c>
      <c r="G22" s="2" t="s">
        <v>9</v>
      </c>
      <c r="H22" s="2">
        <v>3</v>
      </c>
      <c r="I22" s="2" t="s">
        <v>9</v>
      </c>
      <c r="J22" s="2">
        <v>1</v>
      </c>
      <c r="K22" s="2" t="s">
        <v>9</v>
      </c>
      <c r="L22" s="2">
        <v>3</v>
      </c>
      <c r="M22" s="2" t="s">
        <v>10</v>
      </c>
      <c r="N22" s="2">
        <v>0</v>
      </c>
      <c r="O22" s="2" t="s">
        <v>10</v>
      </c>
      <c r="P22" s="2">
        <v>0</v>
      </c>
      <c r="Q22" s="2" t="s">
        <v>11</v>
      </c>
      <c r="R22" s="2">
        <v>0</v>
      </c>
      <c r="S22" s="2" t="s">
        <v>9</v>
      </c>
      <c r="T22" s="2">
        <v>2</v>
      </c>
      <c r="U22" s="2" t="s">
        <v>9</v>
      </c>
      <c r="V22" s="2">
        <v>2</v>
      </c>
      <c r="W22" s="2" t="s">
        <v>9</v>
      </c>
      <c r="X22" s="2">
        <v>2</v>
      </c>
      <c r="Y22" s="2" t="s">
        <v>12</v>
      </c>
      <c r="Z22" s="2" t="s">
        <v>15</v>
      </c>
      <c r="AA22" s="2" t="s">
        <v>15</v>
      </c>
      <c r="AB22" s="2" t="s">
        <v>15</v>
      </c>
      <c r="AC22" s="2" t="s">
        <v>15</v>
      </c>
      <c r="AD22" s="2" t="s">
        <v>15</v>
      </c>
      <c r="AE22" s="2" t="s">
        <v>2914</v>
      </c>
      <c r="AF22" s="2">
        <v>0</v>
      </c>
      <c r="AG22" s="2" t="s">
        <v>234</v>
      </c>
      <c r="AH22" s="2" t="s">
        <v>17</v>
      </c>
      <c r="AI22" s="4">
        <v>0.16667000000000001</v>
      </c>
      <c r="AJ22" s="2" t="s">
        <v>17</v>
      </c>
      <c r="AK22" s="2" t="s">
        <v>9</v>
      </c>
      <c r="AL22" s="2" t="s">
        <v>17</v>
      </c>
      <c r="AM22" s="2" t="s">
        <v>17</v>
      </c>
      <c r="AN22" s="2" t="s">
        <v>17</v>
      </c>
      <c r="AO22" s="2" t="s">
        <v>9</v>
      </c>
      <c r="AP22" s="2" t="s">
        <v>17</v>
      </c>
      <c r="AQ22" s="2" t="s">
        <v>17</v>
      </c>
      <c r="AR22" s="2" t="s">
        <v>17</v>
      </c>
      <c r="AS22" s="2" t="s">
        <v>17</v>
      </c>
      <c r="AT22" s="2">
        <v>5</v>
      </c>
      <c r="AU22" s="5">
        <v>100000</v>
      </c>
      <c r="AV22" s="2" t="s">
        <v>85</v>
      </c>
      <c r="AW22" s="2">
        <v>0</v>
      </c>
      <c r="AX22" s="2">
        <v>4</v>
      </c>
      <c r="AY22" s="2">
        <v>0</v>
      </c>
      <c r="AZ22" s="2">
        <v>18</v>
      </c>
      <c r="BA22" s="2">
        <v>0</v>
      </c>
      <c r="BB22" s="2">
        <v>0</v>
      </c>
      <c r="BC22" s="2">
        <v>1</v>
      </c>
      <c r="BD22" s="2">
        <v>5</v>
      </c>
      <c r="BE22" s="2">
        <v>0</v>
      </c>
      <c r="BF22" s="2">
        <v>1</v>
      </c>
      <c r="BG22" s="2">
        <v>0</v>
      </c>
      <c r="BH22" s="2">
        <v>0</v>
      </c>
      <c r="BI22" s="2">
        <v>13</v>
      </c>
      <c r="BJ22" s="2">
        <v>1</v>
      </c>
      <c r="BK22" s="2">
        <v>0</v>
      </c>
      <c r="BL22" s="2">
        <v>3</v>
      </c>
      <c r="BM22" s="2">
        <v>2</v>
      </c>
      <c r="BN22" s="2">
        <v>13</v>
      </c>
      <c r="BO22" s="2">
        <v>11</v>
      </c>
      <c r="BP22" s="2">
        <v>0</v>
      </c>
      <c r="BQ22" s="2">
        <v>10</v>
      </c>
      <c r="BR22" s="2">
        <v>10.51</v>
      </c>
      <c r="BS22" s="2">
        <v>0</v>
      </c>
      <c r="BT22" s="4">
        <v>0.06</v>
      </c>
      <c r="BU22" s="2" t="s">
        <v>9</v>
      </c>
      <c r="BV22" s="6">
        <v>199752</v>
      </c>
      <c r="BW22" s="2" t="s">
        <v>18</v>
      </c>
      <c r="BX22" s="2" t="s">
        <v>17</v>
      </c>
      <c r="BY22" s="2" t="s">
        <v>17</v>
      </c>
      <c r="BZ22" s="2" t="s">
        <v>17</v>
      </c>
      <c r="CA22" s="2" t="s">
        <v>17</v>
      </c>
      <c r="CB22" s="2" t="s">
        <v>17</v>
      </c>
      <c r="CC22" s="2" t="s">
        <v>17</v>
      </c>
      <c r="CD22" s="2" t="s">
        <v>17</v>
      </c>
      <c r="CE22" s="2" t="s">
        <v>3728</v>
      </c>
      <c r="CF22" s="2" t="s">
        <v>17</v>
      </c>
      <c r="CG22" s="2" t="s">
        <v>3181</v>
      </c>
      <c r="CH22" s="2"/>
      <c r="CI22" s="2"/>
      <c r="CJ22" s="2" t="s">
        <v>9</v>
      </c>
      <c r="CK22" s="2" t="s">
        <v>3182</v>
      </c>
      <c r="CL22" s="2" t="s">
        <v>3181</v>
      </c>
      <c r="CM22" s="2" t="s">
        <v>3183</v>
      </c>
      <c r="CN22" s="2" t="s">
        <v>330</v>
      </c>
      <c r="CO22" s="2" t="s">
        <v>24</v>
      </c>
      <c r="CP22" s="2"/>
      <c r="CQ22" s="2">
        <v>108</v>
      </c>
      <c r="CR22" s="2" t="s">
        <v>3718</v>
      </c>
      <c r="CS22" s="2">
        <v>2020</v>
      </c>
      <c r="CT22" s="2" t="s">
        <v>26</v>
      </c>
      <c r="CU22" s="2" t="s">
        <v>27</v>
      </c>
      <c r="CV22" s="2" t="s">
        <v>3184</v>
      </c>
      <c r="CW22" s="2" t="s">
        <v>330</v>
      </c>
      <c r="CX22" s="2" t="s">
        <v>413</v>
      </c>
      <c r="CY22" s="2" t="s">
        <v>3185</v>
      </c>
      <c r="CZ22" s="2">
        <v>96</v>
      </c>
      <c r="DA22" s="2" t="s">
        <v>3718</v>
      </c>
      <c r="DB22" s="2">
        <v>2016</v>
      </c>
      <c r="DC22" s="2" t="s">
        <v>26</v>
      </c>
      <c r="DD22" s="2" t="s">
        <v>27</v>
      </c>
      <c r="DE22" s="2" t="s">
        <v>3186</v>
      </c>
      <c r="DF22" s="2" t="s">
        <v>3187</v>
      </c>
      <c r="DG22" s="2" t="s">
        <v>413</v>
      </c>
      <c r="DH22" s="2" t="s">
        <v>3188</v>
      </c>
      <c r="DI22" s="2">
        <v>112</v>
      </c>
      <c r="DJ22" s="2" t="s">
        <v>3718</v>
      </c>
      <c r="DK22" s="2">
        <v>2016</v>
      </c>
      <c r="DL22" s="2" t="s">
        <v>26</v>
      </c>
      <c r="DM22" s="2" t="s">
        <v>27</v>
      </c>
      <c r="DN22" s="2" t="s">
        <v>33</v>
      </c>
      <c r="DO22" s="2" t="s">
        <v>3189</v>
      </c>
      <c r="DP22" s="2"/>
      <c r="DQ22" s="2" t="s">
        <v>3190</v>
      </c>
      <c r="DR22" s="2" t="s">
        <v>3191</v>
      </c>
      <c r="DS22" s="2">
        <v>1</v>
      </c>
      <c r="DT22" s="2" t="s">
        <v>3192</v>
      </c>
      <c r="DU22" s="2" t="s">
        <v>3079</v>
      </c>
      <c r="DV22" s="2" t="s">
        <v>39</v>
      </c>
      <c r="DW22" s="2">
        <v>33020</v>
      </c>
      <c r="DX22" s="2" t="s">
        <v>3193</v>
      </c>
      <c r="DY22" s="2">
        <v>2256</v>
      </c>
      <c r="DZ22" s="2" t="s">
        <v>3194</v>
      </c>
      <c r="EA22" s="2" t="s">
        <v>3182</v>
      </c>
      <c r="EB22" s="2" t="s">
        <v>3729</v>
      </c>
      <c r="EC22" s="2" t="s">
        <v>2943</v>
      </c>
      <c r="ED22" s="2" t="s">
        <v>44</v>
      </c>
      <c r="EE22" s="2">
        <v>88</v>
      </c>
      <c r="EF22" s="2" t="s">
        <v>3719</v>
      </c>
      <c r="EG22" s="2">
        <v>7</v>
      </c>
      <c r="EH22" s="2" t="s">
        <v>46</v>
      </c>
      <c r="EI22" s="2" t="s">
        <v>47</v>
      </c>
      <c r="EJ22" s="2" t="s">
        <v>3730</v>
      </c>
      <c r="EK22" s="2" t="s">
        <v>330</v>
      </c>
      <c r="EL22" s="2" t="s">
        <v>44</v>
      </c>
      <c r="EM22" s="2">
        <v>136</v>
      </c>
      <c r="EN22" s="2" t="s">
        <v>3719</v>
      </c>
      <c r="EO22" s="2">
        <v>4</v>
      </c>
      <c r="EP22" s="2" t="s">
        <v>46</v>
      </c>
      <c r="EQ22" s="2" t="s">
        <v>47</v>
      </c>
      <c r="ER22" s="2" t="s">
        <v>3197</v>
      </c>
      <c r="ES22" s="2" t="s">
        <v>1415</v>
      </c>
      <c r="ET22" s="2" t="s">
        <v>3198</v>
      </c>
      <c r="EU22" s="2" t="s">
        <v>3728</v>
      </c>
      <c r="EV22" s="2" t="s">
        <v>3192</v>
      </c>
      <c r="EW22" s="2" t="s">
        <v>3079</v>
      </c>
      <c r="EX22" s="2" t="s">
        <v>39</v>
      </c>
      <c r="EY22" s="2">
        <v>33020</v>
      </c>
      <c r="EZ22" s="2" t="s">
        <v>3193</v>
      </c>
      <c r="FA22" s="2">
        <v>2231</v>
      </c>
      <c r="FB22" s="2" t="s">
        <v>3731</v>
      </c>
      <c r="FC22" s="2" t="s">
        <v>3197</v>
      </c>
      <c r="FD22" s="2" t="s">
        <v>1415</v>
      </c>
      <c r="FE22" s="2" t="s">
        <v>3198</v>
      </c>
      <c r="FF22" s="2" t="s">
        <v>3728</v>
      </c>
      <c r="FG22" s="2" t="s">
        <v>3192</v>
      </c>
      <c r="FH22" s="2" t="s">
        <v>3079</v>
      </c>
      <c r="FI22" s="2" t="s">
        <v>39</v>
      </c>
      <c r="FJ22" s="2">
        <v>33020</v>
      </c>
      <c r="FK22" s="2" t="s">
        <v>3193</v>
      </c>
      <c r="FL22" s="2">
        <v>2231</v>
      </c>
      <c r="FM22" s="2" t="s">
        <v>3731</v>
      </c>
      <c r="FN22" s="2" t="s">
        <v>3732</v>
      </c>
      <c r="FO22" s="2" t="s">
        <v>63</v>
      </c>
      <c r="FP22" s="2" t="s">
        <v>64</v>
      </c>
      <c r="FQ22" s="2" t="s">
        <v>9</v>
      </c>
      <c r="FR22" s="2" t="s">
        <v>17</v>
      </c>
      <c r="FS22" s="2" t="s">
        <v>17</v>
      </c>
      <c r="FT22" s="2" t="s">
        <v>9</v>
      </c>
      <c r="FU22" s="2"/>
      <c r="FV22" s="2"/>
      <c r="FW22" s="2">
        <v>0</v>
      </c>
      <c r="FX22" s="2">
        <v>0</v>
      </c>
      <c r="FY22" s="4">
        <v>0</v>
      </c>
      <c r="FZ22" s="4">
        <v>0</v>
      </c>
      <c r="GA22" s="2" t="s">
        <v>65</v>
      </c>
      <c r="GB22" s="2"/>
      <c r="GC22" s="2" t="s">
        <v>66</v>
      </c>
      <c r="GD22" s="2" t="s">
        <v>67</v>
      </c>
      <c r="GE22" s="2" t="s">
        <v>2684</v>
      </c>
      <c r="GF22" s="2"/>
      <c r="GG22" s="2"/>
      <c r="GH22" s="2"/>
      <c r="GI22" s="2"/>
      <c r="GJ22" s="2"/>
      <c r="GK22" s="2">
        <v>108</v>
      </c>
      <c r="GL22" s="2"/>
      <c r="GM22" s="2"/>
      <c r="GN22" s="2"/>
      <c r="GO22" s="2"/>
      <c r="GP22" s="2"/>
      <c r="GQ22" s="2">
        <v>108</v>
      </c>
      <c r="GR22" s="2" t="s">
        <v>3332</v>
      </c>
      <c r="GS22" s="2" t="s">
        <v>2686</v>
      </c>
      <c r="GT22" s="2" t="s">
        <v>3733</v>
      </c>
      <c r="GU22" s="2" t="s">
        <v>3734</v>
      </c>
      <c r="GV22" s="2" t="s">
        <v>17</v>
      </c>
      <c r="GW22" s="2">
        <v>25.839213999999998</v>
      </c>
      <c r="GX22" s="2">
        <v>-80.300824000000006</v>
      </c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>
        <v>25.839791999999999</v>
      </c>
      <c r="HS22" s="2">
        <v>-80.301541999999998</v>
      </c>
      <c r="HT22" s="2">
        <v>0.04</v>
      </c>
      <c r="HU22" s="2">
        <v>6</v>
      </c>
      <c r="HV22" s="2" t="s">
        <v>3164</v>
      </c>
      <c r="HW22" s="2" t="s">
        <v>3735</v>
      </c>
      <c r="HX22" s="2">
        <v>0.6</v>
      </c>
      <c r="HY22" s="2">
        <v>3</v>
      </c>
      <c r="HZ22" s="2"/>
      <c r="IA22" s="2"/>
      <c r="IB22" s="2"/>
      <c r="IC22" s="2"/>
      <c r="ID22" s="2" t="s">
        <v>224</v>
      </c>
      <c r="IE22" s="2">
        <v>0.62</v>
      </c>
      <c r="IF22" s="2">
        <v>3</v>
      </c>
      <c r="IG22" s="2" t="s">
        <v>3736</v>
      </c>
      <c r="IH22" s="2">
        <v>0.38</v>
      </c>
      <c r="II22" s="2">
        <v>4</v>
      </c>
      <c r="IJ22" s="2" t="s">
        <v>17</v>
      </c>
      <c r="IK22" s="2"/>
      <c r="IL22" s="2" t="s">
        <v>79</v>
      </c>
      <c r="IM22" s="2" t="s">
        <v>9</v>
      </c>
      <c r="IN22" s="2" t="s">
        <v>921</v>
      </c>
      <c r="IO22" s="2" t="s">
        <v>3341</v>
      </c>
      <c r="IP22" s="2">
        <v>6</v>
      </c>
      <c r="IQ22" s="2">
        <v>10</v>
      </c>
      <c r="IR22" s="2">
        <v>16</v>
      </c>
      <c r="IS22" s="2" t="s">
        <v>17</v>
      </c>
      <c r="IT22" s="2" t="s">
        <v>17</v>
      </c>
      <c r="IU22" s="2" t="s">
        <v>9</v>
      </c>
      <c r="IV22" s="2" t="s">
        <v>9</v>
      </c>
      <c r="IW22" s="2" t="s">
        <v>9</v>
      </c>
      <c r="IX22" s="2" t="s">
        <v>9</v>
      </c>
      <c r="IY22" s="2">
        <v>16</v>
      </c>
      <c r="IZ22" s="2">
        <v>108</v>
      </c>
      <c r="JA22" s="2" t="s">
        <v>2731</v>
      </c>
      <c r="JB22" s="2"/>
      <c r="JC22" s="2" t="s">
        <v>82</v>
      </c>
      <c r="JD22" s="2"/>
      <c r="JE22" s="2"/>
      <c r="JF22" s="7">
        <v>0</v>
      </c>
      <c r="JG22" s="7"/>
      <c r="JH22" s="7"/>
      <c r="JI22" s="2">
        <v>0</v>
      </c>
      <c r="JJ22" s="7">
        <v>0</v>
      </c>
      <c r="JK22" s="2">
        <v>0</v>
      </c>
      <c r="JL22" s="7">
        <v>0</v>
      </c>
      <c r="JM22" s="2">
        <v>18</v>
      </c>
      <c r="JN22" s="2"/>
      <c r="JO22" s="2">
        <v>15</v>
      </c>
      <c r="JP22" s="2">
        <v>16</v>
      </c>
      <c r="JQ22" s="2">
        <v>50</v>
      </c>
      <c r="JR22" s="2">
        <v>9</v>
      </c>
      <c r="JS22" s="2">
        <v>0</v>
      </c>
      <c r="JT22" s="2">
        <v>0</v>
      </c>
      <c r="JU22" s="2"/>
      <c r="JV22" s="2">
        <v>108</v>
      </c>
      <c r="JW22" s="4">
        <v>1</v>
      </c>
      <c r="JX22" s="2">
        <v>108</v>
      </c>
      <c r="JY22" s="4">
        <v>0.59906999999999999</v>
      </c>
      <c r="JZ22" s="2">
        <v>0</v>
      </c>
      <c r="KA22" s="2"/>
      <c r="KB22" s="2"/>
      <c r="KC22" s="2"/>
      <c r="KD22" s="2"/>
      <c r="KE22" s="2"/>
      <c r="KF22" s="2"/>
      <c r="KG22" s="2"/>
      <c r="KH22" s="2">
        <v>54</v>
      </c>
      <c r="KI22" s="2"/>
      <c r="KJ22" s="2"/>
      <c r="KK22" s="2">
        <v>38</v>
      </c>
      <c r="KL22" s="2">
        <v>16</v>
      </c>
      <c r="KM22" s="2"/>
      <c r="KN22" s="2"/>
      <c r="KO22" s="2"/>
      <c r="KP22" s="2"/>
      <c r="KQ22" s="2" t="s">
        <v>83</v>
      </c>
      <c r="KR22" s="2" t="s">
        <v>73</v>
      </c>
      <c r="KS22" s="2"/>
      <c r="KT22" s="2">
        <v>1</v>
      </c>
      <c r="KU22" s="2" t="s">
        <v>84</v>
      </c>
      <c r="KV22" s="2" t="s">
        <v>85</v>
      </c>
      <c r="KW22" s="2" t="s">
        <v>86</v>
      </c>
      <c r="KX22" s="2" t="s">
        <v>17</v>
      </c>
      <c r="KY22" s="2" t="s">
        <v>17</v>
      </c>
      <c r="KZ22" s="2" t="s">
        <v>17</v>
      </c>
      <c r="LA22" s="2" t="s">
        <v>17</v>
      </c>
      <c r="LB22" s="2" t="s">
        <v>17</v>
      </c>
      <c r="LC22" s="2" t="s">
        <v>17</v>
      </c>
      <c r="LD22" s="2" t="s">
        <v>17</v>
      </c>
      <c r="LE22" s="2" t="s">
        <v>17</v>
      </c>
      <c r="LF22" s="2" t="s">
        <v>17</v>
      </c>
      <c r="LG22" s="2" t="s">
        <v>17</v>
      </c>
      <c r="LH22" s="2" t="s">
        <v>17</v>
      </c>
      <c r="LI22" s="2" t="s">
        <v>17</v>
      </c>
      <c r="LJ22" s="2" t="s">
        <v>87</v>
      </c>
      <c r="LK22" s="2" t="s">
        <v>17</v>
      </c>
      <c r="LL22" s="2" t="s">
        <v>17</v>
      </c>
      <c r="LM22" s="2">
        <v>0</v>
      </c>
      <c r="LN22" s="2" t="s">
        <v>17</v>
      </c>
      <c r="LO22" s="2" t="s">
        <v>9</v>
      </c>
      <c r="LP22" s="2" t="s">
        <v>9</v>
      </c>
      <c r="LQ22" s="2" t="s">
        <v>17</v>
      </c>
      <c r="LR22" s="2" t="s">
        <v>9</v>
      </c>
      <c r="LS22" s="2" t="s">
        <v>17</v>
      </c>
      <c r="LT22" s="2" t="s">
        <v>17</v>
      </c>
      <c r="LU22" s="2" t="s">
        <v>17</v>
      </c>
      <c r="LV22" s="2" t="s">
        <v>17</v>
      </c>
      <c r="LW22" s="2" t="s">
        <v>17</v>
      </c>
      <c r="LX22" s="2" t="s">
        <v>17</v>
      </c>
      <c r="LY22" s="5">
        <v>6500000</v>
      </c>
      <c r="LZ22" s="5">
        <v>0</v>
      </c>
      <c r="MA22" s="5">
        <v>8400000</v>
      </c>
      <c r="MB22" s="5">
        <v>0</v>
      </c>
      <c r="MC22" s="5">
        <v>0</v>
      </c>
      <c r="MD22" s="5">
        <v>0</v>
      </c>
      <c r="ME22" s="5">
        <v>10000000</v>
      </c>
      <c r="MF22" s="5">
        <v>0</v>
      </c>
      <c r="MG22" s="5">
        <v>0</v>
      </c>
      <c r="MH22" s="5">
        <v>0</v>
      </c>
      <c r="MI22" s="5">
        <v>0</v>
      </c>
      <c r="MJ22" s="5">
        <v>0</v>
      </c>
      <c r="MK22" s="5">
        <v>0</v>
      </c>
      <c r="ML22" s="2">
        <v>0</v>
      </c>
      <c r="MM22" s="5">
        <v>0</v>
      </c>
      <c r="MN22" s="5">
        <v>0</v>
      </c>
      <c r="MO22" s="2">
        <v>0</v>
      </c>
      <c r="MP22" s="2">
        <v>0</v>
      </c>
      <c r="MQ22" s="2">
        <v>0</v>
      </c>
      <c r="MR22" s="5">
        <v>2950000</v>
      </c>
      <c r="MS22" s="5">
        <v>0</v>
      </c>
      <c r="MT22" s="5">
        <v>4600000</v>
      </c>
      <c r="MU22" s="5">
        <v>0</v>
      </c>
      <c r="MV22" s="5">
        <v>0</v>
      </c>
      <c r="MW22" s="5">
        <v>0</v>
      </c>
      <c r="MX22" s="5">
        <v>0</v>
      </c>
      <c r="MY22" s="5">
        <v>2500000</v>
      </c>
      <c r="MZ22" s="5">
        <v>0</v>
      </c>
      <c r="NA22" s="5">
        <v>5000000</v>
      </c>
      <c r="NB22" s="5">
        <v>0</v>
      </c>
      <c r="NC22" s="5">
        <v>0</v>
      </c>
      <c r="ND22" s="5">
        <v>0</v>
      </c>
      <c r="NE22" s="5">
        <v>0</v>
      </c>
      <c r="NF22" s="5">
        <v>0</v>
      </c>
      <c r="NG22" s="5">
        <v>3458400</v>
      </c>
      <c r="NH22" s="5">
        <v>3360000</v>
      </c>
      <c r="NI22" s="5">
        <v>3360000</v>
      </c>
      <c r="NJ22" s="5"/>
      <c r="NK22" s="5">
        <v>0</v>
      </c>
      <c r="NL22" s="2" t="s">
        <v>17</v>
      </c>
      <c r="NM22" s="2" t="s">
        <v>17</v>
      </c>
      <c r="NN22" s="2"/>
      <c r="NO22" s="2" t="s">
        <v>17</v>
      </c>
      <c r="NP22" s="2"/>
      <c r="NQ22" s="2"/>
      <c r="NR22" s="2" t="s">
        <v>17</v>
      </c>
      <c r="NS22" s="2"/>
      <c r="NT22" s="2" t="s">
        <v>9</v>
      </c>
      <c r="NU22" s="2" t="s">
        <v>450</v>
      </c>
      <c r="NV22" s="2">
        <v>7.12</v>
      </c>
      <c r="NW22" s="2" t="s">
        <v>3342</v>
      </c>
      <c r="NX22" s="2"/>
      <c r="NY22" s="2"/>
      <c r="NZ22" s="2"/>
      <c r="OA22" s="2" t="s">
        <v>118</v>
      </c>
      <c r="OB22" s="2" t="s">
        <v>118</v>
      </c>
      <c r="OC22" s="2" t="s">
        <v>118</v>
      </c>
      <c r="OD22" s="2" t="s">
        <v>3343</v>
      </c>
      <c r="OE22" s="2" t="s">
        <v>3737</v>
      </c>
      <c r="OF22" s="2"/>
      <c r="OG22" s="2" t="s">
        <v>17</v>
      </c>
      <c r="OH22" s="2" t="s">
        <v>119</v>
      </c>
      <c r="OI22" s="2" t="s">
        <v>17</v>
      </c>
      <c r="OJ22" s="2"/>
      <c r="OK22" s="2" t="s">
        <v>17</v>
      </c>
      <c r="OL22" s="2" t="s">
        <v>17</v>
      </c>
      <c r="OM22" s="2" t="s">
        <v>85</v>
      </c>
      <c r="ON22" s="6">
        <v>0</v>
      </c>
      <c r="OO22" s="6">
        <v>0</v>
      </c>
      <c r="OP22" s="2" t="s">
        <v>93</v>
      </c>
      <c r="OQ22" s="2" t="s">
        <v>93</v>
      </c>
      <c r="OR22" s="6">
        <v>0</v>
      </c>
      <c r="OS22" s="4">
        <v>0</v>
      </c>
      <c r="OT22" s="2" t="s">
        <v>17</v>
      </c>
      <c r="OU22" s="2" t="s">
        <v>17</v>
      </c>
      <c r="OV22" s="2"/>
      <c r="OW22" s="2"/>
      <c r="OX22" s="5">
        <v>21573216</v>
      </c>
      <c r="OY22" s="6">
        <v>199752</v>
      </c>
      <c r="OZ22" s="2"/>
      <c r="PA22" s="2"/>
      <c r="PB22" s="8">
        <v>1145600</v>
      </c>
      <c r="PC22" s="8">
        <v>1145600</v>
      </c>
      <c r="PD22" s="8">
        <v>24723000</v>
      </c>
      <c r="PE22" s="8">
        <v>86400</v>
      </c>
      <c r="PF22" s="8">
        <v>24809400</v>
      </c>
      <c r="PG22" s="8">
        <v>2916000</v>
      </c>
      <c r="PH22" s="2"/>
      <c r="PI22" s="8">
        <v>2916000</v>
      </c>
      <c r="PJ22" s="2"/>
      <c r="PK22" s="2"/>
      <c r="PL22" s="2"/>
      <c r="PM22" s="8">
        <v>27639000</v>
      </c>
      <c r="PN22" s="8">
        <v>1232000</v>
      </c>
      <c r="PO22" s="8">
        <v>28871000</v>
      </c>
      <c r="PP22" s="8">
        <v>4041000</v>
      </c>
      <c r="PQ22" s="2"/>
      <c r="PR22" s="8">
        <v>4041000</v>
      </c>
      <c r="PS22" s="6">
        <v>4041940</v>
      </c>
      <c r="PT22" s="8">
        <v>31680000</v>
      </c>
      <c r="PU22" s="8">
        <v>1232000</v>
      </c>
      <c r="PV22" s="8">
        <v>32912000</v>
      </c>
      <c r="PW22" s="8">
        <v>1645600</v>
      </c>
      <c r="PX22" s="2"/>
      <c r="PY22" s="8">
        <v>1645600</v>
      </c>
      <c r="PZ22" s="6">
        <v>1645600</v>
      </c>
      <c r="QA22" s="8">
        <v>948925</v>
      </c>
      <c r="QB22" s="8">
        <v>393600</v>
      </c>
      <c r="QC22" s="8">
        <v>1342525</v>
      </c>
      <c r="QD22" s="8">
        <v>45000</v>
      </c>
      <c r="QE22" s="8">
        <v>41400</v>
      </c>
      <c r="QF22" s="8">
        <v>86400</v>
      </c>
      <c r="QG22" s="8">
        <v>728629</v>
      </c>
      <c r="QH22" s="2"/>
      <c r="QI22" s="8">
        <v>728629</v>
      </c>
      <c r="QJ22" s="2"/>
      <c r="QK22" s="8">
        <v>570400</v>
      </c>
      <c r="QL22" s="8">
        <v>570400</v>
      </c>
      <c r="QM22" s="2"/>
      <c r="QN22" s="2"/>
      <c r="QO22" s="2"/>
      <c r="QP22" s="8">
        <v>956859</v>
      </c>
      <c r="QQ22" s="8">
        <v>10740</v>
      </c>
      <c r="QR22" s="8">
        <v>967599</v>
      </c>
      <c r="QS22" s="8">
        <v>2679413</v>
      </c>
      <c r="QT22" s="8">
        <v>1016140</v>
      </c>
      <c r="QU22" s="8">
        <v>3695553</v>
      </c>
      <c r="QV22" s="8">
        <v>184000</v>
      </c>
      <c r="QW22" s="2"/>
      <c r="QX22" s="8">
        <v>184000</v>
      </c>
      <c r="QY22" s="6">
        <v>184777.65</v>
      </c>
      <c r="QZ22" s="8">
        <v>2430250</v>
      </c>
      <c r="RA22" s="8">
        <v>706750</v>
      </c>
      <c r="RB22" s="8">
        <v>3137000</v>
      </c>
      <c r="RC22" s="8">
        <v>150000</v>
      </c>
      <c r="RD22" s="8">
        <v>150000</v>
      </c>
      <c r="RE22" s="2"/>
      <c r="RF22" s="2"/>
      <c r="RG22" s="2"/>
      <c r="RH22" s="8">
        <v>2430250</v>
      </c>
      <c r="RI22" s="8">
        <v>856750</v>
      </c>
      <c r="RJ22" s="8">
        <v>3287000</v>
      </c>
      <c r="RK22" s="8">
        <v>38619263</v>
      </c>
      <c r="RL22" s="8">
        <v>3104890</v>
      </c>
      <c r="RM22" s="8">
        <v>41724153</v>
      </c>
      <c r="RN22" s="2">
        <v>0</v>
      </c>
      <c r="RO22" s="6">
        <v>0</v>
      </c>
      <c r="RP22" s="8">
        <v>6671868</v>
      </c>
      <c r="RQ22" s="2"/>
      <c r="RR22" s="8">
        <v>6671868</v>
      </c>
      <c r="RS22" s="6">
        <v>6675864</v>
      </c>
      <c r="RT22" s="6">
        <v>0</v>
      </c>
      <c r="RU22" s="8">
        <v>6671868</v>
      </c>
      <c r="RV22" s="2"/>
      <c r="RW22" s="8">
        <v>6671868</v>
      </c>
      <c r="RX22" s="6">
        <v>6675864</v>
      </c>
      <c r="RY22" s="2"/>
      <c r="RZ22" s="2"/>
      <c r="SA22" s="6">
        <v>378000</v>
      </c>
      <c r="SB22" s="8">
        <v>100000</v>
      </c>
      <c r="SC22" s="8">
        <v>100000</v>
      </c>
      <c r="SD22" s="8">
        <v>45291131</v>
      </c>
      <c r="SE22" s="8">
        <v>3204890</v>
      </c>
      <c r="SF22" s="8">
        <v>48496021</v>
      </c>
      <c r="SG22" s="2" t="s">
        <v>3738</v>
      </c>
      <c r="SH22" s="2"/>
      <c r="SI22" s="2" t="s">
        <v>3739</v>
      </c>
      <c r="SJ22" s="2"/>
      <c r="SK22" s="8">
        <v>31000000</v>
      </c>
      <c r="SL22" s="2" t="s">
        <v>95</v>
      </c>
      <c r="SM22" s="2"/>
      <c r="SN22" s="2"/>
      <c r="SO22" s="2"/>
      <c r="SP22" s="2"/>
      <c r="SQ22" s="2"/>
      <c r="SR22" s="2"/>
      <c r="SS22" s="2" t="s">
        <v>96</v>
      </c>
      <c r="ST22" s="2" t="s">
        <v>96</v>
      </c>
      <c r="SU22" s="2" t="s">
        <v>96</v>
      </c>
      <c r="SV22" s="2" t="s">
        <v>96</v>
      </c>
      <c r="SW22" s="8">
        <v>12363000</v>
      </c>
      <c r="SX22" s="2"/>
      <c r="SY22" s="2"/>
      <c r="SZ22" s="2"/>
      <c r="TA22" s="2"/>
      <c r="TB22" s="2"/>
      <c r="TC22" s="2"/>
      <c r="TD22" s="8">
        <v>5133021</v>
      </c>
      <c r="TE22" s="8">
        <v>48496021</v>
      </c>
      <c r="TF22" s="2">
        <v>0</v>
      </c>
      <c r="TG22" s="2" t="s">
        <v>9</v>
      </c>
      <c r="TH22" s="8">
        <v>14000000</v>
      </c>
      <c r="TI22" s="2" t="s">
        <v>95</v>
      </c>
      <c r="TJ22" s="2"/>
      <c r="TK22" s="2"/>
      <c r="TL22" s="2"/>
      <c r="TM22" s="2"/>
      <c r="TN22" s="2" t="s">
        <v>96</v>
      </c>
      <c r="TO22" s="2" t="s">
        <v>96</v>
      </c>
      <c r="TP22" s="2" t="s">
        <v>96</v>
      </c>
      <c r="TQ22" s="2" t="s">
        <v>96</v>
      </c>
      <c r="TR22" s="8">
        <v>30909000</v>
      </c>
      <c r="TS22" s="2"/>
      <c r="TT22" s="2"/>
      <c r="TU22" s="2"/>
      <c r="TV22" s="2"/>
      <c r="TW22" s="2"/>
      <c r="TX22" s="2"/>
      <c r="TY22" s="8">
        <v>3587021</v>
      </c>
      <c r="TZ22" s="8">
        <v>48496021</v>
      </c>
      <c r="UA22" s="6">
        <v>14000000</v>
      </c>
      <c r="UB22" s="2">
        <v>0</v>
      </c>
      <c r="UC22" s="2" t="s">
        <v>9</v>
      </c>
      <c r="UD22" s="2">
        <v>108</v>
      </c>
      <c r="UE22" s="5">
        <v>310000</v>
      </c>
      <c r="UF22" s="6">
        <v>413333.33</v>
      </c>
      <c r="UG22" s="6">
        <v>413333.33</v>
      </c>
      <c r="UH22" s="6">
        <v>438133.33</v>
      </c>
      <c r="UI22" s="6">
        <v>47318400</v>
      </c>
      <c r="UJ22" s="6">
        <v>7570944</v>
      </c>
      <c r="UK22" s="2" t="s">
        <v>97</v>
      </c>
      <c r="UL22" s="6">
        <v>7570944</v>
      </c>
      <c r="UM22" s="6">
        <v>54889344</v>
      </c>
      <c r="UN22" s="6">
        <v>47250421</v>
      </c>
      <c r="UO22" s="4">
        <v>0.99990000000000001</v>
      </c>
      <c r="UP22" s="2" t="s">
        <v>9</v>
      </c>
      <c r="UQ22" s="6">
        <v>0</v>
      </c>
      <c r="UR22" s="6">
        <v>0</v>
      </c>
      <c r="US22" s="6">
        <v>468912.48</v>
      </c>
      <c r="UT22" s="6">
        <v>468912.48</v>
      </c>
      <c r="UU22" s="6">
        <v>0</v>
      </c>
      <c r="UV22" s="6">
        <v>468912.48</v>
      </c>
      <c r="UW22" s="6">
        <v>0</v>
      </c>
      <c r="UX22" s="6">
        <v>468912.48</v>
      </c>
      <c r="UY22" s="2" t="s">
        <v>3387</v>
      </c>
      <c r="UZ22" s="2" t="s">
        <v>3288</v>
      </c>
      <c r="VA22" s="2" t="s">
        <v>17</v>
      </c>
      <c r="VB22" s="2" t="s">
        <v>17</v>
      </c>
      <c r="VC22" s="2" t="s">
        <v>17</v>
      </c>
      <c r="VD22" s="2" t="s">
        <v>17</v>
      </c>
      <c r="VE22" s="2" t="s">
        <v>17</v>
      </c>
      <c r="VF22" s="2" t="s">
        <v>17</v>
      </c>
      <c r="VG22" s="2" t="s">
        <v>3740</v>
      </c>
      <c r="VH22" s="2"/>
      <c r="VI22" s="388" t="s">
        <v>3209</v>
      </c>
      <c r="VJ22" s="2" t="s">
        <v>98</v>
      </c>
      <c r="VK22" s="2" t="s">
        <v>536</v>
      </c>
      <c r="VL22" s="23">
        <f t="shared" si="0"/>
        <v>178</v>
      </c>
      <c r="VM22" s="17">
        <f t="shared" si="1"/>
        <v>1.6481481481481481</v>
      </c>
      <c r="VN22" s="17" t="str">
        <f t="shared" si="2"/>
        <v>NC-HR-F</v>
      </c>
      <c r="VO22" s="17" t="str">
        <f t="shared" si="14"/>
        <v>NC-HR-F-ESS</v>
      </c>
      <c r="VP22" s="12">
        <v>9</v>
      </c>
      <c r="VQ22" s="57">
        <v>1</v>
      </c>
      <c r="VR22" s="57">
        <f t="shared" si="3"/>
        <v>1</v>
      </c>
      <c r="VS22" s="14">
        <f t="shared" si="4"/>
        <v>1</v>
      </c>
      <c r="VT22" s="12">
        <f t="shared" si="5"/>
        <v>0.88350000000000006</v>
      </c>
      <c r="VU22" s="29">
        <f t="shared" si="6"/>
        <v>26717040.000000004</v>
      </c>
      <c r="VV22" s="29">
        <f t="shared" si="7"/>
        <v>247380</v>
      </c>
      <c r="VW22" s="12" t="str">
        <f t="shared" si="15"/>
        <v>A</v>
      </c>
      <c r="VX22" s="12" t="str">
        <f t="shared" si="8"/>
        <v>NC-HR-ESS</v>
      </c>
      <c r="VY22" s="352">
        <f t="shared" si="16"/>
        <v>3</v>
      </c>
      <c r="WA22" s="12">
        <f t="shared" si="17"/>
        <v>0</v>
      </c>
      <c r="WB22" s="12">
        <f t="shared" si="18"/>
        <v>0</v>
      </c>
      <c r="WC22" s="12">
        <f t="shared" si="18"/>
        <v>0</v>
      </c>
      <c r="WD22" s="12">
        <f t="shared" si="18"/>
        <v>0</v>
      </c>
      <c r="WE22" s="12">
        <f t="shared" si="19"/>
        <v>1</v>
      </c>
      <c r="WF22" s="12">
        <f t="shared" si="9"/>
        <v>0</v>
      </c>
      <c r="WG22" s="12">
        <f t="shared" si="10"/>
        <v>0</v>
      </c>
      <c r="WH22" s="12">
        <f t="shared" si="11"/>
        <v>1</v>
      </c>
      <c r="WI22" s="31">
        <f t="shared" si="12"/>
        <v>2</v>
      </c>
      <c r="WJ22" s="2"/>
      <c r="WK22" s="444" t="str">
        <f t="shared" si="20"/>
        <v>NC-HR-ESS-BBN-BRN-NPH-F</v>
      </c>
      <c r="WL22" s="444"/>
      <c r="WM22" s="444"/>
    </row>
    <row r="23" spans="1:611" x14ac:dyDescent="0.25">
      <c r="A23" s="2">
        <v>9631</v>
      </c>
      <c r="B23" s="2" t="s">
        <v>3741</v>
      </c>
      <c r="C23" s="2" t="s">
        <v>3305</v>
      </c>
      <c r="D23" s="3">
        <v>45159</v>
      </c>
      <c r="E23" s="2" t="s">
        <v>9</v>
      </c>
      <c r="F23" s="2">
        <v>3</v>
      </c>
      <c r="G23" s="2" t="s">
        <v>9</v>
      </c>
      <c r="H23" s="2">
        <v>3</v>
      </c>
      <c r="I23" s="2" t="s">
        <v>9</v>
      </c>
      <c r="J23" s="2">
        <v>2</v>
      </c>
      <c r="K23" s="2" t="s">
        <v>9</v>
      </c>
      <c r="L23" s="2">
        <v>2</v>
      </c>
      <c r="M23" s="2" t="s">
        <v>10</v>
      </c>
      <c r="N23" s="2">
        <v>0</v>
      </c>
      <c r="O23" s="2" t="s">
        <v>10</v>
      </c>
      <c r="P23" s="2">
        <v>0</v>
      </c>
      <c r="Q23" s="2" t="s">
        <v>11</v>
      </c>
      <c r="R23" s="2">
        <v>0</v>
      </c>
      <c r="S23" s="2" t="s">
        <v>9</v>
      </c>
      <c r="T23" s="2">
        <v>2</v>
      </c>
      <c r="U23" s="2" t="s">
        <v>9</v>
      </c>
      <c r="V23" s="2">
        <v>2</v>
      </c>
      <c r="W23" s="2" t="s">
        <v>9</v>
      </c>
      <c r="X23" s="2">
        <v>2</v>
      </c>
      <c r="Y23" s="2" t="s">
        <v>12</v>
      </c>
      <c r="Z23" s="2" t="s">
        <v>15</v>
      </c>
      <c r="AA23" s="2" t="s">
        <v>15</v>
      </c>
      <c r="AB23" s="2" t="s">
        <v>15</v>
      </c>
      <c r="AC23" s="2" t="s">
        <v>15</v>
      </c>
      <c r="AD23" s="2" t="s">
        <v>435</v>
      </c>
      <c r="AE23" s="2" t="s">
        <v>15</v>
      </c>
      <c r="AF23" s="2">
        <v>0</v>
      </c>
      <c r="AG23" s="2" t="s">
        <v>234</v>
      </c>
      <c r="AH23" s="2" t="s">
        <v>17</v>
      </c>
      <c r="AI23" s="4">
        <v>0.1</v>
      </c>
      <c r="AJ23" s="2" t="s">
        <v>17</v>
      </c>
      <c r="AK23" s="2" t="s">
        <v>9</v>
      </c>
      <c r="AL23" s="2" t="s">
        <v>17</v>
      </c>
      <c r="AM23" s="2" t="s">
        <v>17</v>
      </c>
      <c r="AN23" s="2" t="s">
        <v>17</v>
      </c>
      <c r="AO23" s="2" t="s">
        <v>9</v>
      </c>
      <c r="AP23" s="2" t="s">
        <v>17</v>
      </c>
      <c r="AQ23" s="2" t="s">
        <v>17</v>
      </c>
      <c r="AR23" s="2" t="s">
        <v>17</v>
      </c>
      <c r="AS23" s="2" t="s">
        <v>17</v>
      </c>
      <c r="AT23" s="2">
        <v>5</v>
      </c>
      <c r="AU23" s="5">
        <v>100000</v>
      </c>
      <c r="AV23" s="2" t="s">
        <v>85</v>
      </c>
      <c r="AW23" s="2">
        <v>0</v>
      </c>
      <c r="AX23" s="2">
        <v>9</v>
      </c>
      <c r="AY23" s="2">
        <v>0</v>
      </c>
      <c r="AZ23" s="2">
        <v>18</v>
      </c>
      <c r="BA23" s="2">
        <v>0</v>
      </c>
      <c r="BB23" s="2">
        <v>0</v>
      </c>
      <c r="BC23" s="2">
        <v>0</v>
      </c>
      <c r="BD23" s="2">
        <v>5</v>
      </c>
      <c r="BE23" s="2">
        <v>0</v>
      </c>
      <c r="BF23" s="2">
        <v>1</v>
      </c>
      <c r="BG23" s="2">
        <v>0</v>
      </c>
      <c r="BH23" s="2">
        <v>0</v>
      </c>
      <c r="BI23" s="2">
        <v>13</v>
      </c>
      <c r="BJ23" s="2">
        <v>1</v>
      </c>
      <c r="BK23" s="2">
        <v>0</v>
      </c>
      <c r="BL23" s="2">
        <v>2</v>
      </c>
      <c r="BM23" s="2">
        <v>1</v>
      </c>
      <c r="BN23" s="2">
        <v>10</v>
      </c>
      <c r="BO23" s="2">
        <v>11</v>
      </c>
      <c r="BP23" s="2">
        <v>0</v>
      </c>
      <c r="BQ23" s="2">
        <v>10</v>
      </c>
      <c r="BR23" s="2">
        <v>10.51</v>
      </c>
      <c r="BS23" s="2">
        <v>0</v>
      </c>
      <c r="BT23" s="4">
        <v>0.06</v>
      </c>
      <c r="BU23" s="2" t="s">
        <v>9</v>
      </c>
      <c r="BV23" s="6">
        <v>199870.9</v>
      </c>
      <c r="BW23" s="2" t="s">
        <v>126</v>
      </c>
      <c r="BX23" s="2" t="s">
        <v>17</v>
      </c>
      <c r="BY23" s="2" t="s">
        <v>17</v>
      </c>
      <c r="BZ23" s="2" t="s">
        <v>17</v>
      </c>
      <c r="CA23" s="2" t="s">
        <v>17</v>
      </c>
      <c r="CB23" s="2" t="s">
        <v>17</v>
      </c>
      <c r="CC23" s="2" t="s">
        <v>17</v>
      </c>
      <c r="CD23" s="2" t="s">
        <v>17</v>
      </c>
      <c r="CE23" s="2" t="s">
        <v>3742</v>
      </c>
      <c r="CF23" s="2" t="s">
        <v>17</v>
      </c>
      <c r="CG23" s="2" t="s">
        <v>3689</v>
      </c>
      <c r="CH23" s="2" t="s">
        <v>3743</v>
      </c>
      <c r="CI23" s="2" t="s">
        <v>3744</v>
      </c>
      <c r="CJ23" s="2" t="s">
        <v>9</v>
      </c>
      <c r="CK23" s="2" t="s">
        <v>3691</v>
      </c>
      <c r="CL23" s="2" t="s">
        <v>3743</v>
      </c>
      <c r="CM23" s="2" t="s">
        <v>3692</v>
      </c>
      <c r="CN23" s="2" t="s">
        <v>3693</v>
      </c>
      <c r="CO23" s="2" t="s">
        <v>24</v>
      </c>
      <c r="CP23" s="2"/>
      <c r="CQ23" s="2">
        <v>84</v>
      </c>
      <c r="CR23" s="2" t="s">
        <v>3718</v>
      </c>
      <c r="CS23" s="2">
        <v>2021</v>
      </c>
      <c r="CT23" s="2" t="s">
        <v>26</v>
      </c>
      <c r="CU23" s="2" t="s">
        <v>27</v>
      </c>
      <c r="CV23" s="2" t="s">
        <v>3694</v>
      </c>
      <c r="CW23" s="2" t="s">
        <v>3693</v>
      </c>
      <c r="CX23" s="2" t="s">
        <v>24</v>
      </c>
      <c r="CY23" s="2"/>
      <c r="CZ23" s="2">
        <v>128</v>
      </c>
      <c r="DA23" s="2" t="s">
        <v>3718</v>
      </c>
      <c r="DB23" s="2">
        <v>2022</v>
      </c>
      <c r="DC23" s="2" t="s">
        <v>30</v>
      </c>
      <c r="DD23" s="2" t="s">
        <v>27</v>
      </c>
      <c r="DE23" s="2" t="s">
        <v>3695</v>
      </c>
      <c r="DF23" s="2" t="s">
        <v>3696</v>
      </c>
      <c r="DG23" s="2" t="s">
        <v>24</v>
      </c>
      <c r="DH23" s="2"/>
      <c r="DI23" s="2">
        <v>50</v>
      </c>
      <c r="DJ23" s="2" t="s">
        <v>3745</v>
      </c>
      <c r="DK23" s="2">
        <v>2012</v>
      </c>
      <c r="DL23" s="2" t="s">
        <v>243</v>
      </c>
      <c r="DM23" s="2" t="s">
        <v>27</v>
      </c>
      <c r="DN23" s="2" t="s">
        <v>33</v>
      </c>
      <c r="DO23" s="2" t="s">
        <v>1630</v>
      </c>
      <c r="DP23" s="2"/>
      <c r="DQ23" s="2" t="s">
        <v>1631</v>
      </c>
      <c r="DR23" s="2" t="s">
        <v>1632</v>
      </c>
      <c r="DS23" s="2">
        <v>1</v>
      </c>
      <c r="DT23" s="2" t="s">
        <v>3698</v>
      </c>
      <c r="DU23" s="2" t="s">
        <v>299</v>
      </c>
      <c r="DV23" s="2" t="s">
        <v>39</v>
      </c>
      <c r="DW23" s="2">
        <v>33127</v>
      </c>
      <c r="DX23" s="2" t="s">
        <v>3699</v>
      </c>
      <c r="DY23" s="2"/>
      <c r="DZ23" s="2" t="s">
        <v>1635</v>
      </c>
      <c r="EA23" s="2" t="s">
        <v>1632</v>
      </c>
      <c r="EB23" s="2" t="s">
        <v>3700</v>
      </c>
      <c r="EC23" s="2" t="s">
        <v>330</v>
      </c>
      <c r="ED23" s="2" t="s">
        <v>44</v>
      </c>
      <c r="EE23" s="2">
        <v>121</v>
      </c>
      <c r="EF23" s="2" t="s">
        <v>3719</v>
      </c>
      <c r="EG23" s="2">
        <v>17</v>
      </c>
      <c r="EH23" s="2" t="s">
        <v>46</v>
      </c>
      <c r="EI23" s="2" t="s">
        <v>47</v>
      </c>
      <c r="EJ23" s="2" t="s">
        <v>1628</v>
      </c>
      <c r="EK23" s="2" t="s">
        <v>1281</v>
      </c>
      <c r="EL23" s="2" t="s">
        <v>44</v>
      </c>
      <c r="EM23" s="2">
        <v>228</v>
      </c>
      <c r="EN23" s="2" t="s">
        <v>3719</v>
      </c>
      <c r="EO23" s="2">
        <v>4</v>
      </c>
      <c r="EP23" s="2" t="s">
        <v>46</v>
      </c>
      <c r="EQ23" s="2" t="s">
        <v>47</v>
      </c>
      <c r="ER23" s="2" t="s">
        <v>3701</v>
      </c>
      <c r="ES23" s="2"/>
      <c r="ET23" s="2" t="s">
        <v>3702</v>
      </c>
      <c r="EU23" s="2" t="s">
        <v>3742</v>
      </c>
      <c r="EV23" s="2" t="s">
        <v>3703</v>
      </c>
      <c r="EW23" s="2" t="s">
        <v>299</v>
      </c>
      <c r="EX23" s="2" t="s">
        <v>39</v>
      </c>
      <c r="EY23" s="2">
        <v>33138</v>
      </c>
      <c r="EZ23" s="2" t="s">
        <v>3704</v>
      </c>
      <c r="FA23" s="2"/>
      <c r="FB23" s="2" t="s">
        <v>3705</v>
      </c>
      <c r="FC23" s="2" t="s">
        <v>3706</v>
      </c>
      <c r="FD23" s="2"/>
      <c r="FE23" s="2" t="s">
        <v>3707</v>
      </c>
      <c r="FF23" s="2" t="s">
        <v>3689</v>
      </c>
      <c r="FG23" s="2" t="s">
        <v>3703</v>
      </c>
      <c r="FH23" s="2" t="s">
        <v>299</v>
      </c>
      <c r="FI23" s="2" t="s">
        <v>39</v>
      </c>
      <c r="FJ23" s="2">
        <v>33138</v>
      </c>
      <c r="FK23" s="2" t="s">
        <v>3708</v>
      </c>
      <c r="FL23" s="2"/>
      <c r="FM23" s="2" t="s">
        <v>3709</v>
      </c>
      <c r="FN23" s="2" t="s">
        <v>3746</v>
      </c>
      <c r="FO23" s="2" t="s">
        <v>63</v>
      </c>
      <c r="FP23" s="2" t="s">
        <v>64</v>
      </c>
      <c r="FQ23" s="2" t="s">
        <v>9</v>
      </c>
      <c r="FR23" s="2" t="s">
        <v>17</v>
      </c>
      <c r="FS23" s="2" t="s">
        <v>17</v>
      </c>
      <c r="FT23" s="2" t="s">
        <v>9</v>
      </c>
      <c r="FU23" s="2"/>
      <c r="FV23" s="2"/>
      <c r="FW23" s="2">
        <v>0</v>
      </c>
      <c r="FX23" s="2">
        <v>0</v>
      </c>
      <c r="FY23" s="4">
        <v>0</v>
      </c>
      <c r="FZ23" s="4">
        <v>0</v>
      </c>
      <c r="GA23" s="2" t="s">
        <v>65</v>
      </c>
      <c r="GB23" s="2"/>
      <c r="GC23" s="2" t="s">
        <v>66</v>
      </c>
      <c r="GD23" s="2" t="s">
        <v>67</v>
      </c>
      <c r="GE23" s="2" t="s">
        <v>2684</v>
      </c>
      <c r="GF23" s="2"/>
      <c r="GG23" s="2"/>
      <c r="GH23" s="2"/>
      <c r="GI23" s="2"/>
      <c r="GJ23" s="2"/>
      <c r="GK23" s="2">
        <v>108</v>
      </c>
      <c r="GL23" s="2"/>
      <c r="GM23" s="2"/>
      <c r="GN23" s="2"/>
      <c r="GO23" s="2"/>
      <c r="GP23" s="2"/>
      <c r="GQ23" s="2">
        <v>108</v>
      </c>
      <c r="GR23" s="2" t="s">
        <v>3332</v>
      </c>
      <c r="GS23" s="2" t="s">
        <v>2686</v>
      </c>
      <c r="GT23" s="2" t="s">
        <v>3747</v>
      </c>
      <c r="GU23" s="2" t="s">
        <v>2720</v>
      </c>
      <c r="GV23" s="2" t="s">
        <v>17</v>
      </c>
      <c r="GW23" s="2">
        <v>25.522345000000001</v>
      </c>
      <c r="GX23" s="2">
        <v>-80.422848999999999</v>
      </c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>
        <v>25.521325000000001</v>
      </c>
      <c r="HO23" s="2">
        <v>-80.426113999999998</v>
      </c>
      <c r="HP23" s="2">
        <v>0.21</v>
      </c>
      <c r="HQ23" s="2">
        <v>6</v>
      </c>
      <c r="HR23" s="2"/>
      <c r="HS23" s="2"/>
      <c r="HT23" s="2"/>
      <c r="HU23" s="2"/>
      <c r="HV23" s="2" t="s">
        <v>406</v>
      </c>
      <c r="HW23" s="2" t="s">
        <v>3748</v>
      </c>
      <c r="HX23" s="2">
        <v>0.12</v>
      </c>
      <c r="HY23" s="2">
        <v>4</v>
      </c>
      <c r="HZ23" s="2" t="s">
        <v>3590</v>
      </c>
      <c r="IA23" s="2" t="s">
        <v>3749</v>
      </c>
      <c r="IB23" s="2">
        <v>0.18</v>
      </c>
      <c r="IC23" s="2">
        <v>4</v>
      </c>
      <c r="ID23" s="2" t="s">
        <v>406</v>
      </c>
      <c r="IE23" s="2">
        <v>0.12</v>
      </c>
      <c r="IF23" s="2">
        <v>4</v>
      </c>
      <c r="IG23" s="2"/>
      <c r="IH23" s="2"/>
      <c r="II23" s="2"/>
      <c r="IJ23" s="2" t="s">
        <v>9</v>
      </c>
      <c r="IK23" s="2" t="s">
        <v>3439</v>
      </c>
      <c r="IL23" s="2" t="s">
        <v>3341</v>
      </c>
      <c r="IM23" s="2" t="s">
        <v>17</v>
      </c>
      <c r="IN23" s="2"/>
      <c r="IO23" s="2" t="s">
        <v>79</v>
      </c>
      <c r="IP23" s="2">
        <v>6</v>
      </c>
      <c r="IQ23" s="2">
        <v>12</v>
      </c>
      <c r="IR23" s="2">
        <v>18</v>
      </c>
      <c r="IS23" s="2" t="s">
        <v>17</v>
      </c>
      <c r="IT23" s="2" t="s">
        <v>17</v>
      </c>
      <c r="IU23" s="2" t="s">
        <v>9</v>
      </c>
      <c r="IV23" s="2" t="s">
        <v>9</v>
      </c>
      <c r="IW23" s="2" t="s">
        <v>9</v>
      </c>
      <c r="IX23" s="2" t="s">
        <v>9</v>
      </c>
      <c r="IY23" s="2">
        <v>18</v>
      </c>
      <c r="IZ23" s="2">
        <v>108</v>
      </c>
      <c r="JA23" s="2" t="s">
        <v>3399</v>
      </c>
      <c r="JB23" s="2"/>
      <c r="JC23" s="2" t="s">
        <v>173</v>
      </c>
      <c r="JD23" s="7">
        <v>0.1</v>
      </c>
      <c r="JE23" s="7">
        <v>0.9</v>
      </c>
      <c r="JF23" s="7">
        <v>0</v>
      </c>
      <c r="JG23" s="7"/>
      <c r="JH23" s="7"/>
      <c r="JI23" s="2">
        <v>108</v>
      </c>
      <c r="JJ23" s="7">
        <v>1</v>
      </c>
      <c r="JK23" s="2">
        <v>108</v>
      </c>
      <c r="JL23" s="7">
        <v>1</v>
      </c>
      <c r="JM23" s="2"/>
      <c r="JN23" s="2"/>
      <c r="JO23" s="2"/>
      <c r="JP23" s="2"/>
      <c r="JQ23" s="2"/>
      <c r="JR23" s="2"/>
      <c r="JS23" s="2">
        <v>0</v>
      </c>
      <c r="JT23" s="2">
        <v>0</v>
      </c>
      <c r="JU23" s="2"/>
      <c r="JV23" s="2">
        <v>0</v>
      </c>
      <c r="JW23" s="4">
        <v>0</v>
      </c>
      <c r="JX23" s="2">
        <v>0</v>
      </c>
      <c r="JY23" s="4">
        <v>0</v>
      </c>
      <c r="JZ23" s="2">
        <v>0</v>
      </c>
      <c r="KA23" s="2"/>
      <c r="KB23" s="2"/>
      <c r="KC23" s="2"/>
      <c r="KD23" s="2"/>
      <c r="KE23" s="2"/>
      <c r="KF23" s="2"/>
      <c r="KG23" s="2"/>
      <c r="KH23" s="2">
        <v>62</v>
      </c>
      <c r="KI23" s="2"/>
      <c r="KJ23" s="2"/>
      <c r="KK23" s="2">
        <v>46</v>
      </c>
      <c r="KL23" s="2"/>
      <c r="KM23" s="2"/>
      <c r="KN23" s="2"/>
      <c r="KO23" s="2"/>
      <c r="KP23" s="2"/>
      <c r="KQ23" s="2" t="s">
        <v>83</v>
      </c>
      <c r="KR23" s="2"/>
      <c r="KS23" s="2" t="s">
        <v>73</v>
      </c>
      <c r="KT23" s="2">
        <v>1</v>
      </c>
      <c r="KU23" s="2" t="s">
        <v>84</v>
      </c>
      <c r="KV23" s="2" t="s">
        <v>85</v>
      </c>
      <c r="KW23" s="2" t="s">
        <v>86</v>
      </c>
      <c r="KX23" s="2" t="s">
        <v>17</v>
      </c>
      <c r="KY23" s="2" t="s">
        <v>17</v>
      </c>
      <c r="KZ23" s="2" t="s">
        <v>17</v>
      </c>
      <c r="LA23" s="2" t="s">
        <v>17</v>
      </c>
      <c r="LB23" s="2" t="s">
        <v>17</v>
      </c>
      <c r="LC23" s="2" t="s">
        <v>17</v>
      </c>
      <c r="LD23" s="2" t="s">
        <v>17</v>
      </c>
      <c r="LE23" s="2" t="s">
        <v>17</v>
      </c>
      <c r="LF23" s="2" t="s">
        <v>17</v>
      </c>
      <c r="LG23" s="2" t="s">
        <v>17</v>
      </c>
      <c r="LH23" s="2" t="s">
        <v>17</v>
      </c>
      <c r="LI23" s="2" t="s">
        <v>17</v>
      </c>
      <c r="LJ23" s="2" t="s">
        <v>87</v>
      </c>
      <c r="LK23" s="2" t="s">
        <v>17</v>
      </c>
      <c r="LL23" s="2" t="s">
        <v>17</v>
      </c>
      <c r="LM23" s="2">
        <v>0</v>
      </c>
      <c r="LN23" s="2" t="s">
        <v>17</v>
      </c>
      <c r="LO23" s="2" t="s">
        <v>17</v>
      </c>
      <c r="LP23" s="2" t="s">
        <v>17</v>
      </c>
      <c r="LQ23" s="2" t="s">
        <v>17</v>
      </c>
      <c r="LR23" s="2" t="s">
        <v>17</v>
      </c>
      <c r="LS23" s="2" t="s">
        <v>17</v>
      </c>
      <c r="LT23" s="2" t="s">
        <v>9</v>
      </c>
      <c r="LU23" s="2" t="s">
        <v>9</v>
      </c>
      <c r="LV23" s="2" t="s">
        <v>9</v>
      </c>
      <c r="LW23" s="2" t="s">
        <v>17</v>
      </c>
      <c r="LX23" s="2" t="s">
        <v>17</v>
      </c>
      <c r="LY23" s="5">
        <v>6500000</v>
      </c>
      <c r="LZ23" s="5">
        <v>0</v>
      </c>
      <c r="MA23" s="5">
        <v>8400000</v>
      </c>
      <c r="MB23" s="5">
        <v>0</v>
      </c>
      <c r="MC23" s="5">
        <v>0</v>
      </c>
      <c r="MD23" s="5">
        <v>0</v>
      </c>
      <c r="ME23" s="5">
        <v>10000000</v>
      </c>
      <c r="MF23" s="5">
        <v>0</v>
      </c>
      <c r="MG23" s="5">
        <v>0</v>
      </c>
      <c r="MH23" s="5">
        <v>0</v>
      </c>
      <c r="MI23" s="5">
        <v>0</v>
      </c>
      <c r="MJ23" s="5">
        <v>0</v>
      </c>
      <c r="MK23" s="5">
        <v>0</v>
      </c>
      <c r="ML23" s="2">
        <v>0</v>
      </c>
      <c r="MM23" s="5">
        <v>0</v>
      </c>
      <c r="MN23" s="5">
        <v>0</v>
      </c>
      <c r="MO23" s="2">
        <v>0</v>
      </c>
      <c r="MP23" s="2">
        <v>0</v>
      </c>
      <c r="MQ23" s="2">
        <v>0</v>
      </c>
      <c r="MR23" s="5">
        <v>2950000</v>
      </c>
      <c r="MS23" s="5">
        <v>0</v>
      </c>
      <c r="MT23" s="5">
        <v>4600000</v>
      </c>
      <c r="MU23" s="5">
        <v>0</v>
      </c>
      <c r="MV23" s="5">
        <v>0</v>
      </c>
      <c r="MW23" s="5">
        <v>0</v>
      </c>
      <c r="MX23" s="5">
        <v>0</v>
      </c>
      <c r="MY23" s="5">
        <v>2500000</v>
      </c>
      <c r="MZ23" s="5">
        <v>0</v>
      </c>
      <c r="NA23" s="5">
        <v>5000000</v>
      </c>
      <c r="NB23" s="5">
        <v>0</v>
      </c>
      <c r="NC23" s="5">
        <v>0</v>
      </c>
      <c r="ND23" s="5">
        <v>0</v>
      </c>
      <c r="NE23" s="5">
        <v>0</v>
      </c>
      <c r="NF23" s="5">
        <v>0</v>
      </c>
      <c r="NG23" s="5">
        <v>3458400</v>
      </c>
      <c r="NH23" s="5">
        <v>3362000</v>
      </c>
      <c r="NI23" s="5">
        <v>3362000</v>
      </c>
      <c r="NJ23" s="5"/>
      <c r="NK23" s="5">
        <v>0</v>
      </c>
      <c r="NL23" s="2" t="s">
        <v>17</v>
      </c>
      <c r="NM23" s="2" t="s">
        <v>17</v>
      </c>
      <c r="NN23" s="2"/>
      <c r="NO23" s="2" t="s">
        <v>17</v>
      </c>
      <c r="NP23" s="2"/>
      <c r="NQ23" s="2"/>
      <c r="NR23" s="2" t="s">
        <v>17</v>
      </c>
      <c r="NS23" s="2"/>
      <c r="NT23" s="2" t="s">
        <v>9</v>
      </c>
      <c r="NU23" s="2" t="s">
        <v>450</v>
      </c>
      <c r="NV23" s="2">
        <v>108.03</v>
      </c>
      <c r="NW23" s="2" t="s">
        <v>3342</v>
      </c>
      <c r="NX23" s="2" t="s">
        <v>17</v>
      </c>
      <c r="NY23" s="2"/>
      <c r="NZ23" s="2"/>
      <c r="OA23" s="2" t="s">
        <v>118</v>
      </c>
      <c r="OB23" s="2" t="s">
        <v>118</v>
      </c>
      <c r="OC23" s="2" t="s">
        <v>118</v>
      </c>
      <c r="OD23" s="2" t="s">
        <v>3343</v>
      </c>
      <c r="OE23" s="2" t="s">
        <v>3440</v>
      </c>
      <c r="OF23" s="2"/>
      <c r="OG23" s="2" t="s">
        <v>17</v>
      </c>
      <c r="OH23" s="2" t="s">
        <v>119</v>
      </c>
      <c r="OI23" s="2" t="s">
        <v>17</v>
      </c>
      <c r="OJ23" s="2"/>
      <c r="OK23" s="2" t="s">
        <v>17</v>
      </c>
      <c r="OL23" s="2" t="s">
        <v>17</v>
      </c>
      <c r="OM23" s="2" t="s">
        <v>85</v>
      </c>
      <c r="ON23" s="6">
        <v>0</v>
      </c>
      <c r="OO23" s="6">
        <v>0</v>
      </c>
      <c r="OP23" s="2" t="s">
        <v>93</v>
      </c>
      <c r="OQ23" s="2" t="s">
        <v>93</v>
      </c>
      <c r="OR23" s="6">
        <v>0</v>
      </c>
      <c r="OS23" s="4">
        <v>0</v>
      </c>
      <c r="OT23" s="2" t="s">
        <v>17</v>
      </c>
      <c r="OU23" s="2" t="s">
        <v>17</v>
      </c>
      <c r="OV23" s="2"/>
      <c r="OW23" s="2"/>
      <c r="OX23" s="5">
        <v>21586057</v>
      </c>
      <c r="OY23" s="6">
        <v>199870.9</v>
      </c>
      <c r="OZ23" s="2"/>
      <c r="PA23" s="2"/>
      <c r="PB23" s="2"/>
      <c r="PC23" s="2"/>
      <c r="PD23" s="8">
        <v>19680593</v>
      </c>
      <c r="PE23" s="8">
        <v>468180</v>
      </c>
      <c r="PF23" s="8">
        <v>20148773</v>
      </c>
      <c r="PG23" s="2"/>
      <c r="PH23" s="2"/>
      <c r="PI23" s="2"/>
      <c r="PJ23" s="8">
        <v>300000</v>
      </c>
      <c r="PK23" s="8">
        <v>205200</v>
      </c>
      <c r="PL23" s="8">
        <v>505200</v>
      </c>
      <c r="PM23" s="8">
        <v>19980593</v>
      </c>
      <c r="PN23" s="8">
        <v>673380</v>
      </c>
      <c r="PO23" s="8">
        <v>20653973</v>
      </c>
      <c r="PP23" s="8">
        <v>2891000</v>
      </c>
      <c r="PQ23" s="2"/>
      <c r="PR23" s="8">
        <v>2891000</v>
      </c>
      <c r="PS23" s="6">
        <v>2891556</v>
      </c>
      <c r="PT23" s="8">
        <v>22871593</v>
      </c>
      <c r="PU23" s="8">
        <v>673380</v>
      </c>
      <c r="PV23" s="8">
        <v>23544973</v>
      </c>
      <c r="PW23" s="8">
        <v>1177248</v>
      </c>
      <c r="PX23" s="2"/>
      <c r="PY23" s="8">
        <v>1177248</v>
      </c>
      <c r="PZ23" s="6">
        <v>1177248.6499999999</v>
      </c>
      <c r="QA23" s="8">
        <v>1679250</v>
      </c>
      <c r="QB23" s="8">
        <v>284500</v>
      </c>
      <c r="QC23" s="8">
        <v>1963750</v>
      </c>
      <c r="QD23" s="8">
        <v>490260</v>
      </c>
      <c r="QE23" s="8">
        <v>99000</v>
      </c>
      <c r="QF23" s="8">
        <v>589260</v>
      </c>
      <c r="QG23" s="8">
        <v>753520</v>
      </c>
      <c r="QH23" s="8">
        <v>35280</v>
      </c>
      <c r="QI23" s="8">
        <v>788800</v>
      </c>
      <c r="QJ23" s="2"/>
      <c r="QK23" s="8">
        <v>478145</v>
      </c>
      <c r="QL23" s="8">
        <v>478145</v>
      </c>
      <c r="QM23" s="2"/>
      <c r="QN23" s="2"/>
      <c r="QO23" s="2"/>
      <c r="QP23" s="2"/>
      <c r="QQ23" s="2"/>
      <c r="QR23" s="2"/>
      <c r="QS23" s="8">
        <v>2923030</v>
      </c>
      <c r="QT23" s="8">
        <v>896925</v>
      </c>
      <c r="QU23" s="8">
        <v>3819955</v>
      </c>
      <c r="QV23" s="2"/>
      <c r="QW23" s="8">
        <v>190997</v>
      </c>
      <c r="QX23" s="8">
        <v>190997</v>
      </c>
      <c r="QY23" s="6">
        <v>190997.75</v>
      </c>
      <c r="QZ23" s="8">
        <v>1353073</v>
      </c>
      <c r="RA23" s="8">
        <v>1144908</v>
      </c>
      <c r="RB23" s="8">
        <v>2497981</v>
      </c>
      <c r="RC23" s="8">
        <v>668854</v>
      </c>
      <c r="RD23" s="8">
        <v>668854</v>
      </c>
      <c r="RE23" s="2"/>
      <c r="RF23" s="2"/>
      <c r="RG23" s="2"/>
      <c r="RH23" s="8">
        <v>1353073</v>
      </c>
      <c r="RI23" s="8">
        <v>1813762</v>
      </c>
      <c r="RJ23" s="8">
        <v>3166835</v>
      </c>
      <c r="RK23" s="8">
        <v>28324944</v>
      </c>
      <c r="RL23" s="8">
        <v>3575064</v>
      </c>
      <c r="RM23" s="8">
        <v>31900008</v>
      </c>
      <c r="RN23" s="2">
        <v>0</v>
      </c>
      <c r="RO23" s="6">
        <v>0</v>
      </c>
      <c r="RP23" s="8">
        <v>5104000</v>
      </c>
      <c r="RQ23" s="2"/>
      <c r="RR23" s="8">
        <v>5104000</v>
      </c>
      <c r="RS23" s="6">
        <v>5104001</v>
      </c>
      <c r="RT23" s="6">
        <v>0</v>
      </c>
      <c r="RU23" s="8">
        <v>5104000</v>
      </c>
      <c r="RV23" s="2"/>
      <c r="RW23" s="8">
        <v>5104000</v>
      </c>
      <c r="RX23" s="6">
        <v>5104001</v>
      </c>
      <c r="RY23" s="8">
        <v>378000</v>
      </c>
      <c r="RZ23" s="8">
        <v>378000</v>
      </c>
      <c r="SA23" s="6">
        <v>378000</v>
      </c>
      <c r="SB23" s="8">
        <v>4000000</v>
      </c>
      <c r="SC23" s="8">
        <v>4000000</v>
      </c>
      <c r="SD23" s="8">
        <v>33428944</v>
      </c>
      <c r="SE23" s="8">
        <v>7953064</v>
      </c>
      <c r="SF23" s="8">
        <v>41382008</v>
      </c>
      <c r="SG23" s="2"/>
      <c r="SH23" s="2" t="s">
        <v>3750</v>
      </c>
      <c r="SI23" s="2"/>
      <c r="SJ23" s="2"/>
      <c r="SK23" s="8">
        <v>32291132</v>
      </c>
      <c r="SL23" s="2" t="s">
        <v>95</v>
      </c>
      <c r="SM23" s="2"/>
      <c r="SN23" s="2"/>
      <c r="SO23" s="2"/>
      <c r="SP23" s="2"/>
      <c r="SQ23" s="2"/>
      <c r="SR23" s="2"/>
      <c r="SS23" s="2" t="s">
        <v>96</v>
      </c>
      <c r="ST23" s="2" t="s">
        <v>96</v>
      </c>
      <c r="SU23" s="2" t="s">
        <v>96</v>
      </c>
      <c r="SV23" s="2" t="s">
        <v>96</v>
      </c>
      <c r="SW23" s="8">
        <v>6387162</v>
      </c>
      <c r="SX23" s="2"/>
      <c r="SY23" s="2"/>
      <c r="SZ23" s="2"/>
      <c r="TA23" s="2"/>
      <c r="TB23" s="2"/>
      <c r="TC23" s="2"/>
      <c r="TD23" s="8">
        <v>2703714</v>
      </c>
      <c r="TE23" s="8">
        <v>41382008</v>
      </c>
      <c r="TF23" s="2">
        <v>0</v>
      </c>
      <c r="TG23" s="2" t="s">
        <v>9</v>
      </c>
      <c r="TH23" s="8">
        <v>4500000</v>
      </c>
      <c r="TI23" s="2" t="s">
        <v>95</v>
      </c>
      <c r="TJ23" s="2"/>
      <c r="TK23" s="2"/>
      <c r="TL23" s="2"/>
      <c r="TM23" s="2"/>
      <c r="TN23" s="2" t="s">
        <v>96</v>
      </c>
      <c r="TO23" s="2" t="s">
        <v>96</v>
      </c>
      <c r="TP23" s="2" t="s">
        <v>96</v>
      </c>
      <c r="TQ23" s="2" t="s">
        <v>96</v>
      </c>
      <c r="TR23" s="8">
        <v>31935806</v>
      </c>
      <c r="TS23" s="2"/>
      <c r="TT23" s="2"/>
      <c r="TU23" s="2"/>
      <c r="TV23" s="2"/>
      <c r="TW23" s="2"/>
      <c r="TX23" s="2"/>
      <c r="TY23" s="8">
        <v>4946202</v>
      </c>
      <c r="TZ23" s="8">
        <v>41382008</v>
      </c>
      <c r="UA23" s="6">
        <v>4500000</v>
      </c>
      <c r="UB23" s="2">
        <v>0</v>
      </c>
      <c r="UC23" s="2" t="s">
        <v>9</v>
      </c>
      <c r="UD23" s="2">
        <v>108</v>
      </c>
      <c r="UE23" s="5">
        <v>310000</v>
      </c>
      <c r="UF23" s="6">
        <v>413333.33</v>
      </c>
      <c r="UG23" s="6">
        <v>413333.33</v>
      </c>
      <c r="UH23" s="6">
        <v>438133.33</v>
      </c>
      <c r="UI23" s="6">
        <v>47318400</v>
      </c>
      <c r="UJ23" s="6">
        <v>7570944</v>
      </c>
      <c r="UK23" s="2" t="s">
        <v>97</v>
      </c>
      <c r="UL23" s="6">
        <v>7570944</v>
      </c>
      <c r="UM23" s="6">
        <v>54889344</v>
      </c>
      <c r="UN23" s="6">
        <v>37004008</v>
      </c>
      <c r="UO23" s="4">
        <v>0.99990000000000001</v>
      </c>
      <c r="UP23" s="2" t="s">
        <v>9</v>
      </c>
      <c r="UQ23" s="6">
        <v>0</v>
      </c>
      <c r="UR23" s="6">
        <v>0</v>
      </c>
      <c r="US23" s="6">
        <v>443039</v>
      </c>
      <c r="UT23" s="6">
        <v>443039</v>
      </c>
      <c r="UU23" s="6">
        <v>0</v>
      </c>
      <c r="UV23" s="6">
        <v>443039</v>
      </c>
      <c r="UW23" s="6">
        <v>0</v>
      </c>
      <c r="UX23" s="6">
        <v>443039</v>
      </c>
      <c r="UY23" s="2" t="s">
        <v>3387</v>
      </c>
      <c r="UZ23" s="2" t="s">
        <v>3288</v>
      </c>
      <c r="VA23" s="2" t="s">
        <v>17</v>
      </c>
      <c r="VB23" s="2" t="s">
        <v>17</v>
      </c>
      <c r="VC23" s="2" t="s">
        <v>17</v>
      </c>
      <c r="VD23" s="2" t="s">
        <v>17</v>
      </c>
      <c r="VE23" s="2" t="s">
        <v>17</v>
      </c>
      <c r="VF23" s="2" t="s">
        <v>17</v>
      </c>
      <c r="VG23" s="2">
        <v>230908063955</v>
      </c>
      <c r="VH23" s="2" t="s">
        <v>3751</v>
      </c>
      <c r="VI23" s="388" t="s">
        <v>3715</v>
      </c>
      <c r="VJ23" s="2" t="s">
        <v>98</v>
      </c>
      <c r="VK23" s="2" t="s">
        <v>536</v>
      </c>
      <c r="VL23" s="23">
        <f t="shared" si="0"/>
        <v>154</v>
      </c>
      <c r="VM23" s="17">
        <f t="shared" si="1"/>
        <v>1.4259259259259258</v>
      </c>
      <c r="VN23" s="17" t="str">
        <f t="shared" si="2"/>
        <v>NC-HR-E</v>
      </c>
      <c r="VO23" s="17" t="str">
        <f t="shared" si="14"/>
        <v>NC-HR-E-ESS</v>
      </c>
      <c r="VP23" s="12">
        <v>9</v>
      </c>
      <c r="VQ23" s="57">
        <v>1</v>
      </c>
      <c r="VR23" s="57">
        <f t="shared" si="3"/>
        <v>1</v>
      </c>
      <c r="VS23" s="14">
        <f t="shared" si="4"/>
        <v>1</v>
      </c>
      <c r="VT23" s="12">
        <f t="shared" si="5"/>
        <v>0.88350000000000006</v>
      </c>
      <c r="VU23" s="29">
        <f t="shared" si="6"/>
        <v>26732943.000000004</v>
      </c>
      <c r="VV23" s="29">
        <f t="shared" si="7"/>
        <v>247527.25</v>
      </c>
      <c r="VW23" s="12" t="str">
        <f t="shared" si="15"/>
        <v>A</v>
      </c>
      <c r="VX23" s="12" t="str">
        <f t="shared" si="8"/>
        <v>NC-HR-ESS</v>
      </c>
      <c r="VY23" s="352">
        <f t="shared" si="16"/>
        <v>3</v>
      </c>
      <c r="WA23" s="12">
        <f t="shared" si="17"/>
        <v>1</v>
      </c>
      <c r="WB23" s="12">
        <f t="shared" si="18"/>
        <v>0</v>
      </c>
      <c r="WC23" s="12">
        <f t="shared" si="18"/>
        <v>0</v>
      </c>
      <c r="WD23" s="12">
        <f t="shared" si="18"/>
        <v>0</v>
      </c>
      <c r="WE23" s="12">
        <f t="shared" si="19"/>
        <v>1</v>
      </c>
      <c r="WF23" s="12">
        <f t="shared" si="9"/>
        <v>0</v>
      </c>
      <c r="WG23" s="12">
        <f t="shared" si="10"/>
        <v>0</v>
      </c>
      <c r="WH23" s="12">
        <f t="shared" si="11"/>
        <v>1</v>
      </c>
      <c r="WI23" s="31">
        <f t="shared" si="12"/>
        <v>3</v>
      </c>
      <c r="WJ23" s="2"/>
      <c r="WK23" s="444" t="str">
        <f t="shared" si="20"/>
        <v>NC-HR-ESS-BBN-BRN-NPH-E</v>
      </c>
      <c r="WL23" s="444"/>
      <c r="WM23" s="444"/>
    </row>
    <row r="24" spans="1:611" x14ac:dyDescent="0.25">
      <c r="A24" s="2">
        <v>9669</v>
      </c>
      <c r="B24" s="2" t="s">
        <v>3752</v>
      </c>
      <c r="C24" s="2" t="s">
        <v>3305</v>
      </c>
      <c r="D24" s="3">
        <v>45159</v>
      </c>
      <c r="E24" s="2" t="s">
        <v>9</v>
      </c>
      <c r="F24" s="2">
        <v>3</v>
      </c>
      <c r="G24" s="2" t="s">
        <v>9</v>
      </c>
      <c r="H24" s="2">
        <v>3</v>
      </c>
      <c r="I24" s="2" t="s">
        <v>9</v>
      </c>
      <c r="J24" s="2">
        <v>3</v>
      </c>
      <c r="K24" s="2" t="s">
        <v>9</v>
      </c>
      <c r="L24" s="2">
        <v>3</v>
      </c>
      <c r="M24" s="2" t="s">
        <v>10</v>
      </c>
      <c r="N24" s="2">
        <v>0</v>
      </c>
      <c r="O24" s="2" t="s">
        <v>10</v>
      </c>
      <c r="P24" s="2">
        <v>0</v>
      </c>
      <c r="Q24" s="2" t="s">
        <v>11</v>
      </c>
      <c r="R24" s="2">
        <v>0</v>
      </c>
      <c r="S24" s="2" t="s">
        <v>9</v>
      </c>
      <c r="T24" s="2">
        <v>2</v>
      </c>
      <c r="U24" s="2" t="s">
        <v>9</v>
      </c>
      <c r="V24" s="2">
        <v>2</v>
      </c>
      <c r="W24" s="2" t="s">
        <v>9</v>
      </c>
      <c r="X24" s="2">
        <v>2</v>
      </c>
      <c r="Y24" s="2" t="s">
        <v>12</v>
      </c>
      <c r="Z24" s="2" t="s">
        <v>1608</v>
      </c>
      <c r="AA24" s="2" t="s">
        <v>1227</v>
      </c>
      <c r="AB24" s="2" t="s">
        <v>435</v>
      </c>
      <c r="AC24" s="2" t="s">
        <v>15</v>
      </c>
      <c r="AD24" s="2" t="s">
        <v>15</v>
      </c>
      <c r="AE24" s="2" t="s">
        <v>15</v>
      </c>
      <c r="AF24" s="2">
        <v>3</v>
      </c>
      <c r="AG24" s="2" t="s">
        <v>436</v>
      </c>
      <c r="AH24" s="2" t="s">
        <v>17</v>
      </c>
      <c r="AI24" s="4">
        <v>0.15315000000000001</v>
      </c>
      <c r="AJ24" s="2" t="s">
        <v>17</v>
      </c>
      <c r="AK24" s="2" t="s">
        <v>9</v>
      </c>
      <c r="AL24" s="2" t="s">
        <v>17</v>
      </c>
      <c r="AM24" s="2" t="s">
        <v>17</v>
      </c>
      <c r="AN24" s="2" t="s">
        <v>17</v>
      </c>
      <c r="AO24" s="2" t="s">
        <v>9</v>
      </c>
      <c r="AP24" s="2" t="s">
        <v>17</v>
      </c>
      <c r="AQ24" s="2" t="s">
        <v>17</v>
      </c>
      <c r="AR24" s="2" t="s">
        <v>17</v>
      </c>
      <c r="AS24" s="2" t="s">
        <v>17</v>
      </c>
      <c r="AT24" s="2">
        <v>5</v>
      </c>
      <c r="AU24" s="5">
        <v>100000</v>
      </c>
      <c r="AV24" s="2" t="s">
        <v>85</v>
      </c>
      <c r="AW24" s="2">
        <v>0</v>
      </c>
      <c r="AX24" s="2">
        <v>10</v>
      </c>
      <c r="AY24" s="2">
        <v>0</v>
      </c>
      <c r="AZ24" s="2">
        <v>18</v>
      </c>
      <c r="BA24" s="2">
        <v>0</v>
      </c>
      <c r="BB24" s="2">
        <v>0</v>
      </c>
      <c r="BC24" s="2">
        <v>0</v>
      </c>
      <c r="BD24" s="2">
        <v>3</v>
      </c>
      <c r="BE24" s="2">
        <v>0</v>
      </c>
      <c r="BF24" s="2">
        <v>1</v>
      </c>
      <c r="BG24" s="2">
        <v>0</v>
      </c>
      <c r="BH24" s="2">
        <v>0</v>
      </c>
      <c r="BI24" s="2">
        <v>13</v>
      </c>
      <c r="BJ24" s="2">
        <v>1</v>
      </c>
      <c r="BK24" s="2">
        <v>0</v>
      </c>
      <c r="BL24" s="2">
        <v>2</v>
      </c>
      <c r="BM24" s="2">
        <v>1</v>
      </c>
      <c r="BN24" s="2">
        <v>10</v>
      </c>
      <c r="BO24" s="2">
        <v>11</v>
      </c>
      <c r="BP24" s="2">
        <v>0</v>
      </c>
      <c r="BQ24" s="2">
        <v>10</v>
      </c>
      <c r="BR24" s="2">
        <v>10.5</v>
      </c>
      <c r="BS24" s="2">
        <v>0</v>
      </c>
      <c r="BT24" s="4">
        <v>0.06</v>
      </c>
      <c r="BU24" s="2" t="s">
        <v>9</v>
      </c>
      <c r="BV24" s="6">
        <v>200045.07</v>
      </c>
      <c r="BW24" s="2" t="s">
        <v>126</v>
      </c>
      <c r="BX24" s="2" t="s">
        <v>17</v>
      </c>
      <c r="BY24" s="2" t="s">
        <v>17</v>
      </c>
      <c r="BZ24" s="2" t="s">
        <v>17</v>
      </c>
      <c r="CA24" s="2" t="s">
        <v>17</v>
      </c>
      <c r="CB24" s="2" t="s">
        <v>17</v>
      </c>
      <c r="CC24" s="2" t="s">
        <v>17</v>
      </c>
      <c r="CD24" s="2" t="s">
        <v>17</v>
      </c>
      <c r="CE24" s="2" t="s">
        <v>3753</v>
      </c>
      <c r="CF24" s="2" t="s">
        <v>9</v>
      </c>
      <c r="CG24" s="2" t="s">
        <v>608</v>
      </c>
      <c r="CH24" s="2" t="s">
        <v>3754</v>
      </c>
      <c r="CI24" s="2"/>
      <c r="CJ24" s="2" t="s">
        <v>9</v>
      </c>
      <c r="CK24" s="2" t="s">
        <v>21</v>
      </c>
      <c r="CL24" s="2" t="s">
        <v>3754</v>
      </c>
      <c r="CM24" s="2" t="s">
        <v>3755</v>
      </c>
      <c r="CN24" s="2" t="s">
        <v>3756</v>
      </c>
      <c r="CO24" s="2" t="s">
        <v>24</v>
      </c>
      <c r="CP24" s="2"/>
      <c r="CQ24" s="2">
        <v>90</v>
      </c>
      <c r="CR24" s="2" t="s">
        <v>3757</v>
      </c>
      <c r="CS24" s="2">
        <v>2017</v>
      </c>
      <c r="CT24" s="2" t="s">
        <v>26</v>
      </c>
      <c r="CU24" s="2" t="s">
        <v>27</v>
      </c>
      <c r="CV24" s="2" t="s">
        <v>28</v>
      </c>
      <c r="CW24" s="2" t="s">
        <v>3758</v>
      </c>
      <c r="CX24" s="2" t="s">
        <v>24</v>
      </c>
      <c r="CY24" s="2"/>
      <c r="CZ24" s="2">
        <v>69</v>
      </c>
      <c r="DA24" s="2" t="s">
        <v>3757</v>
      </c>
      <c r="DB24" s="2">
        <v>2016</v>
      </c>
      <c r="DC24" s="2" t="s">
        <v>30</v>
      </c>
      <c r="DD24" s="2" t="s">
        <v>27</v>
      </c>
      <c r="DE24" s="2" t="s">
        <v>31</v>
      </c>
      <c r="DF24" s="2" t="s">
        <v>3759</v>
      </c>
      <c r="DG24" s="2" t="s">
        <v>24</v>
      </c>
      <c r="DH24" s="2"/>
      <c r="DI24" s="2">
        <v>76</v>
      </c>
      <c r="DJ24" s="2" t="s">
        <v>3757</v>
      </c>
      <c r="DK24" s="2">
        <v>2016</v>
      </c>
      <c r="DL24" s="2" t="s">
        <v>30</v>
      </c>
      <c r="DM24" s="2" t="s">
        <v>27</v>
      </c>
      <c r="DN24" s="2" t="s">
        <v>33</v>
      </c>
      <c r="DO24" s="2" t="s">
        <v>34</v>
      </c>
      <c r="DP24" s="2"/>
      <c r="DQ24" s="2" t="s">
        <v>35</v>
      </c>
      <c r="DR24" s="2" t="s">
        <v>36</v>
      </c>
      <c r="DS24" s="2">
        <v>1</v>
      </c>
      <c r="DT24" s="2" t="s">
        <v>616</v>
      </c>
      <c r="DU24" s="2" t="s">
        <v>38</v>
      </c>
      <c r="DV24" s="2" t="s">
        <v>39</v>
      </c>
      <c r="DW24" s="2">
        <v>32405</v>
      </c>
      <c r="DX24" s="2" t="s">
        <v>617</v>
      </c>
      <c r="DY24" s="2"/>
      <c r="DZ24" s="2" t="s">
        <v>618</v>
      </c>
      <c r="EA24" s="2" t="s">
        <v>989</v>
      </c>
      <c r="EB24" s="2" t="s">
        <v>619</v>
      </c>
      <c r="EC24" s="2" t="s">
        <v>620</v>
      </c>
      <c r="ED24" s="2" t="s">
        <v>44</v>
      </c>
      <c r="EE24" s="2">
        <v>126</v>
      </c>
      <c r="EF24" s="2" t="s">
        <v>3760</v>
      </c>
      <c r="EG24" s="2">
        <v>41</v>
      </c>
      <c r="EH24" s="2" t="s">
        <v>46</v>
      </c>
      <c r="EI24" s="2" t="s">
        <v>47</v>
      </c>
      <c r="EJ24" s="2" t="s">
        <v>621</v>
      </c>
      <c r="EK24" s="2" t="s">
        <v>622</v>
      </c>
      <c r="EL24" s="2" t="s">
        <v>44</v>
      </c>
      <c r="EM24" s="2">
        <v>272</v>
      </c>
      <c r="EN24" s="2" t="s">
        <v>3760</v>
      </c>
      <c r="EO24" s="2">
        <v>22</v>
      </c>
      <c r="EP24" s="2" t="s">
        <v>46</v>
      </c>
      <c r="EQ24" s="2" t="s">
        <v>47</v>
      </c>
      <c r="ER24" s="2" t="s">
        <v>50</v>
      </c>
      <c r="ES24" s="2"/>
      <c r="ET24" s="2" t="s">
        <v>51</v>
      </c>
      <c r="EU24" s="2" t="s">
        <v>52</v>
      </c>
      <c r="EV24" s="2" t="s">
        <v>53</v>
      </c>
      <c r="EW24" s="2" t="s">
        <v>54</v>
      </c>
      <c r="EX24" s="2" t="s">
        <v>55</v>
      </c>
      <c r="EY24" s="2">
        <v>91730</v>
      </c>
      <c r="EZ24" s="2" t="s">
        <v>56</v>
      </c>
      <c r="FA24" s="2"/>
      <c r="FB24" s="2" t="s">
        <v>57</v>
      </c>
      <c r="FC24" s="2" t="s">
        <v>58</v>
      </c>
      <c r="FD24" s="2"/>
      <c r="FE24" s="2" t="s">
        <v>59</v>
      </c>
      <c r="FF24" s="2" t="s">
        <v>52</v>
      </c>
      <c r="FG24" s="2" t="s">
        <v>53</v>
      </c>
      <c r="FH24" s="2" t="s">
        <v>54</v>
      </c>
      <c r="FI24" s="2" t="s">
        <v>55</v>
      </c>
      <c r="FJ24" s="2">
        <v>91730</v>
      </c>
      <c r="FK24" s="2" t="s">
        <v>60</v>
      </c>
      <c r="FL24" s="2"/>
      <c r="FM24" s="2" t="s">
        <v>3761</v>
      </c>
      <c r="FN24" s="2" t="s">
        <v>3762</v>
      </c>
      <c r="FO24" s="2" t="s">
        <v>63</v>
      </c>
      <c r="FP24" s="2" t="s">
        <v>64</v>
      </c>
      <c r="FQ24" s="2" t="s">
        <v>9</v>
      </c>
      <c r="FR24" s="2" t="s">
        <v>17</v>
      </c>
      <c r="FS24" s="2" t="s">
        <v>17</v>
      </c>
      <c r="FT24" s="2" t="s">
        <v>9</v>
      </c>
      <c r="FU24" s="2"/>
      <c r="FV24" s="2"/>
      <c r="FW24" s="2">
        <v>0</v>
      </c>
      <c r="FX24" s="2">
        <v>0</v>
      </c>
      <c r="FY24" s="4">
        <v>0</v>
      </c>
      <c r="FZ24" s="4">
        <v>0</v>
      </c>
      <c r="GA24" s="2" t="s">
        <v>65</v>
      </c>
      <c r="GB24" s="2"/>
      <c r="GC24" s="2" t="s">
        <v>66</v>
      </c>
      <c r="GD24" s="2" t="s">
        <v>67</v>
      </c>
      <c r="GE24" s="2" t="s">
        <v>2684</v>
      </c>
      <c r="GF24" s="2"/>
      <c r="GG24" s="2"/>
      <c r="GH24" s="2"/>
      <c r="GI24" s="2"/>
      <c r="GJ24" s="2"/>
      <c r="GK24" s="2">
        <v>111</v>
      </c>
      <c r="GL24" s="2"/>
      <c r="GM24" s="2"/>
      <c r="GN24" s="2"/>
      <c r="GO24" s="2"/>
      <c r="GP24" s="2"/>
      <c r="GQ24" s="2">
        <v>111</v>
      </c>
      <c r="GR24" s="2" t="s">
        <v>3332</v>
      </c>
      <c r="GS24" s="2" t="s">
        <v>2686</v>
      </c>
      <c r="GT24" s="2" t="s">
        <v>3763</v>
      </c>
      <c r="GU24" s="2" t="s">
        <v>2720</v>
      </c>
      <c r="GV24" s="2" t="s">
        <v>17</v>
      </c>
      <c r="GW24" s="2">
        <v>25.520907999999999</v>
      </c>
      <c r="GX24" s="2">
        <v>-80.426040999999998</v>
      </c>
      <c r="GY24" s="2"/>
      <c r="GZ24" s="2">
        <v>25.517939999999999</v>
      </c>
      <c r="HA24" s="2">
        <v>-80.425443000000001</v>
      </c>
      <c r="HB24" s="2">
        <v>0.21</v>
      </c>
      <c r="HC24" s="2">
        <v>6</v>
      </c>
      <c r="HD24" s="2">
        <v>25.517894999999999</v>
      </c>
      <c r="HE24" s="2">
        <v>-80.424329</v>
      </c>
      <c r="HF24" s="2">
        <v>0.23</v>
      </c>
      <c r="HG24" s="2">
        <v>25.521747999999999</v>
      </c>
      <c r="HH24" s="2">
        <v>-80.422560000000004</v>
      </c>
      <c r="HI24" s="2">
        <v>0.23</v>
      </c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 t="s">
        <v>406</v>
      </c>
      <c r="HW24" s="2" t="s">
        <v>3589</v>
      </c>
      <c r="HX24" s="2">
        <v>0.15</v>
      </c>
      <c r="HY24" s="2">
        <v>4</v>
      </c>
      <c r="HZ24" s="2" t="s">
        <v>3764</v>
      </c>
      <c r="IA24" s="2" t="s">
        <v>3765</v>
      </c>
      <c r="IB24" s="2">
        <v>0.67</v>
      </c>
      <c r="IC24" s="2">
        <v>3</v>
      </c>
      <c r="ID24" s="2" t="s">
        <v>76</v>
      </c>
      <c r="IE24" s="2">
        <v>0.15</v>
      </c>
      <c r="IF24" s="2">
        <v>4</v>
      </c>
      <c r="IG24" s="2"/>
      <c r="IH24" s="2"/>
      <c r="II24" s="2"/>
      <c r="IJ24" s="2" t="s">
        <v>9</v>
      </c>
      <c r="IK24" s="2" t="s">
        <v>3439</v>
      </c>
      <c r="IL24" s="2" t="s">
        <v>3341</v>
      </c>
      <c r="IM24" s="2" t="s">
        <v>17</v>
      </c>
      <c r="IN24" s="2"/>
      <c r="IO24" s="2" t="s">
        <v>79</v>
      </c>
      <c r="IP24" s="2">
        <v>6</v>
      </c>
      <c r="IQ24" s="2">
        <v>11</v>
      </c>
      <c r="IR24" s="2">
        <v>17</v>
      </c>
      <c r="IS24" s="2" t="s">
        <v>17</v>
      </c>
      <c r="IT24" s="2" t="s">
        <v>17</v>
      </c>
      <c r="IU24" s="2" t="s">
        <v>9</v>
      </c>
      <c r="IV24" s="2" t="s">
        <v>9</v>
      </c>
      <c r="IW24" s="2" t="s">
        <v>9</v>
      </c>
      <c r="IX24" s="2" t="s">
        <v>9</v>
      </c>
      <c r="IY24" s="2">
        <v>17</v>
      </c>
      <c r="IZ24" s="2">
        <v>111</v>
      </c>
      <c r="JA24" s="2" t="s">
        <v>3399</v>
      </c>
      <c r="JB24" s="2"/>
      <c r="JC24" s="2" t="s">
        <v>82</v>
      </c>
      <c r="JD24" s="2"/>
      <c r="JE24" s="2"/>
      <c r="JF24" s="7">
        <v>0</v>
      </c>
      <c r="JG24" s="7"/>
      <c r="JH24" s="7"/>
      <c r="JI24" s="2">
        <v>0</v>
      </c>
      <c r="JJ24" s="7">
        <v>0</v>
      </c>
      <c r="JK24" s="2">
        <v>0</v>
      </c>
      <c r="JL24" s="7">
        <v>0</v>
      </c>
      <c r="JM24" s="2">
        <v>17</v>
      </c>
      <c r="JN24" s="2"/>
      <c r="JO24" s="2"/>
      <c r="JP24" s="2">
        <v>70</v>
      </c>
      <c r="JQ24" s="2">
        <v>12</v>
      </c>
      <c r="JR24" s="2">
        <v>12</v>
      </c>
      <c r="JS24" s="2">
        <v>0</v>
      </c>
      <c r="JT24" s="2">
        <v>0</v>
      </c>
      <c r="JU24" s="2"/>
      <c r="JV24" s="2">
        <v>111</v>
      </c>
      <c r="JW24" s="4">
        <v>1</v>
      </c>
      <c r="JX24" s="2">
        <v>111</v>
      </c>
      <c r="JY24" s="4">
        <v>0.58648999999999996</v>
      </c>
      <c r="JZ24" s="2">
        <v>0</v>
      </c>
      <c r="KA24" s="2"/>
      <c r="KB24" s="2"/>
      <c r="KC24" s="2"/>
      <c r="KD24" s="2"/>
      <c r="KE24" s="2"/>
      <c r="KF24" s="2"/>
      <c r="KG24" s="2"/>
      <c r="KH24" s="2">
        <v>111</v>
      </c>
      <c r="KI24" s="2"/>
      <c r="KJ24" s="2"/>
      <c r="KK24" s="2"/>
      <c r="KL24" s="2"/>
      <c r="KM24" s="2"/>
      <c r="KN24" s="2"/>
      <c r="KO24" s="2"/>
      <c r="KP24" s="2"/>
      <c r="KQ24" s="2" t="s">
        <v>83</v>
      </c>
      <c r="KR24" s="2"/>
      <c r="KS24" s="2" t="s">
        <v>73</v>
      </c>
      <c r="KT24" s="2">
        <v>1</v>
      </c>
      <c r="KU24" s="2" t="s">
        <v>84</v>
      </c>
      <c r="KV24" s="2" t="s">
        <v>85</v>
      </c>
      <c r="KW24" s="2" t="s">
        <v>86</v>
      </c>
      <c r="KX24" s="2" t="s">
        <v>17</v>
      </c>
      <c r="KY24" s="2" t="s">
        <v>17</v>
      </c>
      <c r="KZ24" s="2" t="s">
        <v>17</v>
      </c>
      <c r="LA24" s="2" t="s">
        <v>17</v>
      </c>
      <c r="LB24" s="2" t="s">
        <v>17</v>
      </c>
      <c r="LC24" s="2" t="s">
        <v>17</v>
      </c>
      <c r="LD24" s="2" t="s">
        <v>17</v>
      </c>
      <c r="LE24" s="2" t="s">
        <v>17</v>
      </c>
      <c r="LF24" s="2" t="s">
        <v>17</v>
      </c>
      <c r="LG24" s="2" t="s">
        <v>17</v>
      </c>
      <c r="LH24" s="2" t="s">
        <v>17</v>
      </c>
      <c r="LI24" s="2" t="s">
        <v>17</v>
      </c>
      <c r="LJ24" s="2" t="s">
        <v>87</v>
      </c>
      <c r="LK24" s="2" t="s">
        <v>17</v>
      </c>
      <c r="LL24" s="2" t="s">
        <v>17</v>
      </c>
      <c r="LM24" s="2">
        <v>0</v>
      </c>
      <c r="LN24" s="2" t="s">
        <v>17</v>
      </c>
      <c r="LO24" s="2" t="s">
        <v>17</v>
      </c>
      <c r="LP24" s="2" t="s">
        <v>17</v>
      </c>
      <c r="LQ24" s="2" t="s">
        <v>17</v>
      </c>
      <c r="LR24" s="2" t="s">
        <v>17</v>
      </c>
      <c r="LS24" s="2" t="s">
        <v>17</v>
      </c>
      <c r="LT24" s="2" t="s">
        <v>17</v>
      </c>
      <c r="LU24" s="2" t="s">
        <v>17</v>
      </c>
      <c r="LV24" s="2" t="s">
        <v>9</v>
      </c>
      <c r="LW24" s="2" t="s">
        <v>9</v>
      </c>
      <c r="LX24" s="2" t="s">
        <v>9</v>
      </c>
      <c r="LY24" s="5">
        <v>6500000</v>
      </c>
      <c r="LZ24" s="5">
        <v>0</v>
      </c>
      <c r="MA24" s="5">
        <v>8400000</v>
      </c>
      <c r="MB24" s="5">
        <v>0</v>
      </c>
      <c r="MC24" s="5">
        <v>0</v>
      </c>
      <c r="MD24" s="5">
        <v>0</v>
      </c>
      <c r="ME24" s="5">
        <v>10000000</v>
      </c>
      <c r="MF24" s="5">
        <v>0</v>
      </c>
      <c r="MG24" s="5">
        <v>0</v>
      </c>
      <c r="MH24" s="5">
        <v>0</v>
      </c>
      <c r="MI24" s="5">
        <v>0</v>
      </c>
      <c r="MJ24" s="5">
        <v>0</v>
      </c>
      <c r="MK24" s="5">
        <v>0</v>
      </c>
      <c r="ML24" s="2">
        <v>0</v>
      </c>
      <c r="MM24" s="5">
        <v>0</v>
      </c>
      <c r="MN24" s="5">
        <v>0</v>
      </c>
      <c r="MO24" s="2">
        <v>0</v>
      </c>
      <c r="MP24" s="2">
        <v>0</v>
      </c>
      <c r="MQ24" s="2">
        <v>0</v>
      </c>
      <c r="MR24" s="5">
        <v>2950000</v>
      </c>
      <c r="MS24" s="5">
        <v>0</v>
      </c>
      <c r="MT24" s="5">
        <v>4600000</v>
      </c>
      <c r="MU24" s="5">
        <v>0</v>
      </c>
      <c r="MV24" s="5">
        <v>0</v>
      </c>
      <c r="MW24" s="5">
        <v>0</v>
      </c>
      <c r="MX24" s="5">
        <v>0</v>
      </c>
      <c r="MY24" s="5">
        <v>2500000</v>
      </c>
      <c r="MZ24" s="5">
        <v>0</v>
      </c>
      <c r="NA24" s="5">
        <v>5000000</v>
      </c>
      <c r="NB24" s="5">
        <v>0</v>
      </c>
      <c r="NC24" s="5">
        <v>0</v>
      </c>
      <c r="ND24" s="5">
        <v>0</v>
      </c>
      <c r="NE24" s="5">
        <v>0</v>
      </c>
      <c r="NF24" s="5">
        <v>0</v>
      </c>
      <c r="NG24" s="5">
        <v>3458400</v>
      </c>
      <c r="NH24" s="5">
        <v>3458400</v>
      </c>
      <c r="NI24" s="5">
        <v>3458400</v>
      </c>
      <c r="NJ24" s="5"/>
      <c r="NK24" s="5">
        <v>0</v>
      </c>
      <c r="NL24" s="2" t="s">
        <v>17</v>
      </c>
      <c r="NM24" s="2" t="s">
        <v>17</v>
      </c>
      <c r="NN24" s="2"/>
      <c r="NO24" s="2" t="s">
        <v>17</v>
      </c>
      <c r="NP24" s="2"/>
      <c r="NQ24" s="2"/>
      <c r="NR24" s="2" t="s">
        <v>17</v>
      </c>
      <c r="NS24" s="2"/>
      <c r="NT24" s="2" t="s">
        <v>9</v>
      </c>
      <c r="NU24" s="2" t="s">
        <v>450</v>
      </c>
      <c r="NV24" s="2">
        <v>108.04</v>
      </c>
      <c r="NW24" s="2" t="s">
        <v>3342</v>
      </c>
      <c r="NX24" s="2" t="s">
        <v>17</v>
      </c>
      <c r="NY24" s="2"/>
      <c r="NZ24" s="2"/>
      <c r="OA24" s="2" t="s">
        <v>118</v>
      </c>
      <c r="OB24" s="2" t="s">
        <v>118</v>
      </c>
      <c r="OC24" s="2" t="s">
        <v>118</v>
      </c>
      <c r="OD24" s="2" t="s">
        <v>3343</v>
      </c>
      <c r="OE24" s="2" t="s">
        <v>3440</v>
      </c>
      <c r="OF24" s="2"/>
      <c r="OG24" s="2" t="s">
        <v>17</v>
      </c>
      <c r="OH24" s="2" t="s">
        <v>119</v>
      </c>
      <c r="OI24" s="2" t="s">
        <v>17</v>
      </c>
      <c r="OJ24" s="2"/>
      <c r="OK24" s="2" t="s">
        <v>17</v>
      </c>
      <c r="OL24" s="2" t="s">
        <v>17</v>
      </c>
      <c r="OM24" s="2" t="s">
        <v>85</v>
      </c>
      <c r="ON24" s="6">
        <v>0</v>
      </c>
      <c r="OO24" s="6">
        <v>0</v>
      </c>
      <c r="OP24" s="2" t="s">
        <v>93</v>
      </c>
      <c r="OQ24" s="2" t="s">
        <v>93</v>
      </c>
      <c r="OR24" s="6">
        <v>0</v>
      </c>
      <c r="OS24" s="4">
        <v>0</v>
      </c>
      <c r="OT24" s="2" t="s">
        <v>17</v>
      </c>
      <c r="OU24" s="2" t="s">
        <v>17</v>
      </c>
      <c r="OV24" s="2"/>
      <c r="OW24" s="2"/>
      <c r="OX24" s="5">
        <v>22205003</v>
      </c>
      <c r="OY24" s="6">
        <v>200045.07</v>
      </c>
      <c r="OZ24" s="2"/>
      <c r="PA24" s="2"/>
      <c r="PB24" s="2"/>
      <c r="PC24" s="2"/>
      <c r="PD24" s="8">
        <v>20544881</v>
      </c>
      <c r="PE24" s="8">
        <v>565000</v>
      </c>
      <c r="PF24" s="8">
        <v>21109881</v>
      </c>
      <c r="PG24" s="2"/>
      <c r="PH24" s="2"/>
      <c r="PI24" s="2"/>
      <c r="PJ24" s="2"/>
      <c r="PK24" s="2"/>
      <c r="PL24" s="2"/>
      <c r="PM24" s="8">
        <v>20544881</v>
      </c>
      <c r="PN24" s="8">
        <v>565000</v>
      </c>
      <c r="PO24" s="8">
        <v>21109881</v>
      </c>
      <c r="PP24" s="8">
        <v>2955383</v>
      </c>
      <c r="PQ24" s="2"/>
      <c r="PR24" s="8">
        <v>2955383</v>
      </c>
      <c r="PS24" s="6">
        <v>2955383</v>
      </c>
      <c r="PT24" s="8">
        <v>23500264</v>
      </c>
      <c r="PU24" s="8">
        <v>565000</v>
      </c>
      <c r="PV24" s="8">
        <v>24065264</v>
      </c>
      <c r="PW24" s="8">
        <v>1203263</v>
      </c>
      <c r="PX24" s="2"/>
      <c r="PY24" s="8">
        <v>1203263</v>
      </c>
      <c r="PZ24" s="6">
        <v>1203263.2</v>
      </c>
      <c r="QA24" s="8">
        <v>2104528</v>
      </c>
      <c r="QB24" s="8">
        <v>30000</v>
      </c>
      <c r="QC24" s="8">
        <v>2134528</v>
      </c>
      <c r="QD24" s="8">
        <v>782065</v>
      </c>
      <c r="QE24" s="2"/>
      <c r="QF24" s="8">
        <v>782065</v>
      </c>
      <c r="QG24" s="8">
        <v>563578</v>
      </c>
      <c r="QH24" s="2"/>
      <c r="QI24" s="8">
        <v>563578</v>
      </c>
      <c r="QJ24" s="2"/>
      <c r="QK24" s="8">
        <v>465353</v>
      </c>
      <c r="QL24" s="8">
        <v>465353</v>
      </c>
      <c r="QM24" s="2"/>
      <c r="QN24" s="2"/>
      <c r="QO24" s="2"/>
      <c r="QP24" s="2"/>
      <c r="QQ24" s="2"/>
      <c r="QR24" s="2"/>
      <c r="QS24" s="8">
        <v>3450171</v>
      </c>
      <c r="QT24" s="8">
        <v>495353</v>
      </c>
      <c r="QU24" s="8">
        <v>3945524</v>
      </c>
      <c r="QV24" s="8">
        <v>197276</v>
      </c>
      <c r="QW24" s="2"/>
      <c r="QX24" s="8">
        <v>197276</v>
      </c>
      <c r="QY24" s="6">
        <v>197276.2</v>
      </c>
      <c r="QZ24" s="8">
        <v>1789388</v>
      </c>
      <c r="RA24" s="8">
        <v>892833</v>
      </c>
      <c r="RB24" s="8">
        <v>2682221</v>
      </c>
      <c r="RC24" s="8">
        <v>125607</v>
      </c>
      <c r="RD24" s="8">
        <v>125607</v>
      </c>
      <c r="RE24" s="2"/>
      <c r="RF24" s="8">
        <v>60000</v>
      </c>
      <c r="RG24" s="8">
        <v>60000</v>
      </c>
      <c r="RH24" s="8">
        <v>1789388</v>
      </c>
      <c r="RI24" s="8">
        <v>1078440</v>
      </c>
      <c r="RJ24" s="8">
        <v>2867828</v>
      </c>
      <c r="RK24" s="8">
        <v>30140362</v>
      </c>
      <c r="RL24" s="8">
        <v>2138793</v>
      </c>
      <c r="RM24" s="8">
        <v>32279155</v>
      </c>
      <c r="RN24" s="2">
        <v>0</v>
      </c>
      <c r="RO24" s="6">
        <v>0</v>
      </c>
      <c r="RP24" s="8">
        <v>5164664</v>
      </c>
      <c r="RQ24" s="2"/>
      <c r="RR24" s="8">
        <v>5164664</v>
      </c>
      <c r="RS24" s="6">
        <v>5164664</v>
      </c>
      <c r="RT24" s="6">
        <v>0</v>
      </c>
      <c r="RU24" s="8">
        <v>5164664</v>
      </c>
      <c r="RV24" s="2"/>
      <c r="RW24" s="8">
        <v>5164664</v>
      </c>
      <c r="RX24" s="6">
        <v>5164664</v>
      </c>
      <c r="RY24" s="2"/>
      <c r="RZ24" s="2"/>
      <c r="SA24" s="6">
        <v>388500</v>
      </c>
      <c r="SB24" s="8">
        <v>3300000</v>
      </c>
      <c r="SC24" s="8">
        <v>3300000</v>
      </c>
      <c r="SD24" s="8">
        <v>35305026</v>
      </c>
      <c r="SE24" s="8">
        <v>5438793</v>
      </c>
      <c r="SF24" s="8">
        <v>40743819</v>
      </c>
      <c r="SG24" s="2"/>
      <c r="SH24" s="2"/>
      <c r="SI24" s="2"/>
      <c r="SJ24" s="2" t="s">
        <v>3766</v>
      </c>
      <c r="SK24" s="8">
        <v>26000000</v>
      </c>
      <c r="SL24" s="2" t="s">
        <v>95</v>
      </c>
      <c r="SM24" s="2"/>
      <c r="SN24" s="2"/>
      <c r="SO24" s="2"/>
      <c r="SP24" s="2"/>
      <c r="SQ24" s="2"/>
      <c r="SR24" s="2"/>
      <c r="SS24" s="2" t="s">
        <v>96</v>
      </c>
      <c r="ST24" s="2" t="s">
        <v>96</v>
      </c>
      <c r="SU24" s="2" t="s">
        <v>96</v>
      </c>
      <c r="SV24" s="2" t="s">
        <v>96</v>
      </c>
      <c r="SW24" s="8">
        <v>13209767</v>
      </c>
      <c r="SX24" s="2"/>
      <c r="SY24" s="2"/>
      <c r="SZ24" s="2"/>
      <c r="TA24" s="2"/>
      <c r="TB24" s="2"/>
      <c r="TC24" s="2"/>
      <c r="TD24" s="8">
        <v>1534052</v>
      </c>
      <c r="TE24" s="8">
        <v>40743819</v>
      </c>
      <c r="TF24" s="2">
        <v>0</v>
      </c>
      <c r="TG24" s="2" t="s">
        <v>9</v>
      </c>
      <c r="TH24" s="8">
        <v>7560672</v>
      </c>
      <c r="TI24" s="2" t="s">
        <v>95</v>
      </c>
      <c r="TJ24" s="2"/>
      <c r="TK24" s="2"/>
      <c r="TL24" s="2"/>
      <c r="TM24" s="2"/>
      <c r="TN24" s="2" t="s">
        <v>96</v>
      </c>
      <c r="TO24" s="2" t="s">
        <v>96</v>
      </c>
      <c r="TP24" s="2" t="s">
        <v>96</v>
      </c>
      <c r="TQ24" s="2" t="s">
        <v>96</v>
      </c>
      <c r="TR24" s="8">
        <v>33024417</v>
      </c>
      <c r="TS24" s="2"/>
      <c r="TT24" s="2"/>
      <c r="TU24" s="2"/>
      <c r="TV24" s="2"/>
      <c r="TW24" s="2"/>
      <c r="TX24" s="2"/>
      <c r="TY24" s="8">
        <v>158730</v>
      </c>
      <c r="TZ24" s="8">
        <v>40743819</v>
      </c>
      <c r="UA24" s="6">
        <v>7560672</v>
      </c>
      <c r="UB24" s="2">
        <v>0</v>
      </c>
      <c r="UC24" s="2" t="s">
        <v>9</v>
      </c>
      <c r="UD24" s="2">
        <v>111</v>
      </c>
      <c r="UE24" s="5">
        <v>310000</v>
      </c>
      <c r="UF24" s="6">
        <v>413333.33</v>
      </c>
      <c r="UG24" s="6">
        <v>413333.33</v>
      </c>
      <c r="UH24" s="6">
        <v>438133.33</v>
      </c>
      <c r="UI24" s="6">
        <v>48632800</v>
      </c>
      <c r="UJ24" s="6">
        <v>7781248</v>
      </c>
      <c r="UK24" s="2" t="s">
        <v>97</v>
      </c>
      <c r="UL24" s="6">
        <v>7781248</v>
      </c>
      <c r="UM24" s="6">
        <v>56414048</v>
      </c>
      <c r="UN24" s="6">
        <v>37443819</v>
      </c>
      <c r="UO24" s="4">
        <v>0.99990000000000001</v>
      </c>
      <c r="UP24" s="2" t="s">
        <v>9</v>
      </c>
      <c r="UQ24" s="6">
        <v>0</v>
      </c>
      <c r="UR24" s="6">
        <v>0</v>
      </c>
      <c r="US24" s="6">
        <v>1459931.94</v>
      </c>
      <c r="UT24" s="6">
        <v>1459931.94</v>
      </c>
      <c r="UU24" s="6">
        <v>0</v>
      </c>
      <c r="UV24" s="6">
        <v>1459931.94</v>
      </c>
      <c r="UW24" s="6">
        <v>0</v>
      </c>
      <c r="UX24" s="6">
        <v>1459931.94</v>
      </c>
      <c r="UY24" s="2" t="s">
        <v>3387</v>
      </c>
      <c r="UZ24" s="2" t="s">
        <v>3288</v>
      </c>
      <c r="VA24" s="2" t="s">
        <v>17</v>
      </c>
      <c r="VB24" s="2" t="s">
        <v>17</v>
      </c>
      <c r="VC24" s="2" t="s">
        <v>17</v>
      </c>
      <c r="VD24" s="2" t="s">
        <v>17</v>
      </c>
      <c r="VE24" s="2" t="s">
        <v>17</v>
      </c>
      <c r="VF24" s="2" t="s">
        <v>17</v>
      </c>
      <c r="VG24" s="2" t="s">
        <v>3767</v>
      </c>
      <c r="VH24" s="2"/>
      <c r="VI24" s="388" t="s">
        <v>21</v>
      </c>
      <c r="VJ24" s="2" t="s">
        <v>98</v>
      </c>
      <c r="VK24" s="2" t="s">
        <v>99</v>
      </c>
      <c r="VL24" s="23">
        <f t="shared" si="0"/>
        <v>111</v>
      </c>
      <c r="VM24" s="17">
        <f t="shared" si="1"/>
        <v>1</v>
      </c>
      <c r="VN24" s="17" t="str">
        <f t="shared" si="2"/>
        <v>NC-HR-E</v>
      </c>
      <c r="VO24" s="17" t="str">
        <f t="shared" si="14"/>
        <v>NC-HR-E-ESS</v>
      </c>
      <c r="VP24" s="12">
        <v>9</v>
      </c>
      <c r="VQ24" s="57">
        <v>1</v>
      </c>
      <c r="VR24" s="57">
        <f t="shared" si="3"/>
        <v>1</v>
      </c>
      <c r="VS24" s="14">
        <f t="shared" si="4"/>
        <v>1</v>
      </c>
      <c r="VT24" s="12">
        <f t="shared" si="5"/>
        <v>0.88349999999999995</v>
      </c>
      <c r="VU24" s="29">
        <f t="shared" si="6"/>
        <v>27499467.599999998</v>
      </c>
      <c r="VV24" s="29">
        <f t="shared" si="7"/>
        <v>247742.95</v>
      </c>
      <c r="VW24" s="12" t="str">
        <f t="shared" si="15"/>
        <v>A</v>
      </c>
      <c r="VX24" s="12" t="str">
        <f t="shared" si="8"/>
        <v>NC-HR-ESS</v>
      </c>
      <c r="VY24" s="352">
        <f t="shared" si="16"/>
        <v>3</v>
      </c>
      <c r="WA24" s="12">
        <f t="shared" si="17"/>
        <v>1</v>
      </c>
      <c r="WB24" s="12">
        <f t="shared" si="18"/>
        <v>0</v>
      </c>
      <c r="WC24" s="12">
        <f t="shared" si="18"/>
        <v>0</v>
      </c>
      <c r="WD24" s="12">
        <f t="shared" si="18"/>
        <v>0</v>
      </c>
      <c r="WE24" s="12">
        <f t="shared" si="19"/>
        <v>1</v>
      </c>
      <c r="WF24" s="12">
        <f t="shared" si="9"/>
        <v>0</v>
      </c>
      <c r="WG24" s="12">
        <f t="shared" si="10"/>
        <v>0</v>
      </c>
      <c r="WH24" s="12">
        <f t="shared" si="11"/>
        <v>1</v>
      </c>
      <c r="WI24" s="31">
        <f t="shared" si="12"/>
        <v>3</v>
      </c>
      <c r="WJ24" s="2"/>
      <c r="WK24" s="444" t="str">
        <f t="shared" si="20"/>
        <v>NC-HR-ESS-BBN-BRN-NPH-E</v>
      </c>
      <c r="WL24" s="444"/>
      <c r="WM24" s="444"/>
    </row>
    <row r="25" spans="1:611" x14ac:dyDescent="0.25">
      <c r="A25" s="2">
        <v>9594</v>
      </c>
      <c r="B25" s="2" t="s">
        <v>3768</v>
      </c>
      <c r="C25" s="2" t="s">
        <v>3305</v>
      </c>
      <c r="D25" s="3">
        <v>45159</v>
      </c>
      <c r="E25" s="2" t="s">
        <v>9</v>
      </c>
      <c r="F25" s="2">
        <v>3</v>
      </c>
      <c r="G25" s="2" t="s">
        <v>9</v>
      </c>
      <c r="H25" s="2">
        <v>3</v>
      </c>
      <c r="I25" s="2" t="s">
        <v>9</v>
      </c>
      <c r="J25" s="2">
        <v>3</v>
      </c>
      <c r="K25" s="2" t="s">
        <v>9</v>
      </c>
      <c r="L25" s="2">
        <v>3</v>
      </c>
      <c r="M25" s="2" t="s">
        <v>10</v>
      </c>
      <c r="N25" s="2">
        <v>0</v>
      </c>
      <c r="O25" s="2" t="s">
        <v>10</v>
      </c>
      <c r="P25" s="2">
        <v>0</v>
      </c>
      <c r="Q25" s="2" t="s">
        <v>11</v>
      </c>
      <c r="R25" s="2">
        <v>0</v>
      </c>
      <c r="S25" s="2" t="s">
        <v>9</v>
      </c>
      <c r="T25" s="2">
        <v>2</v>
      </c>
      <c r="U25" s="2" t="s">
        <v>9</v>
      </c>
      <c r="V25" s="2">
        <v>2</v>
      </c>
      <c r="W25" s="2" t="s">
        <v>9</v>
      </c>
      <c r="X25" s="2">
        <v>2</v>
      </c>
      <c r="Y25" s="2" t="s">
        <v>12</v>
      </c>
      <c r="Z25" s="2" t="s">
        <v>15</v>
      </c>
      <c r="AA25" s="2" t="s">
        <v>15</v>
      </c>
      <c r="AB25" s="2" t="s">
        <v>15</v>
      </c>
      <c r="AC25" s="2" t="s">
        <v>15</v>
      </c>
      <c r="AD25" s="2" t="s">
        <v>15</v>
      </c>
      <c r="AE25" s="2" t="s">
        <v>3769</v>
      </c>
      <c r="AF25" s="2">
        <v>0</v>
      </c>
      <c r="AG25" s="2" t="s">
        <v>234</v>
      </c>
      <c r="AH25" s="2" t="s">
        <v>17</v>
      </c>
      <c r="AI25" s="4">
        <v>0.15454999999999999</v>
      </c>
      <c r="AJ25" s="2" t="s">
        <v>17</v>
      </c>
      <c r="AK25" s="2" t="s">
        <v>9</v>
      </c>
      <c r="AL25" s="2" t="s">
        <v>17</v>
      </c>
      <c r="AM25" s="2" t="s">
        <v>17</v>
      </c>
      <c r="AN25" s="2" t="s">
        <v>17</v>
      </c>
      <c r="AO25" s="2" t="s">
        <v>9</v>
      </c>
      <c r="AP25" s="2" t="s">
        <v>17</v>
      </c>
      <c r="AQ25" s="2" t="s">
        <v>17</v>
      </c>
      <c r="AR25" s="2" t="s">
        <v>17</v>
      </c>
      <c r="AS25" s="2" t="s">
        <v>17</v>
      </c>
      <c r="AT25" s="2">
        <v>5</v>
      </c>
      <c r="AU25" s="5">
        <v>100000</v>
      </c>
      <c r="AV25" s="2" t="s">
        <v>85</v>
      </c>
      <c r="AW25" s="2">
        <v>0</v>
      </c>
      <c r="AX25" s="2">
        <v>10</v>
      </c>
      <c r="AY25" s="2">
        <v>0</v>
      </c>
      <c r="AZ25" s="2">
        <v>18</v>
      </c>
      <c r="BA25" s="2">
        <v>0</v>
      </c>
      <c r="BB25" s="2">
        <v>0</v>
      </c>
      <c r="BC25" s="2">
        <v>1</v>
      </c>
      <c r="BD25" s="2">
        <v>5</v>
      </c>
      <c r="BE25" s="2">
        <v>0</v>
      </c>
      <c r="BF25" s="2">
        <v>1</v>
      </c>
      <c r="BG25" s="2">
        <v>0</v>
      </c>
      <c r="BH25" s="2">
        <v>0</v>
      </c>
      <c r="BI25" s="2">
        <v>13</v>
      </c>
      <c r="BJ25" s="2">
        <v>1</v>
      </c>
      <c r="BK25" s="2">
        <v>0</v>
      </c>
      <c r="BL25" s="2">
        <v>2</v>
      </c>
      <c r="BM25" s="2">
        <v>2</v>
      </c>
      <c r="BN25" s="2">
        <v>13</v>
      </c>
      <c r="BO25" s="2">
        <v>11</v>
      </c>
      <c r="BP25" s="2">
        <v>0</v>
      </c>
      <c r="BQ25" s="2">
        <v>10</v>
      </c>
      <c r="BR25" s="2">
        <v>10.4</v>
      </c>
      <c r="BS25" s="2">
        <v>0</v>
      </c>
      <c r="BT25" s="4">
        <v>0.06</v>
      </c>
      <c r="BU25" s="2" t="s">
        <v>9</v>
      </c>
      <c r="BV25" s="6">
        <v>201863.66</v>
      </c>
      <c r="BW25" s="2" t="s">
        <v>126</v>
      </c>
      <c r="BX25" s="2" t="s">
        <v>17</v>
      </c>
      <c r="BY25" s="2" t="s">
        <v>17</v>
      </c>
      <c r="BZ25" s="2" t="s">
        <v>17</v>
      </c>
      <c r="CA25" s="2" t="s">
        <v>17</v>
      </c>
      <c r="CB25" s="2" t="s">
        <v>17</v>
      </c>
      <c r="CC25" s="2" t="s">
        <v>17</v>
      </c>
      <c r="CD25" s="2" t="s">
        <v>17</v>
      </c>
      <c r="CE25" s="2" t="s">
        <v>3770</v>
      </c>
      <c r="CF25" s="2" t="s">
        <v>9</v>
      </c>
      <c r="CG25" s="2" t="s">
        <v>608</v>
      </c>
      <c r="CH25" s="2" t="s">
        <v>3771</v>
      </c>
      <c r="CI25" s="2"/>
      <c r="CJ25" s="2" t="s">
        <v>9</v>
      </c>
      <c r="CK25" s="2" t="s">
        <v>21</v>
      </c>
      <c r="CL25" s="2" t="s">
        <v>3771</v>
      </c>
      <c r="CM25" s="2" t="s">
        <v>22</v>
      </c>
      <c r="CN25" s="2" t="s">
        <v>3756</v>
      </c>
      <c r="CO25" s="2" t="s">
        <v>24</v>
      </c>
      <c r="CP25" s="2"/>
      <c r="CQ25" s="2">
        <v>90</v>
      </c>
      <c r="CR25" s="2" t="s">
        <v>3002</v>
      </c>
      <c r="CS25" s="2">
        <v>2017</v>
      </c>
      <c r="CT25" s="2" t="s">
        <v>26</v>
      </c>
      <c r="CU25" s="2" t="s">
        <v>27</v>
      </c>
      <c r="CV25" s="2" t="s">
        <v>28</v>
      </c>
      <c r="CW25" s="2" t="s">
        <v>3758</v>
      </c>
      <c r="CX25" s="2" t="s">
        <v>24</v>
      </c>
      <c r="CY25" s="2"/>
      <c r="CZ25" s="2">
        <v>69</v>
      </c>
      <c r="DA25" s="2" t="s">
        <v>3002</v>
      </c>
      <c r="DB25" s="2">
        <v>2019</v>
      </c>
      <c r="DC25" s="2" t="s">
        <v>30</v>
      </c>
      <c r="DD25" s="2" t="s">
        <v>27</v>
      </c>
      <c r="DE25" s="2" t="s">
        <v>31</v>
      </c>
      <c r="DF25" s="2" t="s">
        <v>3772</v>
      </c>
      <c r="DG25" s="2" t="s">
        <v>24</v>
      </c>
      <c r="DH25" s="2"/>
      <c r="DI25" s="2">
        <v>76</v>
      </c>
      <c r="DJ25" s="2" t="s">
        <v>3002</v>
      </c>
      <c r="DK25" s="2">
        <v>2016</v>
      </c>
      <c r="DL25" s="2" t="s">
        <v>30</v>
      </c>
      <c r="DM25" s="2" t="s">
        <v>27</v>
      </c>
      <c r="DN25" s="2" t="s">
        <v>33</v>
      </c>
      <c r="DO25" s="2" t="s">
        <v>34</v>
      </c>
      <c r="DP25" s="2"/>
      <c r="DQ25" s="2" t="s">
        <v>35</v>
      </c>
      <c r="DR25" s="2" t="s">
        <v>36</v>
      </c>
      <c r="DS25" s="2">
        <v>1</v>
      </c>
      <c r="DT25" s="2" t="s">
        <v>37</v>
      </c>
      <c r="DU25" s="2" t="s">
        <v>38</v>
      </c>
      <c r="DV25" s="2" t="s">
        <v>39</v>
      </c>
      <c r="DW25" s="2">
        <v>32405</v>
      </c>
      <c r="DX25" s="2" t="s">
        <v>40</v>
      </c>
      <c r="DY25" s="2"/>
      <c r="DZ25" s="2" t="s">
        <v>41</v>
      </c>
      <c r="EA25" s="2" t="s">
        <v>36</v>
      </c>
      <c r="EB25" s="2" t="s">
        <v>42</v>
      </c>
      <c r="EC25" s="2" t="s">
        <v>43</v>
      </c>
      <c r="ED25" s="2" t="s">
        <v>44</v>
      </c>
      <c r="EE25" s="2">
        <v>84</v>
      </c>
      <c r="EF25" s="2" t="s">
        <v>3003</v>
      </c>
      <c r="EG25" s="2">
        <v>6</v>
      </c>
      <c r="EH25" s="2" t="s">
        <v>46</v>
      </c>
      <c r="EI25" s="2" t="s">
        <v>47</v>
      </c>
      <c r="EJ25" s="2" t="s">
        <v>48</v>
      </c>
      <c r="EK25" s="2" t="s">
        <v>49</v>
      </c>
      <c r="EL25" s="2" t="s">
        <v>44</v>
      </c>
      <c r="EM25" s="2">
        <v>112</v>
      </c>
      <c r="EN25" s="2" t="s">
        <v>3003</v>
      </c>
      <c r="EO25" s="2">
        <v>5</v>
      </c>
      <c r="EP25" s="2" t="s">
        <v>46</v>
      </c>
      <c r="EQ25" s="2" t="s">
        <v>47</v>
      </c>
      <c r="ER25" s="2" t="s">
        <v>50</v>
      </c>
      <c r="ES25" s="2"/>
      <c r="ET25" s="2" t="s">
        <v>51</v>
      </c>
      <c r="EU25" s="2" t="s">
        <v>52</v>
      </c>
      <c r="EV25" s="2" t="s">
        <v>53</v>
      </c>
      <c r="EW25" s="2" t="s">
        <v>54</v>
      </c>
      <c r="EX25" s="2" t="s">
        <v>55</v>
      </c>
      <c r="EY25" s="2">
        <v>91730</v>
      </c>
      <c r="EZ25" s="2" t="s">
        <v>56</v>
      </c>
      <c r="FA25" s="2"/>
      <c r="FB25" s="2" t="s">
        <v>57</v>
      </c>
      <c r="FC25" s="2" t="s">
        <v>58</v>
      </c>
      <c r="FD25" s="2"/>
      <c r="FE25" s="2" t="s">
        <v>59</v>
      </c>
      <c r="FF25" s="2" t="s">
        <v>52</v>
      </c>
      <c r="FG25" s="2" t="s">
        <v>53</v>
      </c>
      <c r="FH25" s="2" t="s">
        <v>54</v>
      </c>
      <c r="FI25" s="2" t="s">
        <v>55</v>
      </c>
      <c r="FJ25" s="2">
        <v>91730</v>
      </c>
      <c r="FK25" s="2" t="s">
        <v>60</v>
      </c>
      <c r="FL25" s="2"/>
      <c r="FM25" s="2" t="s">
        <v>61</v>
      </c>
      <c r="FN25" s="2" t="s">
        <v>3773</v>
      </c>
      <c r="FO25" s="2" t="s">
        <v>63</v>
      </c>
      <c r="FP25" s="2" t="s">
        <v>64</v>
      </c>
      <c r="FQ25" s="2" t="s">
        <v>9</v>
      </c>
      <c r="FR25" s="2" t="s">
        <v>17</v>
      </c>
      <c r="FS25" s="2" t="s">
        <v>17</v>
      </c>
      <c r="FT25" s="2" t="s">
        <v>9</v>
      </c>
      <c r="FU25" s="2"/>
      <c r="FV25" s="2"/>
      <c r="FW25" s="2">
        <v>0</v>
      </c>
      <c r="FX25" s="2">
        <v>0</v>
      </c>
      <c r="FY25" s="4">
        <v>0</v>
      </c>
      <c r="FZ25" s="4">
        <v>0</v>
      </c>
      <c r="GA25" s="2" t="s">
        <v>65</v>
      </c>
      <c r="GB25" s="2"/>
      <c r="GC25" s="2" t="s">
        <v>66</v>
      </c>
      <c r="GD25" s="2" t="s">
        <v>67</v>
      </c>
      <c r="GE25" s="2" t="s">
        <v>2684</v>
      </c>
      <c r="GF25" s="2"/>
      <c r="GG25" s="2"/>
      <c r="GH25" s="2"/>
      <c r="GI25" s="2"/>
      <c r="GJ25" s="2"/>
      <c r="GK25" s="2">
        <v>110</v>
      </c>
      <c r="GL25" s="2"/>
      <c r="GM25" s="2"/>
      <c r="GN25" s="2"/>
      <c r="GO25" s="2"/>
      <c r="GP25" s="2"/>
      <c r="GQ25" s="2">
        <v>110</v>
      </c>
      <c r="GR25" s="2" t="s">
        <v>3332</v>
      </c>
      <c r="GS25" s="2" t="s">
        <v>2686</v>
      </c>
      <c r="GT25" s="2" t="s">
        <v>3774</v>
      </c>
      <c r="GU25" s="2" t="s">
        <v>299</v>
      </c>
      <c r="GV25" s="2" t="s">
        <v>17</v>
      </c>
      <c r="GW25" s="2">
        <v>25.808305000000001</v>
      </c>
      <c r="GX25" s="2">
        <v>-80.239913000000001</v>
      </c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>
        <v>25.813067</v>
      </c>
      <c r="HS25" s="2">
        <v>-80.230979000000005</v>
      </c>
      <c r="HT25" s="2">
        <v>0.66</v>
      </c>
      <c r="HU25" s="2">
        <v>5</v>
      </c>
      <c r="HV25" s="2" t="s">
        <v>3164</v>
      </c>
      <c r="HW25" s="2" t="s">
        <v>3775</v>
      </c>
      <c r="HX25" s="2">
        <v>0.52</v>
      </c>
      <c r="HY25" s="2">
        <v>3</v>
      </c>
      <c r="HZ25" s="2" t="s">
        <v>3776</v>
      </c>
      <c r="IA25" s="2" t="s">
        <v>3777</v>
      </c>
      <c r="IB25" s="2">
        <v>0.46</v>
      </c>
      <c r="IC25" s="2">
        <v>3.5</v>
      </c>
      <c r="ID25" s="2"/>
      <c r="IE25" s="2"/>
      <c r="IF25" s="2"/>
      <c r="IG25" s="2" t="s">
        <v>3778</v>
      </c>
      <c r="IH25" s="2">
        <v>0.36</v>
      </c>
      <c r="II25" s="2">
        <v>4</v>
      </c>
      <c r="IJ25" s="2" t="s">
        <v>17</v>
      </c>
      <c r="IK25" s="2"/>
      <c r="IL25" s="2" t="s">
        <v>79</v>
      </c>
      <c r="IM25" s="2" t="s">
        <v>17</v>
      </c>
      <c r="IN25" s="2"/>
      <c r="IO25" s="2" t="s">
        <v>79</v>
      </c>
      <c r="IP25" s="2">
        <v>5</v>
      </c>
      <c r="IQ25" s="2">
        <v>10.5</v>
      </c>
      <c r="IR25" s="2">
        <v>15.5</v>
      </c>
      <c r="IS25" s="2" t="s">
        <v>17</v>
      </c>
      <c r="IT25" s="2" t="s">
        <v>17</v>
      </c>
      <c r="IU25" s="2" t="s">
        <v>17</v>
      </c>
      <c r="IV25" s="2" t="s">
        <v>9</v>
      </c>
      <c r="IW25" s="2" t="s">
        <v>9</v>
      </c>
      <c r="IX25" s="2" t="s">
        <v>9</v>
      </c>
      <c r="IY25" s="2">
        <v>15.5</v>
      </c>
      <c r="IZ25" s="2">
        <v>110</v>
      </c>
      <c r="JA25" s="2" t="s">
        <v>3085</v>
      </c>
      <c r="JB25" s="2"/>
      <c r="JC25" s="2" t="s">
        <v>82</v>
      </c>
      <c r="JD25" s="2"/>
      <c r="JE25" s="2"/>
      <c r="JF25" s="7">
        <v>0</v>
      </c>
      <c r="JG25" s="7"/>
      <c r="JH25" s="7"/>
      <c r="JI25" s="2">
        <v>0</v>
      </c>
      <c r="JJ25" s="7">
        <v>0</v>
      </c>
      <c r="JK25" s="2">
        <v>0</v>
      </c>
      <c r="JL25" s="7">
        <v>0</v>
      </c>
      <c r="JM25" s="2">
        <v>17</v>
      </c>
      <c r="JN25" s="2"/>
      <c r="JO25" s="2"/>
      <c r="JP25" s="2">
        <v>70</v>
      </c>
      <c r="JQ25" s="2">
        <v>13</v>
      </c>
      <c r="JR25" s="2">
        <v>10</v>
      </c>
      <c r="JS25" s="2">
        <v>0</v>
      </c>
      <c r="JT25" s="2">
        <v>0</v>
      </c>
      <c r="JU25" s="2"/>
      <c r="JV25" s="2">
        <v>110</v>
      </c>
      <c r="JW25" s="4">
        <v>1</v>
      </c>
      <c r="JX25" s="2">
        <v>110</v>
      </c>
      <c r="JY25" s="4">
        <v>0.58364000000000005</v>
      </c>
      <c r="JZ25" s="2">
        <v>0</v>
      </c>
      <c r="KA25" s="2"/>
      <c r="KB25" s="2"/>
      <c r="KC25" s="2"/>
      <c r="KD25" s="2"/>
      <c r="KE25" s="2"/>
      <c r="KF25" s="2"/>
      <c r="KG25" s="2"/>
      <c r="KH25" s="2">
        <v>110</v>
      </c>
      <c r="KI25" s="2"/>
      <c r="KJ25" s="2"/>
      <c r="KK25" s="2"/>
      <c r="KL25" s="2"/>
      <c r="KM25" s="2"/>
      <c r="KN25" s="2"/>
      <c r="KO25" s="2"/>
      <c r="KP25" s="2"/>
      <c r="KQ25" s="2" t="s">
        <v>83</v>
      </c>
      <c r="KR25" s="2"/>
      <c r="KS25" s="2" t="s">
        <v>73</v>
      </c>
      <c r="KT25" s="2">
        <v>1</v>
      </c>
      <c r="KU25" s="2" t="s">
        <v>84</v>
      </c>
      <c r="KV25" s="2" t="s">
        <v>85</v>
      </c>
      <c r="KW25" s="2" t="s">
        <v>86</v>
      </c>
      <c r="KX25" s="2" t="s">
        <v>17</v>
      </c>
      <c r="KY25" s="2" t="s">
        <v>17</v>
      </c>
      <c r="KZ25" s="2" t="s">
        <v>17</v>
      </c>
      <c r="LA25" s="2" t="s">
        <v>17</v>
      </c>
      <c r="LB25" s="2" t="s">
        <v>17</v>
      </c>
      <c r="LC25" s="2" t="s">
        <v>17</v>
      </c>
      <c r="LD25" s="2" t="s">
        <v>17</v>
      </c>
      <c r="LE25" s="2" t="s">
        <v>17</v>
      </c>
      <c r="LF25" s="2" t="s">
        <v>17</v>
      </c>
      <c r="LG25" s="2" t="s">
        <v>17</v>
      </c>
      <c r="LH25" s="2" t="s">
        <v>17</v>
      </c>
      <c r="LI25" s="2" t="s">
        <v>17</v>
      </c>
      <c r="LJ25" s="2" t="s">
        <v>87</v>
      </c>
      <c r="LK25" s="2" t="s">
        <v>17</v>
      </c>
      <c r="LL25" s="2" t="s">
        <v>17</v>
      </c>
      <c r="LM25" s="2">
        <v>0</v>
      </c>
      <c r="LN25" s="2" t="s">
        <v>17</v>
      </c>
      <c r="LO25" s="2" t="s">
        <v>17</v>
      </c>
      <c r="LP25" s="2" t="s">
        <v>17</v>
      </c>
      <c r="LQ25" s="2" t="s">
        <v>17</v>
      </c>
      <c r="LR25" s="2" t="s">
        <v>17</v>
      </c>
      <c r="LS25" s="2" t="s">
        <v>17</v>
      </c>
      <c r="LT25" s="2" t="s">
        <v>17</v>
      </c>
      <c r="LU25" s="2" t="s">
        <v>17</v>
      </c>
      <c r="LV25" s="2" t="s">
        <v>9</v>
      </c>
      <c r="LW25" s="2" t="s">
        <v>9</v>
      </c>
      <c r="LX25" s="2" t="s">
        <v>9</v>
      </c>
      <c r="LY25" s="5">
        <v>6500000</v>
      </c>
      <c r="LZ25" s="5">
        <v>0</v>
      </c>
      <c r="MA25" s="5">
        <v>8400000</v>
      </c>
      <c r="MB25" s="5">
        <v>0</v>
      </c>
      <c r="MC25" s="5">
        <v>0</v>
      </c>
      <c r="MD25" s="5">
        <v>0</v>
      </c>
      <c r="ME25" s="5">
        <v>10000000</v>
      </c>
      <c r="MF25" s="5">
        <v>0</v>
      </c>
      <c r="MG25" s="5">
        <v>0</v>
      </c>
      <c r="MH25" s="5">
        <v>0</v>
      </c>
      <c r="MI25" s="5">
        <v>0</v>
      </c>
      <c r="MJ25" s="5">
        <v>0</v>
      </c>
      <c r="MK25" s="5">
        <v>0</v>
      </c>
      <c r="ML25" s="2">
        <v>0</v>
      </c>
      <c r="MM25" s="5">
        <v>0</v>
      </c>
      <c r="MN25" s="5">
        <v>0</v>
      </c>
      <c r="MO25" s="2">
        <v>0</v>
      </c>
      <c r="MP25" s="2">
        <v>0</v>
      </c>
      <c r="MQ25" s="2">
        <v>0</v>
      </c>
      <c r="MR25" s="5">
        <v>2950000</v>
      </c>
      <c r="MS25" s="5">
        <v>0</v>
      </c>
      <c r="MT25" s="5">
        <v>4600000</v>
      </c>
      <c r="MU25" s="5">
        <v>0</v>
      </c>
      <c r="MV25" s="5">
        <v>0</v>
      </c>
      <c r="MW25" s="5">
        <v>0</v>
      </c>
      <c r="MX25" s="5">
        <v>0</v>
      </c>
      <c r="MY25" s="5">
        <v>2500000</v>
      </c>
      <c r="MZ25" s="5">
        <v>0</v>
      </c>
      <c r="NA25" s="5">
        <v>5000000</v>
      </c>
      <c r="NB25" s="5">
        <v>0</v>
      </c>
      <c r="NC25" s="5">
        <v>0</v>
      </c>
      <c r="ND25" s="5">
        <v>0</v>
      </c>
      <c r="NE25" s="5">
        <v>0</v>
      </c>
      <c r="NF25" s="5">
        <v>0</v>
      </c>
      <c r="NG25" s="5">
        <v>3458400</v>
      </c>
      <c r="NH25" s="5">
        <v>3458400</v>
      </c>
      <c r="NI25" s="5">
        <v>3458400</v>
      </c>
      <c r="NJ25" s="5"/>
      <c r="NK25" s="5">
        <v>0</v>
      </c>
      <c r="NL25" s="2" t="s">
        <v>17</v>
      </c>
      <c r="NM25" s="2" t="s">
        <v>17</v>
      </c>
      <c r="NN25" s="2"/>
      <c r="NO25" s="2" t="s">
        <v>17</v>
      </c>
      <c r="NP25" s="2"/>
      <c r="NQ25" s="2"/>
      <c r="NR25" s="2" t="s">
        <v>17</v>
      </c>
      <c r="NS25" s="2"/>
      <c r="NT25" s="2" t="s">
        <v>9</v>
      </c>
      <c r="NU25" s="2" t="s">
        <v>450</v>
      </c>
      <c r="NV25" s="2">
        <v>24.03</v>
      </c>
      <c r="NW25" s="2" t="s">
        <v>3342</v>
      </c>
      <c r="NX25" s="2"/>
      <c r="NY25" s="2"/>
      <c r="NZ25" s="2"/>
      <c r="OA25" s="2" t="s">
        <v>118</v>
      </c>
      <c r="OB25" s="2" t="s">
        <v>118</v>
      </c>
      <c r="OC25" s="2" t="s">
        <v>118</v>
      </c>
      <c r="OD25" s="2" t="s">
        <v>3384</v>
      </c>
      <c r="OE25" s="2" t="s">
        <v>85</v>
      </c>
      <c r="OF25" s="2" t="s">
        <v>17</v>
      </c>
      <c r="OG25" s="2" t="s">
        <v>17</v>
      </c>
      <c r="OH25" s="2" t="s">
        <v>119</v>
      </c>
      <c r="OI25" s="2" t="s">
        <v>17</v>
      </c>
      <c r="OJ25" s="2"/>
      <c r="OK25" s="2" t="s">
        <v>17</v>
      </c>
      <c r="OL25" s="2" t="s">
        <v>17</v>
      </c>
      <c r="OM25" s="2" t="s">
        <v>85</v>
      </c>
      <c r="ON25" s="6">
        <v>0</v>
      </c>
      <c r="OO25" s="6">
        <v>0</v>
      </c>
      <c r="OP25" s="2" t="s">
        <v>93</v>
      </c>
      <c r="OQ25" s="2" t="s">
        <v>93</v>
      </c>
      <c r="OR25" s="6">
        <v>0</v>
      </c>
      <c r="OS25" s="4">
        <v>0</v>
      </c>
      <c r="OT25" s="2" t="s">
        <v>17</v>
      </c>
      <c r="OU25" s="2" t="s">
        <v>17</v>
      </c>
      <c r="OV25" s="2"/>
      <c r="OW25" s="2"/>
      <c r="OX25" s="5">
        <v>22205003</v>
      </c>
      <c r="OY25" s="6">
        <v>201863.66</v>
      </c>
      <c r="OZ25" s="8">
        <v>75000</v>
      </c>
      <c r="PA25" s="8">
        <v>75000</v>
      </c>
      <c r="PB25" s="2"/>
      <c r="PC25" s="2"/>
      <c r="PD25" s="8">
        <v>20296031</v>
      </c>
      <c r="PE25" s="2"/>
      <c r="PF25" s="8">
        <v>20296031</v>
      </c>
      <c r="PG25" s="2"/>
      <c r="PH25" s="2"/>
      <c r="PI25" s="2"/>
      <c r="PJ25" s="2"/>
      <c r="PK25" s="2"/>
      <c r="PL25" s="2"/>
      <c r="PM25" s="8">
        <v>20296031</v>
      </c>
      <c r="PN25" s="8">
        <v>75000</v>
      </c>
      <c r="PO25" s="8">
        <v>20371031</v>
      </c>
      <c r="PP25" s="8">
        <v>2851944</v>
      </c>
      <c r="PQ25" s="2"/>
      <c r="PR25" s="8">
        <v>2851944</v>
      </c>
      <c r="PS25" s="6">
        <v>2851944</v>
      </c>
      <c r="PT25" s="8">
        <v>23147975</v>
      </c>
      <c r="PU25" s="8">
        <v>75000</v>
      </c>
      <c r="PV25" s="8">
        <v>23222975</v>
      </c>
      <c r="PW25" s="8">
        <v>1161148</v>
      </c>
      <c r="PX25" s="2"/>
      <c r="PY25" s="8">
        <v>1161148</v>
      </c>
      <c r="PZ25" s="6">
        <v>1161148.75</v>
      </c>
      <c r="QA25" s="8">
        <v>2121352</v>
      </c>
      <c r="QB25" s="8">
        <v>30000</v>
      </c>
      <c r="QC25" s="8">
        <v>2151352</v>
      </c>
      <c r="QD25" s="8">
        <v>764530</v>
      </c>
      <c r="QE25" s="2"/>
      <c r="QF25" s="8">
        <v>764530</v>
      </c>
      <c r="QG25" s="8">
        <v>548180</v>
      </c>
      <c r="QH25" s="2"/>
      <c r="QI25" s="8">
        <v>548180</v>
      </c>
      <c r="QJ25" s="2"/>
      <c r="QK25" s="8">
        <v>465353</v>
      </c>
      <c r="QL25" s="8">
        <v>465353</v>
      </c>
      <c r="QM25" s="2"/>
      <c r="QN25" s="2"/>
      <c r="QO25" s="2"/>
      <c r="QP25" s="2"/>
      <c r="QQ25" s="2"/>
      <c r="QR25" s="2"/>
      <c r="QS25" s="8">
        <v>3434062</v>
      </c>
      <c r="QT25" s="8">
        <v>495353</v>
      </c>
      <c r="QU25" s="8">
        <v>3929415</v>
      </c>
      <c r="QV25" s="8">
        <v>196470</v>
      </c>
      <c r="QW25" s="2"/>
      <c r="QX25" s="8">
        <v>196470</v>
      </c>
      <c r="QY25" s="6">
        <v>196470.75</v>
      </c>
      <c r="QZ25" s="8">
        <v>850811</v>
      </c>
      <c r="RA25" s="8">
        <v>1885889</v>
      </c>
      <c r="RB25" s="8">
        <v>2736700</v>
      </c>
      <c r="RC25" s="8">
        <v>124005</v>
      </c>
      <c r="RD25" s="8">
        <v>124005</v>
      </c>
      <c r="RE25" s="2"/>
      <c r="RF25" s="8">
        <v>60000</v>
      </c>
      <c r="RG25" s="8">
        <v>60000</v>
      </c>
      <c r="RH25" s="8">
        <v>850811</v>
      </c>
      <c r="RI25" s="8">
        <v>2069894</v>
      </c>
      <c r="RJ25" s="8">
        <v>2920705</v>
      </c>
      <c r="RK25" s="8">
        <v>28790466</v>
      </c>
      <c r="RL25" s="8">
        <v>2640247</v>
      </c>
      <c r="RM25" s="8">
        <v>31430713</v>
      </c>
      <c r="RN25" s="2">
        <v>0</v>
      </c>
      <c r="RO25" s="6">
        <v>0</v>
      </c>
      <c r="RP25" s="8">
        <v>5028914</v>
      </c>
      <c r="RQ25" s="2"/>
      <c r="RR25" s="8">
        <v>5028914</v>
      </c>
      <c r="RS25" s="6">
        <v>5028914</v>
      </c>
      <c r="RT25" s="6">
        <v>0</v>
      </c>
      <c r="RU25" s="8">
        <v>5028914</v>
      </c>
      <c r="RV25" s="2"/>
      <c r="RW25" s="8">
        <v>5028914</v>
      </c>
      <c r="RX25" s="6">
        <v>5028914</v>
      </c>
      <c r="RY25" s="2"/>
      <c r="RZ25" s="2"/>
      <c r="SA25" s="6">
        <v>385000</v>
      </c>
      <c r="SB25" s="8">
        <v>4180000</v>
      </c>
      <c r="SC25" s="8">
        <v>4180000</v>
      </c>
      <c r="SD25" s="8">
        <v>33819380</v>
      </c>
      <c r="SE25" s="8">
        <v>6820247</v>
      </c>
      <c r="SF25" s="8">
        <v>40639627</v>
      </c>
      <c r="SG25" s="2"/>
      <c r="SH25" s="2"/>
      <c r="SI25" s="2"/>
      <c r="SJ25" s="2" t="s">
        <v>3779</v>
      </c>
      <c r="SK25" s="8">
        <v>26000000</v>
      </c>
      <c r="SL25" s="2" t="s">
        <v>95</v>
      </c>
      <c r="SM25" s="2"/>
      <c r="SN25" s="2"/>
      <c r="SO25" s="2"/>
      <c r="SP25" s="2"/>
      <c r="SQ25" s="2"/>
      <c r="SR25" s="2"/>
      <c r="SS25" s="2" t="s">
        <v>96</v>
      </c>
      <c r="ST25" s="2" t="s">
        <v>96</v>
      </c>
      <c r="SU25" s="2" t="s">
        <v>96</v>
      </c>
      <c r="SV25" s="2" t="s">
        <v>96</v>
      </c>
      <c r="SW25" s="8">
        <v>13209767</v>
      </c>
      <c r="SX25" s="2"/>
      <c r="SY25" s="2"/>
      <c r="SZ25" s="2"/>
      <c r="TA25" s="2"/>
      <c r="TB25" s="2"/>
      <c r="TC25" s="2"/>
      <c r="TD25" s="8">
        <v>1429860</v>
      </c>
      <c r="TE25" s="8">
        <v>40639627</v>
      </c>
      <c r="TF25" s="2">
        <v>0</v>
      </c>
      <c r="TG25" s="2" t="s">
        <v>9</v>
      </c>
      <c r="TH25" s="8">
        <v>7400484</v>
      </c>
      <c r="TI25" s="2" t="s">
        <v>95</v>
      </c>
      <c r="TJ25" s="2"/>
      <c r="TK25" s="2"/>
      <c r="TL25" s="2"/>
      <c r="TM25" s="2"/>
      <c r="TN25" s="2" t="s">
        <v>96</v>
      </c>
      <c r="TO25" s="2" t="s">
        <v>96</v>
      </c>
      <c r="TP25" s="2" t="s">
        <v>96</v>
      </c>
      <c r="TQ25" s="2" t="s">
        <v>96</v>
      </c>
      <c r="TR25" s="8">
        <v>33024417</v>
      </c>
      <c r="TS25" s="2"/>
      <c r="TT25" s="2"/>
      <c r="TU25" s="2"/>
      <c r="TV25" s="2"/>
      <c r="TW25" s="2"/>
      <c r="TX25" s="2"/>
      <c r="TY25" s="8">
        <v>214726</v>
      </c>
      <c r="TZ25" s="8">
        <v>40639627</v>
      </c>
      <c r="UA25" s="6">
        <v>7400484</v>
      </c>
      <c r="UB25" s="2">
        <v>0</v>
      </c>
      <c r="UC25" s="2" t="s">
        <v>9</v>
      </c>
      <c r="UD25" s="2">
        <v>110</v>
      </c>
      <c r="UE25" s="5">
        <v>310000</v>
      </c>
      <c r="UF25" s="6">
        <v>413333.33</v>
      </c>
      <c r="UG25" s="6">
        <v>413333.33</v>
      </c>
      <c r="UH25" s="6">
        <v>438133.33</v>
      </c>
      <c r="UI25" s="6">
        <v>48194666.670000002</v>
      </c>
      <c r="UJ25" s="6">
        <v>7711146</v>
      </c>
      <c r="UK25" s="2" t="s">
        <v>97</v>
      </c>
      <c r="UL25" s="6">
        <v>7711146</v>
      </c>
      <c r="UM25" s="6">
        <v>55905812.670000002</v>
      </c>
      <c r="UN25" s="6">
        <v>36384627</v>
      </c>
      <c r="UO25" s="4">
        <v>0.99990000000000001</v>
      </c>
      <c r="UP25" s="2" t="s">
        <v>9</v>
      </c>
      <c r="UQ25" s="6">
        <v>0</v>
      </c>
      <c r="UR25" s="6">
        <v>0</v>
      </c>
      <c r="US25" s="6">
        <v>776198.5</v>
      </c>
      <c r="UT25" s="6">
        <v>776198.5</v>
      </c>
      <c r="UU25" s="6">
        <v>0</v>
      </c>
      <c r="UV25" s="6">
        <v>776198.5</v>
      </c>
      <c r="UW25" s="6">
        <v>0</v>
      </c>
      <c r="UX25" s="6">
        <v>776198.5</v>
      </c>
      <c r="UY25" s="2" t="s">
        <v>3780</v>
      </c>
      <c r="UZ25" s="2" t="s">
        <v>3288</v>
      </c>
      <c r="VA25" s="2" t="s">
        <v>17</v>
      </c>
      <c r="VB25" s="2" t="s">
        <v>17</v>
      </c>
      <c r="VC25" s="2" t="s">
        <v>17</v>
      </c>
      <c r="VD25" s="2" t="s">
        <v>17</v>
      </c>
      <c r="VE25" s="2" t="s">
        <v>17</v>
      </c>
      <c r="VF25" s="2" t="s">
        <v>17</v>
      </c>
      <c r="VG25" s="2" t="s">
        <v>3781</v>
      </c>
      <c r="VH25" s="2"/>
      <c r="VI25" s="388" t="s">
        <v>21</v>
      </c>
      <c r="VJ25" s="2" t="s">
        <v>98</v>
      </c>
      <c r="VK25" s="2" t="s">
        <v>99</v>
      </c>
      <c r="VL25" s="23">
        <f t="shared" si="0"/>
        <v>110</v>
      </c>
      <c r="VM25" s="17">
        <f t="shared" si="1"/>
        <v>1</v>
      </c>
      <c r="VN25" s="17" t="str">
        <f t="shared" si="2"/>
        <v>NC-HR-E</v>
      </c>
      <c r="VO25" s="17" t="str">
        <f t="shared" si="14"/>
        <v>NC-HR-E-ESS</v>
      </c>
      <c r="VP25" s="12">
        <v>9</v>
      </c>
      <c r="VQ25" s="57">
        <v>1</v>
      </c>
      <c r="VR25" s="57">
        <f t="shared" si="3"/>
        <v>1</v>
      </c>
      <c r="VS25" s="14">
        <f t="shared" si="4"/>
        <v>1</v>
      </c>
      <c r="VT25" s="12">
        <f t="shared" si="5"/>
        <v>0.88350000000000006</v>
      </c>
      <c r="VU25" s="29">
        <f t="shared" si="6"/>
        <v>27499467.600000001</v>
      </c>
      <c r="VV25" s="29">
        <f t="shared" si="7"/>
        <v>249995.16</v>
      </c>
      <c r="VW25" s="12" t="str">
        <f t="shared" si="15"/>
        <v>A</v>
      </c>
      <c r="VX25" s="12" t="str">
        <f t="shared" si="8"/>
        <v>NC-HR-ESS</v>
      </c>
      <c r="VY25" s="352">
        <f t="shared" si="16"/>
        <v>3</v>
      </c>
      <c r="WA25" s="12">
        <f t="shared" si="17"/>
        <v>1</v>
      </c>
      <c r="WB25" s="12">
        <f t="shared" si="18"/>
        <v>0</v>
      </c>
      <c r="WC25" s="12">
        <f t="shared" si="18"/>
        <v>0</v>
      </c>
      <c r="WD25" s="12">
        <f t="shared" si="18"/>
        <v>0</v>
      </c>
      <c r="WE25" s="12">
        <f t="shared" si="19"/>
        <v>1</v>
      </c>
      <c r="WF25" s="12">
        <f t="shared" si="9"/>
        <v>0</v>
      </c>
      <c r="WG25" s="12">
        <f t="shared" si="10"/>
        <v>0</v>
      </c>
      <c r="WH25" s="12">
        <f t="shared" si="11"/>
        <v>1</v>
      </c>
      <c r="WI25" s="31">
        <f t="shared" si="12"/>
        <v>3</v>
      </c>
      <c r="WJ25" s="2"/>
      <c r="WK25" s="444" t="str">
        <f t="shared" si="20"/>
        <v>NC-HR-ESS-BBN-BRN-NPH-E</v>
      </c>
      <c r="WL25" s="444"/>
      <c r="WM25" s="444"/>
    </row>
    <row r="26" spans="1:611" x14ac:dyDescent="0.25">
      <c r="A26" s="2">
        <v>9677</v>
      </c>
      <c r="B26" s="2" t="s">
        <v>3782</v>
      </c>
      <c r="C26" s="2" t="s">
        <v>3305</v>
      </c>
      <c r="D26" s="3">
        <v>45159</v>
      </c>
      <c r="E26" s="2" t="s">
        <v>9</v>
      </c>
      <c r="F26" s="2">
        <v>3</v>
      </c>
      <c r="G26" s="2" t="s">
        <v>9</v>
      </c>
      <c r="H26" s="2">
        <v>3</v>
      </c>
      <c r="I26" s="2" t="s">
        <v>9</v>
      </c>
      <c r="J26" s="2">
        <v>1</v>
      </c>
      <c r="K26" s="2" t="s">
        <v>9</v>
      </c>
      <c r="L26" s="2">
        <v>3</v>
      </c>
      <c r="M26" s="2" t="s">
        <v>10</v>
      </c>
      <c r="N26" s="2">
        <v>0</v>
      </c>
      <c r="O26" s="2" t="s">
        <v>10</v>
      </c>
      <c r="P26" s="2">
        <v>0</v>
      </c>
      <c r="Q26" s="2" t="s">
        <v>11</v>
      </c>
      <c r="R26" s="2">
        <v>0</v>
      </c>
      <c r="S26" s="2" t="s">
        <v>9</v>
      </c>
      <c r="T26" s="2">
        <v>2</v>
      </c>
      <c r="U26" s="2" t="s">
        <v>9</v>
      </c>
      <c r="V26" s="2">
        <v>2</v>
      </c>
      <c r="W26" s="2" t="s">
        <v>9</v>
      </c>
      <c r="X26" s="2">
        <v>2</v>
      </c>
      <c r="Y26" s="2" t="s">
        <v>12</v>
      </c>
      <c r="Z26" s="2" t="s">
        <v>15</v>
      </c>
      <c r="AA26" s="2" t="s">
        <v>15</v>
      </c>
      <c r="AB26" s="2" t="s">
        <v>15</v>
      </c>
      <c r="AC26" s="2" t="s">
        <v>15</v>
      </c>
      <c r="AD26" s="2" t="s">
        <v>15</v>
      </c>
      <c r="AE26" s="2" t="s">
        <v>2008</v>
      </c>
      <c r="AF26" s="2">
        <v>0</v>
      </c>
      <c r="AG26" s="2" t="s">
        <v>234</v>
      </c>
      <c r="AH26" s="2" t="s">
        <v>17</v>
      </c>
      <c r="AI26" s="4">
        <v>0.20213</v>
      </c>
      <c r="AJ26" s="2" t="s">
        <v>17</v>
      </c>
      <c r="AK26" s="2" t="s">
        <v>9</v>
      </c>
      <c r="AL26" s="2" t="s">
        <v>17</v>
      </c>
      <c r="AM26" s="2" t="s">
        <v>17</v>
      </c>
      <c r="AN26" s="2" t="s">
        <v>17</v>
      </c>
      <c r="AO26" s="2" t="s">
        <v>9</v>
      </c>
      <c r="AP26" s="2" t="s">
        <v>17</v>
      </c>
      <c r="AQ26" s="2" t="s">
        <v>17</v>
      </c>
      <c r="AR26" s="2" t="s">
        <v>17</v>
      </c>
      <c r="AS26" s="2" t="s">
        <v>17</v>
      </c>
      <c r="AT26" s="2">
        <v>5</v>
      </c>
      <c r="AU26" s="5">
        <v>100000</v>
      </c>
      <c r="AV26" s="2" t="s">
        <v>85</v>
      </c>
      <c r="AW26" s="2">
        <v>0</v>
      </c>
      <c r="AX26" s="2">
        <v>4</v>
      </c>
      <c r="AY26" s="2">
        <v>0</v>
      </c>
      <c r="AZ26" s="2">
        <v>18</v>
      </c>
      <c r="BA26" s="2">
        <v>0</v>
      </c>
      <c r="BB26" s="2">
        <v>0</v>
      </c>
      <c r="BC26" s="2">
        <v>1</v>
      </c>
      <c r="BD26" s="2">
        <v>5</v>
      </c>
      <c r="BE26" s="2">
        <v>0</v>
      </c>
      <c r="BF26" s="2">
        <v>1</v>
      </c>
      <c r="BG26" s="2">
        <v>0</v>
      </c>
      <c r="BH26" s="2">
        <v>0</v>
      </c>
      <c r="BI26" s="2">
        <v>13</v>
      </c>
      <c r="BJ26" s="2">
        <v>1</v>
      </c>
      <c r="BK26" s="2">
        <v>0</v>
      </c>
      <c r="BL26" s="2">
        <v>2</v>
      </c>
      <c r="BM26" s="2">
        <v>2</v>
      </c>
      <c r="BN26" s="2">
        <v>13</v>
      </c>
      <c r="BO26" s="2">
        <v>11</v>
      </c>
      <c r="BP26" s="2">
        <v>0</v>
      </c>
      <c r="BQ26" s="2">
        <v>10</v>
      </c>
      <c r="BR26" s="2">
        <v>10.39</v>
      </c>
      <c r="BS26" s="2">
        <v>0</v>
      </c>
      <c r="BT26" s="4">
        <v>0.06</v>
      </c>
      <c r="BU26" s="2" t="s">
        <v>9</v>
      </c>
      <c r="BV26" s="6">
        <v>202180.6</v>
      </c>
      <c r="BW26" s="2" t="s">
        <v>126</v>
      </c>
      <c r="BX26" s="2" t="s">
        <v>17</v>
      </c>
      <c r="BY26" s="2" t="s">
        <v>17</v>
      </c>
      <c r="BZ26" s="2" t="s">
        <v>17</v>
      </c>
      <c r="CA26" s="2" t="s">
        <v>17</v>
      </c>
      <c r="CB26" s="2" t="s">
        <v>17</v>
      </c>
      <c r="CC26" s="2" t="s">
        <v>17</v>
      </c>
      <c r="CD26" s="2" t="s">
        <v>17</v>
      </c>
      <c r="CE26" s="2" t="s">
        <v>3783</v>
      </c>
      <c r="CF26" s="2" t="s">
        <v>17</v>
      </c>
      <c r="CG26" s="2" t="s">
        <v>3181</v>
      </c>
      <c r="CH26" s="2"/>
      <c r="CI26" s="2"/>
      <c r="CJ26" s="2" t="s">
        <v>9</v>
      </c>
      <c r="CK26" s="2" t="s">
        <v>3182</v>
      </c>
      <c r="CL26" s="2" t="s">
        <v>3181</v>
      </c>
      <c r="CM26" s="2" t="s">
        <v>3183</v>
      </c>
      <c r="CN26" s="2" t="s">
        <v>330</v>
      </c>
      <c r="CO26" s="2" t="s">
        <v>24</v>
      </c>
      <c r="CP26" s="2"/>
      <c r="CQ26" s="2">
        <v>108</v>
      </c>
      <c r="CR26" s="2" t="s">
        <v>849</v>
      </c>
      <c r="CS26" s="2">
        <v>2020</v>
      </c>
      <c r="CT26" s="2" t="s">
        <v>26</v>
      </c>
      <c r="CU26" s="2" t="s">
        <v>27</v>
      </c>
      <c r="CV26" s="2" t="s">
        <v>3184</v>
      </c>
      <c r="CW26" s="2" t="s">
        <v>330</v>
      </c>
      <c r="CX26" s="2" t="s">
        <v>413</v>
      </c>
      <c r="CY26" s="2" t="s">
        <v>3185</v>
      </c>
      <c r="CZ26" s="2">
        <v>96</v>
      </c>
      <c r="DA26" s="2" t="s">
        <v>849</v>
      </c>
      <c r="DB26" s="2">
        <v>2016</v>
      </c>
      <c r="DC26" s="2" t="s">
        <v>26</v>
      </c>
      <c r="DD26" s="2" t="s">
        <v>27</v>
      </c>
      <c r="DE26" s="2" t="s">
        <v>3186</v>
      </c>
      <c r="DF26" s="2" t="s">
        <v>3187</v>
      </c>
      <c r="DG26" s="2" t="s">
        <v>413</v>
      </c>
      <c r="DH26" s="2" t="s">
        <v>3188</v>
      </c>
      <c r="DI26" s="2">
        <v>112</v>
      </c>
      <c r="DJ26" s="2" t="s">
        <v>849</v>
      </c>
      <c r="DK26" s="2">
        <v>2016</v>
      </c>
      <c r="DL26" s="2" t="s">
        <v>26</v>
      </c>
      <c r="DM26" s="2" t="s">
        <v>27</v>
      </c>
      <c r="DN26" s="2" t="s">
        <v>33</v>
      </c>
      <c r="DO26" s="2" t="s">
        <v>3189</v>
      </c>
      <c r="DP26" s="2"/>
      <c r="DQ26" s="2" t="s">
        <v>3190</v>
      </c>
      <c r="DR26" s="2" t="s">
        <v>3191</v>
      </c>
      <c r="DS26" s="2">
        <v>1</v>
      </c>
      <c r="DT26" s="2" t="s">
        <v>3192</v>
      </c>
      <c r="DU26" s="2" t="s">
        <v>3079</v>
      </c>
      <c r="DV26" s="2" t="s">
        <v>39</v>
      </c>
      <c r="DW26" s="2">
        <v>33020</v>
      </c>
      <c r="DX26" s="2" t="s">
        <v>3193</v>
      </c>
      <c r="DY26" s="2">
        <v>2256</v>
      </c>
      <c r="DZ26" s="2" t="s">
        <v>3194</v>
      </c>
      <c r="EA26" s="2" t="s">
        <v>3182</v>
      </c>
      <c r="EB26" s="2" t="s">
        <v>3784</v>
      </c>
      <c r="EC26" s="2" t="s">
        <v>2943</v>
      </c>
      <c r="ED26" s="2" t="s">
        <v>44</v>
      </c>
      <c r="EE26" s="2">
        <v>88</v>
      </c>
      <c r="EF26" s="2" t="s">
        <v>862</v>
      </c>
      <c r="EG26" s="2">
        <v>7</v>
      </c>
      <c r="EH26" s="2" t="s">
        <v>46</v>
      </c>
      <c r="EI26" s="2" t="s">
        <v>47</v>
      </c>
      <c r="EJ26" s="2" t="s">
        <v>3730</v>
      </c>
      <c r="EK26" s="2" t="s">
        <v>330</v>
      </c>
      <c r="EL26" s="2" t="s">
        <v>44</v>
      </c>
      <c r="EM26" s="2">
        <v>136</v>
      </c>
      <c r="EN26" s="2" t="s">
        <v>862</v>
      </c>
      <c r="EO26" s="2">
        <v>4</v>
      </c>
      <c r="EP26" s="2" t="s">
        <v>46</v>
      </c>
      <c r="EQ26" s="2" t="s">
        <v>47</v>
      </c>
      <c r="ER26" s="2" t="s">
        <v>3197</v>
      </c>
      <c r="ES26" s="2" t="s">
        <v>1415</v>
      </c>
      <c r="ET26" s="2" t="s">
        <v>3198</v>
      </c>
      <c r="EU26" s="2" t="s">
        <v>3783</v>
      </c>
      <c r="EV26" s="2" t="s">
        <v>3192</v>
      </c>
      <c r="EW26" s="2" t="s">
        <v>3079</v>
      </c>
      <c r="EX26" s="2" t="s">
        <v>39</v>
      </c>
      <c r="EY26" s="2">
        <v>33020</v>
      </c>
      <c r="EZ26" s="2" t="s">
        <v>3193</v>
      </c>
      <c r="FA26" s="2">
        <v>2231</v>
      </c>
      <c r="FB26" s="2" t="s">
        <v>3785</v>
      </c>
      <c r="FC26" s="2" t="s">
        <v>3197</v>
      </c>
      <c r="FD26" s="2" t="s">
        <v>1415</v>
      </c>
      <c r="FE26" s="2" t="s">
        <v>3198</v>
      </c>
      <c r="FF26" s="2" t="s">
        <v>3783</v>
      </c>
      <c r="FG26" s="2" t="s">
        <v>3192</v>
      </c>
      <c r="FH26" s="2" t="s">
        <v>3079</v>
      </c>
      <c r="FI26" s="2" t="s">
        <v>39</v>
      </c>
      <c r="FJ26" s="2">
        <v>33020</v>
      </c>
      <c r="FK26" s="2" t="s">
        <v>3193</v>
      </c>
      <c r="FL26" s="2">
        <v>2231</v>
      </c>
      <c r="FM26" s="2" t="s">
        <v>3785</v>
      </c>
      <c r="FN26" s="2" t="s">
        <v>3786</v>
      </c>
      <c r="FO26" s="2" t="s">
        <v>63</v>
      </c>
      <c r="FP26" s="2" t="s">
        <v>64</v>
      </c>
      <c r="FQ26" s="2" t="s">
        <v>9</v>
      </c>
      <c r="FR26" s="2" t="s">
        <v>17</v>
      </c>
      <c r="FS26" s="2" t="s">
        <v>17</v>
      </c>
      <c r="FT26" s="2" t="s">
        <v>9</v>
      </c>
      <c r="FU26" s="2"/>
      <c r="FV26" s="2"/>
      <c r="FW26" s="2">
        <v>0</v>
      </c>
      <c r="FX26" s="2">
        <v>0</v>
      </c>
      <c r="FY26" s="4">
        <v>0</v>
      </c>
      <c r="FZ26" s="4">
        <v>0</v>
      </c>
      <c r="GA26" s="2" t="s">
        <v>65</v>
      </c>
      <c r="GB26" s="2"/>
      <c r="GC26" s="2" t="s">
        <v>66</v>
      </c>
      <c r="GD26" s="2" t="s">
        <v>67</v>
      </c>
      <c r="GE26" s="2" t="s">
        <v>2684</v>
      </c>
      <c r="GF26" s="2"/>
      <c r="GG26" s="2"/>
      <c r="GH26" s="2"/>
      <c r="GI26" s="2"/>
      <c r="GJ26" s="2"/>
      <c r="GK26" s="2">
        <v>94</v>
      </c>
      <c r="GL26" s="2"/>
      <c r="GM26" s="2"/>
      <c r="GN26" s="2"/>
      <c r="GO26" s="2"/>
      <c r="GP26" s="2"/>
      <c r="GQ26" s="2">
        <v>94</v>
      </c>
      <c r="GR26" s="2" t="s">
        <v>3332</v>
      </c>
      <c r="GS26" s="2" t="s">
        <v>2686</v>
      </c>
      <c r="GT26" s="2" t="s">
        <v>3787</v>
      </c>
      <c r="GU26" s="2" t="s">
        <v>3734</v>
      </c>
      <c r="GV26" s="2" t="s">
        <v>17</v>
      </c>
      <c r="GW26" s="2">
        <v>25.839217000000001</v>
      </c>
      <c r="GX26" s="2">
        <v>-80.301340999999994</v>
      </c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>
        <v>25.839791999999999</v>
      </c>
      <c r="HS26" s="2">
        <v>-80.301541999999998</v>
      </c>
      <c r="HT26" s="2">
        <v>0.04</v>
      </c>
      <c r="HU26" s="2">
        <v>6</v>
      </c>
      <c r="HV26" s="2" t="s">
        <v>3164</v>
      </c>
      <c r="HW26" s="2" t="s">
        <v>3735</v>
      </c>
      <c r="HX26" s="2">
        <v>0.6</v>
      </c>
      <c r="HY26" s="2">
        <v>3</v>
      </c>
      <c r="HZ26" s="2"/>
      <c r="IA26" s="2"/>
      <c r="IB26" s="2"/>
      <c r="IC26" s="2"/>
      <c r="ID26" s="2" t="s">
        <v>224</v>
      </c>
      <c r="IE26" s="2">
        <v>0.62</v>
      </c>
      <c r="IF26" s="2">
        <v>3</v>
      </c>
      <c r="IG26" s="2" t="s">
        <v>3736</v>
      </c>
      <c r="IH26" s="2">
        <v>0.38</v>
      </c>
      <c r="II26" s="2">
        <v>4</v>
      </c>
      <c r="IJ26" s="2" t="s">
        <v>17</v>
      </c>
      <c r="IK26" s="2"/>
      <c r="IL26" s="2" t="s">
        <v>79</v>
      </c>
      <c r="IM26" s="2" t="s">
        <v>9</v>
      </c>
      <c r="IN26" s="2" t="s">
        <v>921</v>
      </c>
      <c r="IO26" s="2" t="s">
        <v>3341</v>
      </c>
      <c r="IP26" s="2">
        <v>6</v>
      </c>
      <c r="IQ26" s="2">
        <v>10</v>
      </c>
      <c r="IR26" s="2">
        <v>16</v>
      </c>
      <c r="IS26" s="2" t="s">
        <v>17</v>
      </c>
      <c r="IT26" s="2" t="s">
        <v>17</v>
      </c>
      <c r="IU26" s="2" t="s">
        <v>9</v>
      </c>
      <c r="IV26" s="2" t="s">
        <v>9</v>
      </c>
      <c r="IW26" s="2" t="s">
        <v>9</v>
      </c>
      <c r="IX26" s="2" t="s">
        <v>9</v>
      </c>
      <c r="IY26" s="2">
        <v>16</v>
      </c>
      <c r="IZ26" s="2">
        <v>94</v>
      </c>
      <c r="JA26" s="2" t="s">
        <v>3085</v>
      </c>
      <c r="JB26" s="2"/>
      <c r="JC26" s="2" t="s">
        <v>82</v>
      </c>
      <c r="JD26" s="2"/>
      <c r="JE26" s="2"/>
      <c r="JF26" s="7">
        <v>0</v>
      </c>
      <c r="JG26" s="7"/>
      <c r="JH26" s="7"/>
      <c r="JI26" s="2">
        <v>0</v>
      </c>
      <c r="JJ26" s="7">
        <v>0</v>
      </c>
      <c r="JK26" s="2">
        <v>0</v>
      </c>
      <c r="JL26" s="7">
        <v>0</v>
      </c>
      <c r="JM26" s="2">
        <v>19</v>
      </c>
      <c r="JN26" s="2"/>
      <c r="JO26" s="2">
        <v>14</v>
      </c>
      <c r="JP26" s="2">
        <v>11</v>
      </c>
      <c r="JQ26" s="2">
        <v>34</v>
      </c>
      <c r="JR26" s="2">
        <v>16</v>
      </c>
      <c r="JS26" s="2">
        <v>0</v>
      </c>
      <c r="JT26" s="2">
        <v>0</v>
      </c>
      <c r="JU26" s="2"/>
      <c r="JV26" s="2">
        <v>94</v>
      </c>
      <c r="JW26" s="4">
        <v>1</v>
      </c>
      <c r="JX26" s="2">
        <v>94</v>
      </c>
      <c r="JY26" s="4">
        <v>0.59467999999999999</v>
      </c>
      <c r="JZ26" s="2">
        <v>0</v>
      </c>
      <c r="KA26" s="2"/>
      <c r="KB26" s="2"/>
      <c r="KC26" s="2"/>
      <c r="KD26" s="2"/>
      <c r="KE26" s="2"/>
      <c r="KF26" s="2"/>
      <c r="KG26" s="2"/>
      <c r="KH26" s="2">
        <v>70</v>
      </c>
      <c r="KI26" s="2"/>
      <c r="KJ26" s="2"/>
      <c r="KK26" s="2">
        <v>24</v>
      </c>
      <c r="KL26" s="2"/>
      <c r="KM26" s="2"/>
      <c r="KN26" s="2"/>
      <c r="KO26" s="2"/>
      <c r="KP26" s="2"/>
      <c r="KQ26" s="2" t="s">
        <v>83</v>
      </c>
      <c r="KR26" s="2"/>
      <c r="KS26" s="2" t="s">
        <v>73</v>
      </c>
      <c r="KT26" s="2">
        <v>1</v>
      </c>
      <c r="KU26" s="2" t="s">
        <v>84</v>
      </c>
      <c r="KV26" s="2" t="s">
        <v>85</v>
      </c>
      <c r="KW26" s="2" t="s">
        <v>86</v>
      </c>
      <c r="KX26" s="2" t="s">
        <v>17</v>
      </c>
      <c r="KY26" s="2" t="s">
        <v>17</v>
      </c>
      <c r="KZ26" s="2" t="s">
        <v>17</v>
      </c>
      <c r="LA26" s="2" t="s">
        <v>17</v>
      </c>
      <c r="LB26" s="2" t="s">
        <v>17</v>
      </c>
      <c r="LC26" s="2" t="s">
        <v>17</v>
      </c>
      <c r="LD26" s="2" t="s">
        <v>17</v>
      </c>
      <c r="LE26" s="2" t="s">
        <v>17</v>
      </c>
      <c r="LF26" s="2" t="s">
        <v>17</v>
      </c>
      <c r="LG26" s="2" t="s">
        <v>17</v>
      </c>
      <c r="LH26" s="2" t="s">
        <v>17</v>
      </c>
      <c r="LI26" s="2" t="s">
        <v>17</v>
      </c>
      <c r="LJ26" s="2" t="s">
        <v>87</v>
      </c>
      <c r="LK26" s="2" t="s">
        <v>17</v>
      </c>
      <c r="LL26" s="2" t="s">
        <v>17</v>
      </c>
      <c r="LM26" s="2">
        <v>0</v>
      </c>
      <c r="LN26" s="2" t="s">
        <v>17</v>
      </c>
      <c r="LO26" s="2" t="s">
        <v>17</v>
      </c>
      <c r="LP26" s="2" t="s">
        <v>17</v>
      </c>
      <c r="LQ26" s="2" t="s">
        <v>17</v>
      </c>
      <c r="LR26" s="2" t="s">
        <v>17</v>
      </c>
      <c r="LS26" s="2" t="s">
        <v>17</v>
      </c>
      <c r="LT26" s="2" t="s">
        <v>9</v>
      </c>
      <c r="LU26" s="2" t="s">
        <v>9</v>
      </c>
      <c r="LV26" s="2" t="s">
        <v>17</v>
      </c>
      <c r="LW26" s="2" t="s">
        <v>17</v>
      </c>
      <c r="LX26" s="2" t="s">
        <v>9</v>
      </c>
      <c r="LY26" s="5">
        <v>6500000</v>
      </c>
      <c r="LZ26" s="5">
        <v>0</v>
      </c>
      <c r="MA26" s="5">
        <v>8400000</v>
      </c>
      <c r="MB26" s="5">
        <v>0</v>
      </c>
      <c r="MC26" s="5">
        <v>0</v>
      </c>
      <c r="MD26" s="5">
        <v>0</v>
      </c>
      <c r="ME26" s="5">
        <v>9870000</v>
      </c>
      <c r="MF26" s="5">
        <v>0</v>
      </c>
      <c r="MG26" s="5">
        <v>0</v>
      </c>
      <c r="MH26" s="5">
        <v>0</v>
      </c>
      <c r="MI26" s="5">
        <v>0</v>
      </c>
      <c r="MJ26" s="5">
        <v>0</v>
      </c>
      <c r="MK26" s="5">
        <v>0</v>
      </c>
      <c r="ML26" s="2">
        <v>0</v>
      </c>
      <c r="MM26" s="5">
        <v>0</v>
      </c>
      <c r="MN26" s="5">
        <v>0</v>
      </c>
      <c r="MO26" s="2">
        <v>0</v>
      </c>
      <c r="MP26" s="2">
        <v>0</v>
      </c>
      <c r="MQ26" s="2">
        <v>0</v>
      </c>
      <c r="MR26" s="5">
        <v>2950000</v>
      </c>
      <c r="MS26" s="5">
        <v>0</v>
      </c>
      <c r="MT26" s="5">
        <v>4600000</v>
      </c>
      <c r="MU26" s="5">
        <v>0</v>
      </c>
      <c r="MV26" s="5">
        <v>0</v>
      </c>
      <c r="MW26" s="5">
        <v>0</v>
      </c>
      <c r="MX26" s="5">
        <v>0</v>
      </c>
      <c r="MY26" s="5">
        <v>2500000</v>
      </c>
      <c r="MZ26" s="5">
        <v>0</v>
      </c>
      <c r="NA26" s="5">
        <v>5000000</v>
      </c>
      <c r="NB26" s="5">
        <v>0</v>
      </c>
      <c r="NC26" s="5">
        <v>0</v>
      </c>
      <c r="ND26" s="5">
        <v>0</v>
      </c>
      <c r="NE26" s="5">
        <v>0</v>
      </c>
      <c r="NF26" s="5">
        <v>0</v>
      </c>
      <c r="NG26" s="5">
        <v>3458400</v>
      </c>
      <c r="NH26" s="5">
        <v>2960000</v>
      </c>
      <c r="NI26" s="5">
        <v>2960000</v>
      </c>
      <c r="NJ26" s="5"/>
      <c r="NK26" s="5">
        <v>0</v>
      </c>
      <c r="NL26" s="2" t="s">
        <v>17</v>
      </c>
      <c r="NM26" s="2" t="s">
        <v>17</v>
      </c>
      <c r="NN26" s="2"/>
      <c r="NO26" s="2" t="s">
        <v>17</v>
      </c>
      <c r="NP26" s="2"/>
      <c r="NQ26" s="2"/>
      <c r="NR26" s="2" t="s">
        <v>17</v>
      </c>
      <c r="NS26" s="2"/>
      <c r="NT26" s="2" t="s">
        <v>9</v>
      </c>
      <c r="NU26" s="2" t="s">
        <v>450</v>
      </c>
      <c r="NV26" s="2">
        <v>7.12</v>
      </c>
      <c r="NW26" s="2" t="s">
        <v>3342</v>
      </c>
      <c r="NX26" s="2"/>
      <c r="NY26" s="2"/>
      <c r="NZ26" s="2"/>
      <c r="OA26" s="2" t="s">
        <v>118</v>
      </c>
      <c r="OB26" s="2" t="s">
        <v>118</v>
      </c>
      <c r="OC26" s="2" t="s">
        <v>118</v>
      </c>
      <c r="OD26" s="2" t="s">
        <v>3343</v>
      </c>
      <c r="OE26" s="2" t="s">
        <v>3737</v>
      </c>
      <c r="OF26" s="2"/>
      <c r="OG26" s="2" t="s">
        <v>17</v>
      </c>
      <c r="OH26" s="2" t="s">
        <v>119</v>
      </c>
      <c r="OI26" s="2" t="s">
        <v>17</v>
      </c>
      <c r="OJ26" s="2"/>
      <c r="OK26" s="2" t="s">
        <v>17</v>
      </c>
      <c r="OL26" s="2" t="s">
        <v>17</v>
      </c>
      <c r="OM26" s="2" t="s">
        <v>85</v>
      </c>
      <c r="ON26" s="6">
        <v>0</v>
      </c>
      <c r="OO26" s="6">
        <v>0</v>
      </c>
      <c r="OP26" s="2" t="s">
        <v>93</v>
      </c>
      <c r="OQ26" s="2" t="s">
        <v>93</v>
      </c>
      <c r="OR26" s="6">
        <v>0</v>
      </c>
      <c r="OS26" s="4">
        <v>0</v>
      </c>
      <c r="OT26" s="2" t="s">
        <v>17</v>
      </c>
      <c r="OU26" s="2" t="s">
        <v>17</v>
      </c>
      <c r="OV26" s="2"/>
      <c r="OW26" s="2"/>
      <c r="OX26" s="5">
        <v>19004976</v>
      </c>
      <c r="OY26" s="6">
        <v>202180.6</v>
      </c>
      <c r="OZ26" s="2"/>
      <c r="PA26" s="2"/>
      <c r="PB26" s="8">
        <v>805500</v>
      </c>
      <c r="PC26" s="8">
        <v>805500</v>
      </c>
      <c r="PD26" s="8">
        <v>19373900</v>
      </c>
      <c r="PE26" s="8">
        <v>84600</v>
      </c>
      <c r="PF26" s="8">
        <v>19458500</v>
      </c>
      <c r="PG26" s="8">
        <v>1880000</v>
      </c>
      <c r="PH26" s="2"/>
      <c r="PI26" s="8">
        <v>1880000</v>
      </c>
      <c r="PJ26" s="2"/>
      <c r="PK26" s="2"/>
      <c r="PL26" s="2"/>
      <c r="PM26" s="8">
        <v>21253900</v>
      </c>
      <c r="PN26" s="8">
        <v>890100</v>
      </c>
      <c r="PO26" s="8">
        <v>22144000</v>
      </c>
      <c r="PP26" s="8">
        <v>3099000</v>
      </c>
      <c r="PQ26" s="2"/>
      <c r="PR26" s="8">
        <v>3099000</v>
      </c>
      <c r="PS26" s="6">
        <v>3100160</v>
      </c>
      <c r="PT26" s="8">
        <v>24352900</v>
      </c>
      <c r="PU26" s="8">
        <v>890100</v>
      </c>
      <c r="PV26" s="8">
        <v>25243000</v>
      </c>
      <c r="PW26" s="8">
        <v>1262150</v>
      </c>
      <c r="PX26" s="2"/>
      <c r="PY26" s="8">
        <v>1262150</v>
      </c>
      <c r="PZ26" s="6">
        <v>1262150</v>
      </c>
      <c r="QA26" s="8">
        <v>915025</v>
      </c>
      <c r="QB26" s="8">
        <v>379800</v>
      </c>
      <c r="QC26" s="8">
        <v>1294825</v>
      </c>
      <c r="QD26" s="8">
        <v>40000</v>
      </c>
      <c r="QE26" s="8">
        <v>35200</v>
      </c>
      <c r="QF26" s="8">
        <v>75200</v>
      </c>
      <c r="QG26" s="8">
        <v>667503</v>
      </c>
      <c r="QH26" s="2"/>
      <c r="QI26" s="8">
        <v>667503</v>
      </c>
      <c r="QJ26" s="2"/>
      <c r="QK26" s="8">
        <v>534400</v>
      </c>
      <c r="QL26" s="8">
        <v>534400</v>
      </c>
      <c r="QM26" s="2"/>
      <c r="QN26" s="2"/>
      <c r="QO26" s="2"/>
      <c r="QP26" s="8">
        <v>878359</v>
      </c>
      <c r="QQ26" s="8">
        <v>10740</v>
      </c>
      <c r="QR26" s="8">
        <v>889099</v>
      </c>
      <c r="QS26" s="8">
        <v>2500887</v>
      </c>
      <c r="QT26" s="8">
        <v>960140</v>
      </c>
      <c r="QU26" s="8">
        <v>3461027</v>
      </c>
      <c r="QV26" s="8">
        <v>172000</v>
      </c>
      <c r="QW26" s="2"/>
      <c r="QX26" s="8">
        <v>172000</v>
      </c>
      <c r="QY26" s="6">
        <v>173051.35</v>
      </c>
      <c r="QZ26" s="8">
        <v>2080000</v>
      </c>
      <c r="RA26" s="8">
        <v>610000</v>
      </c>
      <c r="RB26" s="8">
        <v>2690000</v>
      </c>
      <c r="RC26" s="8">
        <v>135000</v>
      </c>
      <c r="RD26" s="8">
        <v>135000</v>
      </c>
      <c r="RE26" s="2"/>
      <c r="RF26" s="2"/>
      <c r="RG26" s="2"/>
      <c r="RH26" s="8">
        <v>2080000</v>
      </c>
      <c r="RI26" s="8">
        <v>745000</v>
      </c>
      <c r="RJ26" s="8">
        <v>2825000</v>
      </c>
      <c r="RK26" s="8">
        <v>30367937</v>
      </c>
      <c r="RL26" s="8">
        <v>2595240</v>
      </c>
      <c r="RM26" s="8">
        <v>32963177</v>
      </c>
      <c r="RN26" s="2">
        <v>0</v>
      </c>
      <c r="RO26" s="6">
        <v>0</v>
      </c>
      <c r="RP26" s="8">
        <v>5270108</v>
      </c>
      <c r="RQ26" s="2"/>
      <c r="RR26" s="8">
        <v>5270108</v>
      </c>
      <c r="RS26" s="6">
        <v>5274108</v>
      </c>
      <c r="RT26" s="6">
        <v>0</v>
      </c>
      <c r="RU26" s="8">
        <v>5270108</v>
      </c>
      <c r="RV26" s="2"/>
      <c r="RW26" s="8">
        <v>5270108</v>
      </c>
      <c r="RX26" s="6">
        <v>5274108</v>
      </c>
      <c r="RY26" s="2"/>
      <c r="RZ26" s="2"/>
      <c r="SA26" s="6">
        <v>329000</v>
      </c>
      <c r="SB26" s="8">
        <v>100000</v>
      </c>
      <c r="SC26" s="8">
        <v>100000</v>
      </c>
      <c r="SD26" s="8">
        <v>35638045</v>
      </c>
      <c r="SE26" s="8">
        <v>2695240</v>
      </c>
      <c r="SF26" s="8">
        <v>38333285</v>
      </c>
      <c r="SG26" s="2" t="s">
        <v>3738</v>
      </c>
      <c r="SH26" s="2"/>
      <c r="SI26" s="2" t="s">
        <v>3788</v>
      </c>
      <c r="SJ26" s="2"/>
      <c r="SK26" s="8">
        <v>25000000</v>
      </c>
      <c r="SL26" s="2" t="s">
        <v>95</v>
      </c>
      <c r="SM26" s="2"/>
      <c r="SN26" s="2"/>
      <c r="SO26" s="2"/>
      <c r="SP26" s="2"/>
      <c r="SQ26" s="2"/>
      <c r="SR26" s="2"/>
      <c r="SS26" s="2" t="s">
        <v>96</v>
      </c>
      <c r="ST26" s="2" t="s">
        <v>96</v>
      </c>
      <c r="SU26" s="2" t="s">
        <v>96</v>
      </c>
      <c r="SV26" s="2" t="s">
        <v>96</v>
      </c>
      <c r="SW26" s="8">
        <v>8986000</v>
      </c>
      <c r="SX26" s="2"/>
      <c r="SY26" s="2"/>
      <c r="SZ26" s="2"/>
      <c r="TA26" s="2"/>
      <c r="TB26" s="2"/>
      <c r="TC26" s="2"/>
      <c r="TD26" s="8">
        <v>4347285</v>
      </c>
      <c r="TE26" s="8">
        <v>38333285</v>
      </c>
      <c r="TF26" s="2">
        <v>0</v>
      </c>
      <c r="TG26" s="2" t="s">
        <v>9</v>
      </c>
      <c r="TH26" s="8">
        <v>8500000</v>
      </c>
      <c r="TI26" s="2" t="s">
        <v>95</v>
      </c>
      <c r="TJ26" s="2"/>
      <c r="TK26" s="2"/>
      <c r="TL26" s="2"/>
      <c r="TM26" s="2"/>
      <c r="TN26" s="2" t="s">
        <v>96</v>
      </c>
      <c r="TO26" s="2" t="s">
        <v>96</v>
      </c>
      <c r="TP26" s="2" t="s">
        <v>96</v>
      </c>
      <c r="TQ26" s="2" t="s">
        <v>96</v>
      </c>
      <c r="TR26" s="8">
        <v>27229000</v>
      </c>
      <c r="TS26" s="2"/>
      <c r="TT26" s="2"/>
      <c r="TU26" s="2"/>
      <c r="TV26" s="2"/>
      <c r="TW26" s="2"/>
      <c r="TX26" s="2"/>
      <c r="TY26" s="8">
        <v>2604285</v>
      </c>
      <c r="TZ26" s="8">
        <v>38333285</v>
      </c>
      <c r="UA26" s="6">
        <v>8500000</v>
      </c>
      <c r="UB26" s="2">
        <v>0</v>
      </c>
      <c r="UC26" s="2" t="s">
        <v>9</v>
      </c>
      <c r="UD26" s="2">
        <v>94</v>
      </c>
      <c r="UE26" s="5">
        <v>310000</v>
      </c>
      <c r="UF26" s="6">
        <v>413333.33</v>
      </c>
      <c r="UG26" s="6">
        <v>413333.33</v>
      </c>
      <c r="UH26" s="6">
        <v>438133.33</v>
      </c>
      <c r="UI26" s="6">
        <v>41184533.329999998</v>
      </c>
      <c r="UJ26" s="6">
        <v>6589525</v>
      </c>
      <c r="UK26" s="2" t="s">
        <v>97</v>
      </c>
      <c r="UL26" s="6">
        <v>6589525</v>
      </c>
      <c r="UM26" s="6">
        <v>47774058.329999998</v>
      </c>
      <c r="UN26" s="6">
        <v>37427785</v>
      </c>
      <c r="UO26" s="4">
        <v>0.99990000000000001</v>
      </c>
      <c r="UP26" s="2" t="s">
        <v>9</v>
      </c>
      <c r="UQ26" s="6">
        <v>0</v>
      </c>
      <c r="UR26" s="6">
        <v>0</v>
      </c>
      <c r="US26" s="6">
        <v>408127.53</v>
      </c>
      <c r="UT26" s="6">
        <v>408127.53</v>
      </c>
      <c r="UU26" s="6">
        <v>0</v>
      </c>
      <c r="UV26" s="6">
        <v>408127.53</v>
      </c>
      <c r="UW26" s="6">
        <v>0</v>
      </c>
      <c r="UX26" s="6">
        <v>408127.53</v>
      </c>
      <c r="UY26" s="2" t="s">
        <v>3387</v>
      </c>
      <c r="UZ26" s="2" t="s">
        <v>3288</v>
      </c>
      <c r="VA26" s="2" t="s">
        <v>17</v>
      </c>
      <c r="VB26" s="2" t="s">
        <v>17</v>
      </c>
      <c r="VC26" s="2" t="s">
        <v>17</v>
      </c>
      <c r="VD26" s="2" t="s">
        <v>17</v>
      </c>
      <c r="VE26" s="2" t="s">
        <v>17</v>
      </c>
      <c r="VF26" s="2" t="s">
        <v>17</v>
      </c>
      <c r="VG26" s="2" t="s">
        <v>3789</v>
      </c>
      <c r="VH26" s="2"/>
      <c r="VI26" s="388" t="s">
        <v>3209</v>
      </c>
      <c r="VJ26" s="2" t="s">
        <v>98</v>
      </c>
      <c r="VK26" s="2" t="s">
        <v>536</v>
      </c>
      <c r="VL26" s="23">
        <f t="shared" si="0"/>
        <v>118</v>
      </c>
      <c r="VM26" s="17">
        <f t="shared" si="1"/>
        <v>1.2553191489361701</v>
      </c>
      <c r="VN26" s="17" t="str">
        <f t="shared" si="2"/>
        <v>NC-HR-E</v>
      </c>
      <c r="VO26" s="17" t="str">
        <f t="shared" si="14"/>
        <v>NC-HR-E-ESS</v>
      </c>
      <c r="VP26" s="12">
        <v>9</v>
      </c>
      <c r="VQ26" s="57">
        <v>1</v>
      </c>
      <c r="VR26" s="57">
        <f t="shared" si="3"/>
        <v>1</v>
      </c>
      <c r="VS26" s="14">
        <f t="shared" si="4"/>
        <v>1</v>
      </c>
      <c r="VT26" s="12">
        <f t="shared" si="5"/>
        <v>0.88350000000000006</v>
      </c>
      <c r="VU26" s="29">
        <f t="shared" si="6"/>
        <v>23536440</v>
      </c>
      <c r="VV26" s="29">
        <f t="shared" si="7"/>
        <v>250387.66</v>
      </c>
      <c r="VW26" s="12" t="str">
        <f t="shared" si="15"/>
        <v>A</v>
      </c>
      <c r="VX26" s="12" t="str">
        <f t="shared" si="8"/>
        <v>NC-HR-ESS</v>
      </c>
      <c r="VY26" s="352">
        <f t="shared" si="16"/>
        <v>4</v>
      </c>
      <c r="WA26" s="12">
        <f t="shared" si="17"/>
        <v>1</v>
      </c>
      <c r="WB26" s="12">
        <f t="shared" si="18"/>
        <v>0</v>
      </c>
      <c r="WC26" s="12">
        <f t="shared" si="18"/>
        <v>0</v>
      </c>
      <c r="WD26" s="12">
        <f t="shared" si="18"/>
        <v>0</v>
      </c>
      <c r="WE26" s="12">
        <f t="shared" si="19"/>
        <v>1</v>
      </c>
      <c r="WF26" s="12">
        <f t="shared" si="9"/>
        <v>0</v>
      </c>
      <c r="WG26" s="12">
        <f t="shared" si="10"/>
        <v>0</v>
      </c>
      <c r="WH26" s="12">
        <f t="shared" si="11"/>
        <v>1</v>
      </c>
      <c r="WI26" s="31">
        <f t="shared" si="12"/>
        <v>3</v>
      </c>
      <c r="WJ26" s="2"/>
      <c r="WK26" s="444" t="str">
        <f t="shared" si="20"/>
        <v>NC-HR-ESS-BBN-BRN-NPH-E</v>
      </c>
      <c r="WL26" s="444"/>
      <c r="WM26" s="444"/>
    </row>
    <row r="27" spans="1:611" x14ac:dyDescent="0.25">
      <c r="A27" s="2">
        <v>9674</v>
      </c>
      <c r="B27" s="2" t="s">
        <v>3790</v>
      </c>
      <c r="C27" s="2" t="s">
        <v>3305</v>
      </c>
      <c r="D27" s="3">
        <v>45159</v>
      </c>
      <c r="E27" s="2" t="s">
        <v>9</v>
      </c>
      <c r="F27" s="2">
        <v>3</v>
      </c>
      <c r="G27" s="2" t="s">
        <v>9</v>
      </c>
      <c r="H27" s="2">
        <v>3</v>
      </c>
      <c r="I27" s="2" t="s">
        <v>9</v>
      </c>
      <c r="J27" s="2">
        <v>2</v>
      </c>
      <c r="K27" s="2" t="s">
        <v>9</v>
      </c>
      <c r="L27" s="2">
        <v>3</v>
      </c>
      <c r="M27" s="2" t="s">
        <v>10</v>
      </c>
      <c r="N27" s="2">
        <v>0</v>
      </c>
      <c r="O27" s="2" t="s">
        <v>10</v>
      </c>
      <c r="P27" s="2">
        <v>0</v>
      </c>
      <c r="Q27" s="2" t="s">
        <v>11</v>
      </c>
      <c r="R27" s="2">
        <v>0</v>
      </c>
      <c r="S27" s="2" t="s">
        <v>9</v>
      </c>
      <c r="T27" s="2">
        <v>2</v>
      </c>
      <c r="U27" s="2" t="s">
        <v>9</v>
      </c>
      <c r="V27" s="2">
        <v>2</v>
      </c>
      <c r="W27" s="2" t="s">
        <v>9</v>
      </c>
      <c r="X27" s="2">
        <v>2</v>
      </c>
      <c r="Y27" s="2" t="s">
        <v>12</v>
      </c>
      <c r="Z27" s="2" t="s">
        <v>15</v>
      </c>
      <c r="AA27" s="2" t="s">
        <v>15</v>
      </c>
      <c r="AB27" s="2" t="s">
        <v>15</v>
      </c>
      <c r="AC27" s="2" t="s">
        <v>15</v>
      </c>
      <c r="AD27" s="2" t="s">
        <v>15</v>
      </c>
      <c r="AE27" s="2" t="s">
        <v>3418</v>
      </c>
      <c r="AF27" s="2">
        <v>0</v>
      </c>
      <c r="AG27" s="2" t="s">
        <v>234</v>
      </c>
      <c r="AH27" s="2" t="s">
        <v>17</v>
      </c>
      <c r="AI27" s="4">
        <v>0.1</v>
      </c>
      <c r="AJ27" s="2" t="s">
        <v>17</v>
      </c>
      <c r="AK27" s="2" t="s">
        <v>9</v>
      </c>
      <c r="AL27" s="2" t="s">
        <v>17</v>
      </c>
      <c r="AM27" s="2" t="s">
        <v>17</v>
      </c>
      <c r="AN27" s="2" t="s">
        <v>17</v>
      </c>
      <c r="AO27" s="2" t="s">
        <v>9</v>
      </c>
      <c r="AP27" s="2" t="s">
        <v>17</v>
      </c>
      <c r="AQ27" s="2" t="s">
        <v>17</v>
      </c>
      <c r="AR27" s="2" t="s">
        <v>17</v>
      </c>
      <c r="AS27" s="2" t="s">
        <v>17</v>
      </c>
      <c r="AT27" s="2">
        <v>5</v>
      </c>
      <c r="AU27" s="5">
        <v>100000</v>
      </c>
      <c r="AV27" s="2" t="s">
        <v>85</v>
      </c>
      <c r="AW27" s="2">
        <v>0</v>
      </c>
      <c r="AX27" s="2">
        <v>8</v>
      </c>
      <c r="AY27" s="2">
        <v>0</v>
      </c>
      <c r="AZ27" s="2">
        <v>17</v>
      </c>
      <c r="BA27" s="2">
        <v>0</v>
      </c>
      <c r="BB27" s="2">
        <v>0</v>
      </c>
      <c r="BC27" s="2">
        <v>1</v>
      </c>
      <c r="BD27" s="2">
        <v>5</v>
      </c>
      <c r="BE27" s="2">
        <v>0</v>
      </c>
      <c r="BF27" s="2">
        <v>1</v>
      </c>
      <c r="BG27" s="2">
        <v>0</v>
      </c>
      <c r="BH27" s="2">
        <v>0</v>
      </c>
      <c r="BI27" s="2">
        <v>13</v>
      </c>
      <c r="BJ27" s="2">
        <v>1</v>
      </c>
      <c r="BK27" s="2">
        <v>0</v>
      </c>
      <c r="BL27" s="2">
        <v>2</v>
      </c>
      <c r="BM27" s="2">
        <v>2</v>
      </c>
      <c r="BN27" s="2">
        <v>13</v>
      </c>
      <c r="BO27" s="2">
        <v>11</v>
      </c>
      <c r="BP27" s="2">
        <v>0</v>
      </c>
      <c r="BQ27" s="2">
        <v>10</v>
      </c>
      <c r="BR27" s="2">
        <v>10.27</v>
      </c>
      <c r="BS27" s="2">
        <v>0</v>
      </c>
      <c r="BT27" s="4">
        <v>0.06</v>
      </c>
      <c r="BU27" s="2" t="s">
        <v>9</v>
      </c>
      <c r="BV27" s="6">
        <v>204481.52</v>
      </c>
      <c r="BW27" s="2" t="s">
        <v>126</v>
      </c>
      <c r="BX27" s="2" t="s">
        <v>17</v>
      </c>
      <c r="BY27" s="2" t="s">
        <v>17</v>
      </c>
      <c r="BZ27" s="2" t="s">
        <v>17</v>
      </c>
      <c r="CA27" s="2" t="s">
        <v>17</v>
      </c>
      <c r="CB27" s="2" t="s">
        <v>17</v>
      </c>
      <c r="CC27" s="2" t="s">
        <v>17</v>
      </c>
      <c r="CD27" s="2" t="s">
        <v>17</v>
      </c>
      <c r="CE27" s="2" t="s">
        <v>3791</v>
      </c>
      <c r="CF27" s="2" t="s">
        <v>17</v>
      </c>
      <c r="CG27" s="2" t="s">
        <v>3792</v>
      </c>
      <c r="CH27" s="2" t="s">
        <v>3793</v>
      </c>
      <c r="CI27" s="2"/>
      <c r="CJ27" s="2" t="s">
        <v>9</v>
      </c>
      <c r="CK27" s="2" t="s">
        <v>3794</v>
      </c>
      <c r="CL27" s="2" t="s">
        <v>3793</v>
      </c>
      <c r="CM27" s="2" t="s">
        <v>3692</v>
      </c>
      <c r="CN27" s="2" t="s">
        <v>3693</v>
      </c>
      <c r="CO27" s="2" t="s">
        <v>24</v>
      </c>
      <c r="CP27" s="2"/>
      <c r="CQ27" s="2">
        <v>84</v>
      </c>
      <c r="CR27" s="2" t="s">
        <v>984</v>
      </c>
      <c r="CS27" s="2">
        <v>2021</v>
      </c>
      <c r="CT27" s="2" t="s">
        <v>26</v>
      </c>
      <c r="CU27" s="2" t="s">
        <v>27</v>
      </c>
      <c r="CV27" s="2" t="s">
        <v>3694</v>
      </c>
      <c r="CW27" s="2" t="s">
        <v>3693</v>
      </c>
      <c r="CX27" s="2" t="s">
        <v>24</v>
      </c>
      <c r="CY27" s="2"/>
      <c r="CZ27" s="2">
        <v>128</v>
      </c>
      <c r="DA27" s="2" t="s">
        <v>984</v>
      </c>
      <c r="DB27" s="2">
        <v>2022</v>
      </c>
      <c r="DC27" s="2" t="s">
        <v>30</v>
      </c>
      <c r="DD27" s="2" t="s">
        <v>27</v>
      </c>
      <c r="DE27" s="2" t="s">
        <v>3695</v>
      </c>
      <c r="DF27" s="2" t="s">
        <v>3696</v>
      </c>
      <c r="DG27" s="2" t="s">
        <v>24</v>
      </c>
      <c r="DH27" s="2"/>
      <c r="DI27" s="2">
        <v>50</v>
      </c>
      <c r="DJ27" s="2" t="s">
        <v>984</v>
      </c>
      <c r="DK27" s="2">
        <v>2012</v>
      </c>
      <c r="DL27" s="2" t="s">
        <v>243</v>
      </c>
      <c r="DM27" s="2" t="s">
        <v>27</v>
      </c>
      <c r="DN27" s="2" t="s">
        <v>33</v>
      </c>
      <c r="DO27" s="2" t="s">
        <v>3795</v>
      </c>
      <c r="DP27" s="2" t="s">
        <v>400</v>
      </c>
      <c r="DQ27" s="2" t="s">
        <v>3796</v>
      </c>
      <c r="DR27" s="2" t="s">
        <v>3797</v>
      </c>
      <c r="DS27" s="2">
        <v>1</v>
      </c>
      <c r="DT27" s="2" t="s">
        <v>3798</v>
      </c>
      <c r="DU27" s="2" t="s">
        <v>510</v>
      </c>
      <c r="DV27" s="2" t="s">
        <v>39</v>
      </c>
      <c r="DW27" s="2">
        <v>32701</v>
      </c>
      <c r="DX27" s="2" t="s">
        <v>3799</v>
      </c>
      <c r="DY27" s="2"/>
      <c r="DZ27" s="2" t="s">
        <v>3800</v>
      </c>
      <c r="EA27" s="2" t="s">
        <v>3797</v>
      </c>
      <c r="EB27" s="2" t="s">
        <v>3801</v>
      </c>
      <c r="EC27" s="2" t="s">
        <v>374</v>
      </c>
      <c r="ED27" s="2" t="s">
        <v>44</v>
      </c>
      <c r="EE27" s="2">
        <v>87</v>
      </c>
      <c r="EF27" s="2" t="s">
        <v>991</v>
      </c>
      <c r="EG27" s="2">
        <v>5</v>
      </c>
      <c r="EH27" s="2" t="s">
        <v>46</v>
      </c>
      <c r="EI27" s="2" t="s">
        <v>47</v>
      </c>
      <c r="EJ27" s="2" t="s">
        <v>3802</v>
      </c>
      <c r="EK27" s="2" t="s">
        <v>3803</v>
      </c>
      <c r="EL27" s="2" t="s">
        <v>44</v>
      </c>
      <c r="EM27" s="2">
        <v>216</v>
      </c>
      <c r="EN27" s="2" t="s">
        <v>991</v>
      </c>
      <c r="EO27" s="2">
        <v>9</v>
      </c>
      <c r="EP27" s="2" t="s">
        <v>46</v>
      </c>
      <c r="EQ27" s="2" t="s">
        <v>47</v>
      </c>
      <c r="ER27" s="2" t="s">
        <v>1883</v>
      </c>
      <c r="ES27" s="2" t="s">
        <v>631</v>
      </c>
      <c r="ET27" s="2" t="s">
        <v>3804</v>
      </c>
      <c r="EU27" s="2" t="s">
        <v>3791</v>
      </c>
      <c r="EV27" s="2" t="s">
        <v>3805</v>
      </c>
      <c r="EW27" s="2" t="s">
        <v>299</v>
      </c>
      <c r="EX27" s="2" t="s">
        <v>39</v>
      </c>
      <c r="EY27" s="2">
        <v>33055</v>
      </c>
      <c r="EZ27" s="2" t="s">
        <v>3806</v>
      </c>
      <c r="FA27" s="2"/>
      <c r="FB27" s="2" t="s">
        <v>3807</v>
      </c>
      <c r="FC27" s="2" t="s">
        <v>587</v>
      </c>
      <c r="FD27" s="2" t="s">
        <v>3808</v>
      </c>
      <c r="FE27" s="2" t="s">
        <v>3809</v>
      </c>
      <c r="FF27" s="2" t="s">
        <v>3690</v>
      </c>
      <c r="FG27" s="2" t="s">
        <v>3810</v>
      </c>
      <c r="FH27" s="2" t="s">
        <v>3811</v>
      </c>
      <c r="FI27" s="2" t="s">
        <v>39</v>
      </c>
      <c r="FJ27" s="2">
        <v>32757</v>
      </c>
      <c r="FK27" s="2" t="s">
        <v>3812</v>
      </c>
      <c r="FL27" s="2"/>
      <c r="FM27" s="2" t="s">
        <v>3813</v>
      </c>
      <c r="FN27" s="2" t="s">
        <v>3814</v>
      </c>
      <c r="FO27" s="2" t="s">
        <v>63</v>
      </c>
      <c r="FP27" s="2" t="s">
        <v>64</v>
      </c>
      <c r="FQ27" s="2" t="s">
        <v>9</v>
      </c>
      <c r="FR27" s="2" t="s">
        <v>17</v>
      </c>
      <c r="FS27" s="2" t="s">
        <v>17</v>
      </c>
      <c r="FT27" s="2" t="s">
        <v>9</v>
      </c>
      <c r="FU27" s="2"/>
      <c r="FV27" s="2"/>
      <c r="FW27" s="2">
        <v>0</v>
      </c>
      <c r="FX27" s="2">
        <v>0</v>
      </c>
      <c r="FY27" s="4">
        <v>0</v>
      </c>
      <c r="FZ27" s="4">
        <v>0</v>
      </c>
      <c r="GA27" s="2" t="s">
        <v>65</v>
      </c>
      <c r="GB27" s="2" t="s">
        <v>17</v>
      </c>
      <c r="GC27" s="2" t="s">
        <v>66</v>
      </c>
      <c r="GD27" s="2" t="s">
        <v>67</v>
      </c>
      <c r="GE27" s="2" t="s">
        <v>2684</v>
      </c>
      <c r="GF27" s="2"/>
      <c r="GG27" s="2"/>
      <c r="GH27" s="2"/>
      <c r="GI27" s="2"/>
      <c r="GJ27" s="2"/>
      <c r="GK27" s="2">
        <v>88</v>
      </c>
      <c r="GL27" s="2"/>
      <c r="GM27" s="2"/>
      <c r="GN27" s="2"/>
      <c r="GO27" s="2"/>
      <c r="GP27" s="2"/>
      <c r="GQ27" s="2">
        <v>88</v>
      </c>
      <c r="GR27" s="2" t="s">
        <v>3332</v>
      </c>
      <c r="GS27" s="2" t="s">
        <v>2686</v>
      </c>
      <c r="GT27" s="2" t="s">
        <v>3815</v>
      </c>
      <c r="GU27" s="2" t="s">
        <v>2720</v>
      </c>
      <c r="GV27" s="2" t="s">
        <v>17</v>
      </c>
      <c r="GW27" s="2">
        <v>25.815611000000001</v>
      </c>
      <c r="GX27" s="2">
        <v>-80.240667000000002</v>
      </c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>
        <v>25.821833000000002</v>
      </c>
      <c r="HS27" s="2">
        <v>-80.240694000000005</v>
      </c>
      <c r="HT27" s="2">
        <v>0.44</v>
      </c>
      <c r="HU27" s="2">
        <v>5.5</v>
      </c>
      <c r="HV27" s="2" t="s">
        <v>3164</v>
      </c>
      <c r="HW27" s="2" t="s">
        <v>3816</v>
      </c>
      <c r="HX27" s="2">
        <v>0.68</v>
      </c>
      <c r="HY27" s="2">
        <v>3</v>
      </c>
      <c r="HZ27" s="2" t="s">
        <v>3817</v>
      </c>
      <c r="IA27" s="2" t="s">
        <v>3818</v>
      </c>
      <c r="IB27" s="2">
        <v>0.77</v>
      </c>
      <c r="IC27" s="2">
        <v>2.5</v>
      </c>
      <c r="ID27" s="2"/>
      <c r="IE27" s="2"/>
      <c r="IF27" s="2"/>
      <c r="IG27" s="2" t="s">
        <v>3819</v>
      </c>
      <c r="IH27" s="2">
        <v>0.37</v>
      </c>
      <c r="II27" s="2">
        <v>4</v>
      </c>
      <c r="IJ27" s="2" t="s">
        <v>9</v>
      </c>
      <c r="IK27" s="2" t="s">
        <v>3820</v>
      </c>
      <c r="IL27" s="2" t="s">
        <v>3414</v>
      </c>
      <c r="IM27" s="2" t="s">
        <v>9</v>
      </c>
      <c r="IN27" s="2" t="s">
        <v>3821</v>
      </c>
      <c r="IO27" s="2" t="s">
        <v>3414</v>
      </c>
      <c r="IP27" s="2">
        <v>5.5</v>
      </c>
      <c r="IQ27" s="2">
        <v>9.5</v>
      </c>
      <c r="IR27" s="2">
        <v>15</v>
      </c>
      <c r="IS27" s="2" t="s">
        <v>17</v>
      </c>
      <c r="IT27" s="2" t="s">
        <v>17</v>
      </c>
      <c r="IU27" s="2" t="s">
        <v>9</v>
      </c>
      <c r="IV27" s="2" t="s">
        <v>9</v>
      </c>
      <c r="IW27" s="2" t="s">
        <v>9</v>
      </c>
      <c r="IX27" s="2" t="s">
        <v>9</v>
      </c>
      <c r="IY27" s="2">
        <v>15</v>
      </c>
      <c r="IZ27" s="2">
        <v>88</v>
      </c>
      <c r="JA27" s="2" t="s">
        <v>3085</v>
      </c>
      <c r="JB27" s="2"/>
      <c r="JC27" s="2" t="s">
        <v>173</v>
      </c>
      <c r="JD27" s="7">
        <v>0.1</v>
      </c>
      <c r="JE27" s="7">
        <v>0.9</v>
      </c>
      <c r="JF27" s="7">
        <v>0</v>
      </c>
      <c r="JG27" s="7"/>
      <c r="JH27" s="7"/>
      <c r="JI27" s="2">
        <v>88</v>
      </c>
      <c r="JJ27" s="7">
        <v>1</v>
      </c>
      <c r="JK27" s="2">
        <v>88</v>
      </c>
      <c r="JL27" s="7">
        <v>1</v>
      </c>
      <c r="JM27" s="2"/>
      <c r="JN27" s="2"/>
      <c r="JO27" s="2"/>
      <c r="JP27" s="2"/>
      <c r="JQ27" s="2"/>
      <c r="JR27" s="2"/>
      <c r="JS27" s="2">
        <v>0</v>
      </c>
      <c r="JT27" s="2">
        <v>0</v>
      </c>
      <c r="JU27" s="2"/>
      <c r="JV27" s="2">
        <v>0</v>
      </c>
      <c r="JW27" s="4">
        <v>0</v>
      </c>
      <c r="JX27" s="2">
        <v>0</v>
      </c>
      <c r="JY27" s="4">
        <v>0</v>
      </c>
      <c r="JZ27" s="2">
        <v>0</v>
      </c>
      <c r="KA27" s="2"/>
      <c r="KB27" s="2"/>
      <c r="KC27" s="2"/>
      <c r="KD27" s="2"/>
      <c r="KE27" s="2"/>
      <c r="KF27" s="2"/>
      <c r="KG27" s="2"/>
      <c r="KH27" s="2">
        <v>88</v>
      </c>
      <c r="KI27" s="2"/>
      <c r="KJ27" s="2"/>
      <c r="KK27" s="2"/>
      <c r="KL27" s="2"/>
      <c r="KM27" s="2"/>
      <c r="KN27" s="2"/>
      <c r="KO27" s="2"/>
      <c r="KP27" s="2"/>
      <c r="KQ27" s="2" t="s">
        <v>83</v>
      </c>
      <c r="KR27" s="2"/>
      <c r="KS27" s="2" t="s">
        <v>73</v>
      </c>
      <c r="KT27" s="2">
        <v>1</v>
      </c>
      <c r="KU27" s="2" t="s">
        <v>84</v>
      </c>
      <c r="KV27" s="2" t="s">
        <v>85</v>
      </c>
      <c r="KW27" s="2" t="s">
        <v>530</v>
      </c>
      <c r="KX27" s="2" t="s">
        <v>17</v>
      </c>
      <c r="KY27" s="2" t="s">
        <v>17</v>
      </c>
      <c r="KZ27" s="2" t="s">
        <v>17</v>
      </c>
      <c r="LA27" s="2" t="s">
        <v>17</v>
      </c>
      <c r="LB27" s="2" t="s">
        <v>17</v>
      </c>
      <c r="LC27" s="2" t="s">
        <v>17</v>
      </c>
      <c r="LD27" s="2" t="s">
        <v>17</v>
      </c>
      <c r="LE27" s="2" t="s">
        <v>17</v>
      </c>
      <c r="LF27" s="2" t="s">
        <v>17</v>
      </c>
      <c r="LG27" s="2" t="s">
        <v>17</v>
      </c>
      <c r="LH27" s="2" t="s">
        <v>17</v>
      </c>
      <c r="LI27" s="2" t="s">
        <v>17</v>
      </c>
      <c r="LJ27" s="2" t="s">
        <v>87</v>
      </c>
      <c r="LK27" s="2" t="s">
        <v>17</v>
      </c>
      <c r="LL27" s="2" t="s">
        <v>17</v>
      </c>
      <c r="LM27" s="2">
        <v>0</v>
      </c>
      <c r="LN27" s="2" t="s">
        <v>17</v>
      </c>
      <c r="LO27" s="2" t="s">
        <v>17</v>
      </c>
      <c r="LP27" s="2" t="s">
        <v>17</v>
      </c>
      <c r="LQ27" s="2" t="s">
        <v>17</v>
      </c>
      <c r="LR27" s="2" t="s">
        <v>17</v>
      </c>
      <c r="LS27" s="2" t="s">
        <v>17</v>
      </c>
      <c r="LT27" s="2" t="s">
        <v>17</v>
      </c>
      <c r="LU27" s="2" t="s">
        <v>17</v>
      </c>
      <c r="LV27" s="2" t="s">
        <v>9</v>
      </c>
      <c r="LW27" s="2" t="s">
        <v>9</v>
      </c>
      <c r="LX27" s="2" t="s">
        <v>9</v>
      </c>
      <c r="LY27" s="5">
        <v>6500000</v>
      </c>
      <c r="LZ27" s="5">
        <v>0</v>
      </c>
      <c r="MA27" s="5">
        <v>8400000</v>
      </c>
      <c r="MB27" s="5">
        <v>0</v>
      </c>
      <c r="MC27" s="5">
        <v>0</v>
      </c>
      <c r="MD27" s="5">
        <v>0</v>
      </c>
      <c r="ME27" s="5">
        <v>9240000</v>
      </c>
      <c r="MF27" s="5">
        <v>0</v>
      </c>
      <c r="MG27" s="5">
        <v>0</v>
      </c>
      <c r="MH27" s="5">
        <v>0</v>
      </c>
      <c r="MI27" s="5">
        <v>0</v>
      </c>
      <c r="MJ27" s="5">
        <v>0</v>
      </c>
      <c r="MK27" s="5">
        <v>0</v>
      </c>
      <c r="ML27" s="2">
        <v>0</v>
      </c>
      <c r="MM27" s="5">
        <v>0</v>
      </c>
      <c r="MN27" s="5">
        <v>0</v>
      </c>
      <c r="MO27" s="2">
        <v>0</v>
      </c>
      <c r="MP27" s="2">
        <v>0</v>
      </c>
      <c r="MQ27" s="2">
        <v>0</v>
      </c>
      <c r="MR27" s="5">
        <v>2950000</v>
      </c>
      <c r="MS27" s="5">
        <v>0</v>
      </c>
      <c r="MT27" s="5">
        <v>4600000</v>
      </c>
      <c r="MU27" s="5">
        <v>0</v>
      </c>
      <c r="MV27" s="5">
        <v>0</v>
      </c>
      <c r="MW27" s="5">
        <v>0</v>
      </c>
      <c r="MX27" s="5">
        <v>0</v>
      </c>
      <c r="MY27" s="5">
        <v>2500000</v>
      </c>
      <c r="MZ27" s="5">
        <v>0</v>
      </c>
      <c r="NA27" s="5">
        <v>5000000</v>
      </c>
      <c r="NB27" s="5">
        <v>0</v>
      </c>
      <c r="NC27" s="5">
        <v>0</v>
      </c>
      <c r="ND27" s="5">
        <v>0</v>
      </c>
      <c r="NE27" s="5">
        <v>0</v>
      </c>
      <c r="NF27" s="5">
        <v>0</v>
      </c>
      <c r="NG27" s="5">
        <v>3458400</v>
      </c>
      <c r="NH27" s="5">
        <v>2802600</v>
      </c>
      <c r="NI27" s="5">
        <v>2802600</v>
      </c>
      <c r="NJ27" s="5"/>
      <c r="NK27" s="5">
        <v>0</v>
      </c>
      <c r="NL27" s="2" t="s">
        <v>17</v>
      </c>
      <c r="NM27" s="2" t="s">
        <v>17</v>
      </c>
      <c r="NN27" s="2"/>
      <c r="NO27" s="2" t="s">
        <v>17</v>
      </c>
      <c r="NP27" s="2"/>
      <c r="NQ27" s="2"/>
      <c r="NR27" s="2" t="s">
        <v>17</v>
      </c>
      <c r="NS27" s="2"/>
      <c r="NT27" s="2" t="s">
        <v>9</v>
      </c>
      <c r="NU27" s="2" t="s">
        <v>450</v>
      </c>
      <c r="NV27" s="2">
        <v>17.02</v>
      </c>
      <c r="NW27" s="2" t="s">
        <v>3342</v>
      </c>
      <c r="NX27" s="2"/>
      <c r="NY27" s="2"/>
      <c r="NZ27" s="2"/>
      <c r="OA27" s="2" t="s">
        <v>118</v>
      </c>
      <c r="OB27" s="2" t="s">
        <v>118</v>
      </c>
      <c r="OC27" s="2" t="s">
        <v>118</v>
      </c>
      <c r="OD27" s="2" t="s">
        <v>3343</v>
      </c>
      <c r="OE27" s="2" t="s">
        <v>3822</v>
      </c>
      <c r="OF27" s="2"/>
      <c r="OG27" s="2" t="s">
        <v>17</v>
      </c>
      <c r="OH27" s="2" t="s">
        <v>119</v>
      </c>
      <c r="OI27" s="2" t="s">
        <v>17</v>
      </c>
      <c r="OJ27" s="2"/>
      <c r="OK27" s="2" t="s">
        <v>17</v>
      </c>
      <c r="OL27" s="2" t="s">
        <v>17</v>
      </c>
      <c r="OM27" s="2" t="s">
        <v>85</v>
      </c>
      <c r="ON27" s="6">
        <v>0</v>
      </c>
      <c r="OO27" s="6">
        <v>0</v>
      </c>
      <c r="OP27" s="2" t="s">
        <v>93</v>
      </c>
      <c r="OQ27" s="2" t="s">
        <v>93</v>
      </c>
      <c r="OR27" s="6">
        <v>0</v>
      </c>
      <c r="OS27" s="4">
        <v>0</v>
      </c>
      <c r="OT27" s="2" t="s">
        <v>17</v>
      </c>
      <c r="OU27" s="2" t="s">
        <v>17</v>
      </c>
      <c r="OV27" s="2"/>
      <c r="OW27" s="2"/>
      <c r="OX27" s="5">
        <v>17994374</v>
      </c>
      <c r="OY27" s="6">
        <v>204481.52</v>
      </c>
      <c r="OZ27" s="2"/>
      <c r="PA27" s="2"/>
      <c r="PB27" s="2"/>
      <c r="PC27" s="2"/>
      <c r="PD27" s="8">
        <v>14734794</v>
      </c>
      <c r="PE27" s="8">
        <v>736180</v>
      </c>
      <c r="PF27" s="8">
        <v>15470974</v>
      </c>
      <c r="PG27" s="2"/>
      <c r="PH27" s="2"/>
      <c r="PI27" s="2"/>
      <c r="PJ27" s="2"/>
      <c r="PK27" s="2"/>
      <c r="PL27" s="2"/>
      <c r="PM27" s="8">
        <v>14734794</v>
      </c>
      <c r="PN27" s="8">
        <v>736180</v>
      </c>
      <c r="PO27" s="8">
        <v>15470974</v>
      </c>
      <c r="PP27" s="8">
        <v>2165936</v>
      </c>
      <c r="PQ27" s="2"/>
      <c r="PR27" s="8">
        <v>2165936</v>
      </c>
      <c r="PS27" s="6">
        <v>2165936</v>
      </c>
      <c r="PT27" s="8">
        <v>16900730</v>
      </c>
      <c r="PU27" s="8">
        <v>736180</v>
      </c>
      <c r="PV27" s="8">
        <v>17636910</v>
      </c>
      <c r="PW27" s="8">
        <v>881845</v>
      </c>
      <c r="PX27" s="2"/>
      <c r="PY27" s="8">
        <v>881845</v>
      </c>
      <c r="PZ27" s="6">
        <v>881845.5</v>
      </c>
      <c r="QA27" s="8">
        <v>1427308</v>
      </c>
      <c r="QB27" s="8">
        <v>422850</v>
      </c>
      <c r="QC27" s="8">
        <v>1850158</v>
      </c>
      <c r="QD27" s="8">
        <v>485383</v>
      </c>
      <c r="QE27" s="8">
        <v>62177</v>
      </c>
      <c r="QF27" s="8">
        <v>547560</v>
      </c>
      <c r="QG27" s="8">
        <v>583450</v>
      </c>
      <c r="QH27" s="2"/>
      <c r="QI27" s="8">
        <v>583450</v>
      </c>
      <c r="QJ27" s="2"/>
      <c r="QK27" s="8">
        <v>517630</v>
      </c>
      <c r="QL27" s="8">
        <v>517630</v>
      </c>
      <c r="QM27" s="2"/>
      <c r="QN27" s="2"/>
      <c r="QO27" s="2"/>
      <c r="QP27" s="2"/>
      <c r="QQ27" s="2"/>
      <c r="QR27" s="2"/>
      <c r="QS27" s="8">
        <v>2496141</v>
      </c>
      <c r="QT27" s="8">
        <v>1002657</v>
      </c>
      <c r="QU27" s="8">
        <v>3498798</v>
      </c>
      <c r="QV27" s="8">
        <v>174939</v>
      </c>
      <c r="QW27" s="2"/>
      <c r="QX27" s="8">
        <v>174939</v>
      </c>
      <c r="QY27" s="6">
        <v>174939.9</v>
      </c>
      <c r="QZ27" s="8">
        <v>1394628</v>
      </c>
      <c r="RA27" s="8">
        <v>1183076</v>
      </c>
      <c r="RB27" s="8">
        <v>2577704</v>
      </c>
      <c r="RC27" s="8">
        <v>93561</v>
      </c>
      <c r="RD27" s="8">
        <v>93561</v>
      </c>
      <c r="RE27" s="2"/>
      <c r="RF27" s="2"/>
      <c r="RG27" s="2"/>
      <c r="RH27" s="8">
        <v>1394628</v>
      </c>
      <c r="RI27" s="8">
        <v>1276637</v>
      </c>
      <c r="RJ27" s="8">
        <v>2671265</v>
      </c>
      <c r="RK27" s="8">
        <v>21848283</v>
      </c>
      <c r="RL27" s="8">
        <v>3015474</v>
      </c>
      <c r="RM27" s="8">
        <v>24863757</v>
      </c>
      <c r="RN27" s="2">
        <v>0</v>
      </c>
      <c r="RO27" s="6">
        <v>0</v>
      </c>
      <c r="RP27" s="8">
        <v>3978201</v>
      </c>
      <c r="RQ27" s="2"/>
      <c r="RR27" s="8">
        <v>3978201</v>
      </c>
      <c r="RS27" s="6">
        <v>3978201</v>
      </c>
      <c r="RT27" s="6">
        <v>0</v>
      </c>
      <c r="RU27" s="8">
        <v>3978201</v>
      </c>
      <c r="RV27" s="2"/>
      <c r="RW27" s="8">
        <v>3978201</v>
      </c>
      <c r="RX27" s="6">
        <v>3978201</v>
      </c>
      <c r="RY27" s="8">
        <v>308000</v>
      </c>
      <c r="RZ27" s="8">
        <v>308000</v>
      </c>
      <c r="SA27" s="6">
        <v>308000</v>
      </c>
      <c r="SB27" s="8">
        <v>3000000</v>
      </c>
      <c r="SC27" s="8">
        <v>3000000</v>
      </c>
      <c r="SD27" s="8">
        <v>25826484</v>
      </c>
      <c r="SE27" s="8">
        <v>6323474</v>
      </c>
      <c r="SF27" s="8">
        <v>32149958</v>
      </c>
      <c r="SG27" s="2"/>
      <c r="SH27" s="2"/>
      <c r="SI27" s="2"/>
      <c r="SJ27" s="2"/>
      <c r="SK27" s="8">
        <v>24000000</v>
      </c>
      <c r="SL27" s="2" t="s">
        <v>95</v>
      </c>
      <c r="SM27" s="2"/>
      <c r="SN27" s="2"/>
      <c r="SO27" s="2"/>
      <c r="SP27" s="2"/>
      <c r="SQ27" s="2"/>
      <c r="SR27" s="2"/>
      <c r="SS27" s="2" t="s">
        <v>96</v>
      </c>
      <c r="ST27" s="2" t="s">
        <v>96</v>
      </c>
      <c r="SU27" s="2" t="s">
        <v>96</v>
      </c>
      <c r="SV27" s="2" t="s">
        <v>96</v>
      </c>
      <c r="SW27" s="8">
        <v>11349395</v>
      </c>
      <c r="SX27" s="2"/>
      <c r="SY27" s="2"/>
      <c r="SZ27" s="2"/>
      <c r="TA27" s="2"/>
      <c r="TB27" s="2"/>
      <c r="TC27" s="2"/>
      <c r="TD27" s="2">
        <v>0</v>
      </c>
      <c r="TE27" s="8">
        <v>35349395</v>
      </c>
      <c r="TF27" s="8">
        <v>3199437</v>
      </c>
      <c r="TG27" s="2" t="s">
        <v>9</v>
      </c>
      <c r="TH27" s="8">
        <v>5513000</v>
      </c>
      <c r="TI27" s="2" t="s">
        <v>95</v>
      </c>
      <c r="TJ27" s="2"/>
      <c r="TK27" s="2"/>
      <c r="TL27" s="2"/>
      <c r="TM27" s="2"/>
      <c r="TN27" s="2" t="s">
        <v>96</v>
      </c>
      <c r="TO27" s="2" t="s">
        <v>96</v>
      </c>
      <c r="TP27" s="2" t="s">
        <v>96</v>
      </c>
      <c r="TQ27" s="2" t="s">
        <v>96</v>
      </c>
      <c r="TR27" s="8">
        <v>25220877</v>
      </c>
      <c r="TS27" s="2"/>
      <c r="TT27" s="2"/>
      <c r="TU27" s="2"/>
      <c r="TV27" s="2"/>
      <c r="TW27" s="2"/>
      <c r="TX27" s="2"/>
      <c r="TY27" s="8">
        <v>1416081</v>
      </c>
      <c r="TZ27" s="8">
        <v>32149958</v>
      </c>
      <c r="UA27" s="6">
        <v>5513000</v>
      </c>
      <c r="UB27" s="2">
        <v>0</v>
      </c>
      <c r="UC27" s="2" t="s">
        <v>9</v>
      </c>
      <c r="UD27" s="2">
        <v>88</v>
      </c>
      <c r="UE27" s="5">
        <v>310000</v>
      </c>
      <c r="UF27" s="6">
        <v>413333.33</v>
      </c>
      <c r="UG27" s="6">
        <v>413333.33</v>
      </c>
      <c r="UH27" s="6">
        <v>438133.33</v>
      </c>
      <c r="UI27" s="6">
        <v>38555733.329999998</v>
      </c>
      <c r="UJ27" s="6">
        <v>6168917</v>
      </c>
      <c r="UK27" s="2" t="s">
        <v>97</v>
      </c>
      <c r="UL27" s="6">
        <v>6168917</v>
      </c>
      <c r="UM27" s="6">
        <v>44724650.329999998</v>
      </c>
      <c r="UN27" s="6">
        <v>28841958</v>
      </c>
      <c r="UO27" s="4">
        <v>0.99990000000000001</v>
      </c>
      <c r="UP27" s="2" t="s">
        <v>9</v>
      </c>
      <c r="UQ27" s="6">
        <v>0</v>
      </c>
      <c r="UR27" s="6">
        <v>0</v>
      </c>
      <c r="US27" s="6">
        <v>672160</v>
      </c>
      <c r="UT27" s="6">
        <v>672160</v>
      </c>
      <c r="UU27" s="6">
        <v>0</v>
      </c>
      <c r="UV27" s="6">
        <v>672160</v>
      </c>
      <c r="UW27" s="6">
        <v>0</v>
      </c>
      <c r="UX27" s="6">
        <v>672160</v>
      </c>
      <c r="UY27" s="2" t="s">
        <v>3387</v>
      </c>
      <c r="UZ27" s="2" t="s">
        <v>3288</v>
      </c>
      <c r="VA27" s="2" t="s">
        <v>17</v>
      </c>
      <c r="VB27" s="2" t="s">
        <v>17</v>
      </c>
      <c r="VC27" s="2" t="s">
        <v>17</v>
      </c>
      <c r="VD27" s="2" t="s">
        <v>17</v>
      </c>
      <c r="VE27" s="2" t="s">
        <v>17</v>
      </c>
      <c r="VF27" s="2" t="s">
        <v>17</v>
      </c>
      <c r="VG27" s="2" t="s">
        <v>3823</v>
      </c>
      <c r="VH27" s="2"/>
      <c r="VI27" s="388" t="s">
        <v>3824</v>
      </c>
      <c r="VJ27" s="2" t="s">
        <v>98</v>
      </c>
      <c r="VK27" s="2" t="s">
        <v>99</v>
      </c>
      <c r="VL27" s="23">
        <f t="shared" si="0"/>
        <v>88</v>
      </c>
      <c r="VM27" s="17">
        <f t="shared" si="1"/>
        <v>1</v>
      </c>
      <c r="VN27" s="17" t="str">
        <f t="shared" si="2"/>
        <v>NC-HR-E</v>
      </c>
      <c r="VO27" s="17" t="str">
        <f t="shared" si="14"/>
        <v>NC-HR-E-ESS</v>
      </c>
      <c r="VP27" s="12">
        <v>9</v>
      </c>
      <c r="VQ27" s="57">
        <v>1</v>
      </c>
      <c r="VR27" s="57">
        <f t="shared" si="3"/>
        <v>1</v>
      </c>
      <c r="VS27" s="14">
        <f t="shared" si="4"/>
        <v>1</v>
      </c>
      <c r="VT27" s="12">
        <f t="shared" si="5"/>
        <v>0.88350000000000006</v>
      </c>
      <c r="VU27" s="29">
        <f t="shared" si="6"/>
        <v>22284873.900000002</v>
      </c>
      <c r="VV27" s="29">
        <f t="shared" si="7"/>
        <v>253237.2</v>
      </c>
      <c r="VW27" s="12" t="str">
        <f t="shared" si="15"/>
        <v>A</v>
      </c>
      <c r="VX27" s="12" t="str">
        <f t="shared" si="8"/>
        <v>NC-HR-ESS</v>
      </c>
      <c r="VY27" s="352">
        <f t="shared" si="16"/>
        <v>4</v>
      </c>
      <c r="WA27" s="12">
        <f t="shared" si="17"/>
        <v>1</v>
      </c>
      <c r="WB27" s="12">
        <f t="shared" si="18"/>
        <v>0</v>
      </c>
      <c r="WC27" s="12">
        <f t="shared" si="18"/>
        <v>0</v>
      </c>
      <c r="WD27" s="12">
        <f t="shared" si="18"/>
        <v>0</v>
      </c>
      <c r="WE27" s="12">
        <f t="shared" si="19"/>
        <v>1</v>
      </c>
      <c r="WF27" s="12">
        <f t="shared" si="9"/>
        <v>0</v>
      </c>
      <c r="WG27" s="12">
        <f t="shared" si="10"/>
        <v>0</v>
      </c>
      <c r="WH27" s="12">
        <f t="shared" si="11"/>
        <v>1</v>
      </c>
      <c r="WI27" s="31">
        <f t="shared" si="12"/>
        <v>3</v>
      </c>
      <c r="WJ27" s="2"/>
      <c r="WK27" s="444" t="str">
        <f t="shared" si="20"/>
        <v>NC-HR-ESS-BBN-BRN-NPH-E</v>
      </c>
      <c r="WL27" s="444"/>
      <c r="WM27" s="444"/>
    </row>
    <row r="28" spans="1:611" x14ac:dyDescent="0.25">
      <c r="A28" s="2">
        <v>9621</v>
      </c>
      <c r="B28" s="2" t="s">
        <v>3825</v>
      </c>
      <c r="C28" s="2" t="s">
        <v>3305</v>
      </c>
      <c r="D28" s="3">
        <v>45159</v>
      </c>
      <c r="E28" s="2" t="s">
        <v>9</v>
      </c>
      <c r="F28" s="2">
        <v>3</v>
      </c>
      <c r="G28" s="2" t="s">
        <v>9</v>
      </c>
      <c r="H28" s="2">
        <v>3</v>
      </c>
      <c r="I28" s="2" t="s">
        <v>9</v>
      </c>
      <c r="J28" s="2">
        <v>3</v>
      </c>
      <c r="K28" s="2" t="s">
        <v>9</v>
      </c>
      <c r="L28" s="2">
        <v>3</v>
      </c>
      <c r="M28" s="2" t="s">
        <v>10</v>
      </c>
      <c r="N28" s="2">
        <v>0</v>
      </c>
      <c r="O28" s="2" t="s">
        <v>10</v>
      </c>
      <c r="P28" s="2">
        <v>0</v>
      </c>
      <c r="Q28" s="2" t="s">
        <v>11</v>
      </c>
      <c r="R28" s="2">
        <v>0</v>
      </c>
      <c r="S28" s="2" t="s">
        <v>9</v>
      </c>
      <c r="T28" s="2">
        <v>2</v>
      </c>
      <c r="U28" s="2" t="s">
        <v>9</v>
      </c>
      <c r="V28" s="2">
        <v>2</v>
      </c>
      <c r="W28" s="2" t="s">
        <v>9</v>
      </c>
      <c r="X28" s="2">
        <v>2</v>
      </c>
      <c r="Y28" s="2" t="s">
        <v>12</v>
      </c>
      <c r="Z28" s="2" t="s">
        <v>15</v>
      </c>
      <c r="AA28" s="2" t="s">
        <v>15</v>
      </c>
      <c r="AB28" s="2" t="s">
        <v>15</v>
      </c>
      <c r="AC28" s="2" t="s">
        <v>15</v>
      </c>
      <c r="AD28" s="2" t="s">
        <v>15</v>
      </c>
      <c r="AE28" s="2" t="s">
        <v>605</v>
      </c>
      <c r="AF28" s="2">
        <v>0</v>
      </c>
      <c r="AG28" s="2" t="s">
        <v>234</v>
      </c>
      <c r="AH28" s="2" t="s">
        <v>17</v>
      </c>
      <c r="AI28" s="4">
        <v>0.15686</v>
      </c>
      <c r="AJ28" s="2" t="s">
        <v>17</v>
      </c>
      <c r="AK28" s="2" t="s">
        <v>9</v>
      </c>
      <c r="AL28" s="2" t="s">
        <v>17</v>
      </c>
      <c r="AM28" s="2" t="s">
        <v>17</v>
      </c>
      <c r="AN28" s="2" t="s">
        <v>17</v>
      </c>
      <c r="AO28" s="2" t="s">
        <v>9</v>
      </c>
      <c r="AP28" s="2" t="s">
        <v>17</v>
      </c>
      <c r="AQ28" s="2" t="s">
        <v>17</v>
      </c>
      <c r="AR28" s="2" t="s">
        <v>17</v>
      </c>
      <c r="AS28" s="2" t="s">
        <v>17</v>
      </c>
      <c r="AT28" s="2">
        <v>5</v>
      </c>
      <c r="AU28" s="5">
        <v>100000</v>
      </c>
      <c r="AV28" s="2" t="s">
        <v>85</v>
      </c>
      <c r="AW28" s="2">
        <v>0</v>
      </c>
      <c r="AX28" s="2">
        <v>7</v>
      </c>
      <c r="AY28" s="2">
        <v>0</v>
      </c>
      <c r="AZ28" s="2">
        <v>18</v>
      </c>
      <c r="BA28" s="2">
        <v>0</v>
      </c>
      <c r="BB28" s="2">
        <v>0</v>
      </c>
      <c r="BC28" s="2">
        <v>1</v>
      </c>
      <c r="BD28" s="2">
        <v>5</v>
      </c>
      <c r="BE28" s="2">
        <v>0</v>
      </c>
      <c r="BF28" s="2">
        <v>1</v>
      </c>
      <c r="BG28" s="2">
        <v>0</v>
      </c>
      <c r="BH28" s="2">
        <v>0</v>
      </c>
      <c r="BI28" s="2">
        <v>13</v>
      </c>
      <c r="BJ28" s="2">
        <v>1</v>
      </c>
      <c r="BK28" s="2">
        <v>0</v>
      </c>
      <c r="BL28" s="2">
        <v>2</v>
      </c>
      <c r="BM28" s="2">
        <v>2</v>
      </c>
      <c r="BN28" s="2">
        <v>13</v>
      </c>
      <c r="BO28" s="2">
        <v>11</v>
      </c>
      <c r="BP28" s="2">
        <v>0</v>
      </c>
      <c r="BQ28" s="2">
        <v>10</v>
      </c>
      <c r="BR28" s="2">
        <v>10.27</v>
      </c>
      <c r="BS28" s="2">
        <v>0</v>
      </c>
      <c r="BT28" s="4">
        <v>0.06</v>
      </c>
      <c r="BU28" s="2" t="s">
        <v>9</v>
      </c>
      <c r="BV28" s="6">
        <v>204577.94</v>
      </c>
      <c r="BW28" s="2" t="s">
        <v>126</v>
      </c>
      <c r="BX28" s="2" t="s">
        <v>17</v>
      </c>
      <c r="BY28" s="2" t="s">
        <v>17</v>
      </c>
      <c r="BZ28" s="2" t="s">
        <v>17</v>
      </c>
      <c r="CA28" s="2" t="s">
        <v>17</v>
      </c>
      <c r="CB28" s="2" t="s">
        <v>17</v>
      </c>
      <c r="CC28" s="2" t="s">
        <v>17</v>
      </c>
      <c r="CD28" s="2" t="s">
        <v>17</v>
      </c>
      <c r="CE28" s="2" t="s">
        <v>3826</v>
      </c>
      <c r="CF28" s="2" t="s">
        <v>17</v>
      </c>
      <c r="CG28" s="2" t="s">
        <v>649</v>
      </c>
      <c r="CH28" s="2"/>
      <c r="CI28" s="2"/>
      <c r="CJ28" s="2" t="s">
        <v>9</v>
      </c>
      <c r="CK28" s="2" t="s">
        <v>650</v>
      </c>
      <c r="CL28" s="2" t="s">
        <v>649</v>
      </c>
      <c r="CM28" s="2" t="s">
        <v>651</v>
      </c>
      <c r="CN28" s="2" t="s">
        <v>464</v>
      </c>
      <c r="CO28" s="2" t="s">
        <v>24</v>
      </c>
      <c r="CP28" s="2"/>
      <c r="CQ28" s="2">
        <v>72</v>
      </c>
      <c r="CR28" s="2" t="s">
        <v>3827</v>
      </c>
      <c r="CS28" s="2">
        <v>2020</v>
      </c>
      <c r="CT28" s="2" t="s">
        <v>26</v>
      </c>
      <c r="CU28" s="2" t="s">
        <v>27</v>
      </c>
      <c r="CV28" s="2" t="s">
        <v>652</v>
      </c>
      <c r="CW28" s="2" t="s">
        <v>653</v>
      </c>
      <c r="CX28" s="2" t="s">
        <v>24</v>
      </c>
      <c r="CY28" s="2"/>
      <c r="CZ28" s="2">
        <v>96</v>
      </c>
      <c r="DA28" s="2" t="s">
        <v>3827</v>
      </c>
      <c r="DB28" s="2">
        <v>2016</v>
      </c>
      <c r="DC28" s="2" t="s">
        <v>30</v>
      </c>
      <c r="DD28" s="2" t="s">
        <v>27</v>
      </c>
      <c r="DE28" s="2" t="s">
        <v>654</v>
      </c>
      <c r="DF28" s="2" t="s">
        <v>655</v>
      </c>
      <c r="DG28" s="2" t="s">
        <v>24</v>
      </c>
      <c r="DH28" s="2"/>
      <c r="DI28" s="2">
        <v>91</v>
      </c>
      <c r="DJ28" s="2" t="s">
        <v>3827</v>
      </c>
      <c r="DK28" s="2">
        <v>2016</v>
      </c>
      <c r="DL28" s="2" t="s">
        <v>30</v>
      </c>
      <c r="DM28" s="2" t="s">
        <v>27</v>
      </c>
      <c r="DN28" s="2" t="s">
        <v>33</v>
      </c>
      <c r="DO28" s="2" t="s">
        <v>656</v>
      </c>
      <c r="DP28" s="2" t="s">
        <v>657</v>
      </c>
      <c r="DQ28" s="2" t="s">
        <v>658</v>
      </c>
      <c r="DR28" s="2" t="s">
        <v>659</v>
      </c>
      <c r="DS28" s="2">
        <v>1</v>
      </c>
      <c r="DT28" s="2" t="s">
        <v>660</v>
      </c>
      <c r="DU28" s="2" t="s">
        <v>661</v>
      </c>
      <c r="DV28" s="2" t="s">
        <v>39</v>
      </c>
      <c r="DW28" s="2">
        <v>32751</v>
      </c>
      <c r="DX28" s="2" t="s">
        <v>662</v>
      </c>
      <c r="DY28" s="2"/>
      <c r="DZ28" s="2" t="s">
        <v>663</v>
      </c>
      <c r="EA28" s="2" t="s">
        <v>659</v>
      </c>
      <c r="EB28" s="2" t="s">
        <v>652</v>
      </c>
      <c r="EC28" s="2" t="s">
        <v>653</v>
      </c>
      <c r="ED28" s="2" t="s">
        <v>44</v>
      </c>
      <c r="EE28" s="2">
        <v>96</v>
      </c>
      <c r="EF28" s="2" t="s">
        <v>3828</v>
      </c>
      <c r="EG28" s="2">
        <v>7</v>
      </c>
      <c r="EH28" s="2" t="s">
        <v>46</v>
      </c>
      <c r="EI28" s="2" t="s">
        <v>47</v>
      </c>
      <c r="EJ28" s="2" t="s">
        <v>651</v>
      </c>
      <c r="EK28" s="2" t="s">
        <v>464</v>
      </c>
      <c r="EL28" s="2" t="s">
        <v>44</v>
      </c>
      <c r="EM28" s="2">
        <v>72</v>
      </c>
      <c r="EN28" s="2" t="s">
        <v>3828</v>
      </c>
      <c r="EO28" s="2">
        <v>3</v>
      </c>
      <c r="EP28" s="2" t="s">
        <v>46</v>
      </c>
      <c r="EQ28" s="2" t="s">
        <v>47</v>
      </c>
      <c r="ER28" s="2" t="s">
        <v>664</v>
      </c>
      <c r="ES28" s="2" t="s">
        <v>665</v>
      </c>
      <c r="ET28" s="2" t="s">
        <v>666</v>
      </c>
      <c r="EU28" s="2" t="s">
        <v>649</v>
      </c>
      <c r="EV28" s="2" t="s">
        <v>667</v>
      </c>
      <c r="EW28" s="2" t="s">
        <v>668</v>
      </c>
      <c r="EX28" s="2" t="s">
        <v>39</v>
      </c>
      <c r="EY28" s="2">
        <v>34236</v>
      </c>
      <c r="EZ28" s="2" t="s">
        <v>669</v>
      </c>
      <c r="FA28" s="2">
        <v>110</v>
      </c>
      <c r="FB28" s="2" t="s">
        <v>670</v>
      </c>
      <c r="FC28" s="2" t="s">
        <v>671</v>
      </c>
      <c r="FD28" s="2" t="s">
        <v>672</v>
      </c>
      <c r="FE28" s="2" t="s">
        <v>673</v>
      </c>
      <c r="FF28" s="2" t="s">
        <v>649</v>
      </c>
      <c r="FG28" s="2" t="s">
        <v>667</v>
      </c>
      <c r="FH28" s="2" t="s">
        <v>668</v>
      </c>
      <c r="FI28" s="2" t="s">
        <v>39</v>
      </c>
      <c r="FJ28" s="2">
        <v>34236</v>
      </c>
      <c r="FK28" s="2" t="s">
        <v>669</v>
      </c>
      <c r="FL28" s="2">
        <v>130</v>
      </c>
      <c r="FM28" s="2" t="s">
        <v>674</v>
      </c>
      <c r="FN28" s="2" t="s">
        <v>3829</v>
      </c>
      <c r="FO28" s="2" t="s">
        <v>63</v>
      </c>
      <c r="FP28" s="2" t="s">
        <v>64</v>
      </c>
      <c r="FQ28" s="2" t="s">
        <v>9</v>
      </c>
      <c r="FR28" s="2" t="s">
        <v>17</v>
      </c>
      <c r="FS28" s="2" t="s">
        <v>17</v>
      </c>
      <c r="FT28" s="2" t="s">
        <v>9</v>
      </c>
      <c r="FU28" s="2"/>
      <c r="FV28" s="2"/>
      <c r="FW28" s="2">
        <v>0</v>
      </c>
      <c r="FX28" s="2">
        <v>0</v>
      </c>
      <c r="FY28" s="4">
        <v>0</v>
      </c>
      <c r="FZ28" s="4">
        <v>0</v>
      </c>
      <c r="GA28" s="2" t="s">
        <v>65</v>
      </c>
      <c r="GB28" s="2"/>
      <c r="GC28" s="2" t="s">
        <v>66</v>
      </c>
      <c r="GD28" s="2" t="s">
        <v>67</v>
      </c>
      <c r="GE28" s="2" t="s">
        <v>2684</v>
      </c>
      <c r="GF28" s="2"/>
      <c r="GG28" s="2"/>
      <c r="GH28" s="2"/>
      <c r="GI28" s="2"/>
      <c r="GJ28" s="2"/>
      <c r="GK28" s="2">
        <v>102</v>
      </c>
      <c r="GL28" s="2"/>
      <c r="GM28" s="2"/>
      <c r="GN28" s="2"/>
      <c r="GO28" s="2"/>
      <c r="GP28" s="2"/>
      <c r="GQ28" s="2">
        <v>102</v>
      </c>
      <c r="GR28" s="2" t="s">
        <v>3332</v>
      </c>
      <c r="GS28" s="2" t="s">
        <v>2686</v>
      </c>
      <c r="GT28" s="2" t="s">
        <v>3830</v>
      </c>
      <c r="GU28" s="2" t="s">
        <v>299</v>
      </c>
      <c r="GV28" s="2" t="s">
        <v>17</v>
      </c>
      <c r="GW28" s="2">
        <v>25.809902999999998</v>
      </c>
      <c r="GX28" s="2">
        <v>-80.229152999999997</v>
      </c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>
        <v>25.812512999999999</v>
      </c>
      <c r="HS28" s="2">
        <v>-80.230175000000003</v>
      </c>
      <c r="HT28" s="2">
        <v>0.2</v>
      </c>
      <c r="HU28" s="2">
        <v>6</v>
      </c>
      <c r="HV28" s="2" t="s">
        <v>3164</v>
      </c>
      <c r="HW28" s="2" t="s">
        <v>3775</v>
      </c>
      <c r="HX28" s="2">
        <v>0.18</v>
      </c>
      <c r="HY28" s="2">
        <v>4</v>
      </c>
      <c r="HZ28" s="2"/>
      <c r="IA28" s="2"/>
      <c r="IB28" s="2"/>
      <c r="IC28" s="2"/>
      <c r="ID28" s="2" t="s">
        <v>224</v>
      </c>
      <c r="IE28" s="2">
        <v>1.0900000000000001</v>
      </c>
      <c r="IF28" s="2">
        <v>2</v>
      </c>
      <c r="IG28" s="2" t="s">
        <v>3831</v>
      </c>
      <c r="IH28" s="2">
        <v>0.2</v>
      </c>
      <c r="II28" s="2">
        <v>4</v>
      </c>
      <c r="IJ28" s="2" t="s">
        <v>17</v>
      </c>
      <c r="IK28" s="2"/>
      <c r="IL28" s="2" t="s">
        <v>79</v>
      </c>
      <c r="IM28" s="2" t="s">
        <v>9</v>
      </c>
      <c r="IN28" s="2" t="s">
        <v>3832</v>
      </c>
      <c r="IO28" s="2" t="s">
        <v>3341</v>
      </c>
      <c r="IP28" s="2">
        <v>6</v>
      </c>
      <c r="IQ28" s="2">
        <v>10</v>
      </c>
      <c r="IR28" s="2">
        <v>16</v>
      </c>
      <c r="IS28" s="2" t="s">
        <v>17</v>
      </c>
      <c r="IT28" s="2" t="s">
        <v>17</v>
      </c>
      <c r="IU28" s="2" t="s">
        <v>9</v>
      </c>
      <c r="IV28" s="2" t="s">
        <v>9</v>
      </c>
      <c r="IW28" s="2" t="s">
        <v>9</v>
      </c>
      <c r="IX28" s="2" t="s">
        <v>9</v>
      </c>
      <c r="IY28" s="2">
        <v>16</v>
      </c>
      <c r="IZ28" s="2">
        <v>102</v>
      </c>
      <c r="JA28" s="2" t="s">
        <v>3085</v>
      </c>
      <c r="JB28" s="2"/>
      <c r="JC28" s="2" t="s">
        <v>82</v>
      </c>
      <c r="JD28" s="2"/>
      <c r="JE28" s="2"/>
      <c r="JF28" s="7">
        <v>0</v>
      </c>
      <c r="JG28" s="7"/>
      <c r="JH28" s="7"/>
      <c r="JI28" s="2">
        <v>0</v>
      </c>
      <c r="JJ28" s="7">
        <v>0</v>
      </c>
      <c r="JK28" s="2">
        <v>0</v>
      </c>
      <c r="JL28" s="7">
        <v>0</v>
      </c>
      <c r="JM28" s="2">
        <v>16</v>
      </c>
      <c r="JN28" s="2"/>
      <c r="JO28" s="2"/>
      <c r="JP28" s="2">
        <v>64</v>
      </c>
      <c r="JQ28" s="2"/>
      <c r="JR28" s="2">
        <v>22</v>
      </c>
      <c r="JS28" s="2">
        <v>0</v>
      </c>
      <c r="JT28" s="2">
        <v>0</v>
      </c>
      <c r="JU28" s="2"/>
      <c r="JV28" s="2">
        <v>102</v>
      </c>
      <c r="JW28" s="4">
        <v>1</v>
      </c>
      <c r="JX28" s="2">
        <v>102</v>
      </c>
      <c r="JY28" s="4">
        <v>0.59608000000000005</v>
      </c>
      <c r="JZ28" s="2">
        <v>0</v>
      </c>
      <c r="KA28" s="2"/>
      <c r="KB28" s="2"/>
      <c r="KC28" s="2"/>
      <c r="KD28" s="2"/>
      <c r="KE28" s="2"/>
      <c r="KF28" s="2"/>
      <c r="KG28" s="2"/>
      <c r="KH28" s="2">
        <v>51</v>
      </c>
      <c r="KI28" s="2"/>
      <c r="KJ28" s="2"/>
      <c r="KK28" s="2">
        <v>51</v>
      </c>
      <c r="KL28" s="2"/>
      <c r="KM28" s="2"/>
      <c r="KN28" s="2"/>
      <c r="KO28" s="2"/>
      <c r="KP28" s="2"/>
      <c r="KQ28" s="2" t="s">
        <v>83</v>
      </c>
      <c r="KR28" s="2"/>
      <c r="KS28" s="2" t="s">
        <v>73</v>
      </c>
      <c r="KT28" s="2">
        <v>1</v>
      </c>
      <c r="KU28" s="2" t="s">
        <v>84</v>
      </c>
      <c r="KV28" s="2" t="s">
        <v>85</v>
      </c>
      <c r="KW28" s="2" t="s">
        <v>530</v>
      </c>
      <c r="KX28" s="2" t="s">
        <v>17</v>
      </c>
      <c r="KY28" s="2" t="s">
        <v>17</v>
      </c>
      <c r="KZ28" s="2" t="s">
        <v>17</v>
      </c>
      <c r="LA28" s="2" t="s">
        <v>17</v>
      </c>
      <c r="LB28" s="2" t="s">
        <v>17</v>
      </c>
      <c r="LC28" s="2" t="s">
        <v>17</v>
      </c>
      <c r="LD28" s="2" t="s">
        <v>17</v>
      </c>
      <c r="LE28" s="2" t="s">
        <v>17</v>
      </c>
      <c r="LF28" s="2" t="s">
        <v>17</v>
      </c>
      <c r="LG28" s="2" t="s">
        <v>17</v>
      </c>
      <c r="LH28" s="2" t="s">
        <v>17</v>
      </c>
      <c r="LI28" s="2" t="s">
        <v>17</v>
      </c>
      <c r="LJ28" s="2" t="s">
        <v>87</v>
      </c>
      <c r="LK28" s="2" t="s">
        <v>17</v>
      </c>
      <c r="LL28" s="2" t="s">
        <v>17</v>
      </c>
      <c r="LM28" s="2">
        <v>0</v>
      </c>
      <c r="LN28" s="2" t="s">
        <v>17</v>
      </c>
      <c r="LO28" s="2" t="s">
        <v>17</v>
      </c>
      <c r="LP28" s="2" t="s">
        <v>17</v>
      </c>
      <c r="LQ28" s="2" t="s">
        <v>17</v>
      </c>
      <c r="LR28" s="2" t="s">
        <v>17</v>
      </c>
      <c r="LS28" s="2" t="s">
        <v>17</v>
      </c>
      <c r="LT28" s="2" t="s">
        <v>17</v>
      </c>
      <c r="LU28" s="2" t="s">
        <v>9</v>
      </c>
      <c r="LV28" s="2" t="s">
        <v>9</v>
      </c>
      <c r="LW28" s="2" t="s">
        <v>17</v>
      </c>
      <c r="LX28" s="2" t="s">
        <v>9</v>
      </c>
      <c r="LY28" s="5">
        <v>6500000</v>
      </c>
      <c r="LZ28" s="5">
        <v>0</v>
      </c>
      <c r="MA28" s="5">
        <v>8400000</v>
      </c>
      <c r="MB28" s="5">
        <v>0</v>
      </c>
      <c r="MC28" s="5">
        <v>0</v>
      </c>
      <c r="MD28" s="5">
        <v>0</v>
      </c>
      <c r="ME28" s="5">
        <v>10000000</v>
      </c>
      <c r="MF28" s="5">
        <v>0</v>
      </c>
      <c r="MG28" s="5">
        <v>0</v>
      </c>
      <c r="MH28" s="5">
        <v>0</v>
      </c>
      <c r="MI28" s="5">
        <v>0</v>
      </c>
      <c r="MJ28" s="5">
        <v>0</v>
      </c>
      <c r="MK28" s="5">
        <v>0</v>
      </c>
      <c r="ML28" s="2">
        <v>0</v>
      </c>
      <c r="MM28" s="5">
        <v>0</v>
      </c>
      <c r="MN28" s="5">
        <v>0</v>
      </c>
      <c r="MO28" s="2">
        <v>0</v>
      </c>
      <c r="MP28" s="2">
        <v>0</v>
      </c>
      <c r="MQ28" s="2">
        <v>0</v>
      </c>
      <c r="MR28" s="5">
        <v>2950000</v>
      </c>
      <c r="MS28" s="5">
        <v>0</v>
      </c>
      <c r="MT28" s="5">
        <v>4600000</v>
      </c>
      <c r="MU28" s="5">
        <v>0</v>
      </c>
      <c r="MV28" s="5">
        <v>0</v>
      </c>
      <c r="MW28" s="5">
        <v>0</v>
      </c>
      <c r="MX28" s="5">
        <v>0</v>
      </c>
      <c r="MY28" s="5">
        <v>2500000</v>
      </c>
      <c r="MZ28" s="5">
        <v>0</v>
      </c>
      <c r="NA28" s="5">
        <v>5000000</v>
      </c>
      <c r="NB28" s="5">
        <v>0</v>
      </c>
      <c r="NC28" s="5">
        <v>0</v>
      </c>
      <c r="ND28" s="5">
        <v>0</v>
      </c>
      <c r="NE28" s="5">
        <v>0</v>
      </c>
      <c r="NF28" s="5">
        <v>0</v>
      </c>
      <c r="NG28" s="5">
        <v>3458400</v>
      </c>
      <c r="NH28" s="5">
        <v>3250000</v>
      </c>
      <c r="NI28" s="5">
        <v>3250000</v>
      </c>
      <c r="NJ28" s="5"/>
      <c r="NK28" s="5">
        <v>0</v>
      </c>
      <c r="NL28" s="2" t="s">
        <v>17</v>
      </c>
      <c r="NM28" s="2" t="s">
        <v>17</v>
      </c>
      <c r="NN28" s="2"/>
      <c r="NO28" s="2" t="s">
        <v>17</v>
      </c>
      <c r="NP28" s="2"/>
      <c r="NQ28" s="2"/>
      <c r="NR28" s="2" t="s">
        <v>17</v>
      </c>
      <c r="NS28" s="2"/>
      <c r="NT28" s="2" t="s">
        <v>9</v>
      </c>
      <c r="NU28" s="2" t="s">
        <v>450</v>
      </c>
      <c r="NV28" s="2">
        <v>24.04</v>
      </c>
      <c r="NW28" s="2" t="s">
        <v>3342</v>
      </c>
      <c r="NX28" s="2"/>
      <c r="NY28" s="2"/>
      <c r="NZ28" s="2"/>
      <c r="OA28" s="2" t="s">
        <v>118</v>
      </c>
      <c r="OB28" s="2" t="s">
        <v>118</v>
      </c>
      <c r="OC28" s="2" t="s">
        <v>118</v>
      </c>
      <c r="OD28" s="2" t="s">
        <v>3343</v>
      </c>
      <c r="OE28" s="2" t="s">
        <v>3833</v>
      </c>
      <c r="OF28" s="2"/>
      <c r="OG28" s="2" t="s">
        <v>17</v>
      </c>
      <c r="OH28" s="2" t="s">
        <v>119</v>
      </c>
      <c r="OI28" s="2" t="s">
        <v>17</v>
      </c>
      <c r="OJ28" s="2"/>
      <c r="OK28" s="2" t="s">
        <v>17</v>
      </c>
      <c r="OL28" s="2" t="s">
        <v>17</v>
      </c>
      <c r="OM28" s="2" t="s">
        <v>85</v>
      </c>
      <c r="ON28" s="6">
        <v>0</v>
      </c>
      <c r="OO28" s="6">
        <v>0</v>
      </c>
      <c r="OP28" s="2" t="s">
        <v>93</v>
      </c>
      <c r="OQ28" s="2" t="s">
        <v>93</v>
      </c>
      <c r="OR28" s="6">
        <v>0</v>
      </c>
      <c r="OS28" s="4">
        <v>0</v>
      </c>
      <c r="OT28" s="2" t="s">
        <v>17</v>
      </c>
      <c r="OU28" s="2" t="s">
        <v>17</v>
      </c>
      <c r="OV28" s="2"/>
      <c r="OW28" s="2"/>
      <c r="OX28" s="5">
        <v>20866950</v>
      </c>
      <c r="OY28" s="6">
        <v>204577.94</v>
      </c>
      <c r="OZ28" s="2"/>
      <c r="PA28" s="2"/>
      <c r="PB28" s="2"/>
      <c r="PC28" s="2"/>
      <c r="PD28" s="8">
        <v>20737455</v>
      </c>
      <c r="PE28" s="2"/>
      <c r="PF28" s="8">
        <v>20737455</v>
      </c>
      <c r="PG28" s="8">
        <v>900000</v>
      </c>
      <c r="PH28" s="8">
        <v>100000</v>
      </c>
      <c r="PI28" s="8">
        <v>1000000</v>
      </c>
      <c r="PJ28" s="2"/>
      <c r="PK28" s="2"/>
      <c r="PL28" s="2"/>
      <c r="PM28" s="8">
        <v>21637455</v>
      </c>
      <c r="PN28" s="8">
        <v>100000</v>
      </c>
      <c r="PO28" s="8">
        <v>21737455</v>
      </c>
      <c r="PP28" s="8">
        <v>2955181</v>
      </c>
      <c r="PQ28" s="2"/>
      <c r="PR28" s="8">
        <v>2955181</v>
      </c>
      <c r="PS28" s="6">
        <v>3043243</v>
      </c>
      <c r="PT28" s="8">
        <v>24592636</v>
      </c>
      <c r="PU28" s="8">
        <v>100000</v>
      </c>
      <c r="PV28" s="8">
        <v>24692636</v>
      </c>
      <c r="PW28" s="8">
        <v>1203182</v>
      </c>
      <c r="PX28" s="2"/>
      <c r="PY28" s="8">
        <v>1203182</v>
      </c>
      <c r="PZ28" s="6">
        <v>1234631.8</v>
      </c>
      <c r="QA28" s="8">
        <v>706435</v>
      </c>
      <c r="QB28" s="8">
        <v>30000</v>
      </c>
      <c r="QC28" s="8">
        <v>736435</v>
      </c>
      <c r="QD28" s="8">
        <v>192402</v>
      </c>
      <c r="QE28" s="8">
        <v>58558</v>
      </c>
      <c r="QF28" s="8">
        <v>250960</v>
      </c>
      <c r="QG28" s="8">
        <v>819969</v>
      </c>
      <c r="QH28" s="2"/>
      <c r="QI28" s="8">
        <v>819969</v>
      </c>
      <c r="QJ28" s="2"/>
      <c r="QK28" s="8">
        <v>474953</v>
      </c>
      <c r="QL28" s="8">
        <v>474953</v>
      </c>
      <c r="QM28" s="2"/>
      <c r="QN28" s="2"/>
      <c r="QO28" s="2"/>
      <c r="QP28" s="2"/>
      <c r="QQ28" s="2"/>
      <c r="QR28" s="2"/>
      <c r="QS28" s="8">
        <v>1718806</v>
      </c>
      <c r="QT28" s="8">
        <v>563511</v>
      </c>
      <c r="QU28" s="8">
        <v>2282317</v>
      </c>
      <c r="QV28" s="8">
        <v>112930</v>
      </c>
      <c r="QW28" s="2"/>
      <c r="QX28" s="8">
        <v>112930</v>
      </c>
      <c r="QY28" s="6">
        <v>114115.85</v>
      </c>
      <c r="QZ28" s="8">
        <v>1423849</v>
      </c>
      <c r="RA28" s="2"/>
      <c r="RB28" s="8">
        <v>1423849</v>
      </c>
      <c r="RC28" s="8">
        <v>81580</v>
      </c>
      <c r="RD28" s="8">
        <v>81580</v>
      </c>
      <c r="RE28" s="2"/>
      <c r="RF28" s="2"/>
      <c r="RG28" s="2"/>
      <c r="RH28" s="8">
        <v>1423849</v>
      </c>
      <c r="RI28" s="8">
        <v>81580</v>
      </c>
      <c r="RJ28" s="8">
        <v>1505429</v>
      </c>
      <c r="RK28" s="8">
        <v>29051403</v>
      </c>
      <c r="RL28" s="8">
        <v>745091</v>
      </c>
      <c r="RM28" s="8">
        <v>29796494</v>
      </c>
      <c r="RN28" s="2">
        <v>0</v>
      </c>
      <c r="RO28" s="6">
        <v>0</v>
      </c>
      <c r="RP28" s="8">
        <v>4706367</v>
      </c>
      <c r="RQ28" s="2"/>
      <c r="RR28" s="8">
        <v>4706367</v>
      </c>
      <c r="RS28" s="6">
        <v>4767439</v>
      </c>
      <c r="RT28" s="6">
        <v>0</v>
      </c>
      <c r="RU28" s="8">
        <v>4706367</v>
      </c>
      <c r="RV28" s="2"/>
      <c r="RW28" s="8">
        <v>4706367</v>
      </c>
      <c r="RX28" s="6">
        <v>4767439</v>
      </c>
      <c r="RY28" s="8">
        <v>124935</v>
      </c>
      <c r="RZ28" s="8">
        <v>124935</v>
      </c>
      <c r="SA28" s="6">
        <v>357000</v>
      </c>
      <c r="SB28" s="8">
        <v>4200000</v>
      </c>
      <c r="SC28" s="8">
        <v>4200000</v>
      </c>
      <c r="SD28" s="8">
        <v>33757770</v>
      </c>
      <c r="SE28" s="8">
        <v>5070026</v>
      </c>
      <c r="SF28" s="8">
        <v>38827796</v>
      </c>
      <c r="SG28" s="2" t="s">
        <v>783</v>
      </c>
      <c r="SH28" s="2"/>
      <c r="SI28" s="2"/>
      <c r="SJ28" s="2"/>
      <c r="SK28" s="8">
        <v>18011871</v>
      </c>
      <c r="SL28" s="2" t="s">
        <v>95</v>
      </c>
      <c r="SM28" s="2"/>
      <c r="SN28" s="2"/>
      <c r="SO28" s="2"/>
      <c r="SP28" s="2"/>
      <c r="SQ28" s="2"/>
      <c r="SR28" s="2"/>
      <c r="SS28" s="2" t="s">
        <v>96</v>
      </c>
      <c r="ST28" s="2" t="s">
        <v>96</v>
      </c>
      <c r="SU28" s="2" t="s">
        <v>96</v>
      </c>
      <c r="SV28" s="2" t="s">
        <v>96</v>
      </c>
      <c r="SW28" s="8">
        <v>17106289</v>
      </c>
      <c r="SX28" s="2"/>
      <c r="SY28" s="2"/>
      <c r="SZ28" s="2"/>
      <c r="TA28" s="2"/>
      <c r="TB28" s="2"/>
      <c r="TC28" s="2"/>
      <c r="TD28" s="8">
        <v>3709636</v>
      </c>
      <c r="TE28" s="8">
        <v>38827796</v>
      </c>
      <c r="TF28" s="2">
        <v>0</v>
      </c>
      <c r="TG28" s="2" t="s">
        <v>9</v>
      </c>
      <c r="TH28" s="8">
        <v>5131738</v>
      </c>
      <c r="TI28" s="2" t="s">
        <v>95</v>
      </c>
      <c r="TJ28" s="2"/>
      <c r="TK28" s="2"/>
      <c r="TL28" s="2"/>
      <c r="TM28" s="2"/>
      <c r="TN28" s="2" t="s">
        <v>96</v>
      </c>
      <c r="TO28" s="2" t="s">
        <v>96</v>
      </c>
      <c r="TP28" s="2" t="s">
        <v>96</v>
      </c>
      <c r="TQ28" s="2" t="s">
        <v>96</v>
      </c>
      <c r="TR28" s="8">
        <v>30546945</v>
      </c>
      <c r="TS28" s="2"/>
      <c r="TT28" s="2"/>
      <c r="TU28" s="2"/>
      <c r="TV28" s="2"/>
      <c r="TW28" s="2"/>
      <c r="TX28" s="2"/>
      <c r="TY28" s="8">
        <v>3149113</v>
      </c>
      <c r="TZ28" s="8">
        <v>38827796</v>
      </c>
      <c r="UA28" s="6">
        <v>5131738</v>
      </c>
      <c r="UB28" s="2">
        <v>0</v>
      </c>
      <c r="UC28" s="2" t="s">
        <v>9</v>
      </c>
      <c r="UD28" s="2">
        <v>102</v>
      </c>
      <c r="UE28" s="5">
        <v>310000</v>
      </c>
      <c r="UF28" s="6">
        <v>413333.33</v>
      </c>
      <c r="UG28" s="6">
        <v>413333.33</v>
      </c>
      <c r="UH28" s="6">
        <v>438133.33</v>
      </c>
      <c r="UI28" s="6">
        <v>44689600</v>
      </c>
      <c r="UJ28" s="6">
        <v>7150336</v>
      </c>
      <c r="UK28" s="2" t="s">
        <v>97</v>
      </c>
      <c r="UL28" s="6">
        <v>7150336</v>
      </c>
      <c r="UM28" s="6">
        <v>51839936</v>
      </c>
      <c r="UN28" s="6">
        <v>34502861</v>
      </c>
      <c r="UO28" s="4">
        <v>0.99990000000000001</v>
      </c>
      <c r="UP28" s="2" t="s">
        <v>9</v>
      </c>
      <c r="UQ28" s="6">
        <v>0</v>
      </c>
      <c r="UR28" s="6">
        <v>0</v>
      </c>
      <c r="US28" s="6">
        <v>418650.47</v>
      </c>
      <c r="UT28" s="6">
        <v>418650.47</v>
      </c>
      <c r="UU28" s="6">
        <v>0</v>
      </c>
      <c r="UV28" s="6">
        <v>418650.47</v>
      </c>
      <c r="UW28" s="6">
        <v>0</v>
      </c>
      <c r="UX28" s="6">
        <v>418650.47</v>
      </c>
      <c r="UY28" s="2" t="s">
        <v>3633</v>
      </c>
      <c r="UZ28" s="2" t="s">
        <v>3288</v>
      </c>
      <c r="VA28" s="2" t="s">
        <v>17</v>
      </c>
      <c r="VB28" s="2" t="s">
        <v>17</v>
      </c>
      <c r="VC28" s="2" t="s">
        <v>17</v>
      </c>
      <c r="VD28" s="2" t="s">
        <v>17</v>
      </c>
      <c r="VE28" s="2" t="s">
        <v>17</v>
      </c>
      <c r="VF28" s="2" t="s">
        <v>17</v>
      </c>
      <c r="VG28" s="2">
        <v>9590410282</v>
      </c>
      <c r="VH28" s="2"/>
      <c r="VI28" s="388" t="s">
        <v>650</v>
      </c>
      <c r="VJ28" s="2" t="s">
        <v>98</v>
      </c>
      <c r="VK28" s="2" t="s">
        <v>685</v>
      </c>
      <c r="VL28" s="23">
        <f t="shared" si="0"/>
        <v>153</v>
      </c>
      <c r="VM28" s="17">
        <f t="shared" si="1"/>
        <v>1.5</v>
      </c>
      <c r="VN28" s="17" t="str">
        <f t="shared" si="2"/>
        <v>NC-HR-E</v>
      </c>
      <c r="VO28" s="17" t="str">
        <f t="shared" si="14"/>
        <v>NC-HR-E-ESS</v>
      </c>
      <c r="VP28" s="12">
        <v>9</v>
      </c>
      <c r="VQ28" s="57">
        <v>1</v>
      </c>
      <c r="VR28" s="57">
        <f t="shared" si="3"/>
        <v>1</v>
      </c>
      <c r="VS28" s="14">
        <f t="shared" si="4"/>
        <v>1</v>
      </c>
      <c r="VT28" s="12">
        <f t="shared" si="5"/>
        <v>0.88349999999999995</v>
      </c>
      <c r="VU28" s="29">
        <f t="shared" si="6"/>
        <v>25842375</v>
      </c>
      <c r="VV28" s="29">
        <f t="shared" si="7"/>
        <v>253356.62</v>
      </c>
      <c r="VW28" s="12" t="str">
        <f t="shared" si="15"/>
        <v>A</v>
      </c>
      <c r="VX28" s="12" t="str">
        <f t="shared" si="8"/>
        <v>NC-HR-ESS</v>
      </c>
      <c r="VY28" s="352">
        <f t="shared" si="16"/>
        <v>4</v>
      </c>
      <c r="WA28" s="12">
        <f t="shared" si="17"/>
        <v>1</v>
      </c>
      <c r="WB28" s="12">
        <f t="shared" si="18"/>
        <v>0</v>
      </c>
      <c r="WC28" s="12">
        <f t="shared" si="18"/>
        <v>0</v>
      </c>
      <c r="WD28" s="12">
        <f t="shared" si="18"/>
        <v>0</v>
      </c>
      <c r="WE28" s="12">
        <f t="shared" si="19"/>
        <v>1</v>
      </c>
      <c r="WF28" s="12">
        <f t="shared" si="9"/>
        <v>0</v>
      </c>
      <c r="WG28" s="12">
        <f t="shared" si="10"/>
        <v>0</v>
      </c>
      <c r="WH28" s="12">
        <f t="shared" si="11"/>
        <v>1</v>
      </c>
      <c r="WI28" s="31">
        <f t="shared" si="12"/>
        <v>3</v>
      </c>
      <c r="WJ28" s="2"/>
      <c r="WK28" s="444" t="str">
        <f t="shared" si="20"/>
        <v>NC-HR-ESS-BBN-BRN-NPH-E</v>
      </c>
      <c r="WL28" s="444"/>
      <c r="WM28" s="444"/>
    </row>
    <row r="29" spans="1:611" x14ac:dyDescent="0.25">
      <c r="A29" s="2">
        <v>9673</v>
      </c>
      <c r="B29" s="2" t="s">
        <v>3834</v>
      </c>
      <c r="C29" s="2" t="s">
        <v>3305</v>
      </c>
      <c r="D29" s="3">
        <v>45159</v>
      </c>
      <c r="E29" s="2" t="s">
        <v>9</v>
      </c>
      <c r="F29" s="2">
        <v>3</v>
      </c>
      <c r="G29" s="2" t="s">
        <v>9</v>
      </c>
      <c r="H29" s="2">
        <v>3</v>
      </c>
      <c r="I29" s="2" t="s">
        <v>9</v>
      </c>
      <c r="J29" s="2">
        <v>1</v>
      </c>
      <c r="K29" s="2" t="s">
        <v>9</v>
      </c>
      <c r="L29" s="2">
        <v>3</v>
      </c>
      <c r="M29" s="2" t="s">
        <v>10</v>
      </c>
      <c r="N29" s="2">
        <v>0</v>
      </c>
      <c r="O29" s="2" t="s">
        <v>10</v>
      </c>
      <c r="P29" s="2">
        <v>0</v>
      </c>
      <c r="Q29" s="2" t="s">
        <v>11</v>
      </c>
      <c r="R29" s="2">
        <v>0</v>
      </c>
      <c r="S29" s="2" t="s">
        <v>9</v>
      </c>
      <c r="T29" s="2">
        <v>2</v>
      </c>
      <c r="U29" s="2" t="s">
        <v>9</v>
      </c>
      <c r="V29" s="2">
        <v>2</v>
      </c>
      <c r="W29" s="2" t="s">
        <v>9</v>
      </c>
      <c r="X29" s="2">
        <v>2</v>
      </c>
      <c r="Y29" s="2" t="s">
        <v>12</v>
      </c>
      <c r="Z29" s="2" t="s">
        <v>978</v>
      </c>
      <c r="AA29" s="2" t="s">
        <v>785</v>
      </c>
      <c r="AB29" s="2" t="s">
        <v>282</v>
      </c>
      <c r="AC29" s="2" t="s">
        <v>15</v>
      </c>
      <c r="AD29" s="2" t="s">
        <v>15</v>
      </c>
      <c r="AE29" s="2" t="s">
        <v>15</v>
      </c>
      <c r="AF29" s="2">
        <v>3</v>
      </c>
      <c r="AG29" s="2" t="s">
        <v>283</v>
      </c>
      <c r="AH29" s="2" t="s">
        <v>17</v>
      </c>
      <c r="AI29" s="4">
        <v>0.15179000000000001</v>
      </c>
      <c r="AJ29" s="2" t="s">
        <v>17</v>
      </c>
      <c r="AK29" s="2" t="s">
        <v>9</v>
      </c>
      <c r="AL29" s="2" t="s">
        <v>17</v>
      </c>
      <c r="AM29" s="2" t="s">
        <v>9</v>
      </c>
      <c r="AN29" s="2" t="s">
        <v>17</v>
      </c>
      <c r="AO29" s="2" t="s">
        <v>9</v>
      </c>
      <c r="AP29" s="2" t="s">
        <v>17</v>
      </c>
      <c r="AQ29" s="2" t="s">
        <v>17</v>
      </c>
      <c r="AR29" s="2" t="s">
        <v>17</v>
      </c>
      <c r="AS29" s="2" t="s">
        <v>17</v>
      </c>
      <c r="AT29" s="2">
        <v>5</v>
      </c>
      <c r="AU29" s="5">
        <v>100000</v>
      </c>
      <c r="AV29" s="2" t="s">
        <v>85</v>
      </c>
      <c r="AW29" s="2">
        <v>0</v>
      </c>
      <c r="AX29" s="2">
        <v>4</v>
      </c>
      <c r="AY29" s="2">
        <v>0</v>
      </c>
      <c r="AZ29" s="2">
        <v>18</v>
      </c>
      <c r="BA29" s="2">
        <v>0</v>
      </c>
      <c r="BB29" s="2">
        <v>0</v>
      </c>
      <c r="BC29" s="2">
        <v>1</v>
      </c>
      <c r="BD29" s="2">
        <v>3</v>
      </c>
      <c r="BE29" s="2">
        <v>0</v>
      </c>
      <c r="BF29" s="2">
        <v>1</v>
      </c>
      <c r="BG29" s="2">
        <v>0</v>
      </c>
      <c r="BH29" s="2">
        <v>0</v>
      </c>
      <c r="BI29" s="2">
        <v>13</v>
      </c>
      <c r="BJ29" s="2">
        <v>1</v>
      </c>
      <c r="BK29" s="2">
        <v>0</v>
      </c>
      <c r="BL29" s="2">
        <v>3</v>
      </c>
      <c r="BM29" s="2">
        <v>1</v>
      </c>
      <c r="BN29" s="2">
        <v>8</v>
      </c>
      <c r="BO29" s="2">
        <v>11</v>
      </c>
      <c r="BP29" s="2">
        <v>0</v>
      </c>
      <c r="BQ29" s="2">
        <v>10</v>
      </c>
      <c r="BR29" s="2">
        <v>10.59</v>
      </c>
      <c r="BS29" s="2">
        <v>0</v>
      </c>
      <c r="BT29" s="4">
        <v>0.06</v>
      </c>
      <c r="BU29" s="2" t="s">
        <v>9</v>
      </c>
      <c r="BV29" s="6">
        <v>205512.33</v>
      </c>
      <c r="BW29" s="2" t="s">
        <v>18</v>
      </c>
      <c r="BX29" s="2" t="s">
        <v>17</v>
      </c>
      <c r="BY29" s="2" t="s">
        <v>17</v>
      </c>
      <c r="BZ29" s="2" t="s">
        <v>17</v>
      </c>
      <c r="CA29" s="2" t="s">
        <v>17</v>
      </c>
      <c r="CB29" s="2" t="s">
        <v>17</v>
      </c>
      <c r="CC29" s="2" t="s">
        <v>17</v>
      </c>
      <c r="CD29" s="2" t="s">
        <v>17</v>
      </c>
      <c r="CE29" s="2" t="s">
        <v>3835</v>
      </c>
      <c r="CF29" s="2" t="s">
        <v>17</v>
      </c>
      <c r="CG29" s="2" t="s">
        <v>3181</v>
      </c>
      <c r="CH29" s="2"/>
      <c r="CI29" s="2"/>
      <c r="CJ29" s="2" t="s">
        <v>9</v>
      </c>
      <c r="CK29" s="2" t="s">
        <v>3182</v>
      </c>
      <c r="CL29" s="2" t="s">
        <v>3181</v>
      </c>
      <c r="CM29" s="2" t="s">
        <v>3183</v>
      </c>
      <c r="CN29" s="2" t="s">
        <v>330</v>
      </c>
      <c r="CO29" s="2" t="s">
        <v>24</v>
      </c>
      <c r="CP29" s="2"/>
      <c r="CQ29" s="2">
        <v>108</v>
      </c>
      <c r="CR29" s="2" t="s">
        <v>3836</v>
      </c>
      <c r="CS29" s="2">
        <v>2020</v>
      </c>
      <c r="CT29" s="2" t="s">
        <v>26</v>
      </c>
      <c r="CU29" s="2" t="s">
        <v>27</v>
      </c>
      <c r="CV29" s="2" t="s">
        <v>3184</v>
      </c>
      <c r="CW29" s="2" t="s">
        <v>330</v>
      </c>
      <c r="CX29" s="2" t="s">
        <v>413</v>
      </c>
      <c r="CY29" s="2" t="s">
        <v>3185</v>
      </c>
      <c r="CZ29" s="2">
        <v>96</v>
      </c>
      <c r="DA29" s="2" t="s">
        <v>3836</v>
      </c>
      <c r="DB29" s="2">
        <v>2016</v>
      </c>
      <c r="DC29" s="2" t="s">
        <v>26</v>
      </c>
      <c r="DD29" s="2" t="s">
        <v>27</v>
      </c>
      <c r="DE29" s="2" t="s">
        <v>3186</v>
      </c>
      <c r="DF29" s="2" t="s">
        <v>3187</v>
      </c>
      <c r="DG29" s="2" t="s">
        <v>413</v>
      </c>
      <c r="DH29" s="2" t="s">
        <v>3188</v>
      </c>
      <c r="DI29" s="2">
        <v>112</v>
      </c>
      <c r="DJ29" s="2" t="s">
        <v>3836</v>
      </c>
      <c r="DK29" s="2">
        <v>2016</v>
      </c>
      <c r="DL29" s="2" t="s">
        <v>26</v>
      </c>
      <c r="DM29" s="2" t="s">
        <v>27</v>
      </c>
      <c r="DN29" s="2" t="s">
        <v>33</v>
      </c>
      <c r="DO29" s="2" t="s">
        <v>3189</v>
      </c>
      <c r="DP29" s="2"/>
      <c r="DQ29" s="2" t="s">
        <v>3190</v>
      </c>
      <c r="DR29" s="2" t="s">
        <v>3837</v>
      </c>
      <c r="DS29" s="2">
        <v>1</v>
      </c>
      <c r="DT29" s="2" t="s">
        <v>3838</v>
      </c>
      <c r="DU29" s="2" t="s">
        <v>3079</v>
      </c>
      <c r="DV29" s="2" t="s">
        <v>39</v>
      </c>
      <c r="DW29" s="2">
        <v>33020</v>
      </c>
      <c r="DX29" s="2" t="s">
        <v>3839</v>
      </c>
      <c r="DY29" s="2">
        <v>2256</v>
      </c>
      <c r="DZ29" s="2" t="s">
        <v>3840</v>
      </c>
      <c r="EA29" s="2" t="s">
        <v>3182</v>
      </c>
      <c r="EB29" s="2" t="s">
        <v>3729</v>
      </c>
      <c r="EC29" s="2" t="s">
        <v>2943</v>
      </c>
      <c r="ED29" s="2" t="s">
        <v>44</v>
      </c>
      <c r="EE29" s="2">
        <v>88</v>
      </c>
      <c r="EF29" s="2" t="s">
        <v>3841</v>
      </c>
      <c r="EG29" s="2">
        <v>7</v>
      </c>
      <c r="EH29" s="2" t="s">
        <v>46</v>
      </c>
      <c r="EI29" s="2" t="s">
        <v>47</v>
      </c>
      <c r="EJ29" s="2" t="s">
        <v>3730</v>
      </c>
      <c r="EK29" s="2" t="s">
        <v>330</v>
      </c>
      <c r="EL29" s="2" t="s">
        <v>44</v>
      </c>
      <c r="EM29" s="2">
        <v>136</v>
      </c>
      <c r="EN29" s="2" t="s">
        <v>3841</v>
      </c>
      <c r="EO29" s="2">
        <v>4</v>
      </c>
      <c r="EP29" s="2" t="s">
        <v>46</v>
      </c>
      <c r="EQ29" s="2" t="s">
        <v>47</v>
      </c>
      <c r="ER29" s="2" t="s">
        <v>3197</v>
      </c>
      <c r="ES29" s="2" t="s">
        <v>1415</v>
      </c>
      <c r="ET29" s="2" t="s">
        <v>3198</v>
      </c>
      <c r="EU29" s="2" t="s">
        <v>3835</v>
      </c>
      <c r="EV29" s="2" t="s">
        <v>3838</v>
      </c>
      <c r="EW29" s="2" t="s">
        <v>3079</v>
      </c>
      <c r="EX29" s="2" t="s">
        <v>39</v>
      </c>
      <c r="EY29" s="2">
        <v>33020</v>
      </c>
      <c r="EZ29" s="2" t="s">
        <v>3839</v>
      </c>
      <c r="FA29" s="2">
        <v>2231</v>
      </c>
      <c r="FB29" s="2" t="s">
        <v>3785</v>
      </c>
      <c r="FC29" s="2" t="s">
        <v>3197</v>
      </c>
      <c r="FD29" s="2" t="s">
        <v>1415</v>
      </c>
      <c r="FE29" s="2" t="s">
        <v>3198</v>
      </c>
      <c r="FF29" s="2" t="s">
        <v>3835</v>
      </c>
      <c r="FG29" s="2" t="s">
        <v>3838</v>
      </c>
      <c r="FH29" s="2" t="s">
        <v>3079</v>
      </c>
      <c r="FI29" s="2" t="s">
        <v>39</v>
      </c>
      <c r="FJ29" s="2">
        <v>33020</v>
      </c>
      <c r="FK29" s="2" t="s">
        <v>3839</v>
      </c>
      <c r="FL29" s="2">
        <v>2231</v>
      </c>
      <c r="FM29" s="2" t="s">
        <v>3785</v>
      </c>
      <c r="FN29" s="2" t="s">
        <v>3842</v>
      </c>
      <c r="FO29" s="2" t="s">
        <v>63</v>
      </c>
      <c r="FP29" s="2" t="s">
        <v>64</v>
      </c>
      <c r="FQ29" s="2" t="s">
        <v>9</v>
      </c>
      <c r="FR29" s="2" t="s">
        <v>17</v>
      </c>
      <c r="FS29" s="2" t="s">
        <v>17</v>
      </c>
      <c r="FT29" s="2" t="s">
        <v>9</v>
      </c>
      <c r="FU29" s="2"/>
      <c r="FV29" s="2"/>
      <c r="FW29" s="2">
        <v>0</v>
      </c>
      <c r="FX29" s="2">
        <v>0</v>
      </c>
      <c r="FY29" s="4">
        <v>0</v>
      </c>
      <c r="FZ29" s="4">
        <v>0</v>
      </c>
      <c r="GA29" s="2" t="s">
        <v>65</v>
      </c>
      <c r="GB29" s="2"/>
      <c r="GC29" s="2" t="s">
        <v>66</v>
      </c>
      <c r="GD29" s="2" t="s">
        <v>67</v>
      </c>
      <c r="GE29" s="2" t="s">
        <v>1612</v>
      </c>
      <c r="GF29" s="2"/>
      <c r="GG29" s="2"/>
      <c r="GH29" s="2"/>
      <c r="GI29" s="2">
        <v>112</v>
      </c>
      <c r="GJ29" s="2"/>
      <c r="GK29" s="2"/>
      <c r="GL29" s="2"/>
      <c r="GM29" s="2"/>
      <c r="GN29" s="2"/>
      <c r="GO29" s="2"/>
      <c r="GP29" s="2"/>
      <c r="GQ29" s="2">
        <v>112</v>
      </c>
      <c r="GR29" s="2" t="s">
        <v>3332</v>
      </c>
      <c r="GS29" s="2" t="s">
        <v>2686</v>
      </c>
      <c r="GT29" s="2" t="s">
        <v>3843</v>
      </c>
      <c r="GU29" s="2" t="s">
        <v>2720</v>
      </c>
      <c r="GV29" s="2" t="s">
        <v>17</v>
      </c>
      <c r="GW29" s="2">
        <v>25.942128</v>
      </c>
      <c r="GX29" s="2">
        <v>-80.300685999999999</v>
      </c>
      <c r="GY29" s="2"/>
      <c r="GZ29" s="2">
        <v>25.942031</v>
      </c>
      <c r="HA29" s="2">
        <v>-80.302856000000006</v>
      </c>
      <c r="HB29" s="2">
        <v>0.14000000000000001</v>
      </c>
      <c r="HC29" s="2">
        <v>5.5</v>
      </c>
      <c r="HD29" s="2">
        <v>25.941828000000001</v>
      </c>
      <c r="HE29" s="2">
        <v>-80.302976999999998</v>
      </c>
      <c r="HF29" s="2">
        <v>0.14000000000000001</v>
      </c>
      <c r="HG29" s="2">
        <v>25.942529</v>
      </c>
      <c r="HH29" s="2">
        <v>-80.308115999999998</v>
      </c>
      <c r="HI29" s="2">
        <v>0.46</v>
      </c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 t="s">
        <v>3672</v>
      </c>
      <c r="HW29" s="2" t="s">
        <v>3844</v>
      </c>
      <c r="HX29" s="2">
        <v>0.26</v>
      </c>
      <c r="HY29" s="2">
        <v>4</v>
      </c>
      <c r="HZ29" s="2"/>
      <c r="IA29" s="2"/>
      <c r="IB29" s="2"/>
      <c r="IC29" s="2"/>
      <c r="ID29" s="2" t="s">
        <v>3845</v>
      </c>
      <c r="IE29" s="2">
        <v>0.26</v>
      </c>
      <c r="IF29" s="2">
        <v>4</v>
      </c>
      <c r="IG29" s="2" t="s">
        <v>3846</v>
      </c>
      <c r="IH29" s="2">
        <v>0.21</v>
      </c>
      <c r="II29" s="2">
        <v>4</v>
      </c>
      <c r="IJ29" s="2" t="s">
        <v>17</v>
      </c>
      <c r="IK29" s="2"/>
      <c r="IL29" s="2" t="s">
        <v>79</v>
      </c>
      <c r="IM29" s="2" t="s">
        <v>17</v>
      </c>
      <c r="IN29" s="2"/>
      <c r="IO29" s="2" t="s">
        <v>79</v>
      </c>
      <c r="IP29" s="2">
        <v>5.5</v>
      </c>
      <c r="IQ29" s="2">
        <v>12</v>
      </c>
      <c r="IR29" s="2">
        <v>17.5</v>
      </c>
      <c r="IS29" s="2" t="s">
        <v>17</v>
      </c>
      <c r="IT29" s="2" t="s">
        <v>17</v>
      </c>
      <c r="IU29" s="2" t="s">
        <v>17</v>
      </c>
      <c r="IV29" s="2" t="s">
        <v>9</v>
      </c>
      <c r="IW29" s="2" t="s">
        <v>9</v>
      </c>
      <c r="IX29" s="2" t="s">
        <v>9</v>
      </c>
      <c r="IY29" s="2">
        <v>17.5</v>
      </c>
      <c r="IZ29" s="2">
        <v>112</v>
      </c>
      <c r="JA29" s="2" t="s">
        <v>2731</v>
      </c>
      <c r="JB29" s="2"/>
      <c r="JC29" s="2" t="s">
        <v>82</v>
      </c>
      <c r="JD29" s="2"/>
      <c r="JE29" s="2"/>
      <c r="JF29" s="7">
        <v>0</v>
      </c>
      <c r="JG29" s="7"/>
      <c r="JH29" s="7"/>
      <c r="JI29" s="2">
        <v>0</v>
      </c>
      <c r="JJ29" s="7">
        <v>0</v>
      </c>
      <c r="JK29" s="2">
        <v>0</v>
      </c>
      <c r="JL29" s="7">
        <v>0</v>
      </c>
      <c r="JM29" s="2">
        <v>17</v>
      </c>
      <c r="JN29" s="2"/>
      <c r="JO29" s="2"/>
      <c r="JP29" s="2">
        <v>45</v>
      </c>
      <c r="JQ29" s="2">
        <v>50</v>
      </c>
      <c r="JR29" s="2"/>
      <c r="JS29" s="2">
        <v>0</v>
      </c>
      <c r="JT29" s="2">
        <v>0</v>
      </c>
      <c r="JU29" s="2"/>
      <c r="JV29" s="2">
        <v>112</v>
      </c>
      <c r="JW29" s="4">
        <v>1</v>
      </c>
      <c r="JX29" s="2">
        <v>112</v>
      </c>
      <c r="JY29" s="4">
        <v>0.59911000000000003</v>
      </c>
      <c r="JZ29" s="2">
        <v>0</v>
      </c>
      <c r="KA29" s="2"/>
      <c r="KB29" s="2"/>
      <c r="KC29" s="2"/>
      <c r="KD29" s="2"/>
      <c r="KE29" s="2"/>
      <c r="KF29" s="2"/>
      <c r="KG29" s="2"/>
      <c r="KH29" s="2">
        <v>88</v>
      </c>
      <c r="KI29" s="2"/>
      <c r="KJ29" s="2"/>
      <c r="KK29" s="2">
        <v>24</v>
      </c>
      <c r="KL29" s="2"/>
      <c r="KM29" s="2"/>
      <c r="KN29" s="2"/>
      <c r="KO29" s="2"/>
      <c r="KP29" s="2"/>
      <c r="KQ29" s="2" t="s">
        <v>83</v>
      </c>
      <c r="KR29" s="2" t="s">
        <v>73</v>
      </c>
      <c r="KS29" s="2"/>
      <c r="KT29" s="2">
        <v>1</v>
      </c>
      <c r="KU29" s="2" t="s">
        <v>84</v>
      </c>
      <c r="KV29" s="2" t="s">
        <v>85</v>
      </c>
      <c r="KW29" s="2" t="s">
        <v>86</v>
      </c>
      <c r="KX29" s="2" t="s">
        <v>17</v>
      </c>
      <c r="KY29" s="2" t="s">
        <v>17</v>
      </c>
      <c r="KZ29" s="2" t="s">
        <v>17</v>
      </c>
      <c r="LA29" s="2" t="s">
        <v>17</v>
      </c>
      <c r="LB29" s="2" t="s">
        <v>17</v>
      </c>
      <c r="LC29" s="2" t="s">
        <v>17</v>
      </c>
      <c r="LD29" s="2" t="s">
        <v>17</v>
      </c>
      <c r="LE29" s="2" t="s">
        <v>17</v>
      </c>
      <c r="LF29" s="2" t="s">
        <v>17</v>
      </c>
      <c r="LG29" s="2" t="s">
        <v>17</v>
      </c>
      <c r="LH29" s="2" t="s">
        <v>17</v>
      </c>
      <c r="LI29" s="2" t="s">
        <v>17</v>
      </c>
      <c r="LJ29" s="2" t="s">
        <v>87</v>
      </c>
      <c r="LK29" s="2" t="s">
        <v>17</v>
      </c>
      <c r="LL29" s="2" t="s">
        <v>17</v>
      </c>
      <c r="LM29" s="2">
        <v>0</v>
      </c>
      <c r="LN29" s="2" t="s">
        <v>17</v>
      </c>
      <c r="LO29" s="2" t="s">
        <v>9</v>
      </c>
      <c r="LP29" s="2" t="s">
        <v>9</v>
      </c>
      <c r="LQ29" s="2" t="s">
        <v>17</v>
      </c>
      <c r="LR29" s="2" t="s">
        <v>9</v>
      </c>
      <c r="LS29" s="2" t="s">
        <v>17</v>
      </c>
      <c r="LT29" s="2" t="s">
        <v>17</v>
      </c>
      <c r="LU29" s="2" t="s">
        <v>17</v>
      </c>
      <c r="LV29" s="2" t="s">
        <v>17</v>
      </c>
      <c r="LW29" s="2" t="s">
        <v>17</v>
      </c>
      <c r="LX29" s="2" t="s">
        <v>17</v>
      </c>
      <c r="LY29" s="5">
        <v>6500000</v>
      </c>
      <c r="LZ29" s="5">
        <v>0</v>
      </c>
      <c r="MA29" s="5">
        <v>8400000</v>
      </c>
      <c r="MB29" s="5">
        <v>0</v>
      </c>
      <c r="MC29" s="5">
        <v>0</v>
      </c>
      <c r="MD29" s="5">
        <v>0</v>
      </c>
      <c r="ME29" s="5">
        <v>10000000</v>
      </c>
      <c r="MF29" s="5">
        <v>0</v>
      </c>
      <c r="MG29" s="5">
        <v>0</v>
      </c>
      <c r="MH29" s="5">
        <v>0</v>
      </c>
      <c r="MI29" s="5">
        <v>0</v>
      </c>
      <c r="MJ29" s="5">
        <v>0</v>
      </c>
      <c r="MK29" s="5">
        <v>0</v>
      </c>
      <c r="ML29" s="2">
        <v>0</v>
      </c>
      <c r="MM29" s="5">
        <v>0</v>
      </c>
      <c r="MN29" s="5">
        <v>0</v>
      </c>
      <c r="MO29" s="2">
        <v>0</v>
      </c>
      <c r="MP29" s="2">
        <v>0</v>
      </c>
      <c r="MQ29" s="2">
        <v>0</v>
      </c>
      <c r="MR29" s="5">
        <v>2950000</v>
      </c>
      <c r="MS29" s="5">
        <v>0</v>
      </c>
      <c r="MT29" s="5">
        <v>4600000</v>
      </c>
      <c r="MU29" s="5">
        <v>0</v>
      </c>
      <c r="MV29" s="5">
        <v>0</v>
      </c>
      <c r="MW29" s="5">
        <v>0</v>
      </c>
      <c r="MX29" s="5">
        <v>0</v>
      </c>
      <c r="MY29" s="5">
        <v>2500000</v>
      </c>
      <c r="MZ29" s="5">
        <v>0</v>
      </c>
      <c r="NA29" s="5">
        <v>5000000</v>
      </c>
      <c r="NB29" s="5">
        <v>0</v>
      </c>
      <c r="NC29" s="5">
        <v>0</v>
      </c>
      <c r="ND29" s="5">
        <v>0</v>
      </c>
      <c r="NE29" s="5">
        <v>0</v>
      </c>
      <c r="NF29" s="5">
        <v>0</v>
      </c>
      <c r="NG29" s="5">
        <v>3458400</v>
      </c>
      <c r="NH29" s="5">
        <v>3458400</v>
      </c>
      <c r="NI29" s="5">
        <v>3458400</v>
      </c>
      <c r="NJ29" s="5"/>
      <c r="NK29" s="5">
        <v>0</v>
      </c>
      <c r="NL29" s="2" t="s">
        <v>17</v>
      </c>
      <c r="NM29" s="2" t="s">
        <v>17</v>
      </c>
      <c r="NN29" s="2"/>
      <c r="NO29" s="2" t="s">
        <v>9</v>
      </c>
      <c r="NP29" s="2">
        <v>33015</v>
      </c>
      <c r="NQ29" s="2" t="s">
        <v>3573</v>
      </c>
      <c r="NR29" s="2" t="s">
        <v>17</v>
      </c>
      <c r="NS29" s="2"/>
      <c r="NT29" s="2" t="s">
        <v>9</v>
      </c>
      <c r="NU29" s="2" t="s">
        <v>450</v>
      </c>
      <c r="NV29" s="2">
        <v>117.02</v>
      </c>
      <c r="NW29" s="2" t="s">
        <v>3342</v>
      </c>
      <c r="NX29" s="2" t="s">
        <v>17</v>
      </c>
      <c r="NY29" s="2"/>
      <c r="NZ29" s="2"/>
      <c r="OA29" s="2" t="s">
        <v>118</v>
      </c>
      <c r="OB29" s="2" t="s">
        <v>118</v>
      </c>
      <c r="OC29" s="2" t="s">
        <v>118</v>
      </c>
      <c r="OD29" s="2" t="s">
        <v>3384</v>
      </c>
      <c r="OE29" s="2" t="s">
        <v>85</v>
      </c>
      <c r="OF29" s="2" t="s">
        <v>17</v>
      </c>
      <c r="OG29" s="2" t="s">
        <v>17</v>
      </c>
      <c r="OH29" s="2" t="s">
        <v>119</v>
      </c>
      <c r="OI29" s="2" t="s">
        <v>9</v>
      </c>
      <c r="OJ29" s="2" t="s">
        <v>120</v>
      </c>
      <c r="OK29" s="2" t="s">
        <v>17</v>
      </c>
      <c r="OL29" s="2" t="s">
        <v>17</v>
      </c>
      <c r="OM29" s="2" t="s">
        <v>85</v>
      </c>
      <c r="ON29" s="6">
        <v>0</v>
      </c>
      <c r="OO29" s="6">
        <v>0</v>
      </c>
      <c r="OP29" s="2" t="s">
        <v>93</v>
      </c>
      <c r="OQ29" s="2" t="s">
        <v>93</v>
      </c>
      <c r="OR29" s="6">
        <v>0</v>
      </c>
      <c r="OS29" s="4">
        <v>0</v>
      </c>
      <c r="OT29" s="2" t="s">
        <v>17</v>
      </c>
      <c r="OU29" s="2" t="s">
        <v>17</v>
      </c>
      <c r="OV29" s="2"/>
      <c r="OW29" s="2"/>
      <c r="OX29" s="5">
        <v>23017381</v>
      </c>
      <c r="OY29" s="6">
        <v>205512.33</v>
      </c>
      <c r="OZ29" s="2"/>
      <c r="PA29" s="2"/>
      <c r="PB29" s="2"/>
      <c r="PC29" s="2"/>
      <c r="PD29" s="8">
        <v>20686000</v>
      </c>
      <c r="PE29" s="8">
        <v>112000</v>
      </c>
      <c r="PF29" s="8">
        <v>20798000</v>
      </c>
      <c r="PG29" s="8">
        <v>2576000</v>
      </c>
      <c r="PH29" s="2"/>
      <c r="PI29" s="8">
        <v>2576000</v>
      </c>
      <c r="PJ29" s="2"/>
      <c r="PK29" s="2"/>
      <c r="PL29" s="2"/>
      <c r="PM29" s="8">
        <v>23262000</v>
      </c>
      <c r="PN29" s="8">
        <v>112000</v>
      </c>
      <c r="PO29" s="8">
        <v>23374000</v>
      </c>
      <c r="PP29" s="8">
        <v>3271000</v>
      </c>
      <c r="PQ29" s="2"/>
      <c r="PR29" s="8">
        <v>3271000</v>
      </c>
      <c r="PS29" s="6">
        <v>3272360</v>
      </c>
      <c r="PT29" s="8">
        <v>26533000</v>
      </c>
      <c r="PU29" s="8">
        <v>112000</v>
      </c>
      <c r="PV29" s="8">
        <v>26645000</v>
      </c>
      <c r="PW29" s="8">
        <v>1332250</v>
      </c>
      <c r="PX29" s="2"/>
      <c r="PY29" s="8">
        <v>1332250</v>
      </c>
      <c r="PZ29" s="6">
        <v>1332250</v>
      </c>
      <c r="QA29" s="8">
        <v>644700</v>
      </c>
      <c r="QB29" s="8">
        <v>246200</v>
      </c>
      <c r="QC29" s="8">
        <v>890900</v>
      </c>
      <c r="QD29" s="2"/>
      <c r="QE29" s="8">
        <v>150000</v>
      </c>
      <c r="QF29" s="8">
        <v>150000</v>
      </c>
      <c r="QG29" s="8">
        <v>525672</v>
      </c>
      <c r="QH29" s="8">
        <v>43680</v>
      </c>
      <c r="QI29" s="8">
        <v>569352</v>
      </c>
      <c r="QJ29" s="2"/>
      <c r="QK29" s="8">
        <v>574256</v>
      </c>
      <c r="QL29" s="8">
        <v>574256</v>
      </c>
      <c r="QM29" s="2"/>
      <c r="QN29" s="2"/>
      <c r="QO29" s="2"/>
      <c r="QP29" s="8">
        <v>285000</v>
      </c>
      <c r="QQ29" s="2"/>
      <c r="QR29" s="8">
        <v>285000</v>
      </c>
      <c r="QS29" s="8">
        <v>1455372</v>
      </c>
      <c r="QT29" s="8">
        <v>1014136</v>
      </c>
      <c r="QU29" s="8">
        <v>2469508</v>
      </c>
      <c r="QV29" s="8">
        <v>123000</v>
      </c>
      <c r="QW29" s="2"/>
      <c r="QX29" s="8">
        <v>123000</v>
      </c>
      <c r="QY29" s="6">
        <v>123475.4</v>
      </c>
      <c r="QZ29" s="8">
        <v>2030000</v>
      </c>
      <c r="RA29" s="8">
        <v>580000</v>
      </c>
      <c r="RB29" s="8">
        <v>2610000</v>
      </c>
      <c r="RC29" s="8">
        <v>51000</v>
      </c>
      <c r="RD29" s="8">
        <v>51000</v>
      </c>
      <c r="RE29" s="2"/>
      <c r="RF29" s="2"/>
      <c r="RG29" s="2"/>
      <c r="RH29" s="8">
        <v>2030000</v>
      </c>
      <c r="RI29" s="8">
        <v>631000</v>
      </c>
      <c r="RJ29" s="8">
        <v>2661000</v>
      </c>
      <c r="RK29" s="8">
        <v>31473622</v>
      </c>
      <c r="RL29" s="8">
        <v>1757136</v>
      </c>
      <c r="RM29" s="8">
        <v>33230758</v>
      </c>
      <c r="RN29" s="2">
        <v>0</v>
      </c>
      <c r="RO29" s="6">
        <v>0</v>
      </c>
      <c r="RP29" s="8">
        <v>5316921</v>
      </c>
      <c r="RQ29" s="2"/>
      <c r="RR29" s="8">
        <v>5316921</v>
      </c>
      <c r="RS29" s="6">
        <v>5316921</v>
      </c>
      <c r="RT29" s="6">
        <v>0</v>
      </c>
      <c r="RU29" s="8">
        <v>5316921</v>
      </c>
      <c r="RV29" s="2"/>
      <c r="RW29" s="8">
        <v>5316921</v>
      </c>
      <c r="RX29" s="6">
        <v>5316921</v>
      </c>
      <c r="RY29" s="2"/>
      <c r="RZ29" s="2"/>
      <c r="SA29" s="6">
        <v>392000</v>
      </c>
      <c r="SB29" s="8">
        <v>3000000</v>
      </c>
      <c r="SC29" s="8">
        <v>3000000</v>
      </c>
      <c r="SD29" s="8">
        <v>36790543</v>
      </c>
      <c r="SE29" s="8">
        <v>4757136</v>
      </c>
      <c r="SF29" s="8">
        <v>41547679</v>
      </c>
      <c r="SG29" s="2" t="s">
        <v>1876</v>
      </c>
      <c r="SH29" s="2"/>
      <c r="SI29" s="2" t="s">
        <v>3216</v>
      </c>
      <c r="SJ29" s="2"/>
      <c r="SK29" s="8">
        <v>29000000</v>
      </c>
      <c r="SL29" s="2" t="s">
        <v>95</v>
      </c>
      <c r="SM29" s="2"/>
      <c r="SN29" s="2"/>
      <c r="SO29" s="2"/>
      <c r="SP29" s="2"/>
      <c r="SQ29" s="2"/>
      <c r="SR29" s="2"/>
      <c r="SS29" s="2" t="s">
        <v>96</v>
      </c>
      <c r="ST29" s="2" t="s">
        <v>96</v>
      </c>
      <c r="SU29" s="2" t="s">
        <v>96</v>
      </c>
      <c r="SV29" s="2" t="s">
        <v>96</v>
      </c>
      <c r="SW29" s="8">
        <v>7954000</v>
      </c>
      <c r="SX29" s="2"/>
      <c r="SY29" s="2"/>
      <c r="SZ29" s="2"/>
      <c r="TA29" s="2"/>
      <c r="TB29" s="2"/>
      <c r="TC29" s="2"/>
      <c r="TD29" s="8">
        <v>4593679</v>
      </c>
      <c r="TE29" s="8">
        <v>41547679</v>
      </c>
      <c r="TF29" s="2">
        <v>0</v>
      </c>
      <c r="TG29" s="2" t="s">
        <v>9</v>
      </c>
      <c r="TH29" s="8">
        <v>6800000</v>
      </c>
      <c r="TI29" s="2" t="s">
        <v>95</v>
      </c>
      <c r="TJ29" s="2"/>
      <c r="TK29" s="2"/>
      <c r="TL29" s="2"/>
      <c r="TM29" s="2"/>
      <c r="TN29" s="2" t="s">
        <v>96</v>
      </c>
      <c r="TO29" s="2" t="s">
        <v>96</v>
      </c>
      <c r="TP29" s="2" t="s">
        <v>96</v>
      </c>
      <c r="TQ29" s="2" t="s">
        <v>96</v>
      </c>
      <c r="TR29" s="8">
        <v>31814000</v>
      </c>
      <c r="TS29" s="2"/>
      <c r="TT29" s="2"/>
      <c r="TU29" s="2"/>
      <c r="TV29" s="2"/>
      <c r="TW29" s="2"/>
      <c r="TX29" s="2"/>
      <c r="TY29" s="8">
        <v>2933679</v>
      </c>
      <c r="TZ29" s="8">
        <v>41547679</v>
      </c>
      <c r="UA29" s="6">
        <v>6800000</v>
      </c>
      <c r="UB29" s="2">
        <v>0</v>
      </c>
      <c r="UC29" s="2" t="s">
        <v>9</v>
      </c>
      <c r="UD29" s="2">
        <v>112</v>
      </c>
      <c r="UE29" s="5">
        <v>290000</v>
      </c>
      <c r="UF29" s="6">
        <v>386666.67</v>
      </c>
      <c r="UG29" s="6">
        <v>386666.67</v>
      </c>
      <c r="UH29" s="6">
        <v>409866.67</v>
      </c>
      <c r="UI29" s="6">
        <v>45905066.670000002</v>
      </c>
      <c r="UJ29" s="6">
        <v>7344810</v>
      </c>
      <c r="UK29" s="2" t="s">
        <v>97</v>
      </c>
      <c r="UL29" s="6">
        <v>7344810</v>
      </c>
      <c r="UM29" s="6">
        <v>53249876.670000002</v>
      </c>
      <c r="UN29" s="6">
        <v>38547679</v>
      </c>
      <c r="UO29" s="4">
        <v>0.99990000000000001</v>
      </c>
      <c r="UP29" s="2" t="s">
        <v>9</v>
      </c>
      <c r="UQ29" s="6">
        <v>0</v>
      </c>
      <c r="UR29" s="6">
        <v>0</v>
      </c>
      <c r="US29" s="6">
        <v>855876.54</v>
      </c>
      <c r="UT29" s="6">
        <v>855876.54</v>
      </c>
      <c r="UU29" s="6">
        <v>0</v>
      </c>
      <c r="UV29" s="6">
        <v>855876.54</v>
      </c>
      <c r="UW29" s="6">
        <v>0</v>
      </c>
      <c r="UX29" s="6">
        <v>855876.54</v>
      </c>
      <c r="UY29" s="2" t="s">
        <v>3387</v>
      </c>
      <c r="UZ29" s="2" t="s">
        <v>3288</v>
      </c>
      <c r="VA29" s="2" t="s">
        <v>17</v>
      </c>
      <c r="VB29" s="2" t="s">
        <v>17</v>
      </c>
      <c r="VC29" s="2" t="s">
        <v>17</v>
      </c>
      <c r="VD29" s="2" t="s">
        <v>17</v>
      </c>
      <c r="VE29" s="2" t="s">
        <v>17</v>
      </c>
      <c r="VF29" s="2" t="s">
        <v>17</v>
      </c>
      <c r="VG29" s="2" t="s">
        <v>3847</v>
      </c>
      <c r="VH29" s="2"/>
      <c r="VI29" s="388" t="s">
        <v>3209</v>
      </c>
      <c r="VJ29" s="2" t="s">
        <v>98</v>
      </c>
      <c r="VK29" s="2" t="s">
        <v>536</v>
      </c>
      <c r="VL29" s="23">
        <f t="shared" si="0"/>
        <v>136</v>
      </c>
      <c r="VM29" s="17">
        <f t="shared" si="1"/>
        <v>1.2142857142857142</v>
      </c>
      <c r="VN29" s="17" t="str">
        <f t="shared" si="2"/>
        <v>NC-MR-F</v>
      </c>
      <c r="VO29" s="17" t="str">
        <f t="shared" si="14"/>
        <v>NC-MR-F-ESS</v>
      </c>
      <c r="VP29" s="12">
        <v>9</v>
      </c>
      <c r="VQ29" s="57">
        <v>1</v>
      </c>
      <c r="VR29" s="57">
        <f t="shared" si="3"/>
        <v>1</v>
      </c>
      <c r="VS29" s="14">
        <f t="shared" si="4"/>
        <v>1</v>
      </c>
      <c r="VT29" s="12">
        <f t="shared" si="5"/>
        <v>0.90210000000000001</v>
      </c>
      <c r="VU29" s="29">
        <f t="shared" si="6"/>
        <v>28078403.760000002</v>
      </c>
      <c r="VV29" s="29">
        <f t="shared" si="7"/>
        <v>250700.03</v>
      </c>
      <c r="VW29" s="12" t="str">
        <f t="shared" si="15"/>
        <v>A</v>
      </c>
      <c r="VX29" s="12" t="str">
        <f t="shared" si="8"/>
        <v>NC-MR-ESS</v>
      </c>
      <c r="VY29" s="352">
        <f t="shared" si="16"/>
        <v>4</v>
      </c>
      <c r="WA29" s="12">
        <f t="shared" si="17"/>
        <v>0</v>
      </c>
      <c r="WB29" s="12">
        <f t="shared" si="18"/>
        <v>0</v>
      </c>
      <c r="WC29" s="12">
        <f t="shared" si="18"/>
        <v>0</v>
      </c>
      <c r="WD29" s="12">
        <f t="shared" si="18"/>
        <v>0</v>
      </c>
      <c r="WE29" s="12">
        <f t="shared" si="19"/>
        <v>1</v>
      </c>
      <c r="WF29" s="12">
        <f t="shared" si="9"/>
        <v>0</v>
      </c>
      <c r="WG29" s="12">
        <f t="shared" si="10"/>
        <v>1</v>
      </c>
      <c r="WH29" s="12">
        <f t="shared" si="11"/>
        <v>0</v>
      </c>
      <c r="WI29" s="31">
        <f t="shared" si="12"/>
        <v>2</v>
      </c>
      <c r="WJ29" s="2"/>
      <c r="WK29" s="444" t="str">
        <f t="shared" si="20"/>
        <v>NC-MR-ESS-BBN-BRN-NPH-F</v>
      </c>
      <c r="WL29" s="444"/>
      <c r="WM29" s="444"/>
    </row>
    <row r="30" spans="1:611" x14ac:dyDescent="0.25">
      <c r="A30" s="2">
        <v>9620</v>
      </c>
      <c r="B30" s="2" t="s">
        <v>3848</v>
      </c>
      <c r="C30" s="2" t="s">
        <v>3305</v>
      </c>
      <c r="D30" s="3">
        <v>45159</v>
      </c>
      <c r="E30" s="2" t="s">
        <v>9</v>
      </c>
      <c r="F30" s="2">
        <v>3</v>
      </c>
      <c r="G30" s="2" t="s">
        <v>9</v>
      </c>
      <c r="H30" s="2">
        <v>3</v>
      </c>
      <c r="I30" s="2" t="s">
        <v>9</v>
      </c>
      <c r="J30" s="2">
        <v>3</v>
      </c>
      <c r="K30" s="2" t="s">
        <v>9</v>
      </c>
      <c r="L30" s="2">
        <v>3</v>
      </c>
      <c r="M30" s="2" t="s">
        <v>10</v>
      </c>
      <c r="N30" s="2">
        <v>0</v>
      </c>
      <c r="O30" s="2" t="s">
        <v>10</v>
      </c>
      <c r="P30" s="2">
        <v>0</v>
      </c>
      <c r="Q30" s="2" t="s">
        <v>11</v>
      </c>
      <c r="R30" s="2">
        <v>0</v>
      </c>
      <c r="S30" s="2" t="s">
        <v>9</v>
      </c>
      <c r="T30" s="2">
        <v>2</v>
      </c>
      <c r="U30" s="2" t="s">
        <v>9</v>
      </c>
      <c r="V30" s="2">
        <v>2</v>
      </c>
      <c r="W30" s="2" t="s">
        <v>9</v>
      </c>
      <c r="X30" s="2">
        <v>2</v>
      </c>
      <c r="Y30" s="2" t="s">
        <v>12</v>
      </c>
      <c r="Z30" s="2" t="s">
        <v>15</v>
      </c>
      <c r="AA30" s="2" t="s">
        <v>15</v>
      </c>
      <c r="AB30" s="2" t="s">
        <v>15</v>
      </c>
      <c r="AC30" s="2" t="s">
        <v>15</v>
      </c>
      <c r="AD30" s="2" t="s">
        <v>3125</v>
      </c>
      <c r="AE30" s="2" t="s">
        <v>15</v>
      </c>
      <c r="AF30" s="2">
        <v>0</v>
      </c>
      <c r="AG30" s="2" t="s">
        <v>234</v>
      </c>
      <c r="AH30" s="2" t="s">
        <v>17</v>
      </c>
      <c r="AI30" s="4">
        <v>0.1</v>
      </c>
      <c r="AJ30" s="2" t="s">
        <v>17</v>
      </c>
      <c r="AK30" s="2" t="s">
        <v>9</v>
      </c>
      <c r="AL30" s="2" t="s">
        <v>17</v>
      </c>
      <c r="AM30" s="2" t="s">
        <v>17</v>
      </c>
      <c r="AN30" s="2" t="s">
        <v>17</v>
      </c>
      <c r="AO30" s="2" t="s">
        <v>17</v>
      </c>
      <c r="AP30" s="2" t="s">
        <v>17</v>
      </c>
      <c r="AQ30" s="2" t="s">
        <v>9</v>
      </c>
      <c r="AR30" s="2" t="s">
        <v>17</v>
      </c>
      <c r="AS30" s="2" t="s">
        <v>17</v>
      </c>
      <c r="AT30" s="2">
        <v>5</v>
      </c>
      <c r="AU30" s="5">
        <v>100000</v>
      </c>
      <c r="AV30" s="2" t="s">
        <v>85</v>
      </c>
      <c r="AW30" s="2">
        <v>0</v>
      </c>
      <c r="AX30" s="2">
        <v>10</v>
      </c>
      <c r="AY30" s="2">
        <v>0</v>
      </c>
      <c r="AZ30" s="2">
        <v>18</v>
      </c>
      <c r="BA30" s="2">
        <v>0</v>
      </c>
      <c r="BB30" s="2">
        <v>0</v>
      </c>
      <c r="BC30" s="2">
        <v>1</v>
      </c>
      <c r="BD30" s="2">
        <v>5</v>
      </c>
      <c r="BE30" s="2">
        <v>0</v>
      </c>
      <c r="BF30" s="2">
        <v>1</v>
      </c>
      <c r="BG30" s="2">
        <v>0</v>
      </c>
      <c r="BH30" s="2">
        <v>0</v>
      </c>
      <c r="BI30" s="2">
        <v>13</v>
      </c>
      <c r="BJ30" s="2">
        <v>1</v>
      </c>
      <c r="BK30" s="2">
        <v>0</v>
      </c>
      <c r="BL30" s="2">
        <v>2</v>
      </c>
      <c r="BM30" s="2">
        <v>1</v>
      </c>
      <c r="BN30" s="2">
        <v>11</v>
      </c>
      <c r="BO30" s="2">
        <v>11</v>
      </c>
      <c r="BP30" s="2">
        <v>0</v>
      </c>
      <c r="BQ30" s="2">
        <v>10</v>
      </c>
      <c r="BR30" s="2">
        <v>10.220000000000001</v>
      </c>
      <c r="BS30" s="2">
        <v>0</v>
      </c>
      <c r="BT30" s="4">
        <v>0.06</v>
      </c>
      <c r="BU30" s="2" t="s">
        <v>9</v>
      </c>
      <c r="BV30" s="6">
        <v>205601.88</v>
      </c>
      <c r="BW30" s="2" t="s">
        <v>126</v>
      </c>
      <c r="BX30" s="2" t="s">
        <v>17</v>
      </c>
      <c r="BY30" s="2" t="s">
        <v>17</v>
      </c>
      <c r="BZ30" s="2" t="s">
        <v>17</v>
      </c>
      <c r="CA30" s="2" t="s">
        <v>17</v>
      </c>
      <c r="CB30" s="2" t="s">
        <v>17</v>
      </c>
      <c r="CC30" s="2" t="s">
        <v>17</v>
      </c>
      <c r="CD30" s="2" t="s">
        <v>17</v>
      </c>
      <c r="CE30" s="2" t="s">
        <v>3849</v>
      </c>
      <c r="CF30" s="2" t="s">
        <v>17</v>
      </c>
      <c r="CG30" s="2" t="s">
        <v>3850</v>
      </c>
      <c r="CH30" s="2"/>
      <c r="CI30" s="2"/>
      <c r="CJ30" s="2" t="s">
        <v>9</v>
      </c>
      <c r="CK30" s="2" t="s">
        <v>3851</v>
      </c>
      <c r="CL30" s="2" t="s">
        <v>3850</v>
      </c>
      <c r="CM30" s="2" t="s">
        <v>3852</v>
      </c>
      <c r="CN30" s="2" t="s">
        <v>2705</v>
      </c>
      <c r="CO30" s="2" t="s">
        <v>24</v>
      </c>
      <c r="CP30" s="2"/>
      <c r="CQ30" s="2">
        <v>110</v>
      </c>
      <c r="CR30" s="2" t="s">
        <v>3718</v>
      </c>
      <c r="CS30" s="2">
        <v>2020</v>
      </c>
      <c r="CT30" s="2" t="s">
        <v>26</v>
      </c>
      <c r="CU30" s="2" t="s">
        <v>27</v>
      </c>
      <c r="CV30" s="2" t="s">
        <v>3853</v>
      </c>
      <c r="CW30" s="2" t="s">
        <v>3854</v>
      </c>
      <c r="CX30" s="2" t="s">
        <v>24</v>
      </c>
      <c r="CY30" s="2"/>
      <c r="CZ30" s="2">
        <v>120</v>
      </c>
      <c r="DA30" s="2" t="s">
        <v>3718</v>
      </c>
      <c r="DB30" s="2">
        <v>2020</v>
      </c>
      <c r="DC30" s="2" t="s">
        <v>30</v>
      </c>
      <c r="DD30" s="2" t="s">
        <v>27</v>
      </c>
      <c r="DE30" s="2" t="s">
        <v>3855</v>
      </c>
      <c r="DF30" s="2" t="s">
        <v>2705</v>
      </c>
      <c r="DG30" s="2" t="s">
        <v>24</v>
      </c>
      <c r="DH30" s="2"/>
      <c r="DI30" s="2">
        <v>123</v>
      </c>
      <c r="DJ30" s="2" t="s">
        <v>3718</v>
      </c>
      <c r="DK30" s="2">
        <v>2019</v>
      </c>
      <c r="DL30" s="2" t="s">
        <v>30</v>
      </c>
      <c r="DM30" s="2" t="s">
        <v>27</v>
      </c>
      <c r="DN30" s="2" t="s">
        <v>33</v>
      </c>
      <c r="DO30" s="2" t="s">
        <v>3856</v>
      </c>
      <c r="DP30" s="2"/>
      <c r="DQ30" s="2" t="s">
        <v>1180</v>
      </c>
      <c r="DR30" s="2" t="s">
        <v>1181</v>
      </c>
      <c r="DS30" s="2">
        <v>1</v>
      </c>
      <c r="DT30" s="2" t="s">
        <v>3857</v>
      </c>
      <c r="DU30" s="2" t="s">
        <v>299</v>
      </c>
      <c r="DV30" s="2" t="s">
        <v>39</v>
      </c>
      <c r="DW30" s="2">
        <v>33176</v>
      </c>
      <c r="DX30" s="2" t="s">
        <v>3858</v>
      </c>
      <c r="DY30" s="2"/>
      <c r="DZ30" s="2" t="s">
        <v>3859</v>
      </c>
      <c r="EA30" s="2" t="s">
        <v>1181</v>
      </c>
      <c r="EB30" s="2" t="s">
        <v>3543</v>
      </c>
      <c r="EC30" s="2" t="s">
        <v>330</v>
      </c>
      <c r="ED30" s="2" t="s">
        <v>44</v>
      </c>
      <c r="EE30" s="2">
        <v>176</v>
      </c>
      <c r="EF30" s="2" t="s">
        <v>3719</v>
      </c>
      <c r="EG30" s="2">
        <v>7</v>
      </c>
      <c r="EH30" s="2" t="s">
        <v>46</v>
      </c>
      <c r="EI30" s="2" t="s">
        <v>47</v>
      </c>
      <c r="EJ30" s="2" t="s">
        <v>3860</v>
      </c>
      <c r="EK30" s="2" t="s">
        <v>330</v>
      </c>
      <c r="EL30" s="2" t="s">
        <v>44</v>
      </c>
      <c r="EM30" s="2">
        <v>109</v>
      </c>
      <c r="EN30" s="2" t="s">
        <v>3719</v>
      </c>
      <c r="EO30" s="2">
        <v>5</v>
      </c>
      <c r="EP30" s="2" t="s">
        <v>46</v>
      </c>
      <c r="EQ30" s="2" t="s">
        <v>47</v>
      </c>
      <c r="ER30" s="2" t="s">
        <v>656</v>
      </c>
      <c r="ES30" s="2" t="s">
        <v>3609</v>
      </c>
      <c r="ET30" s="2" t="s">
        <v>3861</v>
      </c>
      <c r="EU30" s="2" t="s">
        <v>3849</v>
      </c>
      <c r="EV30" s="2" t="s">
        <v>3862</v>
      </c>
      <c r="EW30" s="2" t="s">
        <v>299</v>
      </c>
      <c r="EX30" s="2" t="s">
        <v>39</v>
      </c>
      <c r="EY30" s="2">
        <v>33156</v>
      </c>
      <c r="EZ30" s="2" t="s">
        <v>3863</v>
      </c>
      <c r="FA30" s="2"/>
      <c r="FB30" s="2" t="s">
        <v>3864</v>
      </c>
      <c r="FC30" s="2" t="s">
        <v>544</v>
      </c>
      <c r="FD30" s="2"/>
      <c r="FE30" s="2" t="s">
        <v>3865</v>
      </c>
      <c r="FF30" s="2" t="s">
        <v>3850</v>
      </c>
      <c r="FG30" s="2" t="s">
        <v>3862</v>
      </c>
      <c r="FH30" s="2" t="s">
        <v>299</v>
      </c>
      <c r="FI30" s="2" t="s">
        <v>39</v>
      </c>
      <c r="FJ30" s="2">
        <v>33156</v>
      </c>
      <c r="FK30" s="2" t="s">
        <v>3863</v>
      </c>
      <c r="FL30" s="2"/>
      <c r="FM30" s="2" t="s">
        <v>3866</v>
      </c>
      <c r="FN30" s="2" t="s">
        <v>3867</v>
      </c>
      <c r="FO30" s="2" t="s">
        <v>63</v>
      </c>
      <c r="FP30" s="2" t="s">
        <v>64</v>
      </c>
      <c r="FQ30" s="2" t="s">
        <v>9</v>
      </c>
      <c r="FR30" s="2" t="s">
        <v>17</v>
      </c>
      <c r="FS30" s="2" t="s">
        <v>17</v>
      </c>
      <c r="FT30" s="2" t="s">
        <v>9</v>
      </c>
      <c r="FU30" s="2"/>
      <c r="FV30" s="2"/>
      <c r="FW30" s="2">
        <v>0</v>
      </c>
      <c r="FX30" s="2">
        <v>0</v>
      </c>
      <c r="FY30" s="4">
        <v>0</v>
      </c>
      <c r="FZ30" s="4">
        <v>0</v>
      </c>
      <c r="GA30" s="2" t="s">
        <v>65</v>
      </c>
      <c r="GB30" s="2"/>
      <c r="GC30" s="2" t="s">
        <v>66</v>
      </c>
      <c r="GD30" s="2" t="s">
        <v>67</v>
      </c>
      <c r="GE30" s="2" t="s">
        <v>2684</v>
      </c>
      <c r="GF30" s="2"/>
      <c r="GG30" s="2"/>
      <c r="GH30" s="2"/>
      <c r="GI30" s="2"/>
      <c r="GJ30" s="2"/>
      <c r="GK30" s="2">
        <v>108</v>
      </c>
      <c r="GL30" s="2"/>
      <c r="GM30" s="2"/>
      <c r="GN30" s="2"/>
      <c r="GO30" s="2"/>
      <c r="GP30" s="2"/>
      <c r="GQ30" s="2">
        <v>108</v>
      </c>
      <c r="GR30" s="2" t="s">
        <v>3332</v>
      </c>
      <c r="GS30" s="2" t="s">
        <v>2686</v>
      </c>
      <c r="GT30" s="2" t="s">
        <v>3868</v>
      </c>
      <c r="GU30" s="2" t="s">
        <v>2720</v>
      </c>
      <c r="GV30" s="2" t="s">
        <v>17</v>
      </c>
      <c r="GW30" s="2">
        <v>25.534213999999999</v>
      </c>
      <c r="GX30" s="2">
        <v>-80.412397999999996</v>
      </c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>
        <v>25.540035</v>
      </c>
      <c r="HO30" s="2">
        <v>-80.407889999999995</v>
      </c>
      <c r="HP30" s="2">
        <v>0.49</v>
      </c>
      <c r="HQ30" s="2">
        <v>5.5</v>
      </c>
      <c r="HR30" s="2"/>
      <c r="HS30" s="2"/>
      <c r="HT30" s="2"/>
      <c r="HU30" s="2"/>
      <c r="HV30" s="2" t="s">
        <v>406</v>
      </c>
      <c r="HW30" s="2" t="s">
        <v>3869</v>
      </c>
      <c r="HX30" s="2">
        <v>1.1599999999999999</v>
      </c>
      <c r="HY30" s="2">
        <v>2</v>
      </c>
      <c r="HZ30" s="2"/>
      <c r="IA30" s="2"/>
      <c r="IB30" s="2"/>
      <c r="IC30" s="2"/>
      <c r="ID30" s="2" t="s">
        <v>406</v>
      </c>
      <c r="IE30" s="2">
        <v>1.1599999999999999</v>
      </c>
      <c r="IF30" s="2">
        <v>2</v>
      </c>
      <c r="IG30" s="2" t="s">
        <v>3870</v>
      </c>
      <c r="IH30" s="2">
        <v>0.31</v>
      </c>
      <c r="II30" s="2">
        <v>4</v>
      </c>
      <c r="IJ30" s="2" t="s">
        <v>9</v>
      </c>
      <c r="IK30" s="2" t="s">
        <v>3398</v>
      </c>
      <c r="IL30" s="2" t="s">
        <v>3341</v>
      </c>
      <c r="IM30" s="2" t="s">
        <v>17</v>
      </c>
      <c r="IN30" s="2"/>
      <c r="IO30" s="2" t="s">
        <v>79</v>
      </c>
      <c r="IP30" s="2">
        <v>5.5</v>
      </c>
      <c r="IQ30" s="2">
        <v>8</v>
      </c>
      <c r="IR30" s="2">
        <v>13.5</v>
      </c>
      <c r="IS30" s="2" t="s">
        <v>17</v>
      </c>
      <c r="IT30" s="2" t="s">
        <v>17</v>
      </c>
      <c r="IU30" s="2" t="s">
        <v>9</v>
      </c>
      <c r="IV30" s="2" t="s">
        <v>9</v>
      </c>
      <c r="IW30" s="2" t="s">
        <v>9</v>
      </c>
      <c r="IX30" s="2" t="s">
        <v>9</v>
      </c>
      <c r="IY30" s="2">
        <v>13.5</v>
      </c>
      <c r="IZ30" s="2">
        <v>108</v>
      </c>
      <c r="JA30" s="2" t="s">
        <v>3399</v>
      </c>
      <c r="JB30" s="2"/>
      <c r="JC30" s="2" t="s">
        <v>173</v>
      </c>
      <c r="JD30" s="7">
        <v>0.1</v>
      </c>
      <c r="JE30" s="7">
        <v>0.9</v>
      </c>
      <c r="JF30" s="7">
        <v>0</v>
      </c>
      <c r="JG30" s="7"/>
      <c r="JH30" s="7"/>
      <c r="JI30" s="2">
        <v>108</v>
      </c>
      <c r="JJ30" s="7">
        <v>1</v>
      </c>
      <c r="JK30" s="2">
        <v>108</v>
      </c>
      <c r="JL30" s="7">
        <v>1</v>
      </c>
      <c r="JM30" s="2"/>
      <c r="JN30" s="2"/>
      <c r="JO30" s="2"/>
      <c r="JP30" s="2"/>
      <c r="JQ30" s="2"/>
      <c r="JR30" s="2"/>
      <c r="JS30" s="2">
        <v>0</v>
      </c>
      <c r="JT30" s="2">
        <v>0</v>
      </c>
      <c r="JU30" s="2"/>
      <c r="JV30" s="2">
        <v>0</v>
      </c>
      <c r="JW30" s="4">
        <v>0</v>
      </c>
      <c r="JX30" s="2">
        <v>0</v>
      </c>
      <c r="JY30" s="4">
        <v>0</v>
      </c>
      <c r="JZ30" s="2">
        <v>0</v>
      </c>
      <c r="KA30" s="2"/>
      <c r="KB30" s="2"/>
      <c r="KC30" s="2"/>
      <c r="KD30" s="2"/>
      <c r="KE30" s="2"/>
      <c r="KF30" s="2"/>
      <c r="KG30" s="2"/>
      <c r="KH30" s="2">
        <v>67</v>
      </c>
      <c r="KI30" s="2"/>
      <c r="KJ30" s="2"/>
      <c r="KK30" s="2">
        <v>41</v>
      </c>
      <c r="KL30" s="2"/>
      <c r="KM30" s="2"/>
      <c r="KN30" s="2"/>
      <c r="KO30" s="2"/>
      <c r="KP30" s="2"/>
      <c r="KQ30" s="2" t="s">
        <v>83</v>
      </c>
      <c r="KR30" s="2"/>
      <c r="KS30" s="2" t="s">
        <v>73</v>
      </c>
      <c r="KT30" s="2">
        <v>1</v>
      </c>
      <c r="KU30" s="2" t="s">
        <v>84</v>
      </c>
      <c r="KV30" s="2" t="s">
        <v>85</v>
      </c>
      <c r="KW30" s="2" t="s">
        <v>86</v>
      </c>
      <c r="KX30" s="2" t="s">
        <v>17</v>
      </c>
      <c r="KY30" s="2" t="s">
        <v>17</v>
      </c>
      <c r="KZ30" s="2" t="s">
        <v>17</v>
      </c>
      <c r="LA30" s="2" t="s">
        <v>17</v>
      </c>
      <c r="LB30" s="2" t="s">
        <v>17</v>
      </c>
      <c r="LC30" s="2" t="s">
        <v>17</v>
      </c>
      <c r="LD30" s="2" t="s">
        <v>17</v>
      </c>
      <c r="LE30" s="2" t="s">
        <v>17</v>
      </c>
      <c r="LF30" s="2" t="s">
        <v>17</v>
      </c>
      <c r="LG30" s="2" t="s">
        <v>17</v>
      </c>
      <c r="LH30" s="2" t="s">
        <v>17</v>
      </c>
      <c r="LI30" s="2" t="s">
        <v>17</v>
      </c>
      <c r="LJ30" s="2" t="s">
        <v>87</v>
      </c>
      <c r="LK30" s="2" t="s">
        <v>17</v>
      </c>
      <c r="LL30" s="2" t="s">
        <v>17</v>
      </c>
      <c r="LM30" s="2">
        <v>0</v>
      </c>
      <c r="LN30" s="2" t="s">
        <v>17</v>
      </c>
      <c r="LO30" s="2" t="s">
        <v>17</v>
      </c>
      <c r="LP30" s="2" t="s">
        <v>17</v>
      </c>
      <c r="LQ30" s="2" t="s">
        <v>17</v>
      </c>
      <c r="LR30" s="2" t="s">
        <v>17</v>
      </c>
      <c r="LS30" s="2" t="s">
        <v>17</v>
      </c>
      <c r="LT30" s="2" t="s">
        <v>9</v>
      </c>
      <c r="LU30" s="2" t="s">
        <v>9</v>
      </c>
      <c r="LV30" s="2" t="s">
        <v>9</v>
      </c>
      <c r="LW30" s="2" t="s">
        <v>17</v>
      </c>
      <c r="LX30" s="2" t="s">
        <v>17</v>
      </c>
      <c r="LY30" s="5">
        <v>6500000</v>
      </c>
      <c r="LZ30" s="5">
        <v>0</v>
      </c>
      <c r="MA30" s="5">
        <v>8400000</v>
      </c>
      <c r="MB30" s="5">
        <v>0</v>
      </c>
      <c r="MC30" s="5">
        <v>0</v>
      </c>
      <c r="MD30" s="5">
        <v>0</v>
      </c>
      <c r="ME30" s="5">
        <v>10000000</v>
      </c>
      <c r="MF30" s="5">
        <v>0</v>
      </c>
      <c r="MG30" s="5">
        <v>0</v>
      </c>
      <c r="MH30" s="5">
        <v>0</v>
      </c>
      <c r="MI30" s="5">
        <v>0</v>
      </c>
      <c r="MJ30" s="5">
        <v>0</v>
      </c>
      <c r="MK30" s="5">
        <v>0</v>
      </c>
      <c r="ML30" s="2">
        <v>0</v>
      </c>
      <c r="MM30" s="5">
        <v>0</v>
      </c>
      <c r="MN30" s="5">
        <v>0</v>
      </c>
      <c r="MO30" s="2">
        <v>0</v>
      </c>
      <c r="MP30" s="2">
        <v>0</v>
      </c>
      <c r="MQ30" s="2">
        <v>0</v>
      </c>
      <c r="MR30" s="5">
        <v>2950000</v>
      </c>
      <c r="MS30" s="5">
        <v>0</v>
      </c>
      <c r="MT30" s="5">
        <v>4600000</v>
      </c>
      <c r="MU30" s="5">
        <v>0</v>
      </c>
      <c r="MV30" s="5">
        <v>0</v>
      </c>
      <c r="MW30" s="5">
        <v>0</v>
      </c>
      <c r="MX30" s="5">
        <v>0</v>
      </c>
      <c r="MY30" s="5">
        <v>2500000</v>
      </c>
      <c r="MZ30" s="5">
        <v>0</v>
      </c>
      <c r="NA30" s="5">
        <v>5000000</v>
      </c>
      <c r="NB30" s="5">
        <v>0</v>
      </c>
      <c r="NC30" s="5">
        <v>0</v>
      </c>
      <c r="ND30" s="5">
        <v>0</v>
      </c>
      <c r="NE30" s="5">
        <v>0</v>
      </c>
      <c r="NF30" s="5">
        <v>0</v>
      </c>
      <c r="NG30" s="5">
        <v>3458400</v>
      </c>
      <c r="NH30" s="5">
        <v>3458400</v>
      </c>
      <c r="NI30" s="5">
        <v>3458400</v>
      </c>
      <c r="NJ30" s="5"/>
      <c r="NK30" s="5">
        <v>0</v>
      </c>
      <c r="NL30" s="2" t="s">
        <v>17</v>
      </c>
      <c r="NM30" s="2" t="s">
        <v>17</v>
      </c>
      <c r="NN30" s="2"/>
      <c r="NO30" s="2" t="s">
        <v>17</v>
      </c>
      <c r="NP30" s="2"/>
      <c r="NQ30" s="2"/>
      <c r="NR30" s="2" t="s">
        <v>17</v>
      </c>
      <c r="NS30" s="2"/>
      <c r="NT30" s="2" t="s">
        <v>17</v>
      </c>
      <c r="NU30" s="2"/>
      <c r="NV30" s="2"/>
      <c r="NW30" s="2"/>
      <c r="NX30" s="2" t="s">
        <v>17</v>
      </c>
      <c r="NY30" s="2"/>
      <c r="NZ30" s="2"/>
      <c r="OA30" s="2" t="s">
        <v>118</v>
      </c>
      <c r="OB30" s="2" t="s">
        <v>118</v>
      </c>
      <c r="OC30" s="2" t="s">
        <v>118</v>
      </c>
      <c r="OD30" s="2" t="s">
        <v>3343</v>
      </c>
      <c r="OE30" s="2" t="s">
        <v>3402</v>
      </c>
      <c r="OF30" s="2" t="s">
        <v>9</v>
      </c>
      <c r="OG30" s="2" t="s">
        <v>17</v>
      </c>
      <c r="OH30" s="2"/>
      <c r="OI30" s="2" t="s">
        <v>17</v>
      </c>
      <c r="OJ30" s="2"/>
      <c r="OK30" s="2" t="s">
        <v>17</v>
      </c>
      <c r="OL30" s="2" t="s">
        <v>17</v>
      </c>
      <c r="OM30" s="2" t="s">
        <v>85</v>
      </c>
      <c r="ON30" s="6">
        <v>0</v>
      </c>
      <c r="OO30" s="6">
        <v>0</v>
      </c>
      <c r="OP30" s="2" t="s">
        <v>93</v>
      </c>
      <c r="OQ30" s="2" t="s">
        <v>93</v>
      </c>
      <c r="OR30" s="6">
        <v>0</v>
      </c>
      <c r="OS30" s="4">
        <v>0</v>
      </c>
      <c r="OT30" s="2" t="s">
        <v>17</v>
      </c>
      <c r="OU30" s="2" t="s">
        <v>17</v>
      </c>
      <c r="OV30" s="2"/>
      <c r="OW30" s="2"/>
      <c r="OX30" s="5">
        <v>22205003</v>
      </c>
      <c r="OY30" s="6">
        <v>205601.88</v>
      </c>
      <c r="OZ30" s="2"/>
      <c r="PA30" s="2"/>
      <c r="PB30" s="2"/>
      <c r="PC30" s="2"/>
      <c r="PD30" s="8">
        <v>21536875</v>
      </c>
      <c r="PE30" s="8">
        <v>350000</v>
      </c>
      <c r="PF30" s="8">
        <v>21886875</v>
      </c>
      <c r="PG30" s="2"/>
      <c r="PH30" s="2"/>
      <c r="PI30" s="2"/>
      <c r="PJ30" s="8">
        <v>475000</v>
      </c>
      <c r="PK30" s="8">
        <v>183600</v>
      </c>
      <c r="PL30" s="8">
        <v>658600</v>
      </c>
      <c r="PM30" s="8">
        <v>22011875</v>
      </c>
      <c r="PN30" s="8">
        <v>533600</v>
      </c>
      <c r="PO30" s="8">
        <v>22545475</v>
      </c>
      <c r="PP30" s="8">
        <v>3064162</v>
      </c>
      <c r="PQ30" s="2"/>
      <c r="PR30" s="8">
        <v>3064162</v>
      </c>
      <c r="PS30" s="6">
        <v>3156366</v>
      </c>
      <c r="PT30" s="8">
        <v>25076037</v>
      </c>
      <c r="PU30" s="8">
        <v>533600</v>
      </c>
      <c r="PV30" s="8">
        <v>25609637</v>
      </c>
      <c r="PW30" s="8">
        <v>1276491</v>
      </c>
      <c r="PX30" s="2"/>
      <c r="PY30" s="8">
        <v>1276491</v>
      </c>
      <c r="PZ30" s="6">
        <v>1280481.8500000001</v>
      </c>
      <c r="QA30" s="8">
        <v>2051700</v>
      </c>
      <c r="QB30" s="8">
        <v>162500</v>
      </c>
      <c r="QC30" s="8">
        <v>2214200</v>
      </c>
      <c r="QD30" s="8">
        <v>233490</v>
      </c>
      <c r="QE30" s="8">
        <v>216000</v>
      </c>
      <c r="QF30" s="8">
        <v>449490</v>
      </c>
      <c r="QG30" s="8">
        <v>593343</v>
      </c>
      <c r="QH30" s="8">
        <v>3000</v>
      </c>
      <c r="QI30" s="8">
        <v>596343</v>
      </c>
      <c r="QJ30" s="2"/>
      <c r="QK30" s="8">
        <v>565371</v>
      </c>
      <c r="QL30" s="8">
        <v>565371</v>
      </c>
      <c r="QM30" s="2"/>
      <c r="QN30" s="2"/>
      <c r="QO30" s="2"/>
      <c r="QP30" s="2"/>
      <c r="QQ30" s="2"/>
      <c r="QR30" s="2"/>
      <c r="QS30" s="8">
        <v>2878533</v>
      </c>
      <c r="QT30" s="8">
        <v>946871</v>
      </c>
      <c r="QU30" s="8">
        <v>3825404</v>
      </c>
      <c r="QV30" s="2"/>
      <c r="QW30" s="8">
        <v>190887</v>
      </c>
      <c r="QX30" s="8">
        <v>190887</v>
      </c>
      <c r="QY30" s="6">
        <v>191270.2</v>
      </c>
      <c r="QZ30" s="8">
        <v>1973526</v>
      </c>
      <c r="RA30" s="8">
        <v>1587060</v>
      </c>
      <c r="RB30" s="8">
        <v>3560586</v>
      </c>
      <c r="RC30" s="8">
        <v>67000</v>
      </c>
      <c r="RD30" s="8">
        <v>67000</v>
      </c>
      <c r="RE30" s="2"/>
      <c r="RF30" s="2"/>
      <c r="RG30" s="2"/>
      <c r="RH30" s="8">
        <v>1973526</v>
      </c>
      <c r="RI30" s="8">
        <v>1654060</v>
      </c>
      <c r="RJ30" s="8">
        <v>3627586</v>
      </c>
      <c r="RK30" s="8">
        <v>31204587</v>
      </c>
      <c r="RL30" s="8">
        <v>3325418</v>
      </c>
      <c r="RM30" s="8">
        <v>34530005</v>
      </c>
      <c r="RN30" s="2">
        <v>0</v>
      </c>
      <c r="RO30" s="6">
        <v>0</v>
      </c>
      <c r="RP30" s="8">
        <v>5521348</v>
      </c>
      <c r="RQ30" s="2"/>
      <c r="RR30" s="8">
        <v>5521348</v>
      </c>
      <c r="RS30" s="6">
        <v>5524800</v>
      </c>
      <c r="RT30" s="6">
        <v>0</v>
      </c>
      <c r="RU30" s="8">
        <v>5521348</v>
      </c>
      <c r="RV30" s="2"/>
      <c r="RW30" s="8">
        <v>5521348</v>
      </c>
      <c r="RX30" s="6">
        <v>5524800</v>
      </c>
      <c r="RY30" s="2"/>
      <c r="RZ30" s="2"/>
      <c r="SA30" s="6">
        <v>378000</v>
      </c>
      <c r="SB30" s="8">
        <v>3456000</v>
      </c>
      <c r="SC30" s="8">
        <v>3456000</v>
      </c>
      <c r="SD30" s="8">
        <v>36725935</v>
      </c>
      <c r="SE30" s="8">
        <v>6781418</v>
      </c>
      <c r="SF30" s="8">
        <v>43507353</v>
      </c>
      <c r="SG30" s="2"/>
      <c r="SH30" s="2" t="s">
        <v>3871</v>
      </c>
      <c r="SI30" s="2"/>
      <c r="SJ30" s="2"/>
      <c r="SK30" s="8">
        <v>30000000</v>
      </c>
      <c r="SL30" s="2" t="s">
        <v>95</v>
      </c>
      <c r="SM30" s="2"/>
      <c r="SN30" s="2"/>
      <c r="SO30" s="2"/>
      <c r="SP30" s="2"/>
      <c r="SQ30" s="2"/>
      <c r="SR30" s="2"/>
      <c r="SS30" s="2" t="s">
        <v>96</v>
      </c>
      <c r="ST30" s="2" t="s">
        <v>96</v>
      </c>
      <c r="SU30" s="2" t="s">
        <v>96</v>
      </c>
      <c r="SV30" s="2" t="s">
        <v>96</v>
      </c>
      <c r="SW30" s="8">
        <v>9544231</v>
      </c>
      <c r="SX30" s="2"/>
      <c r="SY30" s="2"/>
      <c r="SZ30" s="2"/>
      <c r="TA30" s="2"/>
      <c r="TB30" s="2"/>
      <c r="TC30" s="2"/>
      <c r="TD30" s="8">
        <v>3963122</v>
      </c>
      <c r="TE30" s="8">
        <v>43507353</v>
      </c>
      <c r="TF30" s="2">
        <v>0</v>
      </c>
      <c r="TG30" s="2" t="s">
        <v>9</v>
      </c>
      <c r="TH30" s="8">
        <v>6700000</v>
      </c>
      <c r="TI30" s="2" t="s">
        <v>95</v>
      </c>
      <c r="TJ30" s="2"/>
      <c r="TK30" s="2"/>
      <c r="TL30" s="2"/>
      <c r="TM30" s="2"/>
      <c r="TN30" s="2" t="s">
        <v>96</v>
      </c>
      <c r="TO30" s="2" t="s">
        <v>96</v>
      </c>
      <c r="TP30" s="2" t="s">
        <v>96</v>
      </c>
      <c r="TQ30" s="2" t="s">
        <v>96</v>
      </c>
      <c r="TR30" s="8">
        <v>31814098</v>
      </c>
      <c r="TS30" s="2"/>
      <c r="TT30" s="2"/>
      <c r="TU30" s="2"/>
      <c r="TV30" s="2"/>
      <c r="TW30" s="2"/>
      <c r="TX30" s="2"/>
      <c r="TY30" s="8">
        <v>4993255</v>
      </c>
      <c r="TZ30" s="8">
        <v>43507353</v>
      </c>
      <c r="UA30" s="6">
        <v>6700000</v>
      </c>
      <c r="UB30" s="2">
        <v>0</v>
      </c>
      <c r="UC30" s="2" t="s">
        <v>9</v>
      </c>
      <c r="UD30" s="2">
        <v>108</v>
      </c>
      <c r="UE30" s="5">
        <v>310000</v>
      </c>
      <c r="UF30" s="6">
        <v>413333.33</v>
      </c>
      <c r="UG30" s="6">
        <v>413333.33</v>
      </c>
      <c r="UH30" s="6">
        <v>438133.33</v>
      </c>
      <c r="UI30" s="6">
        <v>47318400</v>
      </c>
      <c r="UJ30" s="6">
        <v>7570944</v>
      </c>
      <c r="UK30" s="2" t="s">
        <v>97</v>
      </c>
      <c r="UL30" s="6">
        <v>7570944</v>
      </c>
      <c r="UM30" s="6">
        <v>54889344</v>
      </c>
      <c r="UN30" s="6">
        <v>40051353</v>
      </c>
      <c r="UO30" s="4">
        <v>0.99990000000000001</v>
      </c>
      <c r="UP30" s="2" t="s">
        <v>9</v>
      </c>
      <c r="UQ30" s="6">
        <v>0</v>
      </c>
      <c r="UR30" s="6">
        <v>0</v>
      </c>
      <c r="US30" s="6">
        <v>742057</v>
      </c>
      <c r="UT30" s="6">
        <v>742057</v>
      </c>
      <c r="UU30" s="6">
        <v>0</v>
      </c>
      <c r="UV30" s="6">
        <v>742057</v>
      </c>
      <c r="UW30" s="6">
        <v>0</v>
      </c>
      <c r="UX30" s="6">
        <v>742057</v>
      </c>
      <c r="UY30" s="2" t="s">
        <v>3387</v>
      </c>
      <c r="UZ30" s="2" t="s">
        <v>3288</v>
      </c>
      <c r="VA30" s="2" t="s">
        <v>17</v>
      </c>
      <c r="VB30" s="2" t="s">
        <v>17</v>
      </c>
      <c r="VC30" s="2" t="s">
        <v>17</v>
      </c>
      <c r="VD30" s="2" t="s">
        <v>17</v>
      </c>
      <c r="VE30" s="2" t="s">
        <v>17</v>
      </c>
      <c r="VF30" s="2" t="s">
        <v>17</v>
      </c>
      <c r="VG30" s="2" t="s">
        <v>3872</v>
      </c>
      <c r="VH30" s="2"/>
      <c r="VI30" s="388" t="s">
        <v>3851</v>
      </c>
      <c r="VJ30" s="2" t="s">
        <v>98</v>
      </c>
      <c r="VK30" s="2" t="s">
        <v>3873</v>
      </c>
      <c r="VL30" s="23">
        <f t="shared" si="0"/>
        <v>149</v>
      </c>
      <c r="VM30" s="17">
        <f t="shared" si="1"/>
        <v>1.3796296296296295</v>
      </c>
      <c r="VN30" s="17" t="str">
        <f t="shared" si="2"/>
        <v>NC-HR-E</v>
      </c>
      <c r="VO30" s="17" t="str">
        <f t="shared" si="14"/>
        <v>NC-HR-E-ESS</v>
      </c>
      <c r="VP30" s="12">
        <v>9</v>
      </c>
      <c r="VQ30" s="57">
        <v>1</v>
      </c>
      <c r="VR30" s="57">
        <f t="shared" si="3"/>
        <v>1</v>
      </c>
      <c r="VS30" s="14">
        <f t="shared" si="4"/>
        <v>1</v>
      </c>
      <c r="VT30" s="12">
        <f t="shared" si="5"/>
        <v>0.88350000000000006</v>
      </c>
      <c r="VU30" s="29">
        <f t="shared" si="6"/>
        <v>27499467.600000001</v>
      </c>
      <c r="VV30" s="29">
        <f t="shared" si="7"/>
        <v>254624.7</v>
      </c>
      <c r="VW30" s="12" t="str">
        <f t="shared" si="15"/>
        <v>A</v>
      </c>
      <c r="VX30" s="12" t="str">
        <f t="shared" si="8"/>
        <v>NC-HR-ESS</v>
      </c>
      <c r="VY30" s="352">
        <f t="shared" si="16"/>
        <v>4</v>
      </c>
      <c r="WA30" s="12">
        <f t="shared" si="17"/>
        <v>1</v>
      </c>
      <c r="WB30" s="12">
        <f t="shared" si="18"/>
        <v>0</v>
      </c>
      <c r="WC30" s="12">
        <f t="shared" si="18"/>
        <v>0</v>
      </c>
      <c r="WD30" s="12">
        <f t="shared" si="18"/>
        <v>0</v>
      </c>
      <c r="WE30" s="12">
        <f t="shared" si="19"/>
        <v>1</v>
      </c>
      <c r="WF30" s="12">
        <f t="shared" si="9"/>
        <v>0</v>
      </c>
      <c r="WG30" s="12">
        <f t="shared" si="10"/>
        <v>0</v>
      </c>
      <c r="WH30" s="12">
        <f t="shared" si="11"/>
        <v>1</v>
      </c>
      <c r="WI30" s="31">
        <f t="shared" si="12"/>
        <v>3</v>
      </c>
      <c r="WJ30" s="2"/>
      <c r="WK30" s="444" t="str">
        <f t="shared" si="20"/>
        <v>NC-HR-ESS-BBN-BRN-NPH-E</v>
      </c>
      <c r="WL30" s="444"/>
      <c r="WM30" s="444"/>
    </row>
    <row r="31" spans="1:611" x14ac:dyDescent="0.25">
      <c r="A31" s="2">
        <v>9657</v>
      </c>
      <c r="B31" s="2" t="s">
        <v>3874</v>
      </c>
      <c r="C31" s="2" t="s">
        <v>3305</v>
      </c>
      <c r="D31" s="3">
        <v>45159</v>
      </c>
      <c r="E31" s="2" t="s">
        <v>9</v>
      </c>
      <c r="F31" s="2">
        <v>3</v>
      </c>
      <c r="G31" s="2" t="s">
        <v>9</v>
      </c>
      <c r="H31" s="2">
        <v>3</v>
      </c>
      <c r="I31" s="2" t="s">
        <v>9</v>
      </c>
      <c r="J31" s="2">
        <v>3</v>
      </c>
      <c r="K31" s="2" t="s">
        <v>9</v>
      </c>
      <c r="L31" s="2">
        <v>3</v>
      </c>
      <c r="M31" s="2" t="s">
        <v>10</v>
      </c>
      <c r="N31" s="2">
        <v>0</v>
      </c>
      <c r="O31" s="2" t="s">
        <v>10</v>
      </c>
      <c r="P31" s="2">
        <v>0</v>
      </c>
      <c r="Q31" s="2" t="s">
        <v>11</v>
      </c>
      <c r="R31" s="2">
        <v>0</v>
      </c>
      <c r="S31" s="2" t="s">
        <v>9</v>
      </c>
      <c r="T31" s="2">
        <v>2</v>
      </c>
      <c r="U31" s="2" t="s">
        <v>9</v>
      </c>
      <c r="V31" s="2">
        <v>2</v>
      </c>
      <c r="W31" s="2" t="s">
        <v>9</v>
      </c>
      <c r="X31" s="2">
        <v>2</v>
      </c>
      <c r="Y31" s="2" t="s">
        <v>12</v>
      </c>
      <c r="Z31" s="2" t="s">
        <v>15</v>
      </c>
      <c r="AA31" s="2" t="s">
        <v>15</v>
      </c>
      <c r="AB31" s="2" t="s">
        <v>15</v>
      </c>
      <c r="AC31" s="2" t="s">
        <v>101</v>
      </c>
      <c r="AD31" s="2" t="s">
        <v>15</v>
      </c>
      <c r="AE31" s="2" t="s">
        <v>15</v>
      </c>
      <c r="AF31" s="2">
        <v>0</v>
      </c>
      <c r="AG31" s="2" t="s">
        <v>234</v>
      </c>
      <c r="AH31" s="2" t="s">
        <v>17</v>
      </c>
      <c r="AI31" s="4">
        <v>0.1</v>
      </c>
      <c r="AJ31" s="2" t="s">
        <v>17</v>
      </c>
      <c r="AK31" s="2" t="s">
        <v>9</v>
      </c>
      <c r="AL31" s="2" t="s">
        <v>9</v>
      </c>
      <c r="AM31" s="2" t="s">
        <v>17</v>
      </c>
      <c r="AN31" s="2" t="s">
        <v>17</v>
      </c>
      <c r="AO31" s="2" t="s">
        <v>9</v>
      </c>
      <c r="AP31" s="2" t="s">
        <v>17</v>
      </c>
      <c r="AQ31" s="2" t="s">
        <v>17</v>
      </c>
      <c r="AR31" s="2" t="s">
        <v>17</v>
      </c>
      <c r="AS31" s="2" t="s">
        <v>17</v>
      </c>
      <c r="AT31" s="2">
        <v>5</v>
      </c>
      <c r="AU31" s="5">
        <v>100000</v>
      </c>
      <c r="AV31" s="2" t="s">
        <v>85</v>
      </c>
      <c r="AW31" s="2">
        <v>0</v>
      </c>
      <c r="AX31" s="2">
        <v>11</v>
      </c>
      <c r="AY31" s="2">
        <v>0</v>
      </c>
      <c r="AZ31" s="2">
        <v>18</v>
      </c>
      <c r="BA31" s="2">
        <v>0</v>
      </c>
      <c r="BB31" s="2">
        <v>0</v>
      </c>
      <c r="BC31" s="2">
        <v>0</v>
      </c>
      <c r="BD31" s="2">
        <v>5</v>
      </c>
      <c r="BE31" s="2">
        <v>0</v>
      </c>
      <c r="BF31" s="2">
        <v>1</v>
      </c>
      <c r="BG31" s="2">
        <v>0</v>
      </c>
      <c r="BH31" s="2">
        <v>0</v>
      </c>
      <c r="BI31" s="2">
        <v>13</v>
      </c>
      <c r="BJ31" s="2">
        <v>1</v>
      </c>
      <c r="BK31" s="2">
        <v>0</v>
      </c>
      <c r="BL31" s="2">
        <v>2</v>
      </c>
      <c r="BM31" s="2">
        <v>2</v>
      </c>
      <c r="BN31" s="2">
        <v>12</v>
      </c>
      <c r="BO31" s="2">
        <v>11</v>
      </c>
      <c r="BP31" s="2">
        <v>0</v>
      </c>
      <c r="BQ31" s="2">
        <v>10</v>
      </c>
      <c r="BR31" s="2">
        <v>10.130000000000001</v>
      </c>
      <c r="BS31" s="2">
        <v>0</v>
      </c>
      <c r="BT31" s="4">
        <v>0.06</v>
      </c>
      <c r="BU31" s="2" t="s">
        <v>9</v>
      </c>
      <c r="BV31" s="6">
        <v>207331.88</v>
      </c>
      <c r="BW31" s="2" t="s">
        <v>126</v>
      </c>
      <c r="BX31" s="2" t="s">
        <v>17</v>
      </c>
      <c r="BY31" s="2" t="s">
        <v>17</v>
      </c>
      <c r="BZ31" s="2" t="s">
        <v>17</v>
      </c>
      <c r="CA31" s="2" t="s">
        <v>17</v>
      </c>
      <c r="CB31" s="2" t="s">
        <v>17</v>
      </c>
      <c r="CC31" s="2" t="s">
        <v>17</v>
      </c>
      <c r="CD31" s="2" t="s">
        <v>17</v>
      </c>
      <c r="CE31" s="2" t="s">
        <v>3875</v>
      </c>
      <c r="CF31" s="2" t="s">
        <v>9</v>
      </c>
      <c r="CG31" s="2" t="s">
        <v>3876</v>
      </c>
      <c r="CH31" s="2"/>
      <c r="CI31" s="2"/>
      <c r="CJ31" s="2" t="s">
        <v>9</v>
      </c>
      <c r="CK31" s="2" t="s">
        <v>1626</v>
      </c>
      <c r="CL31" s="2" t="s">
        <v>1623</v>
      </c>
      <c r="CM31" s="2" t="s">
        <v>1627</v>
      </c>
      <c r="CN31" s="2" t="s">
        <v>330</v>
      </c>
      <c r="CO31" s="2" t="s">
        <v>24</v>
      </c>
      <c r="CP31" s="2"/>
      <c r="CQ31" s="2">
        <v>160</v>
      </c>
      <c r="CR31" s="2" t="s">
        <v>795</v>
      </c>
      <c r="CS31" s="2">
        <v>2019</v>
      </c>
      <c r="CT31" s="2" t="s">
        <v>26</v>
      </c>
      <c r="CU31" s="2" t="s">
        <v>27</v>
      </c>
      <c r="CV31" s="2" t="s">
        <v>1628</v>
      </c>
      <c r="CW31" s="2" t="s">
        <v>1281</v>
      </c>
      <c r="CX31" s="2" t="s">
        <v>24</v>
      </c>
      <c r="CY31" s="2"/>
      <c r="CZ31" s="2">
        <v>228</v>
      </c>
      <c r="DA31" s="2" t="s">
        <v>795</v>
      </c>
      <c r="DB31" s="2">
        <v>2019</v>
      </c>
      <c r="DC31" s="2" t="s">
        <v>30</v>
      </c>
      <c r="DD31" s="2" t="s">
        <v>27</v>
      </c>
      <c r="DE31" s="2" t="s">
        <v>1629</v>
      </c>
      <c r="DF31" s="2" t="s">
        <v>330</v>
      </c>
      <c r="DG31" s="2" t="s">
        <v>24</v>
      </c>
      <c r="DH31" s="2"/>
      <c r="DI31" s="2">
        <v>120</v>
      </c>
      <c r="DJ31" s="2" t="s">
        <v>795</v>
      </c>
      <c r="DK31" s="2">
        <v>2018</v>
      </c>
      <c r="DL31" s="2" t="s">
        <v>30</v>
      </c>
      <c r="DM31" s="2" t="s">
        <v>27</v>
      </c>
      <c r="DN31" s="2" t="s">
        <v>33</v>
      </c>
      <c r="DO31" s="2" t="s">
        <v>1630</v>
      </c>
      <c r="DP31" s="2"/>
      <c r="DQ31" s="2" t="s">
        <v>1631</v>
      </c>
      <c r="DR31" s="2" t="s">
        <v>1632</v>
      </c>
      <c r="DS31" s="2">
        <v>1</v>
      </c>
      <c r="DT31" s="2" t="s">
        <v>1633</v>
      </c>
      <c r="DU31" s="2" t="s">
        <v>299</v>
      </c>
      <c r="DV31" s="2" t="s">
        <v>39</v>
      </c>
      <c r="DW31" s="2">
        <v>33127</v>
      </c>
      <c r="DX31" s="2" t="s">
        <v>3877</v>
      </c>
      <c r="DY31" s="2"/>
      <c r="DZ31" s="2" t="s">
        <v>3878</v>
      </c>
      <c r="EA31" s="2" t="s">
        <v>1626</v>
      </c>
      <c r="EB31" s="2" t="s">
        <v>1628</v>
      </c>
      <c r="EC31" s="2" t="s">
        <v>1281</v>
      </c>
      <c r="ED31" s="2" t="s">
        <v>44</v>
      </c>
      <c r="EE31" s="2">
        <v>228</v>
      </c>
      <c r="EF31" s="2" t="s">
        <v>810</v>
      </c>
      <c r="EG31" s="2">
        <v>4</v>
      </c>
      <c r="EH31" s="2" t="s">
        <v>46</v>
      </c>
      <c r="EI31" s="2" t="s">
        <v>47</v>
      </c>
      <c r="EJ31" s="2" t="s">
        <v>1627</v>
      </c>
      <c r="EK31" s="2" t="s">
        <v>330</v>
      </c>
      <c r="EL31" s="2" t="s">
        <v>44</v>
      </c>
      <c r="EM31" s="2">
        <v>160</v>
      </c>
      <c r="EN31" s="2" t="s">
        <v>810</v>
      </c>
      <c r="EO31" s="2">
        <v>4</v>
      </c>
      <c r="EP31" s="2" t="s">
        <v>46</v>
      </c>
      <c r="EQ31" s="2" t="s">
        <v>47</v>
      </c>
      <c r="ER31" s="2" t="s">
        <v>1630</v>
      </c>
      <c r="ES31" s="2"/>
      <c r="ET31" s="2" t="s">
        <v>1631</v>
      </c>
      <c r="EU31" s="2" t="s">
        <v>1623</v>
      </c>
      <c r="EV31" s="2" t="s">
        <v>3879</v>
      </c>
      <c r="EW31" s="2" t="s">
        <v>299</v>
      </c>
      <c r="EX31" s="2" t="s">
        <v>39</v>
      </c>
      <c r="EY31" s="2">
        <v>33127</v>
      </c>
      <c r="EZ31" s="2" t="s">
        <v>3877</v>
      </c>
      <c r="FA31" s="2"/>
      <c r="FB31" s="2" t="s">
        <v>3878</v>
      </c>
      <c r="FC31" s="2" t="s">
        <v>1636</v>
      </c>
      <c r="FD31" s="2"/>
      <c r="FE31" s="2" t="s">
        <v>267</v>
      </c>
      <c r="FF31" s="2" t="s">
        <v>1623</v>
      </c>
      <c r="FG31" s="2" t="s">
        <v>3879</v>
      </c>
      <c r="FH31" s="2" t="s">
        <v>299</v>
      </c>
      <c r="FI31" s="2" t="s">
        <v>39</v>
      </c>
      <c r="FJ31" s="2">
        <v>33127</v>
      </c>
      <c r="FK31" s="2" t="s">
        <v>3877</v>
      </c>
      <c r="FL31" s="2"/>
      <c r="FM31" s="2" t="s">
        <v>3878</v>
      </c>
      <c r="FN31" s="2" t="s">
        <v>3880</v>
      </c>
      <c r="FO31" s="2" t="s">
        <v>63</v>
      </c>
      <c r="FP31" s="2" t="s">
        <v>64</v>
      </c>
      <c r="FQ31" s="2" t="s">
        <v>9</v>
      </c>
      <c r="FR31" s="2" t="s">
        <v>17</v>
      </c>
      <c r="FS31" s="2" t="s">
        <v>17</v>
      </c>
      <c r="FT31" s="2" t="s">
        <v>9</v>
      </c>
      <c r="FU31" s="2"/>
      <c r="FV31" s="2"/>
      <c r="FW31" s="2">
        <v>0</v>
      </c>
      <c r="FX31" s="2">
        <v>0</v>
      </c>
      <c r="FY31" s="4">
        <v>0</v>
      </c>
      <c r="FZ31" s="4">
        <v>0</v>
      </c>
      <c r="GA31" s="2" t="s">
        <v>65</v>
      </c>
      <c r="GB31" s="2"/>
      <c r="GC31" s="2" t="s">
        <v>66</v>
      </c>
      <c r="GD31" s="2" t="s">
        <v>67</v>
      </c>
      <c r="GE31" s="2" t="s">
        <v>2684</v>
      </c>
      <c r="GF31" s="2"/>
      <c r="GG31" s="2"/>
      <c r="GH31" s="2"/>
      <c r="GI31" s="2"/>
      <c r="GJ31" s="2"/>
      <c r="GK31" s="2">
        <v>96</v>
      </c>
      <c r="GL31" s="2"/>
      <c r="GM31" s="2"/>
      <c r="GN31" s="2"/>
      <c r="GO31" s="2"/>
      <c r="GP31" s="2"/>
      <c r="GQ31" s="2">
        <v>96</v>
      </c>
      <c r="GR31" s="2" t="s">
        <v>3332</v>
      </c>
      <c r="GS31" s="2" t="s">
        <v>2686</v>
      </c>
      <c r="GT31" s="2" t="s">
        <v>3881</v>
      </c>
      <c r="GU31" s="2" t="s">
        <v>299</v>
      </c>
      <c r="GV31" s="2" t="s">
        <v>17</v>
      </c>
      <c r="GW31" s="2">
        <v>25.829445</v>
      </c>
      <c r="GX31" s="2">
        <v>-80.207706999999999</v>
      </c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>
        <v>25.831137999999999</v>
      </c>
      <c r="HK31" s="2">
        <v>-80.207721000000006</v>
      </c>
      <c r="HL31" s="2">
        <v>0.12</v>
      </c>
      <c r="HM31" s="2">
        <v>6</v>
      </c>
      <c r="HN31" s="2"/>
      <c r="HO31" s="2"/>
      <c r="HP31" s="2"/>
      <c r="HQ31" s="2"/>
      <c r="HR31" s="2"/>
      <c r="HS31" s="2"/>
      <c r="HT31" s="2"/>
      <c r="HU31" s="2"/>
      <c r="HV31" s="2" t="s">
        <v>3164</v>
      </c>
      <c r="HW31" s="2" t="s">
        <v>3882</v>
      </c>
      <c r="HX31" s="2">
        <v>0.28000000000000003</v>
      </c>
      <c r="HY31" s="2">
        <v>4</v>
      </c>
      <c r="HZ31" s="2" t="s">
        <v>3883</v>
      </c>
      <c r="IA31" s="2" t="s">
        <v>3884</v>
      </c>
      <c r="IB31" s="2">
        <v>0.25</v>
      </c>
      <c r="IC31" s="2">
        <v>4</v>
      </c>
      <c r="ID31" s="2" t="s">
        <v>1118</v>
      </c>
      <c r="IE31" s="2">
        <v>0.23</v>
      </c>
      <c r="IF31" s="2">
        <v>4</v>
      </c>
      <c r="IG31" s="2"/>
      <c r="IH31" s="2"/>
      <c r="II31" s="2"/>
      <c r="IJ31" s="2" t="s">
        <v>17</v>
      </c>
      <c r="IK31" s="2"/>
      <c r="IL31" s="2" t="s">
        <v>79</v>
      </c>
      <c r="IM31" s="2" t="s">
        <v>17</v>
      </c>
      <c r="IN31" s="2"/>
      <c r="IO31" s="2" t="s">
        <v>79</v>
      </c>
      <c r="IP31" s="2">
        <v>6</v>
      </c>
      <c r="IQ31" s="2">
        <v>12</v>
      </c>
      <c r="IR31" s="2">
        <v>18</v>
      </c>
      <c r="IS31" s="2" t="s">
        <v>17</v>
      </c>
      <c r="IT31" s="2" t="s">
        <v>17</v>
      </c>
      <c r="IU31" s="2" t="s">
        <v>17</v>
      </c>
      <c r="IV31" s="2" t="s">
        <v>9</v>
      </c>
      <c r="IW31" s="2" t="s">
        <v>9</v>
      </c>
      <c r="IX31" s="2" t="s">
        <v>9</v>
      </c>
      <c r="IY31" s="2">
        <v>18</v>
      </c>
      <c r="IZ31" s="2">
        <v>96</v>
      </c>
      <c r="JA31" s="2" t="s">
        <v>3085</v>
      </c>
      <c r="JB31" s="2"/>
      <c r="JC31" s="2" t="s">
        <v>173</v>
      </c>
      <c r="JD31" s="7">
        <v>0.1</v>
      </c>
      <c r="JE31" s="7">
        <v>0.9</v>
      </c>
      <c r="JF31" s="7">
        <v>0</v>
      </c>
      <c r="JG31" s="7"/>
      <c r="JH31" s="7"/>
      <c r="JI31" s="2">
        <v>96</v>
      </c>
      <c r="JJ31" s="7">
        <v>1</v>
      </c>
      <c r="JK31" s="2">
        <v>96</v>
      </c>
      <c r="JL31" s="7">
        <v>1</v>
      </c>
      <c r="JM31" s="2"/>
      <c r="JN31" s="2"/>
      <c r="JO31" s="2"/>
      <c r="JP31" s="2"/>
      <c r="JQ31" s="2"/>
      <c r="JR31" s="2"/>
      <c r="JS31" s="2">
        <v>0</v>
      </c>
      <c r="JT31" s="2">
        <v>0</v>
      </c>
      <c r="JU31" s="2"/>
      <c r="JV31" s="2">
        <v>0</v>
      </c>
      <c r="JW31" s="4">
        <v>0</v>
      </c>
      <c r="JX31" s="2">
        <v>0</v>
      </c>
      <c r="JY31" s="4">
        <v>0</v>
      </c>
      <c r="JZ31" s="2">
        <v>0</v>
      </c>
      <c r="KA31" s="2"/>
      <c r="KB31" s="2"/>
      <c r="KC31" s="2"/>
      <c r="KD31" s="2"/>
      <c r="KE31" s="2"/>
      <c r="KF31" s="2"/>
      <c r="KG31" s="2"/>
      <c r="KH31" s="2">
        <v>82</v>
      </c>
      <c r="KI31" s="2"/>
      <c r="KJ31" s="2"/>
      <c r="KK31" s="2">
        <v>14</v>
      </c>
      <c r="KL31" s="2"/>
      <c r="KM31" s="2"/>
      <c r="KN31" s="2"/>
      <c r="KO31" s="2"/>
      <c r="KP31" s="2"/>
      <c r="KQ31" s="2" t="s">
        <v>83</v>
      </c>
      <c r="KR31" s="2"/>
      <c r="KS31" s="2" t="s">
        <v>73</v>
      </c>
      <c r="KT31" s="2">
        <v>4</v>
      </c>
      <c r="KU31" s="2" t="s">
        <v>84</v>
      </c>
      <c r="KV31" s="2" t="s">
        <v>85</v>
      </c>
      <c r="KW31" s="2" t="s">
        <v>86</v>
      </c>
      <c r="KX31" s="2" t="s">
        <v>17</v>
      </c>
      <c r="KY31" s="2" t="s">
        <v>17</v>
      </c>
      <c r="KZ31" s="2" t="s">
        <v>17</v>
      </c>
      <c r="LA31" s="2" t="s">
        <v>17</v>
      </c>
      <c r="LB31" s="2" t="s">
        <v>17</v>
      </c>
      <c r="LC31" s="2" t="s">
        <v>17</v>
      </c>
      <c r="LD31" s="2" t="s">
        <v>17</v>
      </c>
      <c r="LE31" s="2" t="s">
        <v>17</v>
      </c>
      <c r="LF31" s="2" t="s">
        <v>17</v>
      </c>
      <c r="LG31" s="2" t="s">
        <v>17</v>
      </c>
      <c r="LH31" s="2" t="s">
        <v>17</v>
      </c>
      <c r="LI31" s="2" t="s">
        <v>17</v>
      </c>
      <c r="LJ31" s="2" t="s">
        <v>87</v>
      </c>
      <c r="LK31" s="2" t="s">
        <v>17</v>
      </c>
      <c r="LL31" s="2" t="s">
        <v>17</v>
      </c>
      <c r="LM31" s="2">
        <v>0</v>
      </c>
      <c r="LN31" s="2" t="s">
        <v>17</v>
      </c>
      <c r="LO31" s="2" t="s">
        <v>17</v>
      </c>
      <c r="LP31" s="2" t="s">
        <v>17</v>
      </c>
      <c r="LQ31" s="2" t="s">
        <v>17</v>
      </c>
      <c r="LR31" s="2" t="s">
        <v>17</v>
      </c>
      <c r="LS31" s="2" t="s">
        <v>17</v>
      </c>
      <c r="LT31" s="2" t="s">
        <v>9</v>
      </c>
      <c r="LU31" s="2" t="s">
        <v>9</v>
      </c>
      <c r="LV31" s="2" t="s">
        <v>17</v>
      </c>
      <c r="LW31" s="2" t="s">
        <v>9</v>
      </c>
      <c r="LX31" s="2" t="s">
        <v>17</v>
      </c>
      <c r="LY31" s="5">
        <v>6500000</v>
      </c>
      <c r="LZ31" s="5">
        <v>0</v>
      </c>
      <c r="MA31" s="5">
        <v>8400000</v>
      </c>
      <c r="MB31" s="5">
        <v>0</v>
      </c>
      <c r="MC31" s="5">
        <v>0</v>
      </c>
      <c r="MD31" s="5">
        <v>0</v>
      </c>
      <c r="ME31" s="5">
        <v>10000000</v>
      </c>
      <c r="MF31" s="5">
        <v>0</v>
      </c>
      <c r="MG31" s="5">
        <v>0</v>
      </c>
      <c r="MH31" s="5">
        <v>0</v>
      </c>
      <c r="MI31" s="5">
        <v>0</v>
      </c>
      <c r="MJ31" s="5">
        <v>0</v>
      </c>
      <c r="MK31" s="5">
        <v>0</v>
      </c>
      <c r="ML31" s="2">
        <v>0</v>
      </c>
      <c r="MM31" s="5">
        <v>0</v>
      </c>
      <c r="MN31" s="5">
        <v>0</v>
      </c>
      <c r="MO31" s="2">
        <v>0</v>
      </c>
      <c r="MP31" s="2">
        <v>0</v>
      </c>
      <c r="MQ31" s="2">
        <v>0</v>
      </c>
      <c r="MR31" s="5">
        <v>2950000</v>
      </c>
      <c r="MS31" s="5">
        <v>0</v>
      </c>
      <c r="MT31" s="5">
        <v>4600000</v>
      </c>
      <c r="MU31" s="5">
        <v>0</v>
      </c>
      <c r="MV31" s="5">
        <v>0</v>
      </c>
      <c r="MW31" s="5">
        <v>0</v>
      </c>
      <c r="MX31" s="5">
        <v>0</v>
      </c>
      <c r="MY31" s="5">
        <v>2500000</v>
      </c>
      <c r="MZ31" s="5">
        <v>0</v>
      </c>
      <c r="NA31" s="5">
        <v>5000000</v>
      </c>
      <c r="NB31" s="5">
        <v>0</v>
      </c>
      <c r="NC31" s="5">
        <v>0</v>
      </c>
      <c r="ND31" s="5">
        <v>0</v>
      </c>
      <c r="NE31" s="5">
        <v>0</v>
      </c>
      <c r="NF31" s="5">
        <v>0</v>
      </c>
      <c r="NG31" s="5">
        <v>3458400</v>
      </c>
      <c r="NH31" s="5">
        <v>3100000</v>
      </c>
      <c r="NI31" s="5">
        <v>3100000</v>
      </c>
      <c r="NJ31" s="5"/>
      <c r="NK31" s="5">
        <v>0</v>
      </c>
      <c r="NL31" s="2" t="s">
        <v>17</v>
      </c>
      <c r="NM31" s="2" t="s">
        <v>9</v>
      </c>
      <c r="NN31" s="2" t="s">
        <v>3885</v>
      </c>
      <c r="NO31" s="2" t="s">
        <v>17</v>
      </c>
      <c r="NP31" s="2"/>
      <c r="NQ31" s="2"/>
      <c r="NR31" s="2" t="s">
        <v>17</v>
      </c>
      <c r="NS31" s="2"/>
      <c r="NT31" s="2" t="s">
        <v>9</v>
      </c>
      <c r="NU31" s="2" t="s">
        <v>450</v>
      </c>
      <c r="NV31" s="2">
        <v>19.010000000000002</v>
      </c>
      <c r="NW31" s="2" t="s">
        <v>3342</v>
      </c>
      <c r="NX31" s="2"/>
      <c r="NY31" s="2"/>
      <c r="NZ31" s="2"/>
      <c r="OA31" s="2" t="s">
        <v>118</v>
      </c>
      <c r="OB31" s="2" t="s">
        <v>118</v>
      </c>
      <c r="OC31" s="2" t="s">
        <v>118</v>
      </c>
      <c r="OD31" s="2" t="s">
        <v>3384</v>
      </c>
      <c r="OE31" s="2" t="s">
        <v>85</v>
      </c>
      <c r="OF31" s="2" t="s">
        <v>17</v>
      </c>
      <c r="OG31" s="2" t="s">
        <v>17</v>
      </c>
      <c r="OH31" s="2" t="s">
        <v>119</v>
      </c>
      <c r="OI31" s="2" t="s">
        <v>17</v>
      </c>
      <c r="OJ31" s="2"/>
      <c r="OK31" s="2" t="s">
        <v>17</v>
      </c>
      <c r="OL31" s="2" t="s">
        <v>17</v>
      </c>
      <c r="OM31" s="2" t="s">
        <v>85</v>
      </c>
      <c r="ON31" s="6">
        <v>0</v>
      </c>
      <c r="OO31" s="6">
        <v>0</v>
      </c>
      <c r="OP31" s="2" t="s">
        <v>93</v>
      </c>
      <c r="OQ31" s="2" t="s">
        <v>93</v>
      </c>
      <c r="OR31" s="6">
        <v>0</v>
      </c>
      <c r="OS31" s="4">
        <v>0</v>
      </c>
      <c r="OT31" s="2" t="s">
        <v>17</v>
      </c>
      <c r="OU31" s="2" t="s">
        <v>17</v>
      </c>
      <c r="OV31" s="2"/>
      <c r="OW31" s="2"/>
      <c r="OX31" s="5">
        <v>19903860</v>
      </c>
      <c r="OY31" s="6">
        <v>207331.88</v>
      </c>
      <c r="OZ31" s="2"/>
      <c r="PA31" s="2"/>
      <c r="PB31" s="2"/>
      <c r="PC31" s="2"/>
      <c r="PD31" s="8">
        <v>22696000</v>
      </c>
      <c r="PE31" s="2"/>
      <c r="PF31" s="8">
        <v>22696000</v>
      </c>
      <c r="PG31" s="2"/>
      <c r="PH31" s="2"/>
      <c r="PI31" s="2"/>
      <c r="PJ31" s="2"/>
      <c r="PK31" s="2"/>
      <c r="PL31" s="2"/>
      <c r="PM31" s="8">
        <v>22696000</v>
      </c>
      <c r="PN31" s="2"/>
      <c r="PO31" s="8">
        <v>22696000</v>
      </c>
      <c r="PP31" s="8">
        <v>3177440</v>
      </c>
      <c r="PQ31" s="2"/>
      <c r="PR31" s="8">
        <v>3177440</v>
      </c>
      <c r="PS31" s="6">
        <v>3177440</v>
      </c>
      <c r="PT31" s="8">
        <v>25873440</v>
      </c>
      <c r="PU31" s="2"/>
      <c r="PV31" s="8">
        <v>25873440</v>
      </c>
      <c r="PW31" s="8">
        <v>1293672</v>
      </c>
      <c r="PX31" s="2"/>
      <c r="PY31" s="8">
        <v>1293672</v>
      </c>
      <c r="PZ31" s="6">
        <v>1293672</v>
      </c>
      <c r="QA31" s="8">
        <v>1360000</v>
      </c>
      <c r="QB31" s="2"/>
      <c r="QC31" s="8">
        <v>1360000</v>
      </c>
      <c r="QD31" s="8">
        <v>258734</v>
      </c>
      <c r="QE31" s="2"/>
      <c r="QF31" s="8">
        <v>258734</v>
      </c>
      <c r="QG31" s="8">
        <v>960000</v>
      </c>
      <c r="QH31" s="2"/>
      <c r="QI31" s="8">
        <v>960000</v>
      </c>
      <c r="QJ31" s="2"/>
      <c r="QK31" s="8">
        <v>451000</v>
      </c>
      <c r="QL31" s="8">
        <v>451000</v>
      </c>
      <c r="QM31" s="2"/>
      <c r="QN31" s="2"/>
      <c r="QO31" s="2"/>
      <c r="QP31" s="8">
        <v>277000</v>
      </c>
      <c r="QQ31" s="2"/>
      <c r="QR31" s="8">
        <v>277000</v>
      </c>
      <c r="QS31" s="8">
        <v>2855734</v>
      </c>
      <c r="QT31" s="8">
        <v>451000</v>
      </c>
      <c r="QU31" s="8">
        <v>3306734</v>
      </c>
      <c r="QV31" s="8">
        <v>165336</v>
      </c>
      <c r="QW31" s="2"/>
      <c r="QX31" s="8">
        <v>165336</v>
      </c>
      <c r="QY31" s="6">
        <v>165336.70000000001</v>
      </c>
      <c r="QZ31" s="8">
        <v>2028935</v>
      </c>
      <c r="RA31" s="8">
        <v>507234</v>
      </c>
      <c r="RB31" s="8">
        <v>2536169</v>
      </c>
      <c r="RC31" s="8">
        <v>94145</v>
      </c>
      <c r="RD31" s="8">
        <v>94145</v>
      </c>
      <c r="RE31" s="2"/>
      <c r="RF31" s="2"/>
      <c r="RG31" s="2"/>
      <c r="RH31" s="8">
        <v>2028935</v>
      </c>
      <c r="RI31" s="8">
        <v>601379</v>
      </c>
      <c r="RJ31" s="8">
        <v>2630314</v>
      </c>
      <c r="RK31" s="8">
        <v>32217117</v>
      </c>
      <c r="RL31" s="8">
        <v>1052379</v>
      </c>
      <c r="RM31" s="8">
        <v>33269496</v>
      </c>
      <c r="RN31" s="2">
        <v>0</v>
      </c>
      <c r="RO31" s="6">
        <v>0</v>
      </c>
      <c r="RP31" s="8">
        <v>5323119</v>
      </c>
      <c r="RQ31" s="2"/>
      <c r="RR31" s="8">
        <v>5323119</v>
      </c>
      <c r="RS31" s="6">
        <v>5323119</v>
      </c>
      <c r="RT31" s="6">
        <v>0</v>
      </c>
      <c r="RU31" s="8">
        <v>5323119</v>
      </c>
      <c r="RV31" s="2"/>
      <c r="RW31" s="8">
        <v>5323119</v>
      </c>
      <c r="RX31" s="6">
        <v>5323119</v>
      </c>
      <c r="RY31" s="2"/>
      <c r="RZ31" s="2"/>
      <c r="SA31" s="6">
        <v>336000</v>
      </c>
      <c r="SB31" s="8">
        <v>1750000</v>
      </c>
      <c r="SC31" s="8">
        <v>1750000</v>
      </c>
      <c r="SD31" s="8">
        <v>37540236</v>
      </c>
      <c r="SE31" s="8">
        <v>2802379</v>
      </c>
      <c r="SF31" s="8">
        <v>40342615</v>
      </c>
      <c r="SG31" s="2"/>
      <c r="SH31" s="2"/>
      <c r="SI31" s="2" t="s">
        <v>3886</v>
      </c>
      <c r="SJ31" s="2"/>
      <c r="SK31" s="8">
        <v>27000000</v>
      </c>
      <c r="SL31" s="2" t="s">
        <v>95</v>
      </c>
      <c r="SM31" s="2"/>
      <c r="SN31" s="2"/>
      <c r="SO31" s="2"/>
      <c r="SP31" s="2"/>
      <c r="SQ31" s="2"/>
      <c r="SR31" s="2"/>
      <c r="SS31" s="2" t="s">
        <v>96</v>
      </c>
      <c r="ST31" s="2" t="s">
        <v>96</v>
      </c>
      <c r="SU31" s="2" t="s">
        <v>96</v>
      </c>
      <c r="SV31" s="2" t="s">
        <v>96</v>
      </c>
      <c r="SW31" s="8">
        <v>13638636</v>
      </c>
      <c r="SX31" s="2"/>
      <c r="SY31" s="2"/>
      <c r="SZ31" s="2"/>
      <c r="TA31" s="2"/>
      <c r="TB31" s="2"/>
      <c r="TC31" s="2"/>
      <c r="TD31" s="2">
        <v>0</v>
      </c>
      <c r="TE31" s="8">
        <v>40638636</v>
      </c>
      <c r="TF31" s="8">
        <v>296021</v>
      </c>
      <c r="TG31" s="2" t="s">
        <v>9</v>
      </c>
      <c r="TH31" s="8">
        <v>10400000</v>
      </c>
      <c r="TI31" s="2" t="s">
        <v>95</v>
      </c>
      <c r="TJ31" s="2"/>
      <c r="TK31" s="2"/>
      <c r="TL31" s="2"/>
      <c r="TM31" s="2"/>
      <c r="TN31" s="2" t="s">
        <v>96</v>
      </c>
      <c r="TO31" s="2" t="s">
        <v>96</v>
      </c>
      <c r="TP31" s="2" t="s">
        <v>96</v>
      </c>
      <c r="TQ31" s="2" t="s">
        <v>96</v>
      </c>
      <c r="TR31" s="8">
        <v>27277272</v>
      </c>
      <c r="TS31" s="2"/>
      <c r="TT31" s="2"/>
      <c r="TU31" s="2"/>
      <c r="TV31" s="2"/>
      <c r="TW31" s="2"/>
      <c r="TX31" s="2"/>
      <c r="TY31" s="8">
        <v>2665343</v>
      </c>
      <c r="TZ31" s="8">
        <v>40342615</v>
      </c>
      <c r="UA31" s="6">
        <v>10400000</v>
      </c>
      <c r="UB31" s="2">
        <v>0</v>
      </c>
      <c r="UC31" s="2" t="s">
        <v>9</v>
      </c>
      <c r="UD31" s="2">
        <v>96</v>
      </c>
      <c r="UE31" s="5">
        <v>310000</v>
      </c>
      <c r="UF31" s="6">
        <v>413333.33</v>
      </c>
      <c r="UG31" s="6">
        <v>413333.33</v>
      </c>
      <c r="UH31" s="6">
        <v>438133.33</v>
      </c>
      <c r="UI31" s="6">
        <v>42060800</v>
      </c>
      <c r="UJ31" s="6">
        <v>6729728</v>
      </c>
      <c r="UK31" s="2" t="s">
        <v>97</v>
      </c>
      <c r="UL31" s="6">
        <v>6729728</v>
      </c>
      <c r="UM31" s="6">
        <v>48790528</v>
      </c>
      <c r="UN31" s="6">
        <v>38592615</v>
      </c>
      <c r="UO31" s="4">
        <v>0.99990000000000001</v>
      </c>
      <c r="UP31" s="2" t="s">
        <v>9</v>
      </c>
      <c r="UQ31" s="6">
        <v>0</v>
      </c>
      <c r="UR31" s="6">
        <v>0</v>
      </c>
      <c r="US31" s="6">
        <v>402065.28</v>
      </c>
      <c r="UT31" s="6">
        <v>402065.28</v>
      </c>
      <c r="UU31" s="6">
        <v>0</v>
      </c>
      <c r="UV31" s="6">
        <v>402065.28</v>
      </c>
      <c r="UW31" s="6">
        <v>0</v>
      </c>
      <c r="UX31" s="6">
        <v>402065.28</v>
      </c>
      <c r="UY31" s="2" t="s">
        <v>3387</v>
      </c>
      <c r="UZ31" s="2" t="s">
        <v>3288</v>
      </c>
      <c r="VA31" s="2" t="s">
        <v>17</v>
      </c>
      <c r="VB31" s="2" t="s">
        <v>17</v>
      </c>
      <c r="VC31" s="2" t="s">
        <v>17</v>
      </c>
      <c r="VD31" s="2" t="s">
        <v>17</v>
      </c>
      <c r="VE31" s="2" t="s">
        <v>17</v>
      </c>
      <c r="VF31" s="2" t="s">
        <v>17</v>
      </c>
      <c r="VG31" s="2" t="s">
        <v>3887</v>
      </c>
      <c r="VH31" s="2"/>
      <c r="VI31" s="387" t="s">
        <v>4737</v>
      </c>
      <c r="VJ31" s="2" t="s">
        <v>98</v>
      </c>
      <c r="VK31" s="2" t="s">
        <v>3888</v>
      </c>
      <c r="VL31" s="23">
        <f t="shared" si="0"/>
        <v>110</v>
      </c>
      <c r="VM31" s="17">
        <f t="shared" si="1"/>
        <v>1.1458333333333333</v>
      </c>
      <c r="VN31" s="17" t="str">
        <f t="shared" si="2"/>
        <v>NC-HR-E</v>
      </c>
      <c r="VO31" s="17" t="str">
        <f t="shared" si="14"/>
        <v>NC-HR-E-ESS</v>
      </c>
      <c r="VP31" s="12">
        <v>9</v>
      </c>
      <c r="VQ31" s="57">
        <v>1</v>
      </c>
      <c r="VR31" s="57">
        <f t="shared" si="3"/>
        <v>1</v>
      </c>
      <c r="VS31" s="14">
        <f t="shared" si="4"/>
        <v>1</v>
      </c>
      <c r="VT31" s="12">
        <f t="shared" si="5"/>
        <v>0.88349999999999984</v>
      </c>
      <c r="VU31" s="29">
        <f t="shared" si="6"/>
        <v>24649649.999999996</v>
      </c>
      <c r="VV31" s="29">
        <f t="shared" si="7"/>
        <v>256767.19</v>
      </c>
      <c r="VW31" s="12" t="str">
        <f t="shared" si="15"/>
        <v>A</v>
      </c>
      <c r="VX31" s="12" t="str">
        <f t="shared" si="8"/>
        <v>NC-HR-ESS</v>
      </c>
      <c r="VY31" s="352">
        <f t="shared" si="16"/>
        <v>4</v>
      </c>
      <c r="WA31" s="12">
        <f t="shared" si="17"/>
        <v>1</v>
      </c>
      <c r="WB31" s="12">
        <f t="shared" si="18"/>
        <v>0</v>
      </c>
      <c r="WC31" s="12">
        <f t="shared" si="18"/>
        <v>0</v>
      </c>
      <c r="WD31" s="12">
        <f t="shared" si="18"/>
        <v>0</v>
      </c>
      <c r="WE31" s="12">
        <f t="shared" si="19"/>
        <v>1</v>
      </c>
      <c r="WF31" s="12">
        <f t="shared" si="9"/>
        <v>0</v>
      </c>
      <c r="WG31" s="12">
        <f t="shared" si="10"/>
        <v>0</v>
      </c>
      <c r="WH31" s="12">
        <f t="shared" si="11"/>
        <v>1</v>
      </c>
      <c r="WI31" s="31">
        <f t="shared" si="12"/>
        <v>3</v>
      </c>
      <c r="WJ31" s="2"/>
      <c r="WK31" s="444" t="str">
        <f t="shared" si="20"/>
        <v>NC-HR-ESS-BBN-BRN-NPH-E</v>
      </c>
      <c r="WL31" s="444"/>
      <c r="WM31" s="444"/>
    </row>
    <row r="32" spans="1:611" x14ac:dyDescent="0.25">
      <c r="A32" s="2">
        <v>9670</v>
      </c>
      <c r="B32" s="2" t="s">
        <v>3889</v>
      </c>
      <c r="C32" s="2" t="s">
        <v>3305</v>
      </c>
      <c r="D32" s="3">
        <v>45159</v>
      </c>
      <c r="E32" s="2" t="s">
        <v>9</v>
      </c>
      <c r="F32" s="2">
        <v>3</v>
      </c>
      <c r="G32" s="2" t="s">
        <v>9</v>
      </c>
      <c r="H32" s="2">
        <v>3</v>
      </c>
      <c r="I32" s="2" t="s">
        <v>9</v>
      </c>
      <c r="J32" s="2">
        <v>3</v>
      </c>
      <c r="K32" s="2" t="s">
        <v>9</v>
      </c>
      <c r="L32" s="2">
        <v>3</v>
      </c>
      <c r="M32" s="2" t="s">
        <v>10</v>
      </c>
      <c r="N32" s="2">
        <v>0</v>
      </c>
      <c r="O32" s="2" t="s">
        <v>10</v>
      </c>
      <c r="P32" s="2">
        <v>0</v>
      </c>
      <c r="Q32" s="2" t="s">
        <v>11</v>
      </c>
      <c r="R32" s="2">
        <v>0</v>
      </c>
      <c r="S32" s="2" t="s">
        <v>9</v>
      </c>
      <c r="T32" s="2">
        <v>2</v>
      </c>
      <c r="U32" s="2" t="s">
        <v>9</v>
      </c>
      <c r="V32" s="2">
        <v>2</v>
      </c>
      <c r="W32" s="2" t="s">
        <v>9</v>
      </c>
      <c r="X32" s="2">
        <v>2</v>
      </c>
      <c r="Y32" s="2" t="s">
        <v>12</v>
      </c>
      <c r="Z32" s="2" t="s">
        <v>15</v>
      </c>
      <c r="AA32" s="2" t="s">
        <v>15</v>
      </c>
      <c r="AB32" s="2" t="s">
        <v>15</v>
      </c>
      <c r="AC32" s="2" t="s">
        <v>15</v>
      </c>
      <c r="AD32" s="2" t="s">
        <v>3890</v>
      </c>
      <c r="AE32" s="2" t="s">
        <v>15</v>
      </c>
      <c r="AF32" s="2">
        <v>0</v>
      </c>
      <c r="AG32" s="2" t="s">
        <v>234</v>
      </c>
      <c r="AH32" s="2" t="s">
        <v>17</v>
      </c>
      <c r="AI32" s="4">
        <v>0.1</v>
      </c>
      <c r="AJ32" s="2" t="s">
        <v>17</v>
      </c>
      <c r="AK32" s="2" t="s">
        <v>9</v>
      </c>
      <c r="AL32" s="2" t="s">
        <v>17</v>
      </c>
      <c r="AM32" s="2" t="s">
        <v>17</v>
      </c>
      <c r="AN32" s="2" t="s">
        <v>17</v>
      </c>
      <c r="AO32" s="2" t="s">
        <v>9</v>
      </c>
      <c r="AP32" s="2" t="s">
        <v>17</v>
      </c>
      <c r="AQ32" s="2" t="s">
        <v>17</v>
      </c>
      <c r="AR32" s="2" t="s">
        <v>17</v>
      </c>
      <c r="AS32" s="2" t="s">
        <v>17</v>
      </c>
      <c r="AT32" s="2">
        <v>5</v>
      </c>
      <c r="AU32" s="5">
        <v>100000</v>
      </c>
      <c r="AV32" s="2" t="s">
        <v>85</v>
      </c>
      <c r="AW32" s="2">
        <v>0</v>
      </c>
      <c r="AX32" s="2">
        <v>8</v>
      </c>
      <c r="AY32" s="2">
        <v>0</v>
      </c>
      <c r="AZ32" s="2">
        <v>18</v>
      </c>
      <c r="BA32" s="2">
        <v>0</v>
      </c>
      <c r="BB32" s="2">
        <v>0</v>
      </c>
      <c r="BC32" s="2">
        <v>1</v>
      </c>
      <c r="BD32" s="2">
        <v>5</v>
      </c>
      <c r="BE32" s="2">
        <v>0</v>
      </c>
      <c r="BF32" s="2">
        <v>1</v>
      </c>
      <c r="BG32" s="2">
        <v>0</v>
      </c>
      <c r="BH32" s="2">
        <v>0</v>
      </c>
      <c r="BI32" s="2">
        <v>13</v>
      </c>
      <c r="BJ32" s="2">
        <v>1</v>
      </c>
      <c r="BK32" s="2">
        <v>0</v>
      </c>
      <c r="BL32" s="2">
        <v>2</v>
      </c>
      <c r="BM32" s="2">
        <v>2</v>
      </c>
      <c r="BN32" s="2">
        <v>13</v>
      </c>
      <c r="BO32" s="2">
        <v>11</v>
      </c>
      <c r="BP32" s="2">
        <v>0</v>
      </c>
      <c r="BQ32" s="2">
        <v>10</v>
      </c>
      <c r="BR32" s="2">
        <v>10.050000000000001</v>
      </c>
      <c r="BS32" s="2">
        <v>0</v>
      </c>
      <c r="BT32" s="4">
        <v>0.06</v>
      </c>
      <c r="BU32" s="2" t="s">
        <v>9</v>
      </c>
      <c r="BV32" s="6">
        <v>208972.36</v>
      </c>
      <c r="BW32" s="2" t="s">
        <v>126</v>
      </c>
      <c r="BX32" s="2" t="s">
        <v>17</v>
      </c>
      <c r="BY32" s="2" t="s">
        <v>17</v>
      </c>
      <c r="BZ32" s="2" t="s">
        <v>17</v>
      </c>
      <c r="CA32" s="2" t="s">
        <v>17</v>
      </c>
      <c r="CB32" s="2" t="s">
        <v>17</v>
      </c>
      <c r="CC32" s="2" t="s">
        <v>17</v>
      </c>
      <c r="CD32" s="2" t="s">
        <v>17</v>
      </c>
      <c r="CE32" s="2" t="s">
        <v>3891</v>
      </c>
      <c r="CF32" s="2" t="s">
        <v>17</v>
      </c>
      <c r="CG32" s="2" t="s">
        <v>3892</v>
      </c>
      <c r="CH32" s="2"/>
      <c r="CI32" s="2"/>
      <c r="CJ32" s="2" t="s">
        <v>9</v>
      </c>
      <c r="CK32" s="2" t="s">
        <v>286</v>
      </c>
      <c r="CL32" s="2" t="s">
        <v>3892</v>
      </c>
      <c r="CM32" s="2" t="s">
        <v>287</v>
      </c>
      <c r="CN32" s="2" t="s">
        <v>288</v>
      </c>
      <c r="CO32" s="2" t="s">
        <v>24</v>
      </c>
      <c r="CP32" s="2"/>
      <c r="CQ32" s="2">
        <v>100</v>
      </c>
      <c r="CR32" s="2" t="s">
        <v>3893</v>
      </c>
      <c r="CS32" s="2">
        <v>2021</v>
      </c>
      <c r="CT32" s="2" t="s">
        <v>26</v>
      </c>
      <c r="CU32" s="2" t="s">
        <v>27</v>
      </c>
      <c r="CV32" s="2" t="s">
        <v>290</v>
      </c>
      <c r="CW32" s="2" t="s">
        <v>291</v>
      </c>
      <c r="CX32" s="2" t="s">
        <v>24</v>
      </c>
      <c r="CY32" s="2"/>
      <c r="CZ32" s="2">
        <v>110</v>
      </c>
      <c r="DA32" s="2" t="s">
        <v>3893</v>
      </c>
      <c r="DB32" s="2">
        <v>2021</v>
      </c>
      <c r="DC32" s="2" t="s">
        <v>30</v>
      </c>
      <c r="DD32" s="2" t="s">
        <v>27</v>
      </c>
      <c r="DE32" s="2" t="s">
        <v>292</v>
      </c>
      <c r="DF32" s="2" t="s">
        <v>293</v>
      </c>
      <c r="DG32" s="2" t="s">
        <v>24</v>
      </c>
      <c r="DH32" s="2"/>
      <c r="DI32" s="2">
        <v>132</v>
      </c>
      <c r="DJ32" s="2" t="s">
        <v>3893</v>
      </c>
      <c r="DK32" s="2">
        <v>2020</v>
      </c>
      <c r="DL32" s="2" t="s">
        <v>30</v>
      </c>
      <c r="DM32" s="2" t="s">
        <v>27</v>
      </c>
      <c r="DN32" s="2" t="s">
        <v>33</v>
      </c>
      <c r="DO32" s="2" t="s">
        <v>294</v>
      </c>
      <c r="DP32" s="2" t="s">
        <v>295</v>
      </c>
      <c r="DQ32" s="2" t="s">
        <v>296</v>
      </c>
      <c r="DR32" s="2" t="s">
        <v>297</v>
      </c>
      <c r="DS32" s="2">
        <v>1</v>
      </c>
      <c r="DT32" s="2" t="s">
        <v>298</v>
      </c>
      <c r="DU32" s="2" t="s">
        <v>299</v>
      </c>
      <c r="DV32" s="2" t="s">
        <v>39</v>
      </c>
      <c r="DW32" s="2">
        <v>33133</v>
      </c>
      <c r="DX32" s="2" t="s">
        <v>300</v>
      </c>
      <c r="DY32" s="2">
        <v>125</v>
      </c>
      <c r="DZ32" s="2" t="s">
        <v>301</v>
      </c>
      <c r="EA32" s="2" t="s">
        <v>297</v>
      </c>
      <c r="EB32" s="2" t="s">
        <v>302</v>
      </c>
      <c r="EC32" s="2" t="s">
        <v>291</v>
      </c>
      <c r="ED32" s="2" t="s">
        <v>44</v>
      </c>
      <c r="EE32" s="2">
        <v>144</v>
      </c>
      <c r="EF32" s="2" t="s">
        <v>3894</v>
      </c>
      <c r="EG32" s="2">
        <v>7</v>
      </c>
      <c r="EH32" s="2" t="s">
        <v>46</v>
      </c>
      <c r="EI32" s="2" t="s">
        <v>47</v>
      </c>
      <c r="EJ32" s="2" t="s">
        <v>304</v>
      </c>
      <c r="EK32" s="2" t="s">
        <v>305</v>
      </c>
      <c r="EL32" s="2" t="s">
        <v>44</v>
      </c>
      <c r="EM32" s="2">
        <v>150</v>
      </c>
      <c r="EN32" s="2" t="s">
        <v>3894</v>
      </c>
      <c r="EO32" s="2">
        <v>5</v>
      </c>
      <c r="EP32" s="2" t="s">
        <v>46</v>
      </c>
      <c r="EQ32" s="2" t="s">
        <v>47</v>
      </c>
      <c r="ER32" s="2" t="s">
        <v>294</v>
      </c>
      <c r="ES32" s="2" t="s">
        <v>295</v>
      </c>
      <c r="ET32" s="2" t="s">
        <v>296</v>
      </c>
      <c r="EU32" s="2" t="s">
        <v>3891</v>
      </c>
      <c r="EV32" s="2" t="s">
        <v>298</v>
      </c>
      <c r="EW32" s="2" t="s">
        <v>299</v>
      </c>
      <c r="EX32" s="2" t="s">
        <v>39</v>
      </c>
      <c r="EY32" s="2">
        <v>33133</v>
      </c>
      <c r="EZ32" s="2" t="s">
        <v>300</v>
      </c>
      <c r="FA32" s="2">
        <v>125</v>
      </c>
      <c r="FB32" s="2" t="s">
        <v>301</v>
      </c>
      <c r="FC32" s="2" t="s">
        <v>307</v>
      </c>
      <c r="FD32" s="2"/>
      <c r="FE32" s="2" t="s">
        <v>308</v>
      </c>
      <c r="FF32" s="2" t="s">
        <v>309</v>
      </c>
      <c r="FG32" s="2" t="s">
        <v>298</v>
      </c>
      <c r="FH32" s="2" t="s">
        <v>299</v>
      </c>
      <c r="FI32" s="2" t="s">
        <v>39</v>
      </c>
      <c r="FJ32" s="2">
        <v>33133</v>
      </c>
      <c r="FK32" s="2" t="s">
        <v>310</v>
      </c>
      <c r="FL32" s="2"/>
      <c r="FM32" s="2" t="s">
        <v>311</v>
      </c>
      <c r="FN32" s="2" t="s">
        <v>3895</v>
      </c>
      <c r="FO32" s="2" t="s">
        <v>63</v>
      </c>
      <c r="FP32" s="2" t="s">
        <v>64</v>
      </c>
      <c r="FQ32" s="2" t="s">
        <v>9</v>
      </c>
      <c r="FR32" s="2" t="s">
        <v>17</v>
      </c>
      <c r="FS32" s="2" t="s">
        <v>17</v>
      </c>
      <c r="FT32" s="2" t="s">
        <v>9</v>
      </c>
      <c r="FU32" s="2"/>
      <c r="FV32" s="2"/>
      <c r="FW32" s="2">
        <v>0</v>
      </c>
      <c r="FX32" s="2">
        <v>0</v>
      </c>
      <c r="FY32" s="4">
        <v>0</v>
      </c>
      <c r="FZ32" s="4">
        <v>0</v>
      </c>
      <c r="GA32" s="2" t="s">
        <v>65</v>
      </c>
      <c r="GB32" s="2"/>
      <c r="GC32" s="2" t="s">
        <v>66</v>
      </c>
      <c r="GD32" s="2" t="s">
        <v>67</v>
      </c>
      <c r="GE32" s="2" t="s">
        <v>2684</v>
      </c>
      <c r="GF32" s="2"/>
      <c r="GG32" s="2"/>
      <c r="GH32" s="2"/>
      <c r="GI32" s="2"/>
      <c r="GJ32" s="2"/>
      <c r="GK32" s="2">
        <v>106</v>
      </c>
      <c r="GL32" s="2"/>
      <c r="GM32" s="2"/>
      <c r="GN32" s="2"/>
      <c r="GO32" s="2"/>
      <c r="GP32" s="2"/>
      <c r="GQ32" s="2">
        <v>106</v>
      </c>
      <c r="GR32" s="2" t="s">
        <v>3332</v>
      </c>
      <c r="GS32" s="2" t="s">
        <v>2686</v>
      </c>
      <c r="GT32" s="2" t="s">
        <v>3896</v>
      </c>
      <c r="GU32" s="2" t="s">
        <v>3897</v>
      </c>
      <c r="GV32" s="2" t="s">
        <v>17</v>
      </c>
      <c r="GW32" s="2">
        <v>25.569441999999999</v>
      </c>
      <c r="GX32" s="2">
        <v>-80.380178000000001</v>
      </c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>
        <v>25.565964000000001</v>
      </c>
      <c r="HO32" s="2">
        <v>-80.382636000000005</v>
      </c>
      <c r="HP32" s="2">
        <v>0.28999999999999998</v>
      </c>
      <c r="HQ32" s="2">
        <v>6</v>
      </c>
      <c r="HR32" s="2"/>
      <c r="HS32" s="2"/>
      <c r="HT32" s="2"/>
      <c r="HU32" s="2"/>
      <c r="HV32" s="2" t="s">
        <v>74</v>
      </c>
      <c r="HW32" s="2" t="s">
        <v>3426</v>
      </c>
      <c r="HX32" s="2">
        <v>0.31</v>
      </c>
      <c r="HY32" s="2">
        <v>3.5</v>
      </c>
      <c r="HZ32" s="2"/>
      <c r="IA32" s="2"/>
      <c r="IB32" s="2"/>
      <c r="IC32" s="2"/>
      <c r="ID32" s="2" t="s">
        <v>76</v>
      </c>
      <c r="IE32" s="2">
        <v>0.31</v>
      </c>
      <c r="IF32" s="2">
        <v>3.5</v>
      </c>
      <c r="IG32" s="2" t="s">
        <v>3582</v>
      </c>
      <c r="IH32" s="2">
        <v>0.4</v>
      </c>
      <c r="II32" s="2">
        <v>4</v>
      </c>
      <c r="IJ32" s="2" t="s">
        <v>9</v>
      </c>
      <c r="IK32" s="2" t="s">
        <v>3428</v>
      </c>
      <c r="IL32" s="2" t="s">
        <v>3341</v>
      </c>
      <c r="IM32" s="2" t="s">
        <v>17</v>
      </c>
      <c r="IN32" s="2"/>
      <c r="IO32" s="2" t="s">
        <v>79</v>
      </c>
      <c r="IP32" s="2">
        <v>6</v>
      </c>
      <c r="IQ32" s="2">
        <v>11</v>
      </c>
      <c r="IR32" s="2">
        <v>17</v>
      </c>
      <c r="IS32" s="2" t="s">
        <v>17</v>
      </c>
      <c r="IT32" s="2" t="s">
        <v>17</v>
      </c>
      <c r="IU32" s="2" t="s">
        <v>9</v>
      </c>
      <c r="IV32" s="2" t="s">
        <v>9</v>
      </c>
      <c r="IW32" s="2" t="s">
        <v>9</v>
      </c>
      <c r="IX32" s="2" t="s">
        <v>9</v>
      </c>
      <c r="IY32" s="2">
        <v>17</v>
      </c>
      <c r="IZ32" s="2">
        <v>106</v>
      </c>
      <c r="JA32" s="2" t="s">
        <v>3085</v>
      </c>
      <c r="JB32" s="2"/>
      <c r="JC32" s="2" t="s">
        <v>173</v>
      </c>
      <c r="JD32" s="7">
        <v>0.1</v>
      </c>
      <c r="JE32" s="7">
        <v>0.9</v>
      </c>
      <c r="JF32" s="7">
        <v>0</v>
      </c>
      <c r="JG32" s="7"/>
      <c r="JH32" s="7"/>
      <c r="JI32" s="2">
        <v>106</v>
      </c>
      <c r="JJ32" s="7">
        <v>1</v>
      </c>
      <c r="JK32" s="2">
        <v>106</v>
      </c>
      <c r="JL32" s="7">
        <v>1</v>
      </c>
      <c r="JM32" s="2"/>
      <c r="JN32" s="2"/>
      <c r="JO32" s="2"/>
      <c r="JP32" s="2"/>
      <c r="JQ32" s="2"/>
      <c r="JR32" s="2"/>
      <c r="JS32" s="2">
        <v>0</v>
      </c>
      <c r="JT32" s="2">
        <v>0</v>
      </c>
      <c r="JU32" s="2"/>
      <c r="JV32" s="2">
        <v>0</v>
      </c>
      <c r="JW32" s="4">
        <v>0</v>
      </c>
      <c r="JX32" s="2">
        <v>0</v>
      </c>
      <c r="JY32" s="4">
        <v>0</v>
      </c>
      <c r="JZ32" s="2">
        <v>0</v>
      </c>
      <c r="KA32" s="2"/>
      <c r="KB32" s="2"/>
      <c r="KC32" s="2"/>
      <c r="KD32" s="2"/>
      <c r="KE32" s="2"/>
      <c r="KF32" s="2"/>
      <c r="KG32" s="2"/>
      <c r="KH32" s="2">
        <v>70</v>
      </c>
      <c r="KI32" s="2"/>
      <c r="KJ32" s="2"/>
      <c r="KK32" s="2">
        <v>36</v>
      </c>
      <c r="KL32" s="2"/>
      <c r="KM32" s="2"/>
      <c r="KN32" s="2"/>
      <c r="KO32" s="2"/>
      <c r="KP32" s="2"/>
      <c r="KQ32" s="2" t="s">
        <v>83</v>
      </c>
      <c r="KR32" s="2"/>
      <c r="KS32" s="2" t="s">
        <v>73</v>
      </c>
      <c r="KT32" s="2">
        <v>1</v>
      </c>
      <c r="KU32" s="2" t="s">
        <v>84</v>
      </c>
      <c r="KV32" s="2" t="s">
        <v>85</v>
      </c>
      <c r="KW32" s="2" t="s">
        <v>86</v>
      </c>
      <c r="KX32" s="2" t="s">
        <v>17</v>
      </c>
      <c r="KY32" s="2" t="s">
        <v>17</v>
      </c>
      <c r="KZ32" s="2" t="s">
        <v>17</v>
      </c>
      <c r="LA32" s="2" t="s">
        <v>17</v>
      </c>
      <c r="LB32" s="2" t="s">
        <v>17</v>
      </c>
      <c r="LC32" s="2" t="s">
        <v>17</v>
      </c>
      <c r="LD32" s="2" t="s">
        <v>17</v>
      </c>
      <c r="LE32" s="2" t="s">
        <v>17</v>
      </c>
      <c r="LF32" s="2" t="s">
        <v>17</v>
      </c>
      <c r="LG32" s="2" t="s">
        <v>17</v>
      </c>
      <c r="LH32" s="2" t="s">
        <v>17</v>
      </c>
      <c r="LI32" s="2" t="s">
        <v>17</v>
      </c>
      <c r="LJ32" s="2" t="s">
        <v>87</v>
      </c>
      <c r="LK32" s="2" t="s">
        <v>17</v>
      </c>
      <c r="LL32" s="2" t="s">
        <v>17</v>
      </c>
      <c r="LM32" s="2">
        <v>0</v>
      </c>
      <c r="LN32" s="2" t="s">
        <v>17</v>
      </c>
      <c r="LO32" s="2" t="s">
        <v>17</v>
      </c>
      <c r="LP32" s="2" t="s">
        <v>17</v>
      </c>
      <c r="LQ32" s="2" t="s">
        <v>17</v>
      </c>
      <c r="LR32" s="2" t="s">
        <v>17</v>
      </c>
      <c r="LS32" s="2" t="s">
        <v>17</v>
      </c>
      <c r="LT32" s="2" t="s">
        <v>17</v>
      </c>
      <c r="LU32" s="2" t="s">
        <v>17</v>
      </c>
      <c r="LV32" s="2" t="s">
        <v>9</v>
      </c>
      <c r="LW32" s="2" t="s">
        <v>9</v>
      </c>
      <c r="LX32" s="2" t="s">
        <v>9</v>
      </c>
      <c r="LY32" s="5">
        <v>6500000</v>
      </c>
      <c r="LZ32" s="5">
        <v>0</v>
      </c>
      <c r="MA32" s="5">
        <v>8400000</v>
      </c>
      <c r="MB32" s="5">
        <v>0</v>
      </c>
      <c r="MC32" s="5">
        <v>0</v>
      </c>
      <c r="MD32" s="5">
        <v>0</v>
      </c>
      <c r="ME32" s="5">
        <v>10000000</v>
      </c>
      <c r="MF32" s="5">
        <v>0</v>
      </c>
      <c r="MG32" s="5">
        <v>0</v>
      </c>
      <c r="MH32" s="5">
        <v>0</v>
      </c>
      <c r="MI32" s="5">
        <v>0</v>
      </c>
      <c r="MJ32" s="5">
        <v>0</v>
      </c>
      <c r="MK32" s="5">
        <v>0</v>
      </c>
      <c r="ML32" s="2">
        <v>0</v>
      </c>
      <c r="MM32" s="5">
        <v>0</v>
      </c>
      <c r="MN32" s="5">
        <v>0</v>
      </c>
      <c r="MO32" s="2">
        <v>0</v>
      </c>
      <c r="MP32" s="2">
        <v>0</v>
      </c>
      <c r="MQ32" s="2">
        <v>0</v>
      </c>
      <c r="MR32" s="5">
        <v>2950000</v>
      </c>
      <c r="MS32" s="5">
        <v>0</v>
      </c>
      <c r="MT32" s="5">
        <v>4600000</v>
      </c>
      <c r="MU32" s="5">
        <v>0</v>
      </c>
      <c r="MV32" s="5">
        <v>0</v>
      </c>
      <c r="MW32" s="5">
        <v>0</v>
      </c>
      <c r="MX32" s="5">
        <v>0</v>
      </c>
      <c r="MY32" s="5">
        <v>2500000</v>
      </c>
      <c r="MZ32" s="5">
        <v>0</v>
      </c>
      <c r="NA32" s="5">
        <v>5000000</v>
      </c>
      <c r="NB32" s="5">
        <v>0</v>
      </c>
      <c r="NC32" s="5">
        <v>0</v>
      </c>
      <c r="ND32" s="5">
        <v>0</v>
      </c>
      <c r="NE32" s="5">
        <v>0</v>
      </c>
      <c r="NF32" s="5">
        <v>0</v>
      </c>
      <c r="NG32" s="5">
        <v>3458400</v>
      </c>
      <c r="NH32" s="5">
        <v>3450000</v>
      </c>
      <c r="NI32" s="5">
        <v>3450000</v>
      </c>
      <c r="NJ32" s="5"/>
      <c r="NK32" s="5">
        <v>0</v>
      </c>
      <c r="NL32" s="2" t="s">
        <v>9</v>
      </c>
      <c r="NM32" s="2" t="s">
        <v>17</v>
      </c>
      <c r="NN32" s="2"/>
      <c r="NO32" s="2" t="s">
        <v>17</v>
      </c>
      <c r="NP32" s="2"/>
      <c r="NQ32" s="2"/>
      <c r="NR32" s="2" t="s">
        <v>17</v>
      </c>
      <c r="NS32" s="2"/>
      <c r="NT32" s="2" t="s">
        <v>9</v>
      </c>
      <c r="NU32" s="2" t="s">
        <v>450</v>
      </c>
      <c r="NV32" s="2">
        <v>102.13</v>
      </c>
      <c r="NW32" s="2" t="s">
        <v>3342</v>
      </c>
      <c r="NX32" s="2"/>
      <c r="NY32" s="2"/>
      <c r="NZ32" s="2"/>
      <c r="OA32" s="2" t="s">
        <v>118</v>
      </c>
      <c r="OB32" s="2" t="s">
        <v>118</v>
      </c>
      <c r="OC32" s="2" t="s">
        <v>118</v>
      </c>
      <c r="OD32" s="2" t="s">
        <v>3343</v>
      </c>
      <c r="OE32" s="2" t="s">
        <v>3429</v>
      </c>
      <c r="OF32" s="2"/>
      <c r="OG32" s="2" t="s">
        <v>17</v>
      </c>
      <c r="OH32" s="2" t="s">
        <v>119</v>
      </c>
      <c r="OI32" s="2" t="s">
        <v>17</v>
      </c>
      <c r="OJ32" s="2"/>
      <c r="OK32" s="2" t="s">
        <v>17</v>
      </c>
      <c r="OL32" s="2" t="s">
        <v>17</v>
      </c>
      <c r="OM32" s="2" t="s">
        <v>85</v>
      </c>
      <c r="ON32" s="6">
        <v>0</v>
      </c>
      <c r="OO32" s="6">
        <v>0</v>
      </c>
      <c r="OP32" s="2" t="s">
        <v>93</v>
      </c>
      <c r="OQ32" s="2" t="s">
        <v>93</v>
      </c>
      <c r="OR32" s="6">
        <v>0</v>
      </c>
      <c r="OS32" s="4">
        <v>0</v>
      </c>
      <c r="OT32" s="2" t="s">
        <v>17</v>
      </c>
      <c r="OU32" s="2" t="s">
        <v>17</v>
      </c>
      <c r="OV32" s="2"/>
      <c r="OW32" s="2"/>
      <c r="OX32" s="5">
        <v>22151070</v>
      </c>
      <c r="OY32" s="6">
        <v>208972.36</v>
      </c>
      <c r="OZ32" s="2"/>
      <c r="PA32" s="2"/>
      <c r="PB32" s="2"/>
      <c r="PC32" s="2"/>
      <c r="PD32" s="8">
        <v>22171020</v>
      </c>
      <c r="PE32" s="2"/>
      <c r="PF32" s="8">
        <v>22171020</v>
      </c>
      <c r="PG32" s="2"/>
      <c r="PH32" s="8">
        <v>100000</v>
      </c>
      <c r="PI32" s="8">
        <v>100000</v>
      </c>
      <c r="PJ32" s="2"/>
      <c r="PK32" s="2"/>
      <c r="PL32" s="2"/>
      <c r="PM32" s="8">
        <v>22171020</v>
      </c>
      <c r="PN32" s="8">
        <v>100000</v>
      </c>
      <c r="PO32" s="8">
        <v>22271020</v>
      </c>
      <c r="PP32" s="8">
        <v>3103942</v>
      </c>
      <c r="PQ32" s="2"/>
      <c r="PR32" s="8">
        <v>3103942</v>
      </c>
      <c r="PS32" s="6">
        <v>3117942</v>
      </c>
      <c r="PT32" s="8">
        <v>25274962</v>
      </c>
      <c r="PU32" s="8">
        <v>100000</v>
      </c>
      <c r="PV32" s="8">
        <v>25374962</v>
      </c>
      <c r="PW32" s="8">
        <v>1263748</v>
      </c>
      <c r="PX32" s="2"/>
      <c r="PY32" s="8">
        <v>1263748</v>
      </c>
      <c r="PZ32" s="6">
        <v>1268748.1000000001</v>
      </c>
      <c r="QA32" s="8">
        <v>1088478</v>
      </c>
      <c r="QB32" s="8">
        <v>114379</v>
      </c>
      <c r="QC32" s="8">
        <v>1202857</v>
      </c>
      <c r="QD32" s="8">
        <v>488167</v>
      </c>
      <c r="QE32" s="2"/>
      <c r="QF32" s="8">
        <v>488167</v>
      </c>
      <c r="QG32" s="8">
        <v>567075</v>
      </c>
      <c r="QH32" s="2"/>
      <c r="QI32" s="8">
        <v>567075</v>
      </c>
      <c r="QJ32" s="2"/>
      <c r="QK32" s="8">
        <v>529851</v>
      </c>
      <c r="QL32" s="8">
        <v>529851</v>
      </c>
      <c r="QM32" s="2"/>
      <c r="QN32" s="2"/>
      <c r="QO32" s="2"/>
      <c r="QP32" s="2"/>
      <c r="QQ32" s="2"/>
      <c r="QR32" s="2"/>
      <c r="QS32" s="8">
        <v>2143720</v>
      </c>
      <c r="QT32" s="8">
        <v>644230</v>
      </c>
      <c r="QU32" s="8">
        <v>2787950</v>
      </c>
      <c r="QV32" s="8">
        <v>112904</v>
      </c>
      <c r="QW32" s="2"/>
      <c r="QX32" s="8">
        <v>112904</v>
      </c>
      <c r="QY32" s="6">
        <v>139397.5</v>
      </c>
      <c r="QZ32" s="8">
        <v>1457190</v>
      </c>
      <c r="RA32" s="8">
        <v>1279561</v>
      </c>
      <c r="RB32" s="8">
        <v>2736751</v>
      </c>
      <c r="RC32" s="8">
        <v>125738</v>
      </c>
      <c r="RD32" s="8">
        <v>125738</v>
      </c>
      <c r="RE32" s="2"/>
      <c r="RF32" s="2"/>
      <c r="RG32" s="2"/>
      <c r="RH32" s="8">
        <v>1457190</v>
      </c>
      <c r="RI32" s="8">
        <v>1405299</v>
      </c>
      <c r="RJ32" s="8">
        <v>2862489</v>
      </c>
      <c r="RK32" s="8">
        <v>30252524</v>
      </c>
      <c r="RL32" s="8">
        <v>2149529</v>
      </c>
      <c r="RM32" s="8">
        <v>32402053</v>
      </c>
      <c r="RN32" s="2">
        <v>0</v>
      </c>
      <c r="RO32" s="6">
        <v>0</v>
      </c>
      <c r="RP32" s="8">
        <v>5168328</v>
      </c>
      <c r="RQ32" s="2"/>
      <c r="RR32" s="8">
        <v>5168328</v>
      </c>
      <c r="RS32" s="6">
        <v>5184328</v>
      </c>
      <c r="RT32" s="6">
        <v>0</v>
      </c>
      <c r="RU32" s="8">
        <v>5168328</v>
      </c>
      <c r="RV32" s="2"/>
      <c r="RW32" s="8">
        <v>5168328</v>
      </c>
      <c r="RX32" s="6">
        <v>5184328</v>
      </c>
      <c r="RY32" s="8">
        <v>371000</v>
      </c>
      <c r="RZ32" s="8">
        <v>371000</v>
      </c>
      <c r="SA32" s="6">
        <v>371000</v>
      </c>
      <c r="SB32" s="8">
        <v>5500000</v>
      </c>
      <c r="SC32" s="8">
        <v>5500000</v>
      </c>
      <c r="SD32" s="8">
        <v>35420852</v>
      </c>
      <c r="SE32" s="8">
        <v>8020529</v>
      </c>
      <c r="SF32" s="8">
        <v>43441381</v>
      </c>
      <c r="SG32" s="2" t="s">
        <v>3898</v>
      </c>
      <c r="SH32" s="2"/>
      <c r="SI32" s="2"/>
      <c r="SJ32" s="2"/>
      <c r="SK32" s="8">
        <v>28300000</v>
      </c>
      <c r="SL32" s="2" t="s">
        <v>95</v>
      </c>
      <c r="SM32" s="2"/>
      <c r="SN32" s="2"/>
      <c r="SO32" s="2"/>
      <c r="SP32" s="2"/>
      <c r="SQ32" s="2"/>
      <c r="SR32" s="2"/>
      <c r="SS32" s="2" t="s">
        <v>96</v>
      </c>
      <c r="ST32" s="2" t="s">
        <v>96</v>
      </c>
      <c r="SU32" s="2" t="s">
        <v>96</v>
      </c>
      <c r="SV32" s="2" t="s">
        <v>96</v>
      </c>
      <c r="SW32" s="8">
        <v>15868400</v>
      </c>
      <c r="SX32" s="2"/>
      <c r="SY32" s="2"/>
      <c r="SZ32" s="2"/>
      <c r="TA32" s="2"/>
      <c r="TB32" s="2"/>
      <c r="TC32" s="2"/>
      <c r="TD32" s="2">
        <v>0</v>
      </c>
      <c r="TE32" s="8">
        <v>44168400</v>
      </c>
      <c r="TF32" s="8">
        <v>727019</v>
      </c>
      <c r="TG32" s="2" t="s">
        <v>9</v>
      </c>
      <c r="TH32" s="8">
        <v>8984000</v>
      </c>
      <c r="TI32" s="2" t="s">
        <v>95</v>
      </c>
      <c r="TJ32" s="2"/>
      <c r="TK32" s="2"/>
      <c r="TL32" s="2"/>
      <c r="TM32" s="2"/>
      <c r="TN32" s="2" t="s">
        <v>96</v>
      </c>
      <c r="TO32" s="2" t="s">
        <v>96</v>
      </c>
      <c r="TP32" s="2" t="s">
        <v>96</v>
      </c>
      <c r="TQ32" s="2" t="s">
        <v>96</v>
      </c>
      <c r="TR32" s="8">
        <v>31736800</v>
      </c>
      <c r="TS32" s="2"/>
      <c r="TT32" s="2"/>
      <c r="TU32" s="2"/>
      <c r="TV32" s="2"/>
      <c r="TW32" s="2"/>
      <c r="TX32" s="2"/>
      <c r="TY32" s="8">
        <v>2720581</v>
      </c>
      <c r="TZ32" s="8">
        <v>43441381</v>
      </c>
      <c r="UA32" s="6">
        <v>8984000</v>
      </c>
      <c r="UB32" s="2">
        <v>0</v>
      </c>
      <c r="UC32" s="2" t="s">
        <v>9</v>
      </c>
      <c r="UD32" s="2">
        <v>106</v>
      </c>
      <c r="UE32" s="5">
        <v>310000</v>
      </c>
      <c r="UF32" s="6">
        <v>413333.33</v>
      </c>
      <c r="UG32" s="6">
        <v>413333.33</v>
      </c>
      <c r="UH32" s="6">
        <v>438133.33</v>
      </c>
      <c r="UI32" s="6">
        <v>46442133.329999998</v>
      </c>
      <c r="UJ32" s="6">
        <v>7430741</v>
      </c>
      <c r="UK32" s="2" t="s">
        <v>97</v>
      </c>
      <c r="UL32" s="6">
        <v>7430741</v>
      </c>
      <c r="UM32" s="6">
        <v>53872874.329999998</v>
      </c>
      <c r="UN32" s="6">
        <v>37570381</v>
      </c>
      <c r="UO32" s="4">
        <v>0.99990000000000001</v>
      </c>
      <c r="UP32" s="2" t="s">
        <v>9</v>
      </c>
      <c r="UQ32" s="6">
        <v>0</v>
      </c>
      <c r="UR32" s="6">
        <v>0</v>
      </c>
      <c r="US32" s="6">
        <v>858746.6</v>
      </c>
      <c r="UT32" s="6">
        <v>858746.6</v>
      </c>
      <c r="UU32" s="6">
        <v>0</v>
      </c>
      <c r="UV32" s="6">
        <v>858746.6</v>
      </c>
      <c r="UW32" s="6">
        <v>0</v>
      </c>
      <c r="UX32" s="6">
        <v>858746.6</v>
      </c>
      <c r="UY32" s="2" t="s">
        <v>3633</v>
      </c>
      <c r="UZ32" s="2" t="s">
        <v>3288</v>
      </c>
      <c r="VA32" s="2" t="s">
        <v>17</v>
      </c>
      <c r="VB32" s="2" t="s">
        <v>17</v>
      </c>
      <c r="VC32" s="2" t="s">
        <v>17</v>
      </c>
      <c r="VD32" s="2" t="s">
        <v>17</v>
      </c>
      <c r="VE32" s="2" t="s">
        <v>17</v>
      </c>
      <c r="VF32" s="2" t="s">
        <v>17</v>
      </c>
      <c r="VG32" s="2" t="s">
        <v>3899</v>
      </c>
      <c r="VH32" s="2"/>
      <c r="VI32" s="388" t="s">
        <v>286</v>
      </c>
      <c r="VJ32" s="2" t="s">
        <v>98</v>
      </c>
      <c r="VK32" s="2" t="s">
        <v>324</v>
      </c>
      <c r="VL32" s="23">
        <f t="shared" si="0"/>
        <v>142</v>
      </c>
      <c r="VM32" s="17">
        <f t="shared" si="1"/>
        <v>1.3396226415094339</v>
      </c>
      <c r="VN32" s="17" t="str">
        <f t="shared" si="2"/>
        <v>NC-HR-E</v>
      </c>
      <c r="VO32" s="17" t="str">
        <f t="shared" si="14"/>
        <v>NC-HR-E-ESS</v>
      </c>
      <c r="VP32" s="12">
        <v>9</v>
      </c>
      <c r="VQ32" s="57">
        <v>1</v>
      </c>
      <c r="VR32" s="57">
        <f t="shared" si="3"/>
        <v>1</v>
      </c>
      <c r="VS32" s="14">
        <f t="shared" si="4"/>
        <v>1</v>
      </c>
      <c r="VT32" s="12">
        <f t="shared" si="5"/>
        <v>0.88349999999999995</v>
      </c>
      <c r="VU32" s="29">
        <f t="shared" si="6"/>
        <v>27432675</v>
      </c>
      <c r="VV32" s="29">
        <f t="shared" si="7"/>
        <v>258798.82</v>
      </c>
      <c r="VW32" s="12" t="str">
        <f t="shared" si="15"/>
        <v>A</v>
      </c>
      <c r="VX32" s="12" t="str">
        <f t="shared" si="8"/>
        <v>NC-HR-ESS</v>
      </c>
      <c r="VY32" s="352">
        <f t="shared" si="16"/>
        <v>4</v>
      </c>
      <c r="WA32" s="12">
        <f t="shared" si="17"/>
        <v>1</v>
      </c>
      <c r="WB32" s="12">
        <f t="shared" si="18"/>
        <v>0</v>
      </c>
      <c r="WC32" s="12">
        <f t="shared" si="18"/>
        <v>0</v>
      </c>
      <c r="WD32" s="12">
        <f t="shared" si="18"/>
        <v>0</v>
      </c>
      <c r="WE32" s="12">
        <f t="shared" si="19"/>
        <v>1</v>
      </c>
      <c r="WF32" s="12">
        <f t="shared" si="9"/>
        <v>0</v>
      </c>
      <c r="WG32" s="12">
        <f t="shared" si="10"/>
        <v>0</v>
      </c>
      <c r="WH32" s="12">
        <f t="shared" si="11"/>
        <v>1</v>
      </c>
      <c r="WI32" s="31">
        <f t="shared" si="12"/>
        <v>3</v>
      </c>
      <c r="WJ32" s="2"/>
      <c r="WK32" s="444" t="str">
        <f t="shared" si="20"/>
        <v>NC-HR-ESS-BBN-BRN-NPH-E</v>
      </c>
      <c r="WL32" s="444"/>
      <c r="WM32" s="444"/>
    </row>
    <row r="33" spans="1:611" x14ac:dyDescent="0.25">
      <c r="A33" s="2">
        <v>9423</v>
      </c>
      <c r="B33" s="2" t="s">
        <v>3900</v>
      </c>
      <c r="C33" s="2" t="s">
        <v>3305</v>
      </c>
      <c r="D33" s="3">
        <v>45159</v>
      </c>
      <c r="E33" s="2" t="s">
        <v>9</v>
      </c>
      <c r="F33" s="2">
        <v>3</v>
      </c>
      <c r="G33" s="2" t="s">
        <v>9</v>
      </c>
      <c r="H33" s="2">
        <v>3</v>
      </c>
      <c r="I33" s="2" t="s">
        <v>9</v>
      </c>
      <c r="J33" s="2">
        <v>3</v>
      </c>
      <c r="K33" s="2" t="s">
        <v>9</v>
      </c>
      <c r="L33" s="2">
        <v>3</v>
      </c>
      <c r="M33" s="2" t="s">
        <v>10</v>
      </c>
      <c r="N33" s="2">
        <v>0</v>
      </c>
      <c r="O33" s="2" t="s">
        <v>10</v>
      </c>
      <c r="P33" s="2">
        <v>0</v>
      </c>
      <c r="Q33" s="2" t="s">
        <v>11</v>
      </c>
      <c r="R33" s="2">
        <v>0</v>
      </c>
      <c r="S33" s="2" t="s">
        <v>9</v>
      </c>
      <c r="T33" s="2">
        <v>2</v>
      </c>
      <c r="U33" s="2" t="s">
        <v>9</v>
      </c>
      <c r="V33" s="2">
        <v>2</v>
      </c>
      <c r="W33" s="2" t="s">
        <v>9</v>
      </c>
      <c r="X33" s="2">
        <v>2</v>
      </c>
      <c r="Y33" s="2" t="s">
        <v>12</v>
      </c>
      <c r="Z33" s="2" t="s">
        <v>2999</v>
      </c>
      <c r="AA33" s="2" t="s">
        <v>2914</v>
      </c>
      <c r="AB33" s="2" t="s">
        <v>3901</v>
      </c>
      <c r="AC33" s="2" t="s">
        <v>15</v>
      </c>
      <c r="AD33" s="2" t="s">
        <v>15</v>
      </c>
      <c r="AE33" s="2" t="s">
        <v>15</v>
      </c>
      <c r="AF33" s="2">
        <v>3</v>
      </c>
      <c r="AG33" s="2" t="s">
        <v>3902</v>
      </c>
      <c r="AH33" s="2" t="s">
        <v>17</v>
      </c>
      <c r="AI33" s="4">
        <v>0.16</v>
      </c>
      <c r="AJ33" s="2" t="s">
        <v>17</v>
      </c>
      <c r="AK33" s="2" t="s">
        <v>9</v>
      </c>
      <c r="AL33" s="2" t="s">
        <v>17</v>
      </c>
      <c r="AM33" s="2" t="s">
        <v>17</v>
      </c>
      <c r="AN33" s="2" t="s">
        <v>17</v>
      </c>
      <c r="AO33" s="2" t="s">
        <v>9</v>
      </c>
      <c r="AP33" s="2" t="s">
        <v>17</v>
      </c>
      <c r="AQ33" s="2" t="s">
        <v>17</v>
      </c>
      <c r="AR33" s="2" t="s">
        <v>17</v>
      </c>
      <c r="AS33" s="2" t="s">
        <v>17</v>
      </c>
      <c r="AT33" s="2">
        <v>5</v>
      </c>
      <c r="AU33" s="5">
        <v>100000</v>
      </c>
      <c r="AV33" s="2" t="s">
        <v>85</v>
      </c>
      <c r="AW33" s="2">
        <v>0</v>
      </c>
      <c r="AX33" s="2">
        <v>9</v>
      </c>
      <c r="AY33" s="2">
        <v>0</v>
      </c>
      <c r="AZ33" s="2">
        <v>18</v>
      </c>
      <c r="BA33" s="2">
        <v>0</v>
      </c>
      <c r="BB33" s="2">
        <v>0</v>
      </c>
      <c r="BC33" s="2">
        <v>1</v>
      </c>
      <c r="BD33" s="2">
        <v>3</v>
      </c>
      <c r="BE33" s="2">
        <v>0</v>
      </c>
      <c r="BF33" s="2">
        <v>1</v>
      </c>
      <c r="BG33" s="2">
        <v>0</v>
      </c>
      <c r="BH33" s="2">
        <v>0</v>
      </c>
      <c r="BI33" s="2">
        <v>13</v>
      </c>
      <c r="BJ33" s="2">
        <v>1</v>
      </c>
      <c r="BK33" s="2">
        <v>0</v>
      </c>
      <c r="BL33" s="2">
        <v>2</v>
      </c>
      <c r="BM33" s="2">
        <v>2</v>
      </c>
      <c r="BN33" s="2">
        <v>13</v>
      </c>
      <c r="BO33" s="2">
        <v>11</v>
      </c>
      <c r="BP33" s="2">
        <v>0</v>
      </c>
      <c r="BQ33" s="2">
        <v>10</v>
      </c>
      <c r="BR33" s="2">
        <v>10.029999999999999</v>
      </c>
      <c r="BS33" s="2">
        <v>0</v>
      </c>
      <c r="BT33" s="4">
        <v>0.06</v>
      </c>
      <c r="BU33" s="2" t="s">
        <v>9</v>
      </c>
      <c r="BV33" s="6">
        <v>209311.5</v>
      </c>
      <c r="BW33" s="2" t="s">
        <v>126</v>
      </c>
      <c r="BX33" s="2" t="s">
        <v>17</v>
      </c>
      <c r="BY33" s="2" t="s">
        <v>17</v>
      </c>
      <c r="BZ33" s="2" t="s">
        <v>17</v>
      </c>
      <c r="CA33" s="2" t="s">
        <v>17</v>
      </c>
      <c r="CB33" s="2" t="s">
        <v>17</v>
      </c>
      <c r="CC33" s="2" t="s">
        <v>17</v>
      </c>
      <c r="CD33" s="2" t="s">
        <v>17</v>
      </c>
      <c r="CE33" s="2" t="s">
        <v>3903</v>
      </c>
      <c r="CF33" s="2" t="s">
        <v>17</v>
      </c>
      <c r="CG33" s="2" t="s">
        <v>1959</v>
      </c>
      <c r="CH33" s="2"/>
      <c r="CI33" s="2"/>
      <c r="CJ33" s="2" t="s">
        <v>9</v>
      </c>
      <c r="CK33" s="2" t="s">
        <v>1960</v>
      </c>
      <c r="CL33" s="2" t="s">
        <v>1959</v>
      </c>
      <c r="CM33" s="2" t="s">
        <v>1961</v>
      </c>
      <c r="CN33" s="2" t="s">
        <v>620</v>
      </c>
      <c r="CO33" s="2" t="s">
        <v>24</v>
      </c>
      <c r="CP33" s="2"/>
      <c r="CQ33" s="2">
        <v>126</v>
      </c>
      <c r="CR33" s="2" t="s">
        <v>3904</v>
      </c>
      <c r="CS33" s="2">
        <v>2013</v>
      </c>
      <c r="CT33" s="2" t="s">
        <v>26</v>
      </c>
      <c r="CU33" s="2" t="s">
        <v>27</v>
      </c>
      <c r="CV33" s="2" t="s">
        <v>1962</v>
      </c>
      <c r="CW33" s="2" t="s">
        <v>1175</v>
      </c>
      <c r="CX33" s="2" t="s">
        <v>24</v>
      </c>
      <c r="CY33" s="2"/>
      <c r="CZ33" s="2">
        <v>110</v>
      </c>
      <c r="DA33" s="2" t="s">
        <v>3904</v>
      </c>
      <c r="DB33" s="2">
        <v>2017</v>
      </c>
      <c r="DC33" s="2" t="s">
        <v>30</v>
      </c>
      <c r="DD33" s="2" t="s">
        <v>27</v>
      </c>
      <c r="DE33" s="2" t="s">
        <v>1963</v>
      </c>
      <c r="DF33" s="2" t="s">
        <v>330</v>
      </c>
      <c r="DG33" s="2" t="s">
        <v>24</v>
      </c>
      <c r="DH33" s="2"/>
      <c r="DI33" s="2">
        <v>96</v>
      </c>
      <c r="DJ33" s="2" t="s">
        <v>3904</v>
      </c>
      <c r="DK33" s="2">
        <v>2020</v>
      </c>
      <c r="DL33" s="2" t="s">
        <v>30</v>
      </c>
      <c r="DM33" s="2" t="s">
        <v>27</v>
      </c>
      <c r="DN33" s="2" t="s">
        <v>33</v>
      </c>
      <c r="DO33" s="2" t="s">
        <v>34</v>
      </c>
      <c r="DP33" s="2"/>
      <c r="DQ33" s="2" t="s">
        <v>35</v>
      </c>
      <c r="DR33" s="2" t="s">
        <v>1964</v>
      </c>
      <c r="DS33" s="2">
        <v>1</v>
      </c>
      <c r="DT33" s="2" t="s">
        <v>3905</v>
      </c>
      <c r="DU33" s="2" t="s">
        <v>38</v>
      </c>
      <c r="DV33" s="2" t="s">
        <v>39</v>
      </c>
      <c r="DW33" s="2">
        <v>32405</v>
      </c>
      <c r="DX33" s="2" t="s">
        <v>1966</v>
      </c>
      <c r="DY33" s="2"/>
      <c r="DZ33" s="2" t="s">
        <v>618</v>
      </c>
      <c r="EA33" s="2" t="s">
        <v>1964</v>
      </c>
      <c r="EB33" s="2" t="s">
        <v>1961</v>
      </c>
      <c r="EC33" s="2" t="s">
        <v>620</v>
      </c>
      <c r="ED33" s="2" t="s">
        <v>44</v>
      </c>
      <c r="EE33" s="2">
        <v>126</v>
      </c>
      <c r="EF33" s="2" t="s">
        <v>3906</v>
      </c>
      <c r="EG33" s="2">
        <v>40</v>
      </c>
      <c r="EH33" s="2" t="s">
        <v>46</v>
      </c>
      <c r="EI33" s="2" t="s">
        <v>47</v>
      </c>
      <c r="EJ33" s="2" t="s">
        <v>1967</v>
      </c>
      <c r="EK33" s="2" t="s">
        <v>1968</v>
      </c>
      <c r="EL33" s="2" t="s">
        <v>44</v>
      </c>
      <c r="EM33" s="2">
        <v>93</v>
      </c>
      <c r="EN33" s="2" t="s">
        <v>3906</v>
      </c>
      <c r="EO33" s="2">
        <v>13</v>
      </c>
      <c r="EP33" s="2" t="s">
        <v>46</v>
      </c>
      <c r="EQ33" s="2" t="s">
        <v>47</v>
      </c>
      <c r="ER33" s="2" t="s">
        <v>587</v>
      </c>
      <c r="ES33" s="2" t="s">
        <v>631</v>
      </c>
      <c r="ET33" s="2" t="s">
        <v>1969</v>
      </c>
      <c r="EU33" s="2" t="s">
        <v>1970</v>
      </c>
      <c r="EV33" s="2" t="s">
        <v>3905</v>
      </c>
      <c r="EW33" s="2" t="s">
        <v>38</v>
      </c>
      <c r="EX33" s="2" t="s">
        <v>39</v>
      </c>
      <c r="EY33" s="2">
        <v>32405</v>
      </c>
      <c r="EZ33" s="2" t="s">
        <v>1966</v>
      </c>
      <c r="FA33" s="2"/>
      <c r="FB33" s="2" t="s">
        <v>1971</v>
      </c>
      <c r="FC33" s="2" t="s">
        <v>475</v>
      </c>
      <c r="FD33" s="2" t="s">
        <v>381</v>
      </c>
      <c r="FE33" s="2" t="s">
        <v>1972</v>
      </c>
      <c r="FF33" s="2" t="s">
        <v>3907</v>
      </c>
      <c r="FG33" s="2" t="s">
        <v>3905</v>
      </c>
      <c r="FH33" s="2" t="s">
        <v>38</v>
      </c>
      <c r="FI33" s="2" t="s">
        <v>39</v>
      </c>
      <c r="FJ33" s="2">
        <v>32405</v>
      </c>
      <c r="FK33" s="2" t="s">
        <v>1966</v>
      </c>
      <c r="FL33" s="2"/>
      <c r="FM33" s="2" t="s">
        <v>1975</v>
      </c>
      <c r="FN33" s="2" t="s">
        <v>3908</v>
      </c>
      <c r="FO33" s="2" t="s">
        <v>63</v>
      </c>
      <c r="FP33" s="2" t="s">
        <v>64</v>
      </c>
      <c r="FQ33" s="2" t="s">
        <v>9</v>
      </c>
      <c r="FR33" s="2" t="s">
        <v>17</v>
      </c>
      <c r="FS33" s="2" t="s">
        <v>17</v>
      </c>
      <c r="FT33" s="2" t="s">
        <v>9</v>
      </c>
      <c r="FU33" s="2"/>
      <c r="FV33" s="2"/>
      <c r="FW33" s="2">
        <v>0</v>
      </c>
      <c r="FX33" s="2">
        <v>0</v>
      </c>
      <c r="FY33" s="4">
        <v>0</v>
      </c>
      <c r="FZ33" s="4">
        <v>0</v>
      </c>
      <c r="GA33" s="2" t="s">
        <v>65</v>
      </c>
      <c r="GB33" s="2"/>
      <c r="GC33" s="2" t="s">
        <v>66</v>
      </c>
      <c r="GD33" s="2" t="s">
        <v>67</v>
      </c>
      <c r="GE33" s="2" t="s">
        <v>2684</v>
      </c>
      <c r="GF33" s="2"/>
      <c r="GG33" s="2"/>
      <c r="GH33" s="2"/>
      <c r="GI33" s="2"/>
      <c r="GJ33" s="2"/>
      <c r="GK33" s="2">
        <v>100</v>
      </c>
      <c r="GL33" s="2"/>
      <c r="GM33" s="2"/>
      <c r="GN33" s="2"/>
      <c r="GO33" s="2"/>
      <c r="GP33" s="2"/>
      <c r="GQ33" s="2">
        <v>100</v>
      </c>
      <c r="GR33" s="2" t="s">
        <v>3332</v>
      </c>
      <c r="GS33" s="2" t="s">
        <v>2686</v>
      </c>
      <c r="GT33" s="2" t="s">
        <v>3909</v>
      </c>
      <c r="GU33" s="2" t="s">
        <v>299</v>
      </c>
      <c r="GV33" s="2" t="s">
        <v>17</v>
      </c>
      <c r="GW33" s="2">
        <v>25.774014000000001</v>
      </c>
      <c r="GX33" s="2">
        <v>-80.206874999999997</v>
      </c>
      <c r="GY33" s="2"/>
      <c r="GZ33" s="2">
        <v>25.772656999999999</v>
      </c>
      <c r="HA33" s="2">
        <v>-80.207455999999993</v>
      </c>
      <c r="HB33" s="2">
        <v>0.1</v>
      </c>
      <c r="HC33" s="2">
        <v>5</v>
      </c>
      <c r="HD33" s="2">
        <v>25.773873999999999</v>
      </c>
      <c r="HE33" s="2">
        <v>-80.205956</v>
      </c>
      <c r="HF33" s="2">
        <v>0.06</v>
      </c>
      <c r="HG33" s="2">
        <v>25.771716000000001</v>
      </c>
      <c r="HH33" s="2">
        <v>-80.214697000000001</v>
      </c>
      <c r="HI33" s="2">
        <v>0.51</v>
      </c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 t="s">
        <v>3910</v>
      </c>
      <c r="IA33" s="2" t="s">
        <v>3911</v>
      </c>
      <c r="IB33" s="2">
        <v>0.15</v>
      </c>
      <c r="IC33" s="2">
        <v>4</v>
      </c>
      <c r="ID33" s="2" t="s">
        <v>3912</v>
      </c>
      <c r="IE33" s="2">
        <v>0.31</v>
      </c>
      <c r="IF33" s="2">
        <v>3.5</v>
      </c>
      <c r="IG33" s="2" t="s">
        <v>3913</v>
      </c>
      <c r="IH33" s="2">
        <v>0.39</v>
      </c>
      <c r="II33" s="2">
        <v>4</v>
      </c>
      <c r="IJ33" s="2" t="s">
        <v>17</v>
      </c>
      <c r="IK33" s="2"/>
      <c r="IL33" s="2" t="s">
        <v>79</v>
      </c>
      <c r="IM33" s="2" t="s">
        <v>17</v>
      </c>
      <c r="IN33" s="2"/>
      <c r="IO33" s="2" t="s">
        <v>79</v>
      </c>
      <c r="IP33" s="2">
        <v>5</v>
      </c>
      <c r="IQ33" s="2">
        <v>11.5</v>
      </c>
      <c r="IR33" s="2">
        <v>16.5</v>
      </c>
      <c r="IS33" s="2" t="s">
        <v>17</v>
      </c>
      <c r="IT33" s="2" t="s">
        <v>17</v>
      </c>
      <c r="IU33" s="2" t="s">
        <v>17</v>
      </c>
      <c r="IV33" s="2" t="s">
        <v>9</v>
      </c>
      <c r="IW33" s="2" t="s">
        <v>9</v>
      </c>
      <c r="IX33" s="2" t="s">
        <v>9</v>
      </c>
      <c r="IY33" s="2">
        <v>16.5</v>
      </c>
      <c r="IZ33" s="2">
        <v>100</v>
      </c>
      <c r="JA33" s="2" t="s">
        <v>3085</v>
      </c>
      <c r="JB33" s="2"/>
      <c r="JC33" s="2" t="s">
        <v>82</v>
      </c>
      <c r="JD33" s="2"/>
      <c r="JE33" s="2"/>
      <c r="JF33" s="7">
        <v>0</v>
      </c>
      <c r="JG33" s="7"/>
      <c r="JH33" s="7"/>
      <c r="JI33" s="2">
        <v>0</v>
      </c>
      <c r="JJ33" s="7">
        <v>0</v>
      </c>
      <c r="JK33" s="2">
        <v>0</v>
      </c>
      <c r="JL33" s="7">
        <v>0</v>
      </c>
      <c r="JM33" s="2">
        <v>16</v>
      </c>
      <c r="JN33" s="2"/>
      <c r="JO33" s="2"/>
      <c r="JP33" s="2">
        <v>44</v>
      </c>
      <c r="JQ33" s="2">
        <v>40</v>
      </c>
      <c r="JR33" s="2"/>
      <c r="JS33" s="2">
        <v>0</v>
      </c>
      <c r="JT33" s="2">
        <v>0</v>
      </c>
      <c r="JU33" s="2"/>
      <c r="JV33" s="2">
        <v>100</v>
      </c>
      <c r="JW33" s="4">
        <v>1</v>
      </c>
      <c r="JX33" s="2">
        <v>100</v>
      </c>
      <c r="JY33" s="4">
        <v>0.59199999999999997</v>
      </c>
      <c r="JZ33" s="2">
        <v>0</v>
      </c>
      <c r="KA33" s="2"/>
      <c r="KB33" s="2"/>
      <c r="KC33" s="2"/>
      <c r="KD33" s="2"/>
      <c r="KE33" s="2"/>
      <c r="KF33" s="2"/>
      <c r="KG33" s="2"/>
      <c r="KH33" s="2">
        <v>50</v>
      </c>
      <c r="KI33" s="2"/>
      <c r="KJ33" s="2"/>
      <c r="KK33" s="2">
        <v>50</v>
      </c>
      <c r="KL33" s="2"/>
      <c r="KM33" s="2"/>
      <c r="KN33" s="2"/>
      <c r="KO33" s="2"/>
      <c r="KP33" s="2"/>
      <c r="KQ33" s="2" t="s">
        <v>83</v>
      </c>
      <c r="KR33" s="2"/>
      <c r="KS33" s="2" t="s">
        <v>73</v>
      </c>
      <c r="KT33" s="2">
        <v>1</v>
      </c>
      <c r="KU33" s="2" t="s">
        <v>84</v>
      </c>
      <c r="KV33" s="2" t="s">
        <v>85</v>
      </c>
      <c r="KW33" s="2" t="s">
        <v>86</v>
      </c>
      <c r="KX33" s="2" t="s">
        <v>17</v>
      </c>
      <c r="KY33" s="2" t="s">
        <v>17</v>
      </c>
      <c r="KZ33" s="2" t="s">
        <v>17</v>
      </c>
      <c r="LA33" s="2" t="s">
        <v>17</v>
      </c>
      <c r="LB33" s="2" t="s">
        <v>17</v>
      </c>
      <c r="LC33" s="2" t="s">
        <v>17</v>
      </c>
      <c r="LD33" s="2" t="s">
        <v>17</v>
      </c>
      <c r="LE33" s="2" t="s">
        <v>17</v>
      </c>
      <c r="LF33" s="2" t="s">
        <v>17</v>
      </c>
      <c r="LG33" s="2" t="s">
        <v>17</v>
      </c>
      <c r="LH33" s="2" t="s">
        <v>17</v>
      </c>
      <c r="LI33" s="2" t="s">
        <v>17</v>
      </c>
      <c r="LJ33" s="2" t="s">
        <v>87</v>
      </c>
      <c r="LK33" s="2" t="s">
        <v>17</v>
      </c>
      <c r="LL33" s="2" t="s">
        <v>17</v>
      </c>
      <c r="LM33" s="2">
        <v>0</v>
      </c>
      <c r="LN33" s="2" t="s">
        <v>17</v>
      </c>
      <c r="LO33" s="2" t="s">
        <v>17</v>
      </c>
      <c r="LP33" s="2" t="s">
        <v>17</v>
      </c>
      <c r="LQ33" s="2" t="s">
        <v>17</v>
      </c>
      <c r="LR33" s="2" t="s">
        <v>17</v>
      </c>
      <c r="LS33" s="2" t="s">
        <v>17</v>
      </c>
      <c r="LT33" s="2" t="s">
        <v>9</v>
      </c>
      <c r="LU33" s="2" t="s">
        <v>9</v>
      </c>
      <c r="LV33" s="2" t="s">
        <v>17</v>
      </c>
      <c r="LW33" s="2" t="s">
        <v>17</v>
      </c>
      <c r="LX33" s="2" t="s">
        <v>9</v>
      </c>
      <c r="LY33" s="5">
        <v>6500000</v>
      </c>
      <c r="LZ33" s="5">
        <v>0</v>
      </c>
      <c r="MA33" s="5">
        <v>8400000</v>
      </c>
      <c r="MB33" s="5">
        <v>0</v>
      </c>
      <c r="MC33" s="5">
        <v>0</v>
      </c>
      <c r="MD33" s="5">
        <v>0</v>
      </c>
      <c r="ME33" s="5">
        <v>10000000</v>
      </c>
      <c r="MF33" s="5">
        <v>0</v>
      </c>
      <c r="MG33" s="5">
        <v>0</v>
      </c>
      <c r="MH33" s="5">
        <v>0</v>
      </c>
      <c r="MI33" s="5">
        <v>0</v>
      </c>
      <c r="MJ33" s="5">
        <v>0</v>
      </c>
      <c r="MK33" s="5">
        <v>0</v>
      </c>
      <c r="ML33" s="2">
        <v>0</v>
      </c>
      <c r="MM33" s="5">
        <v>0</v>
      </c>
      <c r="MN33" s="5">
        <v>0</v>
      </c>
      <c r="MO33" s="2">
        <v>0</v>
      </c>
      <c r="MP33" s="2">
        <v>0</v>
      </c>
      <c r="MQ33" s="2">
        <v>0</v>
      </c>
      <c r="MR33" s="5">
        <v>2950000</v>
      </c>
      <c r="MS33" s="5">
        <v>0</v>
      </c>
      <c r="MT33" s="5">
        <v>4600000</v>
      </c>
      <c r="MU33" s="5">
        <v>0</v>
      </c>
      <c r="MV33" s="5">
        <v>0</v>
      </c>
      <c r="MW33" s="5">
        <v>0</v>
      </c>
      <c r="MX33" s="5">
        <v>0</v>
      </c>
      <c r="MY33" s="5">
        <v>2500000</v>
      </c>
      <c r="MZ33" s="5">
        <v>0</v>
      </c>
      <c r="NA33" s="5">
        <v>5000000</v>
      </c>
      <c r="NB33" s="5">
        <v>0</v>
      </c>
      <c r="NC33" s="5">
        <v>0</v>
      </c>
      <c r="ND33" s="5">
        <v>0</v>
      </c>
      <c r="NE33" s="5">
        <v>0</v>
      </c>
      <c r="NF33" s="5">
        <v>0</v>
      </c>
      <c r="NG33" s="5">
        <v>3458400</v>
      </c>
      <c r="NH33" s="5">
        <v>3259999</v>
      </c>
      <c r="NI33" s="5">
        <v>3259999</v>
      </c>
      <c r="NJ33" s="5"/>
      <c r="NK33" s="5">
        <v>0</v>
      </c>
      <c r="NL33" s="2" t="s">
        <v>17</v>
      </c>
      <c r="NM33" s="2" t="s">
        <v>17</v>
      </c>
      <c r="NN33" s="2"/>
      <c r="NO33" s="2" t="s">
        <v>17</v>
      </c>
      <c r="NP33" s="2"/>
      <c r="NQ33" s="2"/>
      <c r="NR33" s="2" t="s">
        <v>17</v>
      </c>
      <c r="NS33" s="2"/>
      <c r="NT33" s="2" t="s">
        <v>9</v>
      </c>
      <c r="NU33" s="2" t="s">
        <v>450</v>
      </c>
      <c r="NV33" s="2">
        <v>36.03</v>
      </c>
      <c r="NW33" s="2" t="s">
        <v>3342</v>
      </c>
      <c r="NX33" s="2"/>
      <c r="NY33" s="2"/>
      <c r="NZ33" s="2"/>
      <c r="OA33" s="2" t="s">
        <v>118</v>
      </c>
      <c r="OB33" s="2" t="s">
        <v>118</v>
      </c>
      <c r="OC33" s="2" t="s">
        <v>118</v>
      </c>
      <c r="OD33" s="2" t="s">
        <v>3384</v>
      </c>
      <c r="OE33" s="2" t="s">
        <v>85</v>
      </c>
      <c r="OF33" s="2" t="s">
        <v>17</v>
      </c>
      <c r="OG33" s="2" t="s">
        <v>17</v>
      </c>
      <c r="OH33" s="2" t="s">
        <v>119</v>
      </c>
      <c r="OI33" s="2" t="s">
        <v>17</v>
      </c>
      <c r="OJ33" s="2"/>
      <c r="OK33" s="2" t="s">
        <v>17</v>
      </c>
      <c r="OL33" s="2" t="s">
        <v>17</v>
      </c>
      <c r="OM33" s="2" t="s">
        <v>85</v>
      </c>
      <c r="ON33" s="6">
        <v>0</v>
      </c>
      <c r="OO33" s="6">
        <v>0</v>
      </c>
      <c r="OP33" s="2" t="s">
        <v>93</v>
      </c>
      <c r="OQ33" s="2" t="s">
        <v>93</v>
      </c>
      <c r="OR33" s="6">
        <v>0</v>
      </c>
      <c r="OS33" s="4">
        <v>0</v>
      </c>
      <c r="OT33" s="2" t="s">
        <v>17</v>
      </c>
      <c r="OU33" s="2" t="s">
        <v>17</v>
      </c>
      <c r="OV33" s="2"/>
      <c r="OW33" s="2"/>
      <c r="OX33" s="5">
        <v>20931150</v>
      </c>
      <c r="OY33" s="6">
        <v>209311.5</v>
      </c>
      <c r="OZ33" s="2"/>
      <c r="PA33" s="2"/>
      <c r="PB33" s="2"/>
      <c r="PC33" s="2"/>
      <c r="PD33" s="8">
        <v>22083750</v>
      </c>
      <c r="PE33" s="2"/>
      <c r="PF33" s="8">
        <v>22083750</v>
      </c>
      <c r="PG33" s="2"/>
      <c r="PH33" s="2"/>
      <c r="PI33" s="2"/>
      <c r="PJ33" s="2"/>
      <c r="PK33" s="2"/>
      <c r="PL33" s="2"/>
      <c r="PM33" s="8">
        <v>22083750</v>
      </c>
      <c r="PN33" s="2"/>
      <c r="PO33" s="8">
        <v>22083750</v>
      </c>
      <c r="PP33" s="8">
        <v>3091725</v>
      </c>
      <c r="PQ33" s="2"/>
      <c r="PR33" s="8">
        <v>3091725</v>
      </c>
      <c r="PS33" s="6">
        <v>3091725</v>
      </c>
      <c r="PT33" s="8">
        <v>25175475</v>
      </c>
      <c r="PU33" s="2"/>
      <c r="PV33" s="8">
        <v>25175475</v>
      </c>
      <c r="PW33" s="8">
        <v>1258773</v>
      </c>
      <c r="PX33" s="2"/>
      <c r="PY33" s="8">
        <v>1258773</v>
      </c>
      <c r="PZ33" s="6">
        <v>1258773.75</v>
      </c>
      <c r="QA33" s="8">
        <v>1329000</v>
      </c>
      <c r="QB33" s="2"/>
      <c r="QC33" s="8">
        <v>1329000</v>
      </c>
      <c r="QD33" s="8">
        <v>276536</v>
      </c>
      <c r="QE33" s="2"/>
      <c r="QF33" s="8">
        <v>276536</v>
      </c>
      <c r="QG33" s="8">
        <v>1257000</v>
      </c>
      <c r="QH33" s="2"/>
      <c r="QI33" s="8">
        <v>1257000</v>
      </c>
      <c r="QJ33" s="8">
        <v>16377</v>
      </c>
      <c r="QK33" s="8">
        <v>511910</v>
      </c>
      <c r="QL33" s="8">
        <v>528287</v>
      </c>
      <c r="QM33" s="2">
        <v>0</v>
      </c>
      <c r="QN33" s="2"/>
      <c r="QO33" s="2"/>
      <c r="QP33" s="2"/>
      <c r="QQ33" s="2"/>
      <c r="QR33" s="2"/>
      <c r="QS33" s="8">
        <v>2878913</v>
      </c>
      <c r="QT33" s="8">
        <v>511910</v>
      </c>
      <c r="QU33" s="8">
        <v>3390823</v>
      </c>
      <c r="QV33" s="8">
        <v>169541</v>
      </c>
      <c r="QW33" s="2"/>
      <c r="QX33" s="8">
        <v>169541</v>
      </c>
      <c r="QY33" s="6">
        <v>169541.15</v>
      </c>
      <c r="QZ33" s="8">
        <v>1692500</v>
      </c>
      <c r="RA33" s="8">
        <v>348750</v>
      </c>
      <c r="RB33" s="8">
        <v>2041250</v>
      </c>
      <c r="RC33" s="8">
        <v>278300</v>
      </c>
      <c r="RD33" s="8">
        <v>278300</v>
      </c>
      <c r="RE33" s="2"/>
      <c r="RF33" s="2"/>
      <c r="RG33" s="2"/>
      <c r="RH33" s="8">
        <v>1692500</v>
      </c>
      <c r="RI33" s="8">
        <v>627050</v>
      </c>
      <c r="RJ33" s="8">
        <v>2319550</v>
      </c>
      <c r="RK33" s="8">
        <v>31175202</v>
      </c>
      <c r="RL33" s="8">
        <v>1138960</v>
      </c>
      <c r="RM33" s="8">
        <v>32314162</v>
      </c>
      <c r="RN33" s="2">
        <v>0</v>
      </c>
      <c r="RO33" s="6">
        <v>0</v>
      </c>
      <c r="RP33" s="8">
        <v>5170265</v>
      </c>
      <c r="RQ33" s="2"/>
      <c r="RR33" s="8">
        <v>5170265</v>
      </c>
      <c r="RS33" s="6">
        <v>5170265</v>
      </c>
      <c r="RT33" s="6">
        <v>0</v>
      </c>
      <c r="RU33" s="8">
        <v>5170265</v>
      </c>
      <c r="RV33" s="2"/>
      <c r="RW33" s="8">
        <v>5170265</v>
      </c>
      <c r="RX33" s="6">
        <v>5170265</v>
      </c>
      <c r="RY33" s="2"/>
      <c r="RZ33" s="2"/>
      <c r="SA33" s="6">
        <v>350000</v>
      </c>
      <c r="SB33" s="8">
        <v>3000000</v>
      </c>
      <c r="SC33" s="8">
        <v>3000000</v>
      </c>
      <c r="SD33" s="8">
        <v>36345467</v>
      </c>
      <c r="SE33" s="8">
        <v>4138960</v>
      </c>
      <c r="SF33" s="8">
        <v>40484427</v>
      </c>
      <c r="SG33" s="2"/>
      <c r="SH33" s="2"/>
      <c r="SI33" s="2"/>
      <c r="SJ33" s="2"/>
      <c r="SK33" s="8">
        <v>31000000</v>
      </c>
      <c r="SL33" s="2" t="s">
        <v>95</v>
      </c>
      <c r="SM33" s="2"/>
      <c r="SN33" s="2"/>
      <c r="SO33" s="2"/>
      <c r="SP33" s="2"/>
      <c r="SQ33" s="2"/>
      <c r="SR33" s="2"/>
      <c r="SS33" s="2" t="s">
        <v>96</v>
      </c>
      <c r="ST33" s="2" t="s">
        <v>96</v>
      </c>
      <c r="SU33" s="2" t="s">
        <v>96</v>
      </c>
      <c r="SV33" s="2" t="s">
        <v>96</v>
      </c>
      <c r="SW33" s="8">
        <v>4596139</v>
      </c>
      <c r="SX33" s="2"/>
      <c r="SY33" s="2"/>
      <c r="SZ33" s="2"/>
      <c r="TA33" s="2"/>
      <c r="TB33" s="2"/>
      <c r="TC33" s="2"/>
      <c r="TD33" s="8">
        <v>4888288</v>
      </c>
      <c r="TE33" s="8">
        <v>40484427</v>
      </c>
      <c r="TF33" s="2">
        <v>0</v>
      </c>
      <c r="TG33" s="2" t="s">
        <v>9</v>
      </c>
      <c r="TH33" s="8">
        <v>5600000</v>
      </c>
      <c r="TI33" s="2" t="s">
        <v>95</v>
      </c>
      <c r="TJ33" s="2"/>
      <c r="TK33" s="2"/>
      <c r="TL33" s="2"/>
      <c r="TM33" s="2"/>
      <c r="TN33" s="2" t="s">
        <v>96</v>
      </c>
      <c r="TO33" s="2" t="s">
        <v>96</v>
      </c>
      <c r="TP33" s="2" t="s">
        <v>96</v>
      </c>
      <c r="TQ33" s="2" t="s">
        <v>96</v>
      </c>
      <c r="TR33" s="8">
        <v>30640926</v>
      </c>
      <c r="TS33" s="2"/>
      <c r="TT33" s="2"/>
      <c r="TU33" s="2"/>
      <c r="TV33" s="2"/>
      <c r="TW33" s="2"/>
      <c r="TX33" s="2"/>
      <c r="TY33" s="8">
        <v>4243501</v>
      </c>
      <c r="TZ33" s="8">
        <v>40484427</v>
      </c>
      <c r="UA33" s="6">
        <v>5600000</v>
      </c>
      <c r="UB33" s="2">
        <v>0</v>
      </c>
      <c r="UC33" s="2" t="s">
        <v>9</v>
      </c>
      <c r="UD33" s="2">
        <v>100</v>
      </c>
      <c r="UE33" s="5">
        <v>310000</v>
      </c>
      <c r="UF33" s="6">
        <v>413333.33</v>
      </c>
      <c r="UG33" s="6">
        <v>413333.33</v>
      </c>
      <c r="UH33" s="6">
        <v>438133.33</v>
      </c>
      <c r="UI33" s="6">
        <v>43813333.329999998</v>
      </c>
      <c r="UJ33" s="6">
        <v>7010133</v>
      </c>
      <c r="UK33" s="2" t="s">
        <v>97</v>
      </c>
      <c r="UL33" s="6">
        <v>7010133</v>
      </c>
      <c r="UM33" s="6">
        <v>50823466.329999998</v>
      </c>
      <c r="UN33" s="6">
        <v>37484427</v>
      </c>
      <c r="UO33" s="4">
        <v>0.99990000000000001</v>
      </c>
      <c r="UP33" s="2" t="s">
        <v>9</v>
      </c>
      <c r="UQ33" s="6">
        <v>0</v>
      </c>
      <c r="UR33" s="6">
        <v>0</v>
      </c>
      <c r="US33" s="6">
        <v>418818</v>
      </c>
      <c r="UT33" s="6">
        <v>418818</v>
      </c>
      <c r="UU33" s="6">
        <v>0</v>
      </c>
      <c r="UV33" s="6">
        <v>418818</v>
      </c>
      <c r="UW33" s="6">
        <v>0</v>
      </c>
      <c r="UX33" s="6">
        <v>418818</v>
      </c>
      <c r="UY33" s="2" t="s">
        <v>3387</v>
      </c>
      <c r="UZ33" s="2" t="s">
        <v>3288</v>
      </c>
      <c r="VA33" s="2" t="s">
        <v>17</v>
      </c>
      <c r="VB33" s="2" t="s">
        <v>17</v>
      </c>
      <c r="VC33" s="2" t="s">
        <v>17</v>
      </c>
      <c r="VD33" s="2" t="s">
        <v>17</v>
      </c>
      <c r="VE33" s="2" t="s">
        <v>17</v>
      </c>
      <c r="VF33" s="2" t="s">
        <v>17</v>
      </c>
      <c r="VG33" s="2" t="s">
        <v>3914</v>
      </c>
      <c r="VH33" s="2"/>
      <c r="VI33" s="388" t="s">
        <v>1981</v>
      </c>
      <c r="VJ33" s="2" t="s">
        <v>98</v>
      </c>
      <c r="VK33" s="2" t="s">
        <v>1982</v>
      </c>
      <c r="VL33" s="23">
        <f t="shared" si="0"/>
        <v>150</v>
      </c>
      <c r="VM33" s="17">
        <f t="shared" si="1"/>
        <v>1.5</v>
      </c>
      <c r="VN33" s="17" t="str">
        <f t="shared" si="2"/>
        <v>NC-HR-E</v>
      </c>
      <c r="VO33" s="17" t="str">
        <f t="shared" si="14"/>
        <v>NC-HR-E-ESS</v>
      </c>
      <c r="VP33" s="12">
        <v>9</v>
      </c>
      <c r="VQ33" s="57">
        <v>1</v>
      </c>
      <c r="VR33" s="57">
        <f t="shared" si="3"/>
        <v>1</v>
      </c>
      <c r="VS33" s="14">
        <f t="shared" si="4"/>
        <v>1</v>
      </c>
      <c r="VT33" s="12">
        <f t="shared" si="5"/>
        <v>0.88350000000000006</v>
      </c>
      <c r="VU33" s="29">
        <f t="shared" si="6"/>
        <v>25921882.048500001</v>
      </c>
      <c r="VV33" s="29">
        <f t="shared" si="7"/>
        <v>259218.82</v>
      </c>
      <c r="VW33" s="12" t="str">
        <f t="shared" si="15"/>
        <v>A</v>
      </c>
      <c r="VX33" s="12" t="str">
        <f t="shared" si="8"/>
        <v>NC-HR-ESS</v>
      </c>
      <c r="VY33" s="352">
        <f t="shared" si="16"/>
        <v>4</v>
      </c>
      <c r="WA33" s="12">
        <f t="shared" si="17"/>
        <v>1</v>
      </c>
      <c r="WB33" s="12">
        <f t="shared" si="18"/>
        <v>0</v>
      </c>
      <c r="WC33" s="12">
        <f t="shared" si="18"/>
        <v>0</v>
      </c>
      <c r="WD33" s="12">
        <f t="shared" si="18"/>
        <v>0</v>
      </c>
      <c r="WE33" s="12">
        <f t="shared" si="19"/>
        <v>1</v>
      </c>
      <c r="WF33" s="12">
        <f t="shared" si="9"/>
        <v>0</v>
      </c>
      <c r="WG33" s="12">
        <f t="shared" si="10"/>
        <v>0</v>
      </c>
      <c r="WH33" s="12">
        <f t="shared" si="11"/>
        <v>1</v>
      </c>
      <c r="WI33" s="31">
        <f t="shared" si="12"/>
        <v>3</v>
      </c>
      <c r="WJ33" s="2"/>
      <c r="WK33" s="444" t="str">
        <f t="shared" si="20"/>
        <v>NC-HR-ESS-BBN-BRN-NPH-E</v>
      </c>
      <c r="WL33" s="444"/>
      <c r="WM33" s="444"/>
    </row>
    <row r="34" spans="1:611" x14ac:dyDescent="0.25">
      <c r="A34" s="2">
        <v>9639</v>
      </c>
      <c r="B34" s="2" t="s">
        <v>3915</v>
      </c>
      <c r="C34" s="2" t="s">
        <v>3305</v>
      </c>
      <c r="D34" s="3">
        <v>45100</v>
      </c>
      <c r="E34" s="2" t="s">
        <v>9</v>
      </c>
      <c r="F34" s="2">
        <v>3</v>
      </c>
      <c r="G34" s="2" t="s">
        <v>9</v>
      </c>
      <c r="H34" s="2">
        <v>3</v>
      </c>
      <c r="I34" s="2" t="s">
        <v>9</v>
      </c>
      <c r="J34" s="2">
        <v>2</v>
      </c>
      <c r="K34" s="2" t="s">
        <v>9</v>
      </c>
      <c r="L34" s="2">
        <v>3</v>
      </c>
      <c r="M34" s="2" t="s">
        <v>10</v>
      </c>
      <c r="N34" s="2">
        <v>0</v>
      </c>
      <c r="O34" s="2" t="s">
        <v>10</v>
      </c>
      <c r="P34" s="2">
        <v>0</v>
      </c>
      <c r="Q34" s="2" t="s">
        <v>11</v>
      </c>
      <c r="R34" s="2">
        <v>0</v>
      </c>
      <c r="S34" s="2" t="s">
        <v>9</v>
      </c>
      <c r="T34" s="2">
        <v>2</v>
      </c>
      <c r="U34" s="2" t="s">
        <v>9</v>
      </c>
      <c r="V34" s="2">
        <v>2</v>
      </c>
      <c r="W34" s="2" t="s">
        <v>9</v>
      </c>
      <c r="X34" s="2">
        <v>2</v>
      </c>
      <c r="Y34" s="2" t="s">
        <v>12</v>
      </c>
      <c r="Z34" s="2" t="s">
        <v>15</v>
      </c>
      <c r="AA34" s="2" t="s">
        <v>15</v>
      </c>
      <c r="AB34" s="2" t="s">
        <v>15</v>
      </c>
      <c r="AC34" s="2" t="s">
        <v>15</v>
      </c>
      <c r="AD34" s="2" t="s">
        <v>1666</v>
      </c>
      <c r="AE34" s="2" t="s">
        <v>15</v>
      </c>
      <c r="AF34" s="2">
        <v>0</v>
      </c>
      <c r="AG34" s="2" t="s">
        <v>234</v>
      </c>
      <c r="AH34" s="2" t="s">
        <v>17</v>
      </c>
      <c r="AI34" s="4">
        <v>0.15093999999999999</v>
      </c>
      <c r="AJ34" s="2" t="s">
        <v>17</v>
      </c>
      <c r="AK34" s="2" t="s">
        <v>9</v>
      </c>
      <c r="AL34" s="2" t="s">
        <v>17</v>
      </c>
      <c r="AM34" s="2" t="s">
        <v>17</v>
      </c>
      <c r="AN34" s="2" t="s">
        <v>17</v>
      </c>
      <c r="AO34" s="2" t="s">
        <v>17</v>
      </c>
      <c r="AP34" s="2" t="s">
        <v>17</v>
      </c>
      <c r="AQ34" s="2" t="s">
        <v>9</v>
      </c>
      <c r="AR34" s="2" t="s">
        <v>17</v>
      </c>
      <c r="AS34" s="2" t="s">
        <v>17</v>
      </c>
      <c r="AT34" s="2">
        <v>5</v>
      </c>
      <c r="AU34" s="5">
        <v>100000</v>
      </c>
      <c r="AV34" s="2" t="s">
        <v>85</v>
      </c>
      <c r="AW34" s="2">
        <v>0</v>
      </c>
      <c r="AX34" s="2">
        <v>7</v>
      </c>
      <c r="AY34" s="2">
        <v>0</v>
      </c>
      <c r="AZ34" s="2">
        <v>18</v>
      </c>
      <c r="BA34" s="2">
        <v>0</v>
      </c>
      <c r="BB34" s="2">
        <v>0</v>
      </c>
      <c r="BC34" s="2">
        <v>1</v>
      </c>
      <c r="BD34" s="2">
        <v>5</v>
      </c>
      <c r="BE34" s="2">
        <v>0</v>
      </c>
      <c r="BF34" s="2">
        <v>1</v>
      </c>
      <c r="BG34" s="2">
        <v>0</v>
      </c>
      <c r="BH34" s="2">
        <v>0</v>
      </c>
      <c r="BI34" s="2">
        <v>13</v>
      </c>
      <c r="BJ34" s="2">
        <v>1</v>
      </c>
      <c r="BK34" s="2">
        <v>0</v>
      </c>
      <c r="BL34" s="2">
        <v>2</v>
      </c>
      <c r="BM34" s="2">
        <v>1</v>
      </c>
      <c r="BN34" s="2">
        <v>11</v>
      </c>
      <c r="BO34" s="2">
        <v>11</v>
      </c>
      <c r="BP34" s="2">
        <v>0</v>
      </c>
      <c r="BQ34" s="2">
        <v>10</v>
      </c>
      <c r="BR34" s="2">
        <v>10.029999999999999</v>
      </c>
      <c r="BS34" s="2">
        <v>0</v>
      </c>
      <c r="BT34" s="4">
        <v>0.06</v>
      </c>
      <c r="BU34" s="2" t="s">
        <v>9</v>
      </c>
      <c r="BV34" s="6">
        <v>209456.93</v>
      </c>
      <c r="BW34" s="2" t="s">
        <v>126</v>
      </c>
      <c r="BX34" s="2" t="s">
        <v>17</v>
      </c>
      <c r="BY34" s="2" t="s">
        <v>17</v>
      </c>
      <c r="BZ34" s="2" t="s">
        <v>17</v>
      </c>
      <c r="CA34" s="2" t="s">
        <v>17</v>
      </c>
      <c r="CB34" s="2" t="s">
        <v>17</v>
      </c>
      <c r="CC34" s="2" t="s">
        <v>17</v>
      </c>
      <c r="CD34" s="2" t="s">
        <v>17</v>
      </c>
      <c r="CE34" s="2" t="s">
        <v>3916</v>
      </c>
      <c r="CF34" s="2" t="s">
        <v>17</v>
      </c>
      <c r="CG34" s="2" t="s">
        <v>3917</v>
      </c>
      <c r="CH34" s="2"/>
      <c r="CI34" s="2"/>
      <c r="CJ34" s="2" t="s">
        <v>9</v>
      </c>
      <c r="CK34" s="2" t="s">
        <v>328</v>
      </c>
      <c r="CL34" s="2" t="s">
        <v>3917</v>
      </c>
      <c r="CM34" s="2" t="s">
        <v>329</v>
      </c>
      <c r="CN34" s="2" t="s">
        <v>330</v>
      </c>
      <c r="CO34" s="2" t="s">
        <v>24</v>
      </c>
      <c r="CP34" s="2" t="s">
        <v>229</v>
      </c>
      <c r="CQ34" s="2">
        <v>90</v>
      </c>
      <c r="CR34" s="2" t="s">
        <v>3893</v>
      </c>
      <c r="CS34" s="2">
        <v>2020</v>
      </c>
      <c r="CT34" s="2" t="s">
        <v>26</v>
      </c>
      <c r="CU34" s="2" t="s">
        <v>27</v>
      </c>
      <c r="CV34" s="2" t="s">
        <v>332</v>
      </c>
      <c r="CW34" s="2" t="s">
        <v>333</v>
      </c>
      <c r="CX34" s="2" t="s">
        <v>24</v>
      </c>
      <c r="CY34" s="2" t="s">
        <v>229</v>
      </c>
      <c r="CZ34" s="2">
        <v>86</v>
      </c>
      <c r="DA34" s="2" t="s">
        <v>3893</v>
      </c>
      <c r="DB34" s="2">
        <v>2018</v>
      </c>
      <c r="DC34" s="2" t="s">
        <v>30</v>
      </c>
      <c r="DD34" s="2" t="s">
        <v>27</v>
      </c>
      <c r="DE34" s="2" t="s">
        <v>334</v>
      </c>
      <c r="DF34" s="2" t="s">
        <v>335</v>
      </c>
      <c r="DG34" s="2" t="s">
        <v>24</v>
      </c>
      <c r="DH34" s="2" t="s">
        <v>229</v>
      </c>
      <c r="DI34" s="2">
        <v>96</v>
      </c>
      <c r="DJ34" s="2" t="s">
        <v>3893</v>
      </c>
      <c r="DK34" s="2">
        <v>2017</v>
      </c>
      <c r="DL34" s="2" t="s">
        <v>30</v>
      </c>
      <c r="DM34" s="2" t="s">
        <v>27</v>
      </c>
      <c r="DN34" s="2" t="s">
        <v>33</v>
      </c>
      <c r="DO34" s="2" t="s">
        <v>1882</v>
      </c>
      <c r="DP34" s="2" t="s">
        <v>337</v>
      </c>
      <c r="DQ34" s="2" t="s">
        <v>338</v>
      </c>
      <c r="DR34" s="2" t="s">
        <v>36</v>
      </c>
      <c r="DS34" s="2">
        <v>1</v>
      </c>
      <c r="DT34" s="2" t="s">
        <v>3918</v>
      </c>
      <c r="DU34" s="2" t="s">
        <v>38</v>
      </c>
      <c r="DV34" s="2" t="s">
        <v>39</v>
      </c>
      <c r="DW34" s="2">
        <v>32405</v>
      </c>
      <c r="DX34" s="2" t="s">
        <v>340</v>
      </c>
      <c r="DY34" s="2"/>
      <c r="DZ34" s="2" t="s">
        <v>341</v>
      </c>
      <c r="EA34" s="2" t="s">
        <v>989</v>
      </c>
      <c r="EB34" s="2" t="s">
        <v>329</v>
      </c>
      <c r="EC34" s="2" t="s">
        <v>330</v>
      </c>
      <c r="ED34" s="2" t="s">
        <v>44</v>
      </c>
      <c r="EE34" s="2">
        <v>90</v>
      </c>
      <c r="EF34" s="2" t="s">
        <v>3894</v>
      </c>
      <c r="EG34" s="2">
        <v>3</v>
      </c>
      <c r="EH34" s="2" t="s">
        <v>46</v>
      </c>
      <c r="EI34" s="2" t="s">
        <v>47</v>
      </c>
      <c r="EJ34" s="2" t="s">
        <v>332</v>
      </c>
      <c r="EK34" s="2" t="s">
        <v>333</v>
      </c>
      <c r="EL34" s="2" t="s">
        <v>44</v>
      </c>
      <c r="EM34" s="2">
        <v>86</v>
      </c>
      <c r="EN34" s="2" t="s">
        <v>3894</v>
      </c>
      <c r="EO34" s="2">
        <v>4</v>
      </c>
      <c r="EP34" s="2" t="s">
        <v>46</v>
      </c>
      <c r="EQ34" s="2" t="s">
        <v>47</v>
      </c>
      <c r="ER34" s="2" t="s">
        <v>343</v>
      </c>
      <c r="ES34" s="2"/>
      <c r="ET34" s="2" t="s">
        <v>344</v>
      </c>
      <c r="EU34" s="2" t="s">
        <v>345</v>
      </c>
      <c r="EV34" s="2" t="s">
        <v>352</v>
      </c>
      <c r="EW34" s="2" t="s">
        <v>347</v>
      </c>
      <c r="EX34" s="2" t="s">
        <v>39</v>
      </c>
      <c r="EY34" s="2">
        <v>33309</v>
      </c>
      <c r="EZ34" s="2" t="s">
        <v>348</v>
      </c>
      <c r="FA34" s="2"/>
      <c r="FB34" s="2" t="s">
        <v>349</v>
      </c>
      <c r="FC34" s="2" t="s">
        <v>350</v>
      </c>
      <c r="FD34" s="2" t="s">
        <v>1660</v>
      </c>
      <c r="FE34" s="2" t="s">
        <v>351</v>
      </c>
      <c r="FF34" s="2" t="s">
        <v>345</v>
      </c>
      <c r="FG34" s="2" t="s">
        <v>352</v>
      </c>
      <c r="FH34" s="2" t="s">
        <v>347</v>
      </c>
      <c r="FI34" s="2" t="s">
        <v>39</v>
      </c>
      <c r="FJ34" s="2">
        <v>33309</v>
      </c>
      <c r="FK34" s="2" t="s">
        <v>353</v>
      </c>
      <c r="FL34" s="2"/>
      <c r="FM34" s="2" t="s">
        <v>354</v>
      </c>
      <c r="FN34" s="2" t="s">
        <v>3919</v>
      </c>
      <c r="FO34" s="2" t="s">
        <v>63</v>
      </c>
      <c r="FP34" s="2" t="s">
        <v>64</v>
      </c>
      <c r="FQ34" s="2" t="s">
        <v>9</v>
      </c>
      <c r="FR34" s="2" t="s">
        <v>17</v>
      </c>
      <c r="FS34" s="2" t="s">
        <v>17</v>
      </c>
      <c r="FT34" s="2" t="s">
        <v>9</v>
      </c>
      <c r="FU34" s="2"/>
      <c r="FV34" s="2"/>
      <c r="FW34" s="2">
        <v>0</v>
      </c>
      <c r="FX34" s="2">
        <v>0</v>
      </c>
      <c r="FY34" s="4">
        <v>0</v>
      </c>
      <c r="FZ34" s="4">
        <v>0</v>
      </c>
      <c r="GA34" s="2" t="s">
        <v>65</v>
      </c>
      <c r="GB34" s="2"/>
      <c r="GC34" s="2" t="s">
        <v>66</v>
      </c>
      <c r="GD34" s="2" t="s">
        <v>67</v>
      </c>
      <c r="GE34" s="2" t="s">
        <v>2684</v>
      </c>
      <c r="GF34" s="2"/>
      <c r="GG34" s="2"/>
      <c r="GH34" s="2"/>
      <c r="GI34" s="2"/>
      <c r="GJ34" s="2"/>
      <c r="GK34" s="2">
        <v>106</v>
      </c>
      <c r="GL34" s="2"/>
      <c r="GM34" s="2"/>
      <c r="GN34" s="2"/>
      <c r="GO34" s="2"/>
      <c r="GP34" s="2"/>
      <c r="GQ34" s="2">
        <v>106</v>
      </c>
      <c r="GR34" s="2" t="s">
        <v>3332</v>
      </c>
      <c r="GS34" s="2" t="s">
        <v>2686</v>
      </c>
      <c r="GT34" s="2" t="s">
        <v>3920</v>
      </c>
      <c r="GU34" s="2" t="s">
        <v>2720</v>
      </c>
      <c r="GV34" s="2" t="s">
        <v>17</v>
      </c>
      <c r="GW34" s="2">
        <v>25.566649999999999</v>
      </c>
      <c r="GX34" s="2">
        <v>-80.383848</v>
      </c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>
        <v>25.565973</v>
      </c>
      <c r="HO34" s="2">
        <v>-80.382682000000003</v>
      </c>
      <c r="HP34" s="2">
        <v>0.09</v>
      </c>
      <c r="HQ34" s="2">
        <v>6</v>
      </c>
      <c r="HR34" s="2"/>
      <c r="HS34" s="2"/>
      <c r="HT34" s="2"/>
      <c r="HU34" s="2"/>
      <c r="HV34" s="2" t="s">
        <v>74</v>
      </c>
      <c r="HW34" s="2" t="s">
        <v>3426</v>
      </c>
      <c r="HX34" s="2">
        <v>0.6</v>
      </c>
      <c r="HY34" s="2">
        <v>3</v>
      </c>
      <c r="HZ34" s="2"/>
      <c r="IA34" s="2"/>
      <c r="IB34" s="2"/>
      <c r="IC34" s="2"/>
      <c r="ID34" s="2" t="s">
        <v>74</v>
      </c>
      <c r="IE34" s="2">
        <v>0.6</v>
      </c>
      <c r="IF34" s="2">
        <v>3</v>
      </c>
      <c r="IG34" s="2" t="s">
        <v>3582</v>
      </c>
      <c r="IH34" s="2">
        <v>0.24</v>
      </c>
      <c r="II34" s="2">
        <v>4</v>
      </c>
      <c r="IJ34" s="2" t="s">
        <v>9</v>
      </c>
      <c r="IK34" s="2" t="s">
        <v>3428</v>
      </c>
      <c r="IL34" s="2" t="s">
        <v>3341</v>
      </c>
      <c r="IM34" s="2" t="s">
        <v>17</v>
      </c>
      <c r="IN34" s="2"/>
      <c r="IO34" s="2" t="s">
        <v>79</v>
      </c>
      <c r="IP34" s="2">
        <v>6</v>
      </c>
      <c r="IQ34" s="2">
        <v>10</v>
      </c>
      <c r="IR34" s="2">
        <v>16</v>
      </c>
      <c r="IS34" s="2" t="s">
        <v>17</v>
      </c>
      <c r="IT34" s="2" t="s">
        <v>17</v>
      </c>
      <c r="IU34" s="2" t="s">
        <v>9</v>
      </c>
      <c r="IV34" s="2" t="s">
        <v>9</v>
      </c>
      <c r="IW34" s="2" t="s">
        <v>9</v>
      </c>
      <c r="IX34" s="2" t="s">
        <v>9</v>
      </c>
      <c r="IY34" s="2">
        <v>16</v>
      </c>
      <c r="IZ34" s="2">
        <v>106</v>
      </c>
      <c r="JA34" s="2" t="s">
        <v>3085</v>
      </c>
      <c r="JB34" s="2"/>
      <c r="JC34" s="2" t="s">
        <v>82</v>
      </c>
      <c r="JD34" s="2"/>
      <c r="JE34" s="2"/>
      <c r="JF34" s="7">
        <v>0</v>
      </c>
      <c r="JG34" s="7"/>
      <c r="JH34" s="7"/>
      <c r="JI34" s="2">
        <v>0</v>
      </c>
      <c r="JJ34" s="7">
        <v>0</v>
      </c>
      <c r="JK34" s="2">
        <v>0</v>
      </c>
      <c r="JL34" s="7">
        <v>0</v>
      </c>
      <c r="JM34" s="2">
        <v>16</v>
      </c>
      <c r="JN34" s="2"/>
      <c r="JO34" s="2"/>
      <c r="JP34" s="2">
        <v>51</v>
      </c>
      <c r="JQ34" s="2">
        <v>30</v>
      </c>
      <c r="JR34" s="2">
        <v>9</v>
      </c>
      <c r="JS34" s="2">
        <v>0</v>
      </c>
      <c r="JT34" s="2">
        <v>0</v>
      </c>
      <c r="JU34" s="2"/>
      <c r="JV34" s="2">
        <v>106</v>
      </c>
      <c r="JW34" s="4">
        <v>1</v>
      </c>
      <c r="JX34" s="2">
        <v>106</v>
      </c>
      <c r="JY34" s="4">
        <v>0.6</v>
      </c>
      <c r="JZ34" s="2">
        <v>0</v>
      </c>
      <c r="KA34" s="2"/>
      <c r="KB34" s="2"/>
      <c r="KC34" s="2"/>
      <c r="KD34" s="2"/>
      <c r="KE34" s="2"/>
      <c r="KF34" s="2"/>
      <c r="KG34" s="2"/>
      <c r="KH34" s="2">
        <v>106</v>
      </c>
      <c r="KI34" s="2"/>
      <c r="KJ34" s="2"/>
      <c r="KK34" s="2"/>
      <c r="KL34" s="2"/>
      <c r="KM34" s="2"/>
      <c r="KN34" s="2"/>
      <c r="KO34" s="2"/>
      <c r="KP34" s="2"/>
      <c r="KQ34" s="2" t="s">
        <v>83</v>
      </c>
      <c r="KR34" s="2"/>
      <c r="KS34" s="2" t="s">
        <v>73</v>
      </c>
      <c r="KT34" s="2">
        <v>1</v>
      </c>
      <c r="KU34" s="2" t="s">
        <v>84</v>
      </c>
      <c r="KV34" s="2" t="s">
        <v>85</v>
      </c>
      <c r="KW34" s="2" t="s">
        <v>86</v>
      </c>
      <c r="KX34" s="2" t="s">
        <v>17</v>
      </c>
      <c r="KY34" s="2" t="s">
        <v>17</v>
      </c>
      <c r="KZ34" s="2" t="s">
        <v>17</v>
      </c>
      <c r="LA34" s="2" t="s">
        <v>17</v>
      </c>
      <c r="LB34" s="2" t="s">
        <v>17</v>
      </c>
      <c r="LC34" s="2" t="s">
        <v>17</v>
      </c>
      <c r="LD34" s="2" t="s">
        <v>17</v>
      </c>
      <c r="LE34" s="2" t="s">
        <v>17</v>
      </c>
      <c r="LF34" s="2" t="s">
        <v>17</v>
      </c>
      <c r="LG34" s="2" t="s">
        <v>17</v>
      </c>
      <c r="LH34" s="2" t="s">
        <v>17</v>
      </c>
      <c r="LI34" s="2" t="s">
        <v>17</v>
      </c>
      <c r="LJ34" s="2" t="s">
        <v>87</v>
      </c>
      <c r="LK34" s="2" t="s">
        <v>17</v>
      </c>
      <c r="LL34" s="2" t="s">
        <v>17</v>
      </c>
      <c r="LM34" s="2">
        <v>0</v>
      </c>
      <c r="LN34" s="2" t="s">
        <v>17</v>
      </c>
      <c r="LO34" s="2" t="s">
        <v>17</v>
      </c>
      <c r="LP34" s="2" t="s">
        <v>17</v>
      </c>
      <c r="LQ34" s="2" t="s">
        <v>17</v>
      </c>
      <c r="LR34" s="2" t="s">
        <v>17</v>
      </c>
      <c r="LS34" s="2" t="s">
        <v>17</v>
      </c>
      <c r="LT34" s="2" t="s">
        <v>9</v>
      </c>
      <c r="LU34" s="2" t="s">
        <v>9</v>
      </c>
      <c r="LV34" s="2" t="s">
        <v>9</v>
      </c>
      <c r="LW34" s="2" t="s">
        <v>17</v>
      </c>
      <c r="LX34" s="2" t="s">
        <v>17</v>
      </c>
      <c r="LY34" s="5">
        <v>6500000</v>
      </c>
      <c r="LZ34" s="5">
        <v>0</v>
      </c>
      <c r="MA34" s="5">
        <v>8400000</v>
      </c>
      <c r="MB34" s="5">
        <v>0</v>
      </c>
      <c r="MC34" s="5">
        <v>0</v>
      </c>
      <c r="MD34" s="5">
        <v>0</v>
      </c>
      <c r="ME34" s="5">
        <v>10000000</v>
      </c>
      <c r="MF34" s="5">
        <v>0</v>
      </c>
      <c r="MG34" s="5">
        <v>0</v>
      </c>
      <c r="MH34" s="5">
        <v>0</v>
      </c>
      <c r="MI34" s="5">
        <v>0</v>
      </c>
      <c r="MJ34" s="5">
        <v>0</v>
      </c>
      <c r="MK34" s="5">
        <v>0</v>
      </c>
      <c r="ML34" s="2">
        <v>0</v>
      </c>
      <c r="MM34" s="5">
        <v>0</v>
      </c>
      <c r="MN34" s="5">
        <v>0</v>
      </c>
      <c r="MO34" s="2">
        <v>0</v>
      </c>
      <c r="MP34" s="2">
        <v>0</v>
      </c>
      <c r="MQ34" s="2">
        <v>0</v>
      </c>
      <c r="MR34" s="5">
        <v>2950000</v>
      </c>
      <c r="MS34" s="5">
        <v>0</v>
      </c>
      <c r="MT34" s="5">
        <v>4600000</v>
      </c>
      <c r="MU34" s="5">
        <v>0</v>
      </c>
      <c r="MV34" s="5">
        <v>0</v>
      </c>
      <c r="MW34" s="5">
        <v>0</v>
      </c>
      <c r="MX34" s="5">
        <v>0</v>
      </c>
      <c r="MY34" s="5">
        <v>2500000</v>
      </c>
      <c r="MZ34" s="5">
        <v>0</v>
      </c>
      <c r="NA34" s="5">
        <v>5000000</v>
      </c>
      <c r="NB34" s="5">
        <v>0</v>
      </c>
      <c r="NC34" s="5">
        <v>0</v>
      </c>
      <c r="ND34" s="5">
        <v>0</v>
      </c>
      <c r="NE34" s="5">
        <v>0</v>
      </c>
      <c r="NF34" s="5">
        <v>0</v>
      </c>
      <c r="NG34" s="5">
        <v>3458400</v>
      </c>
      <c r="NH34" s="5">
        <v>3458000</v>
      </c>
      <c r="NI34" s="5">
        <v>3458000</v>
      </c>
      <c r="NJ34" s="5"/>
      <c r="NK34" s="5">
        <v>0</v>
      </c>
      <c r="NL34" s="2" t="s">
        <v>17</v>
      </c>
      <c r="NM34" s="2" t="s">
        <v>17</v>
      </c>
      <c r="NN34" s="2"/>
      <c r="NO34" s="2" t="s">
        <v>17</v>
      </c>
      <c r="NP34" s="2"/>
      <c r="NQ34" s="2"/>
      <c r="NR34" s="2" t="s">
        <v>17</v>
      </c>
      <c r="NS34" s="2"/>
      <c r="NT34" s="2" t="s">
        <v>17</v>
      </c>
      <c r="NU34" s="2"/>
      <c r="NV34" s="2"/>
      <c r="NW34" s="2"/>
      <c r="NX34" s="2" t="s">
        <v>17</v>
      </c>
      <c r="NY34" s="2"/>
      <c r="NZ34" s="2"/>
      <c r="OA34" s="2" t="s">
        <v>118</v>
      </c>
      <c r="OB34" s="2" t="s">
        <v>118</v>
      </c>
      <c r="OC34" s="2" t="s">
        <v>118</v>
      </c>
      <c r="OD34" s="2" t="s">
        <v>3343</v>
      </c>
      <c r="OE34" s="2" t="s">
        <v>3429</v>
      </c>
      <c r="OF34" s="2" t="s">
        <v>9</v>
      </c>
      <c r="OG34" s="2" t="s">
        <v>17</v>
      </c>
      <c r="OH34" s="2"/>
      <c r="OI34" s="2" t="s">
        <v>17</v>
      </c>
      <c r="OJ34" s="2"/>
      <c r="OK34" s="2" t="s">
        <v>17</v>
      </c>
      <c r="OL34" s="2" t="s">
        <v>17</v>
      </c>
      <c r="OM34" s="2" t="s">
        <v>85</v>
      </c>
      <c r="ON34" s="6">
        <v>0</v>
      </c>
      <c r="OO34" s="6">
        <v>0</v>
      </c>
      <c r="OP34" s="2" t="s">
        <v>93</v>
      </c>
      <c r="OQ34" s="2" t="s">
        <v>93</v>
      </c>
      <c r="OR34" s="6">
        <v>0</v>
      </c>
      <c r="OS34" s="4">
        <v>0</v>
      </c>
      <c r="OT34" s="2" t="s">
        <v>17</v>
      </c>
      <c r="OU34" s="2" t="s">
        <v>17</v>
      </c>
      <c r="OV34" s="2"/>
      <c r="OW34" s="2"/>
      <c r="OX34" s="5">
        <v>22202435</v>
      </c>
      <c r="OY34" s="6">
        <v>209456.93</v>
      </c>
      <c r="OZ34" s="2"/>
      <c r="PA34" s="2"/>
      <c r="PB34" s="8">
        <v>400000</v>
      </c>
      <c r="PC34" s="8">
        <v>400000</v>
      </c>
      <c r="PD34" s="8">
        <v>19378342</v>
      </c>
      <c r="PE34" s="8">
        <v>462408</v>
      </c>
      <c r="PF34" s="8">
        <v>19840750</v>
      </c>
      <c r="PG34" s="2"/>
      <c r="PH34" s="8">
        <v>50000</v>
      </c>
      <c r="PI34" s="8">
        <v>50000</v>
      </c>
      <c r="PJ34" s="8">
        <v>310000</v>
      </c>
      <c r="PK34" s="2"/>
      <c r="PL34" s="8">
        <v>310000</v>
      </c>
      <c r="PM34" s="8">
        <v>19688342</v>
      </c>
      <c r="PN34" s="8">
        <v>912408</v>
      </c>
      <c r="PO34" s="8">
        <v>20600750</v>
      </c>
      <c r="PP34" s="8">
        <v>2829648</v>
      </c>
      <c r="PQ34" s="2"/>
      <c r="PR34" s="8">
        <v>2829648</v>
      </c>
      <c r="PS34" s="6">
        <v>2884105</v>
      </c>
      <c r="PT34" s="8">
        <v>22517990</v>
      </c>
      <c r="PU34" s="8">
        <v>912408</v>
      </c>
      <c r="PV34" s="8">
        <v>23430398</v>
      </c>
      <c r="PW34" s="8">
        <v>1040418</v>
      </c>
      <c r="PX34" s="8">
        <v>115602</v>
      </c>
      <c r="PY34" s="8">
        <v>1156020</v>
      </c>
      <c r="PZ34" s="6">
        <v>1171519.8999999999</v>
      </c>
      <c r="QA34" s="8">
        <v>1040100</v>
      </c>
      <c r="QB34" s="8">
        <v>407975</v>
      </c>
      <c r="QC34" s="8">
        <v>1448075</v>
      </c>
      <c r="QD34" s="8">
        <v>246000</v>
      </c>
      <c r="QE34" s="8">
        <v>24000</v>
      </c>
      <c r="QF34" s="8">
        <v>270000</v>
      </c>
      <c r="QG34" s="8">
        <v>473315</v>
      </c>
      <c r="QH34" s="8">
        <v>30000</v>
      </c>
      <c r="QI34" s="8">
        <v>503315</v>
      </c>
      <c r="QJ34" s="2"/>
      <c r="QK34" s="8">
        <v>576100</v>
      </c>
      <c r="QL34" s="8">
        <v>576100</v>
      </c>
      <c r="QM34" s="2"/>
      <c r="QN34" s="2"/>
      <c r="QO34" s="2"/>
      <c r="QP34" s="2"/>
      <c r="QQ34" s="2"/>
      <c r="QR34" s="2"/>
      <c r="QS34" s="8">
        <v>1759415</v>
      </c>
      <c r="QT34" s="8">
        <v>1038075</v>
      </c>
      <c r="QU34" s="8">
        <v>2797490</v>
      </c>
      <c r="QV34" s="8">
        <v>45000</v>
      </c>
      <c r="QW34" s="8">
        <v>45000</v>
      </c>
      <c r="QX34" s="8">
        <v>90000</v>
      </c>
      <c r="QY34" s="6">
        <v>139874.5</v>
      </c>
      <c r="QZ34" s="8">
        <v>1224000</v>
      </c>
      <c r="RA34" s="8">
        <v>1320000</v>
      </c>
      <c r="RB34" s="8">
        <v>2544000</v>
      </c>
      <c r="RC34" s="8">
        <v>62500</v>
      </c>
      <c r="RD34" s="8">
        <v>62500</v>
      </c>
      <c r="RE34" s="2"/>
      <c r="RF34" s="2"/>
      <c r="RG34" s="2"/>
      <c r="RH34" s="8">
        <v>1224000</v>
      </c>
      <c r="RI34" s="8">
        <v>1382500</v>
      </c>
      <c r="RJ34" s="8">
        <v>2606500</v>
      </c>
      <c r="RK34" s="8">
        <v>26586823</v>
      </c>
      <c r="RL34" s="8">
        <v>3493585</v>
      </c>
      <c r="RM34" s="8">
        <v>30080408</v>
      </c>
      <c r="RN34" s="2">
        <v>0</v>
      </c>
      <c r="RO34" s="6">
        <v>0</v>
      </c>
      <c r="RP34" s="8">
        <v>4809857</v>
      </c>
      <c r="RQ34" s="2"/>
      <c r="RR34" s="8">
        <v>4809857</v>
      </c>
      <c r="RS34" s="6">
        <v>4812865</v>
      </c>
      <c r="RT34" s="6">
        <v>0</v>
      </c>
      <c r="RU34" s="8">
        <v>4809857</v>
      </c>
      <c r="RV34" s="2"/>
      <c r="RW34" s="8">
        <v>4809857</v>
      </c>
      <c r="RX34" s="6">
        <v>4812865</v>
      </c>
      <c r="RY34" s="8">
        <v>371000</v>
      </c>
      <c r="RZ34" s="8">
        <v>371000</v>
      </c>
      <c r="SA34" s="6">
        <v>371000</v>
      </c>
      <c r="SB34" s="8">
        <v>2832500</v>
      </c>
      <c r="SC34" s="8">
        <v>2832500</v>
      </c>
      <c r="SD34" s="8">
        <v>31396680</v>
      </c>
      <c r="SE34" s="8">
        <v>6697085</v>
      </c>
      <c r="SF34" s="8">
        <v>38093765</v>
      </c>
      <c r="SG34" s="2" t="s">
        <v>229</v>
      </c>
      <c r="SH34" s="2" t="s">
        <v>3921</v>
      </c>
      <c r="SI34" s="2"/>
      <c r="SJ34" s="2"/>
      <c r="SK34" s="8">
        <v>27100000</v>
      </c>
      <c r="SL34" s="2" t="s">
        <v>95</v>
      </c>
      <c r="SM34" s="2"/>
      <c r="SN34" s="2"/>
      <c r="SO34" s="2"/>
      <c r="SP34" s="2"/>
      <c r="SQ34" s="2"/>
      <c r="SR34" s="2"/>
      <c r="SS34" s="2" t="s">
        <v>96</v>
      </c>
      <c r="ST34" s="2" t="s">
        <v>96</v>
      </c>
      <c r="SU34" s="2" t="s">
        <v>96</v>
      </c>
      <c r="SV34" s="2" t="s">
        <v>96</v>
      </c>
      <c r="SW34" s="8">
        <v>18878792.289999999</v>
      </c>
      <c r="SX34" s="2"/>
      <c r="SY34" s="2"/>
      <c r="SZ34" s="2"/>
      <c r="TA34" s="2"/>
      <c r="TB34" s="2"/>
      <c r="TC34" s="2"/>
      <c r="TD34" s="2">
        <v>0</v>
      </c>
      <c r="TE34" s="8">
        <v>45978792.289999999</v>
      </c>
      <c r="TF34" s="8">
        <v>7885027.29</v>
      </c>
      <c r="TG34" s="2" t="s">
        <v>9</v>
      </c>
      <c r="TH34" s="8">
        <v>4250000</v>
      </c>
      <c r="TI34" s="2" t="s">
        <v>95</v>
      </c>
      <c r="TJ34" s="2"/>
      <c r="TK34" s="2"/>
      <c r="TL34" s="2"/>
      <c r="TM34" s="2"/>
      <c r="TN34" s="2" t="s">
        <v>96</v>
      </c>
      <c r="TO34" s="2" t="s">
        <v>96</v>
      </c>
      <c r="TP34" s="2" t="s">
        <v>96</v>
      </c>
      <c r="TQ34" s="2" t="s">
        <v>96</v>
      </c>
      <c r="TR34" s="8">
        <v>31464654</v>
      </c>
      <c r="TS34" s="2"/>
      <c r="TT34" s="2"/>
      <c r="TU34" s="2"/>
      <c r="TV34" s="2"/>
      <c r="TW34" s="2"/>
      <c r="TX34" s="2"/>
      <c r="TY34" s="8">
        <v>2379111</v>
      </c>
      <c r="TZ34" s="8">
        <v>38093765</v>
      </c>
      <c r="UA34" s="6">
        <v>4250000</v>
      </c>
      <c r="UB34" s="2">
        <v>0</v>
      </c>
      <c r="UC34" s="2" t="s">
        <v>9</v>
      </c>
      <c r="UD34" s="2">
        <v>106</v>
      </c>
      <c r="UE34" s="5">
        <v>310000</v>
      </c>
      <c r="UF34" s="6">
        <v>413333.33</v>
      </c>
      <c r="UG34" s="6">
        <v>413333.33</v>
      </c>
      <c r="UH34" s="6">
        <v>438133.33</v>
      </c>
      <c r="UI34" s="6">
        <v>46442133.329999998</v>
      </c>
      <c r="UJ34" s="6">
        <v>7430741</v>
      </c>
      <c r="UK34" s="2" t="s">
        <v>97</v>
      </c>
      <c r="UL34" s="6">
        <v>7430741</v>
      </c>
      <c r="UM34" s="6">
        <v>53872874.329999998</v>
      </c>
      <c r="UN34" s="6">
        <v>34490265</v>
      </c>
      <c r="UO34" s="4">
        <v>0.99990000000000001</v>
      </c>
      <c r="UP34" s="2" t="s">
        <v>9</v>
      </c>
      <c r="UQ34" s="6">
        <v>0</v>
      </c>
      <c r="UR34" s="6">
        <v>0</v>
      </c>
      <c r="US34" s="6">
        <v>727502.36</v>
      </c>
      <c r="UT34" s="6">
        <v>727502.36</v>
      </c>
      <c r="UU34" s="6">
        <v>0</v>
      </c>
      <c r="UV34" s="6">
        <v>727502.36</v>
      </c>
      <c r="UW34" s="6">
        <v>0</v>
      </c>
      <c r="UX34" s="6">
        <v>727502.36</v>
      </c>
      <c r="UY34" s="2" t="s">
        <v>3387</v>
      </c>
      <c r="UZ34" s="2" t="s">
        <v>3288</v>
      </c>
      <c r="VA34" s="2" t="s">
        <v>17</v>
      </c>
      <c r="VB34" s="2" t="s">
        <v>17</v>
      </c>
      <c r="VC34" s="2" t="s">
        <v>17</v>
      </c>
      <c r="VD34" s="2" t="s">
        <v>17</v>
      </c>
      <c r="VE34" s="2" t="s">
        <v>17</v>
      </c>
      <c r="VF34" s="2" t="s">
        <v>17</v>
      </c>
      <c r="VG34" s="2" t="s">
        <v>3922</v>
      </c>
      <c r="VH34" s="2"/>
      <c r="VI34" s="388" t="s">
        <v>328</v>
      </c>
      <c r="VJ34" s="2" t="s">
        <v>98</v>
      </c>
      <c r="VK34" s="2" t="s">
        <v>366</v>
      </c>
      <c r="VL34" s="23">
        <f t="shared" ref="VL34:VL48" si="21">KG34+KH34+2*(KI34+KK34)+3*KL34</f>
        <v>106</v>
      </c>
      <c r="VM34" s="17">
        <f t="shared" ref="VM34:VM48" si="22">VL34/IZ34</f>
        <v>1</v>
      </c>
      <c r="VN34" s="17" t="str">
        <f t="shared" si="2"/>
        <v>NC-HR-E</v>
      </c>
      <c r="VO34" s="17" t="str">
        <f t="shared" si="14"/>
        <v>NC-HR-E-ESS</v>
      </c>
      <c r="VP34" s="12">
        <v>9</v>
      </c>
      <c r="VQ34" s="57">
        <v>1</v>
      </c>
      <c r="VR34" s="57">
        <f t="shared" si="3"/>
        <v>1</v>
      </c>
      <c r="VS34" s="14">
        <f t="shared" si="4"/>
        <v>1</v>
      </c>
      <c r="VT34" s="12">
        <f t="shared" si="5"/>
        <v>0.88349999999999995</v>
      </c>
      <c r="VU34" s="29">
        <f t="shared" si="6"/>
        <v>27496287</v>
      </c>
      <c r="VV34" s="29">
        <f t="shared" ref="VV34:VV48" si="23">ROUND(VU34/(JI34+JV34),2)</f>
        <v>259398.93</v>
      </c>
      <c r="VW34" s="12" t="str">
        <f t="shared" si="15"/>
        <v>A</v>
      </c>
      <c r="VX34" s="12" t="str">
        <f t="shared" ref="VX34:VX48" si="24">IF(GG34=MAX(GG34:GL34),"NC-GA-ESS",IF(GI34=MAX(GG34:GL34),"NC-MR-ESS",IF(GK34=MAX(GG34:GL34),"NC-HR-ESS",IF(GL34=MAX(GG34:GL34),"NC-OT-ESS","Nothing"))))</f>
        <v>NC-HR-ESS</v>
      </c>
      <c r="VY34" s="352">
        <f t="shared" si="16"/>
        <v>5</v>
      </c>
      <c r="WA34" s="12">
        <f t="shared" si="17"/>
        <v>1</v>
      </c>
      <c r="WB34" s="12">
        <f t="shared" si="18"/>
        <v>0</v>
      </c>
      <c r="WC34" s="12">
        <f t="shared" si="18"/>
        <v>0</v>
      </c>
      <c r="WD34" s="12">
        <f t="shared" si="18"/>
        <v>0</v>
      </c>
      <c r="WE34" s="12">
        <f t="shared" si="19"/>
        <v>1</v>
      </c>
      <c r="WF34" s="12">
        <f t="shared" ref="WF34:WF48" si="25">IF(GG34+GH34&gt;0,1,0)</f>
        <v>0</v>
      </c>
      <c r="WG34" s="12">
        <f t="shared" ref="WG34:WG48" si="26">IF(GI34+GJ34&gt;0,1,0)</f>
        <v>0</v>
      </c>
      <c r="WH34" s="12">
        <f t="shared" ref="WH34:WH48" si="27">IF(GK34&gt;1,1,0)</f>
        <v>1</v>
      </c>
      <c r="WI34" s="31">
        <f t="shared" ref="WI34:WI50" si="28">SUM(WA34:WH34)</f>
        <v>3</v>
      </c>
      <c r="WJ34" s="2"/>
      <c r="WK34" s="444" t="str">
        <f t="shared" si="20"/>
        <v>NC-HR-ESS-BBN-BRN-NPH-E</v>
      </c>
      <c r="WL34" s="444"/>
      <c r="WM34" s="444"/>
    </row>
    <row r="35" spans="1:611" x14ac:dyDescent="0.25">
      <c r="A35" s="2">
        <v>9603</v>
      </c>
      <c r="B35" s="2" t="s">
        <v>3923</v>
      </c>
      <c r="C35" s="2" t="s">
        <v>3305</v>
      </c>
      <c r="D35" s="3">
        <v>45159</v>
      </c>
      <c r="E35" s="2" t="s">
        <v>9</v>
      </c>
      <c r="F35" s="2">
        <v>3</v>
      </c>
      <c r="G35" s="2" t="s">
        <v>9</v>
      </c>
      <c r="H35" s="2">
        <v>3</v>
      </c>
      <c r="I35" s="2" t="s">
        <v>9</v>
      </c>
      <c r="J35" s="2">
        <v>3</v>
      </c>
      <c r="K35" s="2" t="s">
        <v>9</v>
      </c>
      <c r="L35" s="2">
        <v>3</v>
      </c>
      <c r="M35" s="2" t="s">
        <v>10</v>
      </c>
      <c r="N35" s="2">
        <v>0</v>
      </c>
      <c r="O35" s="2" t="s">
        <v>10</v>
      </c>
      <c r="P35" s="2">
        <v>0</v>
      </c>
      <c r="Q35" s="2" t="s">
        <v>11</v>
      </c>
      <c r="R35" s="2">
        <v>0</v>
      </c>
      <c r="S35" s="2" t="s">
        <v>9</v>
      </c>
      <c r="T35" s="2">
        <v>2</v>
      </c>
      <c r="U35" s="2" t="s">
        <v>9</v>
      </c>
      <c r="V35" s="2">
        <v>2</v>
      </c>
      <c r="W35" s="2" t="s">
        <v>9</v>
      </c>
      <c r="X35" s="2">
        <v>2</v>
      </c>
      <c r="Y35" s="2" t="s">
        <v>12</v>
      </c>
      <c r="Z35" s="2" t="s">
        <v>15</v>
      </c>
      <c r="AA35" s="2" t="s">
        <v>15</v>
      </c>
      <c r="AB35" s="2" t="s">
        <v>15</v>
      </c>
      <c r="AC35" s="2" t="s">
        <v>15</v>
      </c>
      <c r="AD35" s="2" t="s">
        <v>188</v>
      </c>
      <c r="AE35" s="2" t="s">
        <v>15</v>
      </c>
      <c r="AF35" s="2">
        <v>0</v>
      </c>
      <c r="AG35" s="2" t="s">
        <v>234</v>
      </c>
      <c r="AH35" s="2" t="s">
        <v>17</v>
      </c>
      <c r="AI35" s="4">
        <v>0.1</v>
      </c>
      <c r="AJ35" s="2" t="s">
        <v>17</v>
      </c>
      <c r="AK35" s="2" t="s">
        <v>9</v>
      </c>
      <c r="AL35" s="2" t="s">
        <v>17</v>
      </c>
      <c r="AM35" s="2" t="s">
        <v>17</v>
      </c>
      <c r="AN35" s="2" t="s">
        <v>17</v>
      </c>
      <c r="AO35" s="2" t="s">
        <v>17</v>
      </c>
      <c r="AP35" s="2" t="s">
        <v>17</v>
      </c>
      <c r="AQ35" s="2" t="s">
        <v>9</v>
      </c>
      <c r="AR35" s="2" t="s">
        <v>17</v>
      </c>
      <c r="AS35" s="2" t="s">
        <v>17</v>
      </c>
      <c r="AT35" s="2">
        <v>5</v>
      </c>
      <c r="AU35" s="5">
        <v>100000</v>
      </c>
      <c r="AV35" s="2" t="s">
        <v>85</v>
      </c>
      <c r="AW35" s="2">
        <v>0</v>
      </c>
      <c r="AX35" s="2">
        <v>9</v>
      </c>
      <c r="AY35" s="2">
        <v>0</v>
      </c>
      <c r="AZ35" s="2">
        <v>18</v>
      </c>
      <c r="BA35" s="2">
        <v>0</v>
      </c>
      <c r="BB35" s="2">
        <v>0</v>
      </c>
      <c r="BC35" s="2">
        <v>0</v>
      </c>
      <c r="BD35" s="2">
        <v>5</v>
      </c>
      <c r="BE35" s="2">
        <v>0</v>
      </c>
      <c r="BF35" s="2">
        <v>1</v>
      </c>
      <c r="BG35" s="2">
        <v>0</v>
      </c>
      <c r="BH35" s="2">
        <v>0</v>
      </c>
      <c r="BI35" s="2">
        <v>13</v>
      </c>
      <c r="BJ35" s="2">
        <v>1</v>
      </c>
      <c r="BK35" s="2">
        <v>0</v>
      </c>
      <c r="BL35" s="2">
        <v>2</v>
      </c>
      <c r="BM35" s="2">
        <v>1</v>
      </c>
      <c r="BN35" s="2">
        <v>11</v>
      </c>
      <c r="BO35" s="2">
        <v>11</v>
      </c>
      <c r="BP35" s="2">
        <v>0</v>
      </c>
      <c r="BQ35" s="2">
        <v>10</v>
      </c>
      <c r="BR35" s="2">
        <v>10.029999999999999</v>
      </c>
      <c r="BS35" s="2">
        <v>0</v>
      </c>
      <c r="BT35" s="4">
        <v>0.06</v>
      </c>
      <c r="BU35" s="2" t="s">
        <v>9</v>
      </c>
      <c r="BV35" s="6">
        <v>209481.16</v>
      </c>
      <c r="BW35" s="2" t="s">
        <v>126</v>
      </c>
      <c r="BX35" s="2" t="s">
        <v>17</v>
      </c>
      <c r="BY35" s="2" t="s">
        <v>17</v>
      </c>
      <c r="BZ35" s="2" t="s">
        <v>17</v>
      </c>
      <c r="CA35" s="2" t="s">
        <v>17</v>
      </c>
      <c r="CB35" s="2" t="s">
        <v>17</v>
      </c>
      <c r="CC35" s="2" t="s">
        <v>17</v>
      </c>
      <c r="CD35" s="2" t="s">
        <v>17</v>
      </c>
      <c r="CE35" s="2" t="s">
        <v>3924</v>
      </c>
      <c r="CF35" s="2" t="s">
        <v>9</v>
      </c>
      <c r="CG35" s="2" t="s">
        <v>3850</v>
      </c>
      <c r="CH35" s="2" t="s">
        <v>893</v>
      </c>
      <c r="CI35" s="2"/>
      <c r="CJ35" s="2" t="s">
        <v>9</v>
      </c>
      <c r="CK35" s="2" t="s">
        <v>3851</v>
      </c>
      <c r="CL35" s="2" t="s">
        <v>3850</v>
      </c>
      <c r="CM35" s="2" t="s">
        <v>3852</v>
      </c>
      <c r="CN35" s="2" t="s">
        <v>2705</v>
      </c>
      <c r="CO35" s="2" t="s">
        <v>24</v>
      </c>
      <c r="CP35" s="2"/>
      <c r="CQ35" s="2">
        <v>110</v>
      </c>
      <c r="CR35" s="2" t="s">
        <v>3893</v>
      </c>
      <c r="CS35" s="2">
        <v>2020</v>
      </c>
      <c r="CT35" s="2" t="s">
        <v>26</v>
      </c>
      <c r="CU35" s="2" t="s">
        <v>27</v>
      </c>
      <c r="CV35" s="2" t="s">
        <v>3853</v>
      </c>
      <c r="CW35" s="2" t="s">
        <v>3854</v>
      </c>
      <c r="CX35" s="2" t="s">
        <v>24</v>
      </c>
      <c r="CY35" s="2"/>
      <c r="CZ35" s="2">
        <v>120</v>
      </c>
      <c r="DA35" s="2" t="s">
        <v>3893</v>
      </c>
      <c r="DB35" s="2">
        <v>2020</v>
      </c>
      <c r="DC35" s="2" t="s">
        <v>30</v>
      </c>
      <c r="DD35" s="2" t="s">
        <v>27</v>
      </c>
      <c r="DE35" s="2" t="s">
        <v>3855</v>
      </c>
      <c r="DF35" s="2" t="s">
        <v>2705</v>
      </c>
      <c r="DG35" s="2" t="s">
        <v>24</v>
      </c>
      <c r="DH35" s="2"/>
      <c r="DI35" s="2">
        <v>123</v>
      </c>
      <c r="DJ35" s="2" t="s">
        <v>3893</v>
      </c>
      <c r="DK35" s="2">
        <v>2019</v>
      </c>
      <c r="DL35" s="2" t="s">
        <v>30</v>
      </c>
      <c r="DM35" s="2" t="s">
        <v>27</v>
      </c>
      <c r="DN35" s="2" t="s">
        <v>33</v>
      </c>
      <c r="DO35" s="2" t="s">
        <v>1179</v>
      </c>
      <c r="DP35" s="2"/>
      <c r="DQ35" s="2" t="s">
        <v>1180</v>
      </c>
      <c r="DR35" s="2" t="s">
        <v>1181</v>
      </c>
      <c r="DS35" s="2">
        <v>1</v>
      </c>
      <c r="DT35" s="2" t="s">
        <v>1182</v>
      </c>
      <c r="DU35" s="2" t="s">
        <v>299</v>
      </c>
      <c r="DV35" s="2" t="s">
        <v>39</v>
      </c>
      <c r="DW35" s="2">
        <v>33176</v>
      </c>
      <c r="DX35" s="2" t="s">
        <v>3858</v>
      </c>
      <c r="DY35" s="2"/>
      <c r="DZ35" s="2" t="s">
        <v>3859</v>
      </c>
      <c r="EA35" s="2" t="s">
        <v>1181</v>
      </c>
      <c r="EB35" s="2" t="s">
        <v>3543</v>
      </c>
      <c r="EC35" s="2" t="s">
        <v>330</v>
      </c>
      <c r="ED35" s="2" t="s">
        <v>44</v>
      </c>
      <c r="EE35" s="2">
        <v>176</v>
      </c>
      <c r="EF35" s="2" t="s">
        <v>3894</v>
      </c>
      <c r="EG35" s="2">
        <v>7</v>
      </c>
      <c r="EH35" s="2" t="s">
        <v>46</v>
      </c>
      <c r="EI35" s="2" t="s">
        <v>47</v>
      </c>
      <c r="EJ35" s="2" t="s">
        <v>3925</v>
      </c>
      <c r="EK35" s="2" t="s">
        <v>330</v>
      </c>
      <c r="EL35" s="2" t="s">
        <v>44</v>
      </c>
      <c r="EM35" s="2">
        <v>109</v>
      </c>
      <c r="EN35" s="2" t="s">
        <v>3894</v>
      </c>
      <c r="EO35" s="2">
        <v>5</v>
      </c>
      <c r="EP35" s="2" t="s">
        <v>46</v>
      </c>
      <c r="EQ35" s="2" t="s">
        <v>47</v>
      </c>
      <c r="ER35" s="2" t="s">
        <v>656</v>
      </c>
      <c r="ES35" s="2" t="s">
        <v>3609</v>
      </c>
      <c r="ET35" s="2" t="s">
        <v>3861</v>
      </c>
      <c r="EU35" s="2" t="s">
        <v>3924</v>
      </c>
      <c r="EV35" s="2" t="s">
        <v>3926</v>
      </c>
      <c r="EW35" s="2" t="s">
        <v>299</v>
      </c>
      <c r="EX35" s="2" t="s">
        <v>39</v>
      </c>
      <c r="EY35" s="2">
        <v>33156</v>
      </c>
      <c r="EZ35" s="2" t="s">
        <v>3863</v>
      </c>
      <c r="FA35" s="2"/>
      <c r="FB35" s="2" t="s">
        <v>3864</v>
      </c>
      <c r="FC35" s="2" t="s">
        <v>513</v>
      </c>
      <c r="FD35" s="2"/>
      <c r="FE35" s="2" t="s">
        <v>3865</v>
      </c>
      <c r="FF35" s="2" t="s">
        <v>3850</v>
      </c>
      <c r="FG35" s="2" t="s">
        <v>3862</v>
      </c>
      <c r="FH35" s="2" t="s">
        <v>299</v>
      </c>
      <c r="FI35" s="2" t="s">
        <v>39</v>
      </c>
      <c r="FJ35" s="2">
        <v>33156</v>
      </c>
      <c r="FK35" s="2" t="s">
        <v>3863</v>
      </c>
      <c r="FL35" s="2"/>
      <c r="FM35" s="2" t="s">
        <v>3866</v>
      </c>
      <c r="FN35" s="2" t="s">
        <v>3927</v>
      </c>
      <c r="FO35" s="2" t="s">
        <v>63</v>
      </c>
      <c r="FP35" s="2" t="s">
        <v>64</v>
      </c>
      <c r="FQ35" s="2" t="s">
        <v>9</v>
      </c>
      <c r="FR35" s="2" t="s">
        <v>17</v>
      </c>
      <c r="FS35" s="2" t="s">
        <v>17</v>
      </c>
      <c r="FT35" s="2" t="s">
        <v>9</v>
      </c>
      <c r="FU35" s="2"/>
      <c r="FV35" s="2"/>
      <c r="FW35" s="2">
        <v>0</v>
      </c>
      <c r="FX35" s="2">
        <v>0</v>
      </c>
      <c r="FY35" s="4">
        <v>0</v>
      </c>
      <c r="FZ35" s="4">
        <v>0</v>
      </c>
      <c r="GA35" s="2" t="s">
        <v>65</v>
      </c>
      <c r="GB35" s="2"/>
      <c r="GC35" s="2" t="s">
        <v>66</v>
      </c>
      <c r="GD35" s="2" t="s">
        <v>67</v>
      </c>
      <c r="GE35" s="2" t="s">
        <v>2684</v>
      </c>
      <c r="GF35" s="2"/>
      <c r="GG35" s="2"/>
      <c r="GH35" s="2"/>
      <c r="GI35" s="2"/>
      <c r="GJ35" s="2"/>
      <c r="GK35" s="2">
        <v>106</v>
      </c>
      <c r="GL35" s="2"/>
      <c r="GM35" s="2"/>
      <c r="GN35" s="2"/>
      <c r="GO35" s="2"/>
      <c r="GP35" s="2"/>
      <c r="GQ35" s="2">
        <v>106</v>
      </c>
      <c r="GR35" s="2" t="s">
        <v>3332</v>
      </c>
      <c r="GS35" s="2" t="s">
        <v>2686</v>
      </c>
      <c r="GT35" s="2" t="s">
        <v>3928</v>
      </c>
      <c r="GU35" s="2" t="s">
        <v>2720</v>
      </c>
      <c r="GV35" s="2" t="s">
        <v>17</v>
      </c>
      <c r="GW35" s="2">
        <v>25.523316000000001</v>
      </c>
      <c r="GX35" s="2">
        <v>-80.424800000000005</v>
      </c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>
        <v>25.521341</v>
      </c>
      <c r="HO35" s="2">
        <v>-80.426201000000006</v>
      </c>
      <c r="HP35" s="2">
        <v>0.16</v>
      </c>
      <c r="HQ35" s="2">
        <v>6</v>
      </c>
      <c r="HR35" s="2"/>
      <c r="HS35" s="2"/>
      <c r="HT35" s="2"/>
      <c r="HU35" s="2"/>
      <c r="HV35" s="2" t="s">
        <v>406</v>
      </c>
      <c r="HW35" s="2" t="s">
        <v>3929</v>
      </c>
      <c r="HX35" s="2">
        <v>0.2</v>
      </c>
      <c r="HY35" s="2">
        <v>4</v>
      </c>
      <c r="HZ35" s="2" t="s">
        <v>3590</v>
      </c>
      <c r="IA35" s="2" t="s">
        <v>3930</v>
      </c>
      <c r="IB35" s="2">
        <v>0.21</v>
      </c>
      <c r="IC35" s="2">
        <v>4</v>
      </c>
      <c r="ID35" s="2" t="s">
        <v>406</v>
      </c>
      <c r="IE35" s="2">
        <v>0.2</v>
      </c>
      <c r="IF35" s="2">
        <v>4</v>
      </c>
      <c r="IG35" s="2"/>
      <c r="IH35" s="2"/>
      <c r="II35" s="2"/>
      <c r="IJ35" s="2" t="s">
        <v>9</v>
      </c>
      <c r="IK35" s="2" t="s">
        <v>3439</v>
      </c>
      <c r="IL35" s="2" t="s">
        <v>3341</v>
      </c>
      <c r="IM35" s="2" t="s">
        <v>17</v>
      </c>
      <c r="IN35" s="2"/>
      <c r="IO35" s="2" t="s">
        <v>79</v>
      </c>
      <c r="IP35" s="2">
        <v>6</v>
      </c>
      <c r="IQ35" s="2">
        <v>12</v>
      </c>
      <c r="IR35" s="2">
        <v>18</v>
      </c>
      <c r="IS35" s="2" t="s">
        <v>17</v>
      </c>
      <c r="IT35" s="2" t="s">
        <v>17</v>
      </c>
      <c r="IU35" s="2" t="s">
        <v>9</v>
      </c>
      <c r="IV35" s="2" t="s">
        <v>9</v>
      </c>
      <c r="IW35" s="2" t="s">
        <v>9</v>
      </c>
      <c r="IX35" s="2" t="s">
        <v>9</v>
      </c>
      <c r="IY35" s="2">
        <v>18</v>
      </c>
      <c r="IZ35" s="2">
        <v>106</v>
      </c>
      <c r="JA35" s="2" t="s">
        <v>3399</v>
      </c>
      <c r="JB35" s="2"/>
      <c r="JC35" s="2" t="s">
        <v>173</v>
      </c>
      <c r="JD35" s="7">
        <v>0.1</v>
      </c>
      <c r="JE35" s="7">
        <v>0.9</v>
      </c>
      <c r="JF35" s="7">
        <v>0</v>
      </c>
      <c r="JG35" s="7"/>
      <c r="JH35" s="7"/>
      <c r="JI35" s="2">
        <v>106</v>
      </c>
      <c r="JJ35" s="7">
        <v>1</v>
      </c>
      <c r="JK35" s="2">
        <v>106</v>
      </c>
      <c r="JL35" s="7">
        <v>1</v>
      </c>
      <c r="JM35" s="2"/>
      <c r="JN35" s="2"/>
      <c r="JO35" s="2"/>
      <c r="JP35" s="2"/>
      <c r="JQ35" s="2"/>
      <c r="JR35" s="2"/>
      <c r="JS35" s="2">
        <v>0</v>
      </c>
      <c r="JT35" s="2">
        <v>0</v>
      </c>
      <c r="JU35" s="2"/>
      <c r="JV35" s="2">
        <v>0</v>
      </c>
      <c r="JW35" s="4">
        <v>0</v>
      </c>
      <c r="JX35" s="2">
        <v>0</v>
      </c>
      <c r="JY35" s="4">
        <v>0</v>
      </c>
      <c r="JZ35" s="2">
        <v>0</v>
      </c>
      <c r="KA35" s="2"/>
      <c r="KB35" s="2"/>
      <c r="KC35" s="2"/>
      <c r="KD35" s="2"/>
      <c r="KE35" s="2"/>
      <c r="KF35" s="2"/>
      <c r="KG35" s="2"/>
      <c r="KH35" s="2">
        <v>66</v>
      </c>
      <c r="KI35" s="2"/>
      <c r="KJ35" s="2"/>
      <c r="KK35" s="2">
        <v>40</v>
      </c>
      <c r="KL35" s="2"/>
      <c r="KM35" s="2"/>
      <c r="KN35" s="2"/>
      <c r="KO35" s="2"/>
      <c r="KP35" s="2"/>
      <c r="KQ35" s="2" t="s">
        <v>83</v>
      </c>
      <c r="KR35" s="2"/>
      <c r="KS35" s="2" t="s">
        <v>73</v>
      </c>
      <c r="KT35" s="2">
        <v>1</v>
      </c>
      <c r="KU35" s="2" t="s">
        <v>84</v>
      </c>
      <c r="KV35" s="2" t="s">
        <v>85</v>
      </c>
      <c r="KW35" s="2" t="s">
        <v>86</v>
      </c>
      <c r="KX35" s="2" t="s">
        <v>17</v>
      </c>
      <c r="KY35" s="2" t="s">
        <v>17</v>
      </c>
      <c r="KZ35" s="2" t="s">
        <v>17</v>
      </c>
      <c r="LA35" s="2" t="s">
        <v>17</v>
      </c>
      <c r="LB35" s="2" t="s">
        <v>17</v>
      </c>
      <c r="LC35" s="2" t="s">
        <v>17</v>
      </c>
      <c r="LD35" s="2" t="s">
        <v>17</v>
      </c>
      <c r="LE35" s="2" t="s">
        <v>17</v>
      </c>
      <c r="LF35" s="2" t="s">
        <v>17</v>
      </c>
      <c r="LG35" s="2" t="s">
        <v>17</v>
      </c>
      <c r="LH35" s="2" t="s">
        <v>17</v>
      </c>
      <c r="LI35" s="2" t="s">
        <v>17</v>
      </c>
      <c r="LJ35" s="2" t="s">
        <v>87</v>
      </c>
      <c r="LK35" s="2" t="s">
        <v>17</v>
      </c>
      <c r="LL35" s="2" t="s">
        <v>17</v>
      </c>
      <c r="LM35" s="2">
        <v>0</v>
      </c>
      <c r="LN35" s="2" t="s">
        <v>17</v>
      </c>
      <c r="LO35" s="2" t="s">
        <v>17</v>
      </c>
      <c r="LP35" s="2" t="s">
        <v>17</v>
      </c>
      <c r="LQ35" s="2" t="s">
        <v>17</v>
      </c>
      <c r="LR35" s="2" t="s">
        <v>17</v>
      </c>
      <c r="LS35" s="2" t="s">
        <v>17</v>
      </c>
      <c r="LT35" s="2" t="s">
        <v>9</v>
      </c>
      <c r="LU35" s="2" t="s">
        <v>9</v>
      </c>
      <c r="LV35" s="2" t="s">
        <v>9</v>
      </c>
      <c r="LW35" s="2" t="s">
        <v>17</v>
      </c>
      <c r="LX35" s="2" t="s">
        <v>17</v>
      </c>
      <c r="LY35" s="5">
        <v>6500000</v>
      </c>
      <c r="LZ35" s="5">
        <v>0</v>
      </c>
      <c r="MA35" s="5">
        <v>8400000</v>
      </c>
      <c r="MB35" s="5">
        <v>0</v>
      </c>
      <c r="MC35" s="5">
        <v>0</v>
      </c>
      <c r="MD35" s="5">
        <v>0</v>
      </c>
      <c r="ME35" s="5">
        <v>10000000</v>
      </c>
      <c r="MF35" s="5">
        <v>0</v>
      </c>
      <c r="MG35" s="5">
        <v>0</v>
      </c>
      <c r="MH35" s="5">
        <v>0</v>
      </c>
      <c r="MI35" s="5">
        <v>0</v>
      </c>
      <c r="MJ35" s="5">
        <v>0</v>
      </c>
      <c r="MK35" s="5">
        <v>0</v>
      </c>
      <c r="ML35" s="2">
        <v>0</v>
      </c>
      <c r="MM35" s="5">
        <v>0</v>
      </c>
      <c r="MN35" s="5">
        <v>0</v>
      </c>
      <c r="MO35" s="2">
        <v>0</v>
      </c>
      <c r="MP35" s="2">
        <v>0</v>
      </c>
      <c r="MQ35" s="2">
        <v>0</v>
      </c>
      <c r="MR35" s="5">
        <v>2950000</v>
      </c>
      <c r="MS35" s="5">
        <v>0</v>
      </c>
      <c r="MT35" s="5">
        <v>4600000</v>
      </c>
      <c r="MU35" s="5">
        <v>0</v>
      </c>
      <c r="MV35" s="5">
        <v>0</v>
      </c>
      <c r="MW35" s="5">
        <v>0</v>
      </c>
      <c r="MX35" s="5">
        <v>0</v>
      </c>
      <c r="MY35" s="5">
        <v>2500000</v>
      </c>
      <c r="MZ35" s="5">
        <v>0</v>
      </c>
      <c r="NA35" s="5">
        <v>5000000</v>
      </c>
      <c r="NB35" s="5">
        <v>0</v>
      </c>
      <c r="NC35" s="5">
        <v>0</v>
      </c>
      <c r="ND35" s="5">
        <v>0</v>
      </c>
      <c r="NE35" s="5">
        <v>0</v>
      </c>
      <c r="NF35" s="5">
        <v>0</v>
      </c>
      <c r="NG35" s="5">
        <v>3458400</v>
      </c>
      <c r="NH35" s="5">
        <v>3458400</v>
      </c>
      <c r="NI35" s="5">
        <v>3458400</v>
      </c>
      <c r="NJ35" s="5"/>
      <c r="NK35" s="5">
        <v>0</v>
      </c>
      <c r="NL35" s="2" t="s">
        <v>17</v>
      </c>
      <c r="NM35" s="2" t="s">
        <v>17</v>
      </c>
      <c r="NN35" s="2"/>
      <c r="NO35" s="2" t="s">
        <v>17</v>
      </c>
      <c r="NP35" s="2"/>
      <c r="NQ35" s="2"/>
      <c r="NR35" s="2" t="s">
        <v>17</v>
      </c>
      <c r="NS35" s="2"/>
      <c r="NT35" s="2" t="s">
        <v>17</v>
      </c>
      <c r="NU35" s="2"/>
      <c r="NV35" s="2"/>
      <c r="NW35" s="2"/>
      <c r="NX35" s="2" t="s">
        <v>17</v>
      </c>
      <c r="NY35" s="2"/>
      <c r="NZ35" s="2"/>
      <c r="OA35" s="2" t="s">
        <v>118</v>
      </c>
      <c r="OB35" s="2" t="s">
        <v>118</v>
      </c>
      <c r="OC35" s="2" t="s">
        <v>118</v>
      </c>
      <c r="OD35" s="2" t="s">
        <v>3343</v>
      </c>
      <c r="OE35" s="2" t="s">
        <v>3440</v>
      </c>
      <c r="OF35" s="2" t="s">
        <v>9</v>
      </c>
      <c r="OG35" s="2" t="s">
        <v>17</v>
      </c>
      <c r="OH35" s="2"/>
      <c r="OI35" s="2" t="s">
        <v>17</v>
      </c>
      <c r="OJ35" s="2"/>
      <c r="OK35" s="2" t="s">
        <v>17</v>
      </c>
      <c r="OL35" s="2" t="s">
        <v>17</v>
      </c>
      <c r="OM35" s="2" t="s">
        <v>85</v>
      </c>
      <c r="ON35" s="6">
        <v>0</v>
      </c>
      <c r="OO35" s="6">
        <v>0</v>
      </c>
      <c r="OP35" s="2" t="s">
        <v>93</v>
      </c>
      <c r="OQ35" s="2" t="s">
        <v>93</v>
      </c>
      <c r="OR35" s="6">
        <v>0</v>
      </c>
      <c r="OS35" s="4">
        <v>0</v>
      </c>
      <c r="OT35" s="2" t="s">
        <v>17</v>
      </c>
      <c r="OU35" s="2" t="s">
        <v>17</v>
      </c>
      <c r="OV35" s="2"/>
      <c r="OW35" s="2"/>
      <c r="OX35" s="5">
        <v>22205003</v>
      </c>
      <c r="OY35" s="6">
        <v>209481.16</v>
      </c>
      <c r="OZ35" s="8">
        <v>50000</v>
      </c>
      <c r="PA35" s="8">
        <v>50000</v>
      </c>
      <c r="PB35" s="2"/>
      <c r="PC35" s="2"/>
      <c r="PD35" s="8">
        <v>18498700</v>
      </c>
      <c r="PE35" s="8">
        <v>4375000</v>
      </c>
      <c r="PF35" s="8">
        <v>22873700</v>
      </c>
      <c r="PG35" s="2"/>
      <c r="PH35" s="2"/>
      <c r="PI35" s="2"/>
      <c r="PJ35" s="8">
        <v>475000</v>
      </c>
      <c r="PK35" s="8">
        <v>180200</v>
      </c>
      <c r="PL35" s="8">
        <v>655200</v>
      </c>
      <c r="PM35" s="8">
        <v>18973700</v>
      </c>
      <c r="PN35" s="8">
        <v>4605200</v>
      </c>
      <c r="PO35" s="8">
        <v>23578900</v>
      </c>
      <c r="PP35" s="8">
        <v>3202317</v>
      </c>
      <c r="PQ35" s="2"/>
      <c r="PR35" s="8">
        <v>3202317</v>
      </c>
      <c r="PS35" s="6">
        <v>3301046</v>
      </c>
      <c r="PT35" s="8">
        <v>22176017</v>
      </c>
      <c r="PU35" s="8">
        <v>4605200</v>
      </c>
      <c r="PV35" s="8">
        <v>26781217</v>
      </c>
      <c r="PW35" s="8">
        <v>1131334</v>
      </c>
      <c r="PX35" s="8">
        <v>201250</v>
      </c>
      <c r="PY35" s="8">
        <v>1332584</v>
      </c>
      <c r="PZ35" s="6">
        <v>1339060.8500000001</v>
      </c>
      <c r="QA35" s="8">
        <v>2051700</v>
      </c>
      <c r="QB35" s="8">
        <v>162500</v>
      </c>
      <c r="QC35" s="8">
        <v>2214200</v>
      </c>
      <c r="QD35" s="8">
        <v>220510</v>
      </c>
      <c r="QE35" s="8">
        <v>212000</v>
      </c>
      <c r="QF35" s="8">
        <v>432510</v>
      </c>
      <c r="QG35" s="8">
        <v>453400</v>
      </c>
      <c r="QH35" s="8">
        <v>3000</v>
      </c>
      <c r="QI35" s="8">
        <v>456400</v>
      </c>
      <c r="QJ35" s="2"/>
      <c r="QK35" s="8">
        <v>444327</v>
      </c>
      <c r="QL35" s="8">
        <v>444327</v>
      </c>
      <c r="QM35" s="2"/>
      <c r="QN35" s="2"/>
      <c r="QO35" s="2"/>
      <c r="QP35" s="2"/>
      <c r="QQ35" s="2"/>
      <c r="QR35" s="2"/>
      <c r="QS35" s="8">
        <v>2725610</v>
      </c>
      <c r="QT35" s="8">
        <v>821827</v>
      </c>
      <c r="QU35" s="8">
        <v>3547437</v>
      </c>
      <c r="QV35" s="2"/>
      <c r="QW35" s="8">
        <v>177017</v>
      </c>
      <c r="QX35" s="8">
        <v>177017</v>
      </c>
      <c r="QY35" s="6">
        <v>177371.85</v>
      </c>
      <c r="QZ35" s="8">
        <v>1973710</v>
      </c>
      <c r="RA35" s="8">
        <v>1581717</v>
      </c>
      <c r="RB35" s="8">
        <v>3555427</v>
      </c>
      <c r="RC35" s="8">
        <v>66500</v>
      </c>
      <c r="RD35" s="8">
        <v>66500</v>
      </c>
      <c r="RE35" s="2"/>
      <c r="RF35" s="2"/>
      <c r="RG35" s="2"/>
      <c r="RH35" s="8">
        <v>1973710</v>
      </c>
      <c r="RI35" s="8">
        <v>1648217</v>
      </c>
      <c r="RJ35" s="8">
        <v>3621927</v>
      </c>
      <c r="RK35" s="8">
        <v>28006671</v>
      </c>
      <c r="RL35" s="8">
        <v>7453511</v>
      </c>
      <c r="RM35" s="8">
        <v>35460182</v>
      </c>
      <c r="RN35" s="2">
        <v>0</v>
      </c>
      <c r="RO35" s="6">
        <v>0</v>
      </c>
      <c r="RP35" s="8">
        <v>5670082</v>
      </c>
      <c r="RQ35" s="2"/>
      <c r="RR35" s="8">
        <v>5670082</v>
      </c>
      <c r="RS35" s="6">
        <v>5673629</v>
      </c>
      <c r="RT35" s="6">
        <v>0</v>
      </c>
      <c r="RU35" s="8">
        <v>5670082</v>
      </c>
      <c r="RV35" s="2"/>
      <c r="RW35" s="8">
        <v>5670082</v>
      </c>
      <c r="RX35" s="6">
        <v>5673629</v>
      </c>
      <c r="RY35" s="2"/>
      <c r="RZ35" s="2"/>
      <c r="SA35" s="6">
        <v>371000</v>
      </c>
      <c r="SB35" s="8">
        <v>2750000</v>
      </c>
      <c r="SC35" s="8">
        <v>2750000</v>
      </c>
      <c r="SD35" s="8">
        <v>33676753</v>
      </c>
      <c r="SE35" s="8">
        <v>10203511</v>
      </c>
      <c r="SF35" s="8">
        <v>43880264</v>
      </c>
      <c r="SG35" s="2"/>
      <c r="SH35" s="2" t="s">
        <v>3931</v>
      </c>
      <c r="SI35" s="2"/>
      <c r="SJ35" s="2"/>
      <c r="SK35" s="8">
        <v>30650000</v>
      </c>
      <c r="SL35" s="2" t="s">
        <v>95</v>
      </c>
      <c r="SM35" s="2"/>
      <c r="SN35" s="2"/>
      <c r="SO35" s="2"/>
      <c r="SP35" s="2"/>
      <c r="SQ35" s="2"/>
      <c r="SR35" s="2"/>
      <c r="SS35" s="2" t="s">
        <v>96</v>
      </c>
      <c r="ST35" s="2" t="s">
        <v>96</v>
      </c>
      <c r="SU35" s="2" t="s">
        <v>96</v>
      </c>
      <c r="SV35" s="2" t="s">
        <v>96</v>
      </c>
      <c r="SW35" s="8">
        <v>9544231</v>
      </c>
      <c r="SX35" s="2"/>
      <c r="SY35" s="2"/>
      <c r="SZ35" s="2"/>
      <c r="TA35" s="2"/>
      <c r="TB35" s="2"/>
      <c r="TC35" s="2"/>
      <c r="TD35" s="8">
        <v>3686033</v>
      </c>
      <c r="TE35" s="8">
        <v>43880264</v>
      </c>
      <c r="TF35" s="2">
        <v>0</v>
      </c>
      <c r="TG35" s="2" t="s">
        <v>9</v>
      </c>
      <c r="TH35" s="8">
        <v>6650000</v>
      </c>
      <c r="TI35" s="2" t="s">
        <v>95</v>
      </c>
      <c r="TJ35" s="2"/>
      <c r="TK35" s="2"/>
      <c r="TL35" s="2"/>
      <c r="TM35" s="2"/>
      <c r="TN35" s="2" t="s">
        <v>96</v>
      </c>
      <c r="TO35" s="2" t="s">
        <v>96</v>
      </c>
      <c r="TP35" s="2" t="s">
        <v>96</v>
      </c>
      <c r="TQ35" s="2" t="s">
        <v>96</v>
      </c>
      <c r="TR35" s="8">
        <v>31814098</v>
      </c>
      <c r="TS35" s="2"/>
      <c r="TT35" s="2"/>
      <c r="TU35" s="2"/>
      <c r="TV35" s="2"/>
      <c r="TW35" s="2"/>
      <c r="TX35" s="2"/>
      <c r="TY35" s="8">
        <v>5416166</v>
      </c>
      <c r="TZ35" s="8">
        <v>43880264</v>
      </c>
      <c r="UA35" s="6">
        <v>6650000</v>
      </c>
      <c r="UB35" s="2">
        <v>0</v>
      </c>
      <c r="UC35" s="2" t="s">
        <v>9</v>
      </c>
      <c r="UD35" s="2">
        <v>106</v>
      </c>
      <c r="UE35" s="5">
        <v>310000</v>
      </c>
      <c r="UF35" s="6">
        <v>413333.33</v>
      </c>
      <c r="UG35" s="6">
        <v>413333.33</v>
      </c>
      <c r="UH35" s="6">
        <v>438133.33</v>
      </c>
      <c r="UI35" s="6">
        <v>46442133.329999998</v>
      </c>
      <c r="UJ35" s="6">
        <v>7430741</v>
      </c>
      <c r="UK35" s="2" t="s">
        <v>97</v>
      </c>
      <c r="UL35" s="6">
        <v>7430741</v>
      </c>
      <c r="UM35" s="6">
        <v>53872874.329999998</v>
      </c>
      <c r="UN35" s="6">
        <v>41080264</v>
      </c>
      <c r="UO35" s="4">
        <v>0.99990000000000001</v>
      </c>
      <c r="UP35" s="2" t="s">
        <v>9</v>
      </c>
      <c r="UQ35" s="6">
        <v>0</v>
      </c>
      <c r="UR35" s="6">
        <v>0</v>
      </c>
      <c r="US35" s="6">
        <v>728315</v>
      </c>
      <c r="UT35" s="6">
        <v>728315</v>
      </c>
      <c r="UU35" s="6">
        <v>0</v>
      </c>
      <c r="UV35" s="6">
        <v>728315</v>
      </c>
      <c r="UW35" s="6">
        <v>0</v>
      </c>
      <c r="UX35" s="6">
        <v>728315</v>
      </c>
      <c r="UY35" s="2" t="s">
        <v>3387</v>
      </c>
      <c r="UZ35" s="2" t="s">
        <v>3288</v>
      </c>
      <c r="VA35" s="2" t="s">
        <v>17</v>
      </c>
      <c r="VB35" s="2" t="s">
        <v>17</v>
      </c>
      <c r="VC35" s="2" t="s">
        <v>17</v>
      </c>
      <c r="VD35" s="2" t="s">
        <v>17</v>
      </c>
      <c r="VE35" s="2" t="s">
        <v>17</v>
      </c>
      <c r="VF35" s="2" t="s">
        <v>17</v>
      </c>
      <c r="VG35" s="2" t="s">
        <v>3932</v>
      </c>
      <c r="VH35" s="2"/>
      <c r="VI35" s="388" t="s">
        <v>3851</v>
      </c>
      <c r="VJ35" s="2" t="s">
        <v>98</v>
      </c>
      <c r="VK35" s="2" t="s">
        <v>3933</v>
      </c>
      <c r="VL35" s="23">
        <f t="shared" si="21"/>
        <v>146</v>
      </c>
      <c r="VM35" s="17">
        <f t="shared" si="22"/>
        <v>1.3773584905660377</v>
      </c>
      <c r="VN35" s="17" t="str">
        <f t="shared" si="2"/>
        <v>NC-HR-E</v>
      </c>
      <c r="VO35" s="17" t="str">
        <f t="shared" si="14"/>
        <v>NC-HR-E-ESS</v>
      </c>
      <c r="VP35" s="12">
        <v>9</v>
      </c>
      <c r="VQ35" s="57">
        <v>1</v>
      </c>
      <c r="VR35" s="57">
        <f t="shared" si="3"/>
        <v>1</v>
      </c>
      <c r="VS35" s="14">
        <f t="shared" si="4"/>
        <v>1</v>
      </c>
      <c r="VT35" s="12">
        <f t="shared" si="5"/>
        <v>0.88349999999999995</v>
      </c>
      <c r="VU35" s="29">
        <f t="shared" si="6"/>
        <v>27499467.599999998</v>
      </c>
      <c r="VV35" s="29">
        <f t="shared" si="23"/>
        <v>259428.94</v>
      </c>
      <c r="VW35" s="12" t="str">
        <f t="shared" si="15"/>
        <v>A</v>
      </c>
      <c r="VX35" s="12" t="str">
        <f t="shared" si="24"/>
        <v>NC-HR-ESS</v>
      </c>
      <c r="VY35" s="352">
        <f t="shared" si="16"/>
        <v>5</v>
      </c>
      <c r="WA35" s="12">
        <f t="shared" si="17"/>
        <v>1</v>
      </c>
      <c r="WB35" s="12">
        <f t="shared" si="18"/>
        <v>0</v>
      </c>
      <c r="WC35" s="12">
        <f t="shared" si="18"/>
        <v>0</v>
      </c>
      <c r="WD35" s="12">
        <f t="shared" si="18"/>
        <v>0</v>
      </c>
      <c r="WE35" s="12">
        <f t="shared" si="19"/>
        <v>1</v>
      </c>
      <c r="WF35" s="12">
        <f t="shared" si="25"/>
        <v>0</v>
      </c>
      <c r="WG35" s="12">
        <f t="shared" si="26"/>
        <v>0</v>
      </c>
      <c r="WH35" s="12">
        <f t="shared" si="27"/>
        <v>1</v>
      </c>
      <c r="WI35" s="31">
        <f t="shared" si="28"/>
        <v>3</v>
      </c>
      <c r="WJ35" s="2"/>
      <c r="WK35" s="444" t="str">
        <f t="shared" si="20"/>
        <v>NC-HR-ESS-BBN-BRN-NPH-E</v>
      </c>
      <c r="WL35" s="444"/>
      <c r="WM35" s="444"/>
    </row>
    <row r="36" spans="1:611" x14ac:dyDescent="0.25">
      <c r="A36" s="2">
        <v>9627</v>
      </c>
      <c r="B36" s="2" t="s">
        <v>3934</v>
      </c>
      <c r="C36" s="2" t="s">
        <v>3305</v>
      </c>
      <c r="D36" s="3">
        <v>45100</v>
      </c>
      <c r="E36" s="2" t="s">
        <v>9</v>
      </c>
      <c r="F36" s="2">
        <v>3</v>
      </c>
      <c r="G36" s="2" t="s">
        <v>9</v>
      </c>
      <c r="H36" s="2">
        <v>3</v>
      </c>
      <c r="I36" s="2" t="s">
        <v>9</v>
      </c>
      <c r="J36" s="2">
        <v>3</v>
      </c>
      <c r="K36" s="2" t="s">
        <v>9</v>
      </c>
      <c r="L36" s="2">
        <v>3</v>
      </c>
      <c r="M36" s="2" t="s">
        <v>10</v>
      </c>
      <c r="N36" s="2">
        <v>0</v>
      </c>
      <c r="O36" s="2" t="s">
        <v>10</v>
      </c>
      <c r="P36" s="2">
        <v>0</v>
      </c>
      <c r="Q36" s="2" t="s">
        <v>11</v>
      </c>
      <c r="R36" s="2">
        <v>0</v>
      </c>
      <c r="S36" s="2" t="s">
        <v>9</v>
      </c>
      <c r="T36" s="2">
        <v>2</v>
      </c>
      <c r="U36" s="2" t="s">
        <v>9</v>
      </c>
      <c r="V36" s="2">
        <v>2</v>
      </c>
      <c r="W36" s="2" t="s">
        <v>9</v>
      </c>
      <c r="X36" s="2">
        <v>2</v>
      </c>
      <c r="Y36" s="2" t="s">
        <v>12</v>
      </c>
      <c r="Z36" s="2" t="s">
        <v>15</v>
      </c>
      <c r="AA36" s="2" t="s">
        <v>15</v>
      </c>
      <c r="AB36" s="2" t="s">
        <v>15</v>
      </c>
      <c r="AC36" s="2" t="s">
        <v>15</v>
      </c>
      <c r="AD36" s="2" t="s">
        <v>1608</v>
      </c>
      <c r="AE36" s="2" t="s">
        <v>15</v>
      </c>
      <c r="AF36" s="2">
        <v>0</v>
      </c>
      <c r="AG36" s="2" t="s">
        <v>234</v>
      </c>
      <c r="AH36" s="2" t="s">
        <v>17</v>
      </c>
      <c r="AI36" s="4">
        <v>0.16037999999999999</v>
      </c>
      <c r="AJ36" s="2" t="s">
        <v>17</v>
      </c>
      <c r="AK36" s="2" t="s">
        <v>9</v>
      </c>
      <c r="AL36" s="2" t="s">
        <v>17</v>
      </c>
      <c r="AM36" s="2" t="s">
        <v>17</v>
      </c>
      <c r="AN36" s="2" t="s">
        <v>17</v>
      </c>
      <c r="AO36" s="2" t="s">
        <v>9</v>
      </c>
      <c r="AP36" s="2" t="s">
        <v>17</v>
      </c>
      <c r="AQ36" s="2" t="s">
        <v>17</v>
      </c>
      <c r="AR36" s="2" t="s">
        <v>17</v>
      </c>
      <c r="AS36" s="2" t="s">
        <v>17</v>
      </c>
      <c r="AT36" s="2">
        <v>5</v>
      </c>
      <c r="AU36" s="5">
        <v>100000</v>
      </c>
      <c r="AV36" s="2" t="s">
        <v>85</v>
      </c>
      <c r="AW36" s="2">
        <v>0</v>
      </c>
      <c r="AX36" s="2">
        <v>11</v>
      </c>
      <c r="AY36" s="2">
        <v>0</v>
      </c>
      <c r="AZ36" s="2">
        <v>18</v>
      </c>
      <c r="BA36" s="2">
        <v>0</v>
      </c>
      <c r="BB36" s="2">
        <v>0</v>
      </c>
      <c r="BC36" s="2">
        <v>1</v>
      </c>
      <c r="BD36" s="2">
        <v>5</v>
      </c>
      <c r="BE36" s="2">
        <v>0</v>
      </c>
      <c r="BF36" s="2">
        <v>1</v>
      </c>
      <c r="BG36" s="2">
        <v>0</v>
      </c>
      <c r="BH36" s="2">
        <v>0</v>
      </c>
      <c r="BI36" s="2">
        <v>13</v>
      </c>
      <c r="BJ36" s="2">
        <v>1</v>
      </c>
      <c r="BK36" s="2">
        <v>0</v>
      </c>
      <c r="BL36" s="2">
        <v>2</v>
      </c>
      <c r="BM36" s="2">
        <v>1</v>
      </c>
      <c r="BN36" s="2">
        <v>10</v>
      </c>
      <c r="BO36" s="2">
        <v>11</v>
      </c>
      <c r="BP36" s="2">
        <v>0</v>
      </c>
      <c r="BQ36" s="2">
        <v>10</v>
      </c>
      <c r="BR36" s="2">
        <v>10.029999999999999</v>
      </c>
      <c r="BS36" s="2">
        <v>0</v>
      </c>
      <c r="BT36" s="4">
        <v>0.06</v>
      </c>
      <c r="BU36" s="2" t="s">
        <v>9</v>
      </c>
      <c r="BV36" s="6">
        <v>209481.16</v>
      </c>
      <c r="BW36" s="2" t="s">
        <v>126</v>
      </c>
      <c r="BX36" s="2" t="s">
        <v>17</v>
      </c>
      <c r="BY36" s="2" t="s">
        <v>17</v>
      </c>
      <c r="BZ36" s="2" t="s">
        <v>17</v>
      </c>
      <c r="CA36" s="2" t="s">
        <v>17</v>
      </c>
      <c r="CB36" s="2" t="s">
        <v>17</v>
      </c>
      <c r="CC36" s="2" t="s">
        <v>17</v>
      </c>
      <c r="CD36" s="2" t="s">
        <v>17</v>
      </c>
      <c r="CE36" s="2" t="s">
        <v>3935</v>
      </c>
      <c r="CF36" s="2" t="s">
        <v>17</v>
      </c>
      <c r="CG36" s="2" t="s">
        <v>3936</v>
      </c>
      <c r="CH36" s="2"/>
      <c r="CI36" s="2"/>
      <c r="CJ36" s="2" t="s">
        <v>9</v>
      </c>
      <c r="CK36" s="2" t="s">
        <v>3937</v>
      </c>
      <c r="CL36" s="2" t="s">
        <v>3936</v>
      </c>
      <c r="CM36" s="2" t="s">
        <v>3938</v>
      </c>
      <c r="CN36" s="2" t="s">
        <v>2705</v>
      </c>
      <c r="CO36" s="2" t="s">
        <v>24</v>
      </c>
      <c r="CP36" s="2"/>
      <c r="CQ36" s="2">
        <v>120</v>
      </c>
      <c r="CR36" s="2" t="s">
        <v>3893</v>
      </c>
      <c r="CS36" s="2">
        <v>2019</v>
      </c>
      <c r="CT36" s="2" t="s">
        <v>26</v>
      </c>
      <c r="CU36" s="2" t="s">
        <v>27</v>
      </c>
      <c r="CV36" s="2" t="s">
        <v>3939</v>
      </c>
      <c r="CW36" s="2" t="s">
        <v>2705</v>
      </c>
      <c r="CX36" s="2" t="s">
        <v>24</v>
      </c>
      <c r="CY36" s="2"/>
      <c r="CZ36" s="2">
        <v>180</v>
      </c>
      <c r="DA36" s="2" t="s">
        <v>3893</v>
      </c>
      <c r="DB36" s="2">
        <v>2022</v>
      </c>
      <c r="DC36" s="2" t="s">
        <v>30</v>
      </c>
      <c r="DD36" s="2" t="s">
        <v>27</v>
      </c>
      <c r="DE36" s="2" t="s">
        <v>3940</v>
      </c>
      <c r="DF36" s="2" t="s">
        <v>3148</v>
      </c>
      <c r="DG36" s="2" t="s">
        <v>24</v>
      </c>
      <c r="DH36" s="2"/>
      <c r="DI36" s="2">
        <v>128</v>
      </c>
      <c r="DJ36" s="2" t="s">
        <v>3893</v>
      </c>
      <c r="DK36" s="2">
        <v>2019</v>
      </c>
      <c r="DL36" s="2" t="s">
        <v>30</v>
      </c>
      <c r="DM36" s="2" t="s">
        <v>27</v>
      </c>
      <c r="DN36" s="2" t="s">
        <v>33</v>
      </c>
      <c r="DO36" s="2" t="s">
        <v>738</v>
      </c>
      <c r="DP36" s="2"/>
      <c r="DQ36" s="2" t="s">
        <v>3941</v>
      </c>
      <c r="DR36" s="2" t="s">
        <v>3942</v>
      </c>
      <c r="DS36" s="2">
        <v>1</v>
      </c>
      <c r="DT36" s="2" t="s">
        <v>3943</v>
      </c>
      <c r="DU36" s="2" t="s">
        <v>3944</v>
      </c>
      <c r="DV36" s="2" t="s">
        <v>39</v>
      </c>
      <c r="DW36" s="2">
        <v>33156</v>
      </c>
      <c r="DX36" s="2" t="s">
        <v>3945</v>
      </c>
      <c r="DY36" s="2"/>
      <c r="DZ36" s="2" t="s">
        <v>3946</v>
      </c>
      <c r="EA36" s="2" t="s">
        <v>3942</v>
      </c>
      <c r="EB36" s="2" t="s">
        <v>3938</v>
      </c>
      <c r="EC36" s="2" t="s">
        <v>2705</v>
      </c>
      <c r="ED36" s="2" t="s">
        <v>44</v>
      </c>
      <c r="EE36" s="2">
        <v>120</v>
      </c>
      <c r="EF36" s="2" t="s">
        <v>3894</v>
      </c>
      <c r="EG36" s="2">
        <v>4</v>
      </c>
      <c r="EH36" s="2" t="s">
        <v>46</v>
      </c>
      <c r="EI36" s="2" t="s">
        <v>47</v>
      </c>
      <c r="EJ36" s="2" t="s">
        <v>3940</v>
      </c>
      <c r="EK36" s="2" t="s">
        <v>3148</v>
      </c>
      <c r="EL36" s="2" t="s">
        <v>44</v>
      </c>
      <c r="EM36" s="2">
        <v>128</v>
      </c>
      <c r="EN36" s="2" t="s">
        <v>3894</v>
      </c>
      <c r="EO36" s="2">
        <v>4</v>
      </c>
      <c r="EP36" s="2" t="s">
        <v>46</v>
      </c>
      <c r="EQ36" s="2" t="s">
        <v>47</v>
      </c>
      <c r="ER36" s="2" t="s">
        <v>3947</v>
      </c>
      <c r="ES36" s="2"/>
      <c r="ET36" s="2" t="s">
        <v>3948</v>
      </c>
      <c r="EU36" s="2" t="s">
        <v>3949</v>
      </c>
      <c r="EV36" s="2" t="s">
        <v>3950</v>
      </c>
      <c r="EW36" s="2" t="s">
        <v>299</v>
      </c>
      <c r="EX36" s="2" t="s">
        <v>39</v>
      </c>
      <c r="EY36" s="2">
        <v>33136</v>
      </c>
      <c r="EZ36" s="2" t="s">
        <v>3951</v>
      </c>
      <c r="FA36" s="2"/>
      <c r="FB36" s="2" t="s">
        <v>3952</v>
      </c>
      <c r="FC36" s="2" t="s">
        <v>3953</v>
      </c>
      <c r="FD36" s="2"/>
      <c r="FE36" s="2" t="s">
        <v>3954</v>
      </c>
      <c r="FF36" s="2" t="s">
        <v>3955</v>
      </c>
      <c r="FG36" s="2" t="s">
        <v>3950</v>
      </c>
      <c r="FH36" s="2" t="s">
        <v>299</v>
      </c>
      <c r="FI36" s="2" t="s">
        <v>39</v>
      </c>
      <c r="FJ36" s="2">
        <v>33136</v>
      </c>
      <c r="FK36" s="2" t="s">
        <v>3956</v>
      </c>
      <c r="FL36" s="2"/>
      <c r="FM36" s="2" t="s">
        <v>3957</v>
      </c>
      <c r="FN36" s="2" t="s">
        <v>3958</v>
      </c>
      <c r="FO36" s="2" t="s">
        <v>63</v>
      </c>
      <c r="FP36" s="2" t="s">
        <v>64</v>
      </c>
      <c r="FQ36" s="2" t="s">
        <v>9</v>
      </c>
      <c r="FR36" s="2" t="s">
        <v>17</v>
      </c>
      <c r="FS36" s="2" t="s">
        <v>17</v>
      </c>
      <c r="FT36" s="2" t="s">
        <v>9</v>
      </c>
      <c r="FU36" s="2"/>
      <c r="FV36" s="2"/>
      <c r="FW36" s="2">
        <v>0</v>
      </c>
      <c r="FX36" s="2">
        <v>0</v>
      </c>
      <c r="FY36" s="4">
        <v>0</v>
      </c>
      <c r="FZ36" s="4">
        <v>0</v>
      </c>
      <c r="GA36" s="2" t="s">
        <v>65</v>
      </c>
      <c r="GB36" s="2"/>
      <c r="GC36" s="2" t="s">
        <v>66</v>
      </c>
      <c r="GD36" s="2" t="s">
        <v>67</v>
      </c>
      <c r="GE36" s="2" t="s">
        <v>2684</v>
      </c>
      <c r="GF36" s="2"/>
      <c r="GG36" s="2"/>
      <c r="GH36" s="2"/>
      <c r="GI36" s="2"/>
      <c r="GJ36" s="2"/>
      <c r="GK36" s="2">
        <v>106</v>
      </c>
      <c r="GL36" s="2"/>
      <c r="GM36" s="2"/>
      <c r="GN36" s="2"/>
      <c r="GO36" s="2"/>
      <c r="GP36" s="2"/>
      <c r="GQ36" s="2">
        <v>106</v>
      </c>
      <c r="GR36" s="2" t="s">
        <v>3332</v>
      </c>
      <c r="GS36" s="2" t="s">
        <v>2686</v>
      </c>
      <c r="GT36" s="2" t="s">
        <v>3959</v>
      </c>
      <c r="GU36" s="2" t="s">
        <v>2720</v>
      </c>
      <c r="GV36" s="2" t="s">
        <v>17</v>
      </c>
      <c r="GW36" s="2">
        <v>25.597443999999999</v>
      </c>
      <c r="GX36" s="2">
        <v>-80.357722999999993</v>
      </c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>
        <v>25.599276</v>
      </c>
      <c r="HO36" s="2">
        <v>-80.355112000000005</v>
      </c>
      <c r="HP36" s="2">
        <v>0.21</v>
      </c>
      <c r="HQ36" s="2">
        <v>6</v>
      </c>
      <c r="HR36" s="2"/>
      <c r="HS36" s="2"/>
      <c r="HT36" s="2"/>
      <c r="HU36" s="2"/>
      <c r="HV36" s="2" t="s">
        <v>3080</v>
      </c>
      <c r="HW36" s="2" t="s">
        <v>3960</v>
      </c>
      <c r="HX36" s="2">
        <v>0.41</v>
      </c>
      <c r="HY36" s="2">
        <v>3.5</v>
      </c>
      <c r="HZ36" s="2"/>
      <c r="IA36" s="2"/>
      <c r="IB36" s="2"/>
      <c r="IC36" s="2"/>
      <c r="ID36" s="2" t="s">
        <v>224</v>
      </c>
      <c r="IE36" s="2">
        <v>0.15</v>
      </c>
      <c r="IF36" s="2">
        <v>4</v>
      </c>
      <c r="IG36" s="2" t="s">
        <v>3961</v>
      </c>
      <c r="IH36" s="2">
        <v>0.37</v>
      </c>
      <c r="II36" s="2">
        <v>4</v>
      </c>
      <c r="IJ36" s="2" t="s">
        <v>9</v>
      </c>
      <c r="IK36" s="2" t="s">
        <v>3962</v>
      </c>
      <c r="IL36" s="2" t="s">
        <v>3341</v>
      </c>
      <c r="IM36" s="2" t="s">
        <v>17</v>
      </c>
      <c r="IN36" s="2"/>
      <c r="IO36" s="2" t="s">
        <v>79</v>
      </c>
      <c r="IP36" s="2">
        <v>6</v>
      </c>
      <c r="IQ36" s="2">
        <v>11.5</v>
      </c>
      <c r="IR36" s="2">
        <v>17.5</v>
      </c>
      <c r="IS36" s="2" t="s">
        <v>17</v>
      </c>
      <c r="IT36" s="2" t="s">
        <v>17</v>
      </c>
      <c r="IU36" s="2" t="s">
        <v>9</v>
      </c>
      <c r="IV36" s="2" t="s">
        <v>9</v>
      </c>
      <c r="IW36" s="2" t="s">
        <v>9</v>
      </c>
      <c r="IX36" s="2" t="s">
        <v>9</v>
      </c>
      <c r="IY36" s="2">
        <v>17.5</v>
      </c>
      <c r="IZ36" s="2">
        <v>106</v>
      </c>
      <c r="JA36" s="2" t="s">
        <v>3085</v>
      </c>
      <c r="JB36" s="2"/>
      <c r="JC36" s="2" t="s">
        <v>82</v>
      </c>
      <c r="JD36" s="2"/>
      <c r="JE36" s="2"/>
      <c r="JF36" s="7">
        <v>0</v>
      </c>
      <c r="JG36" s="7"/>
      <c r="JH36" s="7"/>
      <c r="JI36" s="2">
        <v>0</v>
      </c>
      <c r="JJ36" s="7">
        <v>0</v>
      </c>
      <c r="JK36" s="2">
        <v>0</v>
      </c>
      <c r="JL36" s="7">
        <v>0</v>
      </c>
      <c r="JM36" s="2">
        <v>17</v>
      </c>
      <c r="JN36" s="2"/>
      <c r="JO36" s="2"/>
      <c r="JP36" s="2">
        <v>38</v>
      </c>
      <c r="JQ36" s="2">
        <v>51</v>
      </c>
      <c r="JR36" s="2"/>
      <c r="JS36" s="2">
        <v>0</v>
      </c>
      <c r="JT36" s="2">
        <v>0</v>
      </c>
      <c r="JU36" s="2"/>
      <c r="JV36" s="2">
        <v>106</v>
      </c>
      <c r="JW36" s="4">
        <v>1</v>
      </c>
      <c r="JX36" s="2">
        <v>106</v>
      </c>
      <c r="JY36" s="4">
        <v>0.6</v>
      </c>
      <c r="JZ36" s="2">
        <v>0</v>
      </c>
      <c r="KA36" s="2"/>
      <c r="KB36" s="2"/>
      <c r="KC36" s="2"/>
      <c r="KD36" s="2"/>
      <c r="KE36" s="2"/>
      <c r="KF36" s="2"/>
      <c r="KG36" s="2">
        <v>62</v>
      </c>
      <c r="KH36" s="2">
        <v>44</v>
      </c>
      <c r="KI36" s="2"/>
      <c r="KJ36" s="2"/>
      <c r="KK36" s="2"/>
      <c r="KL36" s="2"/>
      <c r="KM36" s="2"/>
      <c r="KN36" s="2"/>
      <c r="KO36" s="2"/>
      <c r="KP36" s="2"/>
      <c r="KQ36" s="2" t="s">
        <v>83</v>
      </c>
      <c r="KR36" s="2"/>
      <c r="KS36" s="2" t="s">
        <v>73</v>
      </c>
      <c r="KT36" s="2">
        <v>1</v>
      </c>
      <c r="KU36" s="2" t="s">
        <v>84</v>
      </c>
      <c r="KV36" s="2" t="s">
        <v>85</v>
      </c>
      <c r="KW36" s="2" t="s">
        <v>86</v>
      </c>
      <c r="KX36" s="2" t="s">
        <v>17</v>
      </c>
      <c r="KY36" s="2" t="s">
        <v>17</v>
      </c>
      <c r="KZ36" s="2" t="s">
        <v>17</v>
      </c>
      <c r="LA36" s="2" t="s">
        <v>17</v>
      </c>
      <c r="LB36" s="2" t="s">
        <v>17</v>
      </c>
      <c r="LC36" s="2" t="s">
        <v>17</v>
      </c>
      <c r="LD36" s="2" t="s">
        <v>17</v>
      </c>
      <c r="LE36" s="2" t="s">
        <v>17</v>
      </c>
      <c r="LF36" s="2" t="s">
        <v>17</v>
      </c>
      <c r="LG36" s="2" t="s">
        <v>17</v>
      </c>
      <c r="LH36" s="2" t="s">
        <v>17</v>
      </c>
      <c r="LI36" s="2" t="s">
        <v>17</v>
      </c>
      <c r="LJ36" s="2" t="s">
        <v>87</v>
      </c>
      <c r="LK36" s="2" t="s">
        <v>17</v>
      </c>
      <c r="LL36" s="2" t="s">
        <v>17</v>
      </c>
      <c r="LM36" s="2">
        <v>0</v>
      </c>
      <c r="LN36" s="2" t="s">
        <v>17</v>
      </c>
      <c r="LO36" s="2" t="s">
        <v>17</v>
      </c>
      <c r="LP36" s="2" t="s">
        <v>17</v>
      </c>
      <c r="LQ36" s="2" t="s">
        <v>17</v>
      </c>
      <c r="LR36" s="2" t="s">
        <v>17</v>
      </c>
      <c r="LS36" s="2" t="s">
        <v>17</v>
      </c>
      <c r="LT36" s="2" t="s">
        <v>17</v>
      </c>
      <c r="LU36" s="2" t="s">
        <v>9</v>
      </c>
      <c r="LV36" s="2" t="s">
        <v>9</v>
      </c>
      <c r="LW36" s="2" t="s">
        <v>9</v>
      </c>
      <c r="LX36" s="2" t="s">
        <v>17</v>
      </c>
      <c r="LY36" s="5">
        <v>6500000</v>
      </c>
      <c r="LZ36" s="5">
        <v>0</v>
      </c>
      <c r="MA36" s="5">
        <v>8400000</v>
      </c>
      <c r="MB36" s="5">
        <v>0</v>
      </c>
      <c r="MC36" s="5">
        <v>0</v>
      </c>
      <c r="MD36" s="5">
        <v>0</v>
      </c>
      <c r="ME36" s="5">
        <v>10000000</v>
      </c>
      <c r="MF36" s="5">
        <v>0</v>
      </c>
      <c r="MG36" s="5">
        <v>0</v>
      </c>
      <c r="MH36" s="5">
        <v>0</v>
      </c>
      <c r="MI36" s="5">
        <v>0</v>
      </c>
      <c r="MJ36" s="5">
        <v>0</v>
      </c>
      <c r="MK36" s="5">
        <v>0</v>
      </c>
      <c r="ML36" s="2">
        <v>0</v>
      </c>
      <c r="MM36" s="5">
        <v>0</v>
      </c>
      <c r="MN36" s="5">
        <v>0</v>
      </c>
      <c r="MO36" s="2">
        <v>0</v>
      </c>
      <c r="MP36" s="2">
        <v>0</v>
      </c>
      <c r="MQ36" s="2">
        <v>0</v>
      </c>
      <c r="MR36" s="5">
        <v>2950000</v>
      </c>
      <c r="MS36" s="5">
        <v>0</v>
      </c>
      <c r="MT36" s="5">
        <v>4600000</v>
      </c>
      <c r="MU36" s="5">
        <v>0</v>
      </c>
      <c r="MV36" s="5">
        <v>0</v>
      </c>
      <c r="MW36" s="5">
        <v>0</v>
      </c>
      <c r="MX36" s="5">
        <v>0</v>
      </c>
      <c r="MY36" s="5">
        <v>2500000</v>
      </c>
      <c r="MZ36" s="5">
        <v>0</v>
      </c>
      <c r="NA36" s="5">
        <v>5000000</v>
      </c>
      <c r="NB36" s="5">
        <v>0</v>
      </c>
      <c r="NC36" s="5">
        <v>0</v>
      </c>
      <c r="ND36" s="5">
        <v>0</v>
      </c>
      <c r="NE36" s="5">
        <v>0</v>
      </c>
      <c r="NF36" s="5">
        <v>0</v>
      </c>
      <c r="NG36" s="5">
        <v>3458400</v>
      </c>
      <c r="NH36" s="5">
        <v>3458400</v>
      </c>
      <c r="NI36" s="5">
        <v>3458400</v>
      </c>
      <c r="NJ36" s="5"/>
      <c r="NK36" s="5">
        <v>0</v>
      </c>
      <c r="NL36" s="2" t="s">
        <v>9</v>
      </c>
      <c r="NM36" s="2" t="s">
        <v>17</v>
      </c>
      <c r="NN36" s="2"/>
      <c r="NO36" s="2" t="s">
        <v>17</v>
      </c>
      <c r="NP36" s="2"/>
      <c r="NQ36" s="2"/>
      <c r="NR36" s="2" t="s">
        <v>17</v>
      </c>
      <c r="NS36" s="2"/>
      <c r="NT36" s="2" t="s">
        <v>9</v>
      </c>
      <c r="NU36" s="2" t="s">
        <v>450</v>
      </c>
      <c r="NV36" s="2">
        <v>102.07</v>
      </c>
      <c r="NW36" s="2" t="s">
        <v>3342</v>
      </c>
      <c r="NX36" s="2" t="s">
        <v>17</v>
      </c>
      <c r="NY36" s="2"/>
      <c r="NZ36" s="2"/>
      <c r="OA36" s="2" t="s">
        <v>118</v>
      </c>
      <c r="OB36" s="2" t="s">
        <v>118</v>
      </c>
      <c r="OC36" s="2" t="s">
        <v>118</v>
      </c>
      <c r="OD36" s="2" t="s">
        <v>3343</v>
      </c>
      <c r="OE36" s="2" t="s">
        <v>3963</v>
      </c>
      <c r="OF36" s="2"/>
      <c r="OG36" s="2" t="s">
        <v>17</v>
      </c>
      <c r="OH36" s="2" t="s">
        <v>119</v>
      </c>
      <c r="OI36" s="2" t="s">
        <v>17</v>
      </c>
      <c r="OJ36" s="2"/>
      <c r="OK36" s="2" t="s">
        <v>17</v>
      </c>
      <c r="OL36" s="2" t="s">
        <v>17</v>
      </c>
      <c r="OM36" s="2" t="s">
        <v>85</v>
      </c>
      <c r="ON36" s="6">
        <v>0</v>
      </c>
      <c r="OO36" s="6">
        <v>0</v>
      </c>
      <c r="OP36" s="2" t="s">
        <v>93</v>
      </c>
      <c r="OQ36" s="2" t="s">
        <v>93</v>
      </c>
      <c r="OR36" s="6">
        <v>0</v>
      </c>
      <c r="OS36" s="4">
        <v>0</v>
      </c>
      <c r="OT36" s="2" t="s">
        <v>17</v>
      </c>
      <c r="OU36" s="2" t="s">
        <v>17</v>
      </c>
      <c r="OV36" s="2"/>
      <c r="OW36" s="2"/>
      <c r="OX36" s="5">
        <v>22205003</v>
      </c>
      <c r="OY36" s="6">
        <v>209481.16</v>
      </c>
      <c r="OZ36" s="2">
        <v>0</v>
      </c>
      <c r="PA36" s="2"/>
      <c r="PB36" s="8">
        <v>328506</v>
      </c>
      <c r="PC36" s="8">
        <v>328506</v>
      </c>
      <c r="PD36" s="8">
        <v>18901132</v>
      </c>
      <c r="PE36" s="8">
        <v>435701</v>
      </c>
      <c r="PF36" s="8">
        <v>19336833</v>
      </c>
      <c r="PG36" s="8">
        <v>1599733</v>
      </c>
      <c r="PH36" s="8">
        <v>177748</v>
      </c>
      <c r="PI36" s="8">
        <v>1777481</v>
      </c>
      <c r="PJ36" s="2"/>
      <c r="PK36" s="2"/>
      <c r="PL36" s="2"/>
      <c r="PM36" s="8">
        <v>20500865</v>
      </c>
      <c r="PN36" s="8">
        <v>941955</v>
      </c>
      <c r="PO36" s="8">
        <v>21442820</v>
      </c>
      <c r="PP36" s="8">
        <v>2725024</v>
      </c>
      <c r="PQ36" s="2"/>
      <c r="PR36" s="8">
        <v>2725024</v>
      </c>
      <c r="PS36" s="6">
        <v>3001994</v>
      </c>
      <c r="PT36" s="8">
        <v>23225889</v>
      </c>
      <c r="PU36" s="8">
        <v>941955</v>
      </c>
      <c r="PV36" s="8">
        <v>24167844</v>
      </c>
      <c r="PW36" s="8">
        <v>1138600</v>
      </c>
      <c r="PX36" s="2">
        <v>0</v>
      </c>
      <c r="PY36" s="8">
        <v>1138600</v>
      </c>
      <c r="PZ36" s="6">
        <v>1208392.2</v>
      </c>
      <c r="QA36" s="8">
        <v>2110216</v>
      </c>
      <c r="QB36" s="8">
        <v>599904</v>
      </c>
      <c r="QC36" s="8">
        <v>2710120</v>
      </c>
      <c r="QD36" s="8">
        <v>223804</v>
      </c>
      <c r="QE36" s="8">
        <v>123804</v>
      </c>
      <c r="QF36" s="8">
        <v>347608</v>
      </c>
      <c r="QG36" s="8">
        <v>287578</v>
      </c>
      <c r="QH36" s="8">
        <v>85628</v>
      </c>
      <c r="QI36" s="8">
        <v>373206</v>
      </c>
      <c r="QJ36" s="2">
        <v>0</v>
      </c>
      <c r="QK36" s="8">
        <v>552409</v>
      </c>
      <c r="QL36" s="8">
        <v>552409</v>
      </c>
      <c r="QM36" s="2">
        <v>0</v>
      </c>
      <c r="QN36" s="2">
        <v>0</v>
      </c>
      <c r="QO36" s="2"/>
      <c r="QP36" s="2"/>
      <c r="QQ36" s="2"/>
      <c r="QR36" s="2"/>
      <c r="QS36" s="8">
        <v>2621598</v>
      </c>
      <c r="QT36" s="8">
        <v>1361745</v>
      </c>
      <c r="QU36" s="8">
        <v>3983343</v>
      </c>
      <c r="QV36" s="8">
        <v>131079</v>
      </c>
      <c r="QW36" s="8">
        <v>68088</v>
      </c>
      <c r="QX36" s="8">
        <v>199167</v>
      </c>
      <c r="QY36" s="6">
        <v>199167.15</v>
      </c>
      <c r="QZ36" s="8">
        <v>2284373</v>
      </c>
      <c r="RA36" s="8">
        <v>1379791</v>
      </c>
      <c r="RB36" s="8">
        <v>3664164</v>
      </c>
      <c r="RC36" s="8">
        <v>93240</v>
      </c>
      <c r="RD36" s="8">
        <v>93240</v>
      </c>
      <c r="RE36" s="2"/>
      <c r="RF36" s="2"/>
      <c r="RG36" s="2"/>
      <c r="RH36" s="8">
        <v>2284373</v>
      </c>
      <c r="RI36" s="8">
        <v>1473031</v>
      </c>
      <c r="RJ36" s="8">
        <v>3757404</v>
      </c>
      <c r="RK36" s="8">
        <v>29401539</v>
      </c>
      <c r="RL36" s="8">
        <v>3844819</v>
      </c>
      <c r="RM36" s="8">
        <v>33246358</v>
      </c>
      <c r="RN36" s="2">
        <v>0</v>
      </c>
      <c r="RO36" s="6">
        <v>0</v>
      </c>
      <c r="RP36" s="8">
        <v>5272633</v>
      </c>
      <c r="RQ36" s="2">
        <v>0</v>
      </c>
      <c r="RR36" s="8">
        <v>5272633</v>
      </c>
      <c r="RS36" s="6">
        <v>5319417</v>
      </c>
      <c r="RT36" s="6">
        <v>0</v>
      </c>
      <c r="RU36" s="8">
        <v>5272633</v>
      </c>
      <c r="RV36" s="2"/>
      <c r="RW36" s="8">
        <v>5272633</v>
      </c>
      <c r="RX36" s="6">
        <v>5319417</v>
      </c>
      <c r="RY36" s="2"/>
      <c r="RZ36" s="2"/>
      <c r="SA36" s="6">
        <v>371000</v>
      </c>
      <c r="SB36" s="8">
        <v>530000</v>
      </c>
      <c r="SC36" s="8">
        <v>530000</v>
      </c>
      <c r="SD36" s="8">
        <v>34674172</v>
      </c>
      <c r="SE36" s="8">
        <v>4374819</v>
      </c>
      <c r="SF36" s="8">
        <v>39048991</v>
      </c>
      <c r="SG36" s="2" t="s">
        <v>3964</v>
      </c>
      <c r="SH36" s="2"/>
      <c r="SI36" s="2"/>
      <c r="SJ36" s="2"/>
      <c r="SK36" s="8">
        <v>26000000</v>
      </c>
      <c r="SL36" s="2" t="s">
        <v>95</v>
      </c>
      <c r="SM36" s="2"/>
      <c r="SN36" s="2"/>
      <c r="SO36" s="2"/>
      <c r="SP36" s="2"/>
      <c r="SQ36" s="2"/>
      <c r="SR36" s="2"/>
      <c r="SS36" s="2" t="s">
        <v>96</v>
      </c>
      <c r="ST36" s="2" t="s">
        <v>96</v>
      </c>
      <c r="SU36" s="2" t="s">
        <v>96</v>
      </c>
      <c r="SV36" s="2" t="s">
        <v>96</v>
      </c>
      <c r="SW36" s="8">
        <v>10892870</v>
      </c>
      <c r="SX36" s="2"/>
      <c r="SY36" s="2"/>
      <c r="SZ36" s="2"/>
      <c r="TA36" s="2"/>
      <c r="TB36" s="2"/>
      <c r="TC36" s="2"/>
      <c r="TD36" s="8">
        <v>2156121</v>
      </c>
      <c r="TE36" s="8">
        <v>39048991</v>
      </c>
      <c r="TF36" s="2">
        <v>0</v>
      </c>
      <c r="TG36" s="2" t="s">
        <v>9</v>
      </c>
      <c r="TH36" s="8">
        <v>5180000</v>
      </c>
      <c r="TI36" s="2" t="s">
        <v>95</v>
      </c>
      <c r="TJ36" s="2"/>
      <c r="TK36" s="2"/>
      <c r="TL36" s="2"/>
      <c r="TM36" s="2"/>
      <c r="TN36" s="2" t="s">
        <v>96</v>
      </c>
      <c r="TO36" s="2" t="s">
        <v>96</v>
      </c>
      <c r="TP36" s="2" t="s">
        <v>96</v>
      </c>
      <c r="TQ36" s="2" t="s">
        <v>96</v>
      </c>
      <c r="TR36" s="8">
        <v>31122487</v>
      </c>
      <c r="TS36" s="2"/>
      <c r="TT36" s="2"/>
      <c r="TU36" s="2"/>
      <c r="TV36" s="2"/>
      <c r="TW36" s="2"/>
      <c r="TX36" s="2"/>
      <c r="TY36" s="8">
        <v>2746504</v>
      </c>
      <c r="TZ36" s="8">
        <v>39048991</v>
      </c>
      <c r="UA36" s="6">
        <v>5180000</v>
      </c>
      <c r="UB36" s="2">
        <v>0</v>
      </c>
      <c r="UC36" s="2" t="s">
        <v>9</v>
      </c>
      <c r="UD36" s="2">
        <v>106</v>
      </c>
      <c r="UE36" s="5">
        <v>310000</v>
      </c>
      <c r="UF36" s="6">
        <v>413333.33</v>
      </c>
      <c r="UG36" s="6">
        <v>413333.33</v>
      </c>
      <c r="UH36" s="6">
        <v>438133.33</v>
      </c>
      <c r="UI36" s="6">
        <v>46442133.329999998</v>
      </c>
      <c r="UJ36" s="6">
        <v>7430741</v>
      </c>
      <c r="UK36" s="2" t="s">
        <v>97</v>
      </c>
      <c r="UL36" s="6">
        <v>7430741</v>
      </c>
      <c r="UM36" s="6">
        <v>53872874.329999998</v>
      </c>
      <c r="UN36" s="6">
        <v>38190485</v>
      </c>
      <c r="UO36" s="4">
        <v>0.99990000000000001</v>
      </c>
      <c r="UP36" s="2" t="s">
        <v>9</v>
      </c>
      <c r="UQ36" s="6">
        <v>0</v>
      </c>
      <c r="UR36" s="6">
        <v>0</v>
      </c>
      <c r="US36" s="6">
        <v>343161.49</v>
      </c>
      <c r="UT36" s="6">
        <v>343161.49</v>
      </c>
      <c r="UU36" s="6">
        <v>0</v>
      </c>
      <c r="UV36" s="6">
        <v>343161.49</v>
      </c>
      <c r="UW36" s="6">
        <v>0</v>
      </c>
      <c r="UX36" s="6">
        <v>343161.49</v>
      </c>
      <c r="UY36" s="2" t="s">
        <v>3633</v>
      </c>
      <c r="UZ36" s="2" t="s">
        <v>3288</v>
      </c>
      <c r="VA36" s="2" t="s">
        <v>17</v>
      </c>
      <c r="VB36" s="2" t="s">
        <v>17</v>
      </c>
      <c r="VC36" s="2" t="s">
        <v>17</v>
      </c>
      <c r="VD36" s="2" t="s">
        <v>17</v>
      </c>
      <c r="VE36" s="2" t="s">
        <v>17</v>
      </c>
      <c r="VF36" s="2" t="s">
        <v>17</v>
      </c>
      <c r="VG36" s="2" t="s">
        <v>3965</v>
      </c>
      <c r="VH36" s="2" t="s">
        <v>3966</v>
      </c>
      <c r="VI36" s="388" t="s">
        <v>3967</v>
      </c>
      <c r="VJ36" s="2" t="s">
        <v>98</v>
      </c>
      <c r="VK36" s="2" t="s">
        <v>3968</v>
      </c>
      <c r="VL36" s="23">
        <f t="shared" si="21"/>
        <v>106</v>
      </c>
      <c r="VM36" s="17">
        <f t="shared" si="22"/>
        <v>1</v>
      </c>
      <c r="VN36" s="17" t="str">
        <f t="shared" si="2"/>
        <v>NC-HR-E</v>
      </c>
      <c r="VO36" s="17" t="str">
        <f t="shared" si="14"/>
        <v>NC-HR-E-ESS</v>
      </c>
      <c r="VP36" s="12">
        <v>9</v>
      </c>
      <c r="VQ36" s="57">
        <v>1</v>
      </c>
      <c r="VR36" s="57">
        <f t="shared" si="3"/>
        <v>1</v>
      </c>
      <c r="VS36" s="14">
        <f t="shared" si="4"/>
        <v>1</v>
      </c>
      <c r="VT36" s="12">
        <f t="shared" si="5"/>
        <v>0.88349999999999995</v>
      </c>
      <c r="VU36" s="29">
        <f t="shared" si="6"/>
        <v>27499467.599999998</v>
      </c>
      <c r="VV36" s="29">
        <f t="shared" si="23"/>
        <v>259428.94</v>
      </c>
      <c r="VW36" s="12" t="str">
        <f t="shared" si="15"/>
        <v>A</v>
      </c>
      <c r="VX36" s="12" t="str">
        <f t="shared" si="24"/>
        <v>NC-HR-ESS</v>
      </c>
      <c r="VY36" s="352">
        <f t="shared" si="16"/>
        <v>5</v>
      </c>
      <c r="WA36" s="12">
        <f t="shared" si="17"/>
        <v>1</v>
      </c>
      <c r="WB36" s="12">
        <f t="shared" si="18"/>
        <v>0</v>
      </c>
      <c r="WC36" s="12">
        <f t="shared" si="18"/>
        <v>0</v>
      </c>
      <c r="WD36" s="12">
        <f t="shared" si="18"/>
        <v>0</v>
      </c>
      <c r="WE36" s="12">
        <f t="shared" si="19"/>
        <v>1</v>
      </c>
      <c r="WF36" s="12">
        <f t="shared" si="25"/>
        <v>0</v>
      </c>
      <c r="WG36" s="12">
        <f t="shared" si="26"/>
        <v>0</v>
      </c>
      <c r="WH36" s="12">
        <f t="shared" si="27"/>
        <v>1</v>
      </c>
      <c r="WI36" s="31">
        <f t="shared" si="28"/>
        <v>3</v>
      </c>
      <c r="WJ36" s="2"/>
      <c r="WK36" s="444" t="str">
        <f t="shared" si="20"/>
        <v>NC-HR-ESS-BBN-BRN-NPH-E</v>
      </c>
      <c r="WL36" s="444"/>
      <c r="WM36" s="444"/>
    </row>
    <row r="37" spans="1:611" x14ac:dyDescent="0.25">
      <c r="A37" s="2">
        <v>9584</v>
      </c>
      <c r="B37" s="2" t="s">
        <v>3969</v>
      </c>
      <c r="C37" s="2" t="s">
        <v>3305</v>
      </c>
      <c r="D37" s="3">
        <v>45159</v>
      </c>
      <c r="E37" s="2" t="s">
        <v>9</v>
      </c>
      <c r="F37" s="2">
        <v>3</v>
      </c>
      <c r="G37" s="2" t="s">
        <v>9</v>
      </c>
      <c r="H37" s="2">
        <v>3</v>
      </c>
      <c r="I37" s="2" t="s">
        <v>9</v>
      </c>
      <c r="J37" s="2">
        <v>3</v>
      </c>
      <c r="K37" s="2" t="s">
        <v>9</v>
      </c>
      <c r="L37" s="2">
        <v>3</v>
      </c>
      <c r="M37" s="2" t="s">
        <v>10</v>
      </c>
      <c r="N37" s="2">
        <v>0</v>
      </c>
      <c r="O37" s="2" t="s">
        <v>10</v>
      </c>
      <c r="P37" s="2">
        <v>0</v>
      </c>
      <c r="Q37" s="2" t="s">
        <v>11</v>
      </c>
      <c r="R37" s="2">
        <v>0</v>
      </c>
      <c r="S37" s="2" t="s">
        <v>9</v>
      </c>
      <c r="T37" s="2">
        <v>2</v>
      </c>
      <c r="U37" s="2" t="s">
        <v>9</v>
      </c>
      <c r="V37" s="2">
        <v>2</v>
      </c>
      <c r="W37" s="2" t="s">
        <v>9</v>
      </c>
      <c r="X37" s="2">
        <v>2</v>
      </c>
      <c r="Y37" s="2" t="s">
        <v>12</v>
      </c>
      <c r="Z37" s="2" t="s">
        <v>15</v>
      </c>
      <c r="AA37" s="2" t="s">
        <v>15</v>
      </c>
      <c r="AB37" s="2" t="s">
        <v>15</v>
      </c>
      <c r="AC37" s="2" t="s">
        <v>15</v>
      </c>
      <c r="AD37" s="2" t="s">
        <v>1667</v>
      </c>
      <c r="AE37" s="2" t="s">
        <v>15</v>
      </c>
      <c r="AF37" s="2">
        <v>0</v>
      </c>
      <c r="AG37" s="2" t="s">
        <v>234</v>
      </c>
      <c r="AH37" s="2" t="s">
        <v>17</v>
      </c>
      <c r="AI37" s="4">
        <v>0.1</v>
      </c>
      <c r="AJ37" s="2" t="s">
        <v>17</v>
      </c>
      <c r="AK37" s="2" t="s">
        <v>9</v>
      </c>
      <c r="AL37" s="2" t="s">
        <v>17</v>
      </c>
      <c r="AM37" s="2" t="s">
        <v>17</v>
      </c>
      <c r="AN37" s="2" t="s">
        <v>17</v>
      </c>
      <c r="AO37" s="2" t="s">
        <v>9</v>
      </c>
      <c r="AP37" s="2" t="s">
        <v>17</v>
      </c>
      <c r="AQ37" s="2" t="s">
        <v>17</v>
      </c>
      <c r="AR37" s="2" t="s">
        <v>17</v>
      </c>
      <c r="AS37" s="2" t="s">
        <v>17</v>
      </c>
      <c r="AT37" s="2">
        <v>5</v>
      </c>
      <c r="AU37" s="5">
        <v>100000</v>
      </c>
      <c r="AV37" s="2" t="s">
        <v>85</v>
      </c>
      <c r="AW37" s="2">
        <v>0</v>
      </c>
      <c r="AX37" s="2">
        <v>8</v>
      </c>
      <c r="AY37" s="2">
        <v>0</v>
      </c>
      <c r="AZ37" s="2">
        <v>18</v>
      </c>
      <c r="BA37" s="2">
        <v>0</v>
      </c>
      <c r="BB37" s="2">
        <v>0</v>
      </c>
      <c r="BC37" s="2">
        <v>1</v>
      </c>
      <c r="BD37" s="2">
        <v>5</v>
      </c>
      <c r="BE37" s="2">
        <v>0</v>
      </c>
      <c r="BF37" s="2">
        <v>1</v>
      </c>
      <c r="BG37" s="2">
        <v>0</v>
      </c>
      <c r="BH37" s="2">
        <v>0</v>
      </c>
      <c r="BI37" s="2">
        <v>13</v>
      </c>
      <c r="BJ37" s="2">
        <v>1</v>
      </c>
      <c r="BK37" s="2">
        <v>0</v>
      </c>
      <c r="BL37" s="2">
        <v>2</v>
      </c>
      <c r="BM37" s="2">
        <v>1</v>
      </c>
      <c r="BN37" s="2">
        <v>10</v>
      </c>
      <c r="BO37" s="2">
        <v>11</v>
      </c>
      <c r="BP37" s="2">
        <v>0</v>
      </c>
      <c r="BQ37" s="2">
        <v>10</v>
      </c>
      <c r="BR37" s="2">
        <v>10.01</v>
      </c>
      <c r="BS37" s="2">
        <v>0</v>
      </c>
      <c r="BT37" s="4">
        <v>0.06</v>
      </c>
      <c r="BU37" s="2" t="s">
        <v>9</v>
      </c>
      <c r="BV37" s="6">
        <v>209904.23</v>
      </c>
      <c r="BW37" s="2" t="s">
        <v>126</v>
      </c>
      <c r="BX37" s="2" t="s">
        <v>17</v>
      </c>
      <c r="BY37" s="2" t="s">
        <v>17</v>
      </c>
      <c r="BZ37" s="2" t="s">
        <v>17</v>
      </c>
      <c r="CA37" s="2" t="s">
        <v>17</v>
      </c>
      <c r="CB37" s="2" t="s">
        <v>17</v>
      </c>
      <c r="CC37" s="2" t="s">
        <v>17</v>
      </c>
      <c r="CD37" s="2" t="s">
        <v>17</v>
      </c>
      <c r="CE37" s="2" t="s">
        <v>3970</v>
      </c>
      <c r="CF37" s="2" t="s">
        <v>17</v>
      </c>
      <c r="CG37" s="2" t="s">
        <v>3971</v>
      </c>
      <c r="CH37" s="2"/>
      <c r="CI37" s="2"/>
      <c r="CJ37" s="2" t="s">
        <v>9</v>
      </c>
      <c r="CK37" s="2" t="s">
        <v>286</v>
      </c>
      <c r="CL37" s="2" t="s">
        <v>3971</v>
      </c>
      <c r="CM37" s="2" t="s">
        <v>287</v>
      </c>
      <c r="CN37" s="2" t="s">
        <v>288</v>
      </c>
      <c r="CO37" s="2" t="s">
        <v>24</v>
      </c>
      <c r="CP37" s="2"/>
      <c r="CQ37" s="2">
        <v>100</v>
      </c>
      <c r="CR37" s="2" t="s">
        <v>3972</v>
      </c>
      <c r="CS37" s="2">
        <v>2021</v>
      </c>
      <c r="CT37" s="2" t="s">
        <v>26</v>
      </c>
      <c r="CU37" s="2" t="s">
        <v>27</v>
      </c>
      <c r="CV37" s="2" t="s">
        <v>3973</v>
      </c>
      <c r="CW37" s="2" t="s">
        <v>291</v>
      </c>
      <c r="CX37" s="2" t="s">
        <v>24</v>
      </c>
      <c r="CY37" s="2"/>
      <c r="CZ37" s="2">
        <v>110</v>
      </c>
      <c r="DA37" s="2" t="s">
        <v>3972</v>
      </c>
      <c r="DB37" s="2">
        <v>2021</v>
      </c>
      <c r="DC37" s="2" t="s">
        <v>30</v>
      </c>
      <c r="DD37" s="2" t="s">
        <v>27</v>
      </c>
      <c r="DE37" s="2" t="s">
        <v>292</v>
      </c>
      <c r="DF37" s="2" t="s">
        <v>293</v>
      </c>
      <c r="DG37" s="2" t="s">
        <v>24</v>
      </c>
      <c r="DH37" s="2"/>
      <c r="DI37" s="2">
        <v>132</v>
      </c>
      <c r="DJ37" s="2" t="s">
        <v>3972</v>
      </c>
      <c r="DK37" s="2">
        <v>2020</v>
      </c>
      <c r="DL37" s="2" t="s">
        <v>30</v>
      </c>
      <c r="DM37" s="2" t="s">
        <v>27</v>
      </c>
      <c r="DN37" s="2" t="s">
        <v>33</v>
      </c>
      <c r="DO37" s="2" t="s">
        <v>294</v>
      </c>
      <c r="DP37" s="2" t="s">
        <v>3974</v>
      </c>
      <c r="DQ37" s="2" t="s">
        <v>296</v>
      </c>
      <c r="DR37" s="2" t="s">
        <v>297</v>
      </c>
      <c r="DS37" s="2">
        <v>1</v>
      </c>
      <c r="DT37" s="2" t="s">
        <v>1060</v>
      </c>
      <c r="DU37" s="2" t="s">
        <v>299</v>
      </c>
      <c r="DV37" s="2" t="s">
        <v>39</v>
      </c>
      <c r="DW37" s="2">
        <v>33133</v>
      </c>
      <c r="DX37" s="2" t="s">
        <v>1061</v>
      </c>
      <c r="DY37" s="2">
        <v>125</v>
      </c>
      <c r="DZ37" s="2" t="s">
        <v>301</v>
      </c>
      <c r="EA37" s="2" t="s">
        <v>297</v>
      </c>
      <c r="EB37" s="2" t="s">
        <v>302</v>
      </c>
      <c r="EC37" s="2" t="s">
        <v>291</v>
      </c>
      <c r="ED37" s="2" t="s">
        <v>44</v>
      </c>
      <c r="EE37" s="2">
        <v>144</v>
      </c>
      <c r="EF37" s="2" t="s">
        <v>3975</v>
      </c>
      <c r="EG37" s="2">
        <v>7</v>
      </c>
      <c r="EH37" s="2" t="s">
        <v>46</v>
      </c>
      <c r="EI37" s="2" t="s">
        <v>47</v>
      </c>
      <c r="EJ37" s="2" t="s">
        <v>304</v>
      </c>
      <c r="EK37" s="2" t="s">
        <v>305</v>
      </c>
      <c r="EL37" s="2" t="s">
        <v>44</v>
      </c>
      <c r="EM37" s="2">
        <v>150</v>
      </c>
      <c r="EN37" s="2" t="s">
        <v>3975</v>
      </c>
      <c r="EO37" s="2">
        <v>5</v>
      </c>
      <c r="EP37" s="2" t="s">
        <v>46</v>
      </c>
      <c r="EQ37" s="2" t="s">
        <v>47</v>
      </c>
      <c r="ER37" s="2" t="s">
        <v>294</v>
      </c>
      <c r="ES37" s="2" t="s">
        <v>295</v>
      </c>
      <c r="ET37" s="2" t="s">
        <v>296</v>
      </c>
      <c r="EU37" s="2" t="s">
        <v>3970</v>
      </c>
      <c r="EV37" s="2" t="s">
        <v>1060</v>
      </c>
      <c r="EW37" s="2" t="s">
        <v>299</v>
      </c>
      <c r="EX37" s="2" t="s">
        <v>39</v>
      </c>
      <c r="EY37" s="2">
        <v>33133</v>
      </c>
      <c r="EZ37" s="2" t="s">
        <v>1061</v>
      </c>
      <c r="FA37" s="2">
        <v>125</v>
      </c>
      <c r="FB37" s="2" t="s">
        <v>301</v>
      </c>
      <c r="FC37" s="2" t="s">
        <v>307</v>
      </c>
      <c r="FD37" s="2"/>
      <c r="FE37" s="2" t="s">
        <v>308</v>
      </c>
      <c r="FF37" s="2" t="s">
        <v>309</v>
      </c>
      <c r="FG37" s="2" t="s">
        <v>1060</v>
      </c>
      <c r="FH37" s="2" t="s">
        <v>299</v>
      </c>
      <c r="FI37" s="2" t="s">
        <v>39</v>
      </c>
      <c r="FJ37" s="2">
        <v>33133</v>
      </c>
      <c r="FK37" s="2" t="s">
        <v>1063</v>
      </c>
      <c r="FL37" s="2"/>
      <c r="FM37" s="2" t="s">
        <v>311</v>
      </c>
      <c r="FN37" s="2" t="s">
        <v>3976</v>
      </c>
      <c r="FO37" s="2" t="s">
        <v>63</v>
      </c>
      <c r="FP37" s="2" t="s">
        <v>64</v>
      </c>
      <c r="FQ37" s="2" t="s">
        <v>9</v>
      </c>
      <c r="FR37" s="2" t="s">
        <v>17</v>
      </c>
      <c r="FS37" s="2" t="s">
        <v>17</v>
      </c>
      <c r="FT37" s="2" t="s">
        <v>9</v>
      </c>
      <c r="FU37" s="2"/>
      <c r="FV37" s="2"/>
      <c r="FW37" s="2">
        <v>0</v>
      </c>
      <c r="FX37" s="2">
        <v>0</v>
      </c>
      <c r="FY37" s="4">
        <v>0</v>
      </c>
      <c r="FZ37" s="4">
        <v>0</v>
      </c>
      <c r="GA37" s="2" t="s">
        <v>65</v>
      </c>
      <c r="GB37" s="2"/>
      <c r="GC37" s="2" t="s">
        <v>66</v>
      </c>
      <c r="GD37" s="2" t="s">
        <v>67</v>
      </c>
      <c r="GE37" s="2" t="s">
        <v>2684</v>
      </c>
      <c r="GF37" s="2"/>
      <c r="GG37" s="2"/>
      <c r="GH37" s="2"/>
      <c r="GI37" s="2"/>
      <c r="GJ37" s="2"/>
      <c r="GK37" s="2">
        <v>104</v>
      </c>
      <c r="GL37" s="2"/>
      <c r="GM37" s="2"/>
      <c r="GN37" s="2"/>
      <c r="GO37" s="2"/>
      <c r="GP37" s="2"/>
      <c r="GQ37" s="2">
        <v>104</v>
      </c>
      <c r="GR37" s="2" t="s">
        <v>3332</v>
      </c>
      <c r="GS37" s="2" t="s">
        <v>2686</v>
      </c>
      <c r="GT37" s="2" t="s">
        <v>3977</v>
      </c>
      <c r="GU37" s="2" t="s">
        <v>2720</v>
      </c>
      <c r="GV37" s="2" t="s">
        <v>17</v>
      </c>
      <c r="GW37" s="2">
        <v>25.566655999999998</v>
      </c>
      <c r="GX37" s="2">
        <v>-80.381688999999994</v>
      </c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>
        <v>25.565964000000001</v>
      </c>
      <c r="HO37" s="2">
        <v>-80.382636000000005</v>
      </c>
      <c r="HP37" s="2">
        <v>0.08</v>
      </c>
      <c r="HQ37" s="2">
        <v>6</v>
      </c>
      <c r="HR37" s="2"/>
      <c r="HS37" s="2"/>
      <c r="HT37" s="2"/>
      <c r="HU37" s="2"/>
      <c r="HV37" s="2" t="s">
        <v>74</v>
      </c>
      <c r="HW37" s="2" t="s">
        <v>3426</v>
      </c>
      <c r="HX37" s="2">
        <v>0.49</v>
      </c>
      <c r="HY37" s="2">
        <v>3.5</v>
      </c>
      <c r="HZ37" s="2"/>
      <c r="IA37" s="2"/>
      <c r="IB37" s="2"/>
      <c r="IC37" s="2"/>
      <c r="ID37" s="2" t="s">
        <v>76</v>
      </c>
      <c r="IE37" s="2">
        <v>0.49</v>
      </c>
      <c r="IF37" s="2">
        <v>3.5</v>
      </c>
      <c r="IG37" s="2" t="s">
        <v>3582</v>
      </c>
      <c r="IH37" s="2">
        <v>0.21</v>
      </c>
      <c r="II37" s="2">
        <v>4</v>
      </c>
      <c r="IJ37" s="2" t="s">
        <v>9</v>
      </c>
      <c r="IK37" s="2" t="s">
        <v>3428</v>
      </c>
      <c r="IL37" s="2" t="s">
        <v>3341</v>
      </c>
      <c r="IM37" s="2" t="s">
        <v>17</v>
      </c>
      <c r="IN37" s="2"/>
      <c r="IO37" s="2" t="s">
        <v>79</v>
      </c>
      <c r="IP37" s="2">
        <v>6</v>
      </c>
      <c r="IQ37" s="2">
        <v>11</v>
      </c>
      <c r="IR37" s="2">
        <v>17</v>
      </c>
      <c r="IS37" s="2" t="s">
        <v>17</v>
      </c>
      <c r="IT37" s="2" t="s">
        <v>17</v>
      </c>
      <c r="IU37" s="2" t="s">
        <v>9</v>
      </c>
      <c r="IV37" s="2" t="s">
        <v>9</v>
      </c>
      <c r="IW37" s="2" t="s">
        <v>9</v>
      </c>
      <c r="IX37" s="2" t="s">
        <v>9</v>
      </c>
      <c r="IY37" s="2">
        <v>17</v>
      </c>
      <c r="IZ37" s="2">
        <v>104</v>
      </c>
      <c r="JA37" s="2" t="s">
        <v>3085</v>
      </c>
      <c r="JB37" s="2"/>
      <c r="JC37" s="2" t="s">
        <v>173</v>
      </c>
      <c r="JD37" s="7">
        <v>0.1</v>
      </c>
      <c r="JE37" s="7">
        <v>0.9</v>
      </c>
      <c r="JF37" s="7">
        <v>0</v>
      </c>
      <c r="JG37" s="7"/>
      <c r="JH37" s="7"/>
      <c r="JI37" s="2">
        <v>104</v>
      </c>
      <c r="JJ37" s="7">
        <v>1</v>
      </c>
      <c r="JK37" s="2">
        <v>104</v>
      </c>
      <c r="JL37" s="7">
        <v>1</v>
      </c>
      <c r="JM37" s="2"/>
      <c r="JN37" s="2"/>
      <c r="JO37" s="2"/>
      <c r="JP37" s="2"/>
      <c r="JQ37" s="2"/>
      <c r="JR37" s="2"/>
      <c r="JS37" s="2">
        <v>0</v>
      </c>
      <c r="JT37" s="2">
        <v>0</v>
      </c>
      <c r="JU37" s="2"/>
      <c r="JV37" s="2">
        <v>0</v>
      </c>
      <c r="JW37" s="4">
        <v>0</v>
      </c>
      <c r="JX37" s="2">
        <v>0</v>
      </c>
      <c r="JY37" s="4">
        <v>0</v>
      </c>
      <c r="JZ37" s="2">
        <v>0</v>
      </c>
      <c r="KA37" s="2"/>
      <c r="KB37" s="2"/>
      <c r="KC37" s="2"/>
      <c r="KD37" s="2"/>
      <c r="KE37" s="2"/>
      <c r="KF37" s="2"/>
      <c r="KG37" s="2"/>
      <c r="KH37" s="2">
        <v>104</v>
      </c>
      <c r="KI37" s="2"/>
      <c r="KJ37" s="2"/>
      <c r="KK37" s="2"/>
      <c r="KL37" s="2"/>
      <c r="KM37" s="2"/>
      <c r="KN37" s="2"/>
      <c r="KO37" s="2"/>
      <c r="KP37" s="2"/>
      <c r="KQ37" s="2" t="s">
        <v>83</v>
      </c>
      <c r="KR37" s="2"/>
      <c r="KS37" s="2" t="s">
        <v>73</v>
      </c>
      <c r="KT37" s="2">
        <v>1</v>
      </c>
      <c r="KU37" s="2" t="s">
        <v>84</v>
      </c>
      <c r="KV37" s="2" t="s">
        <v>85</v>
      </c>
      <c r="KW37" s="2" t="s">
        <v>86</v>
      </c>
      <c r="KX37" s="2" t="s">
        <v>17</v>
      </c>
      <c r="KY37" s="2" t="s">
        <v>17</v>
      </c>
      <c r="KZ37" s="2" t="s">
        <v>17</v>
      </c>
      <c r="LA37" s="2" t="s">
        <v>17</v>
      </c>
      <c r="LB37" s="2" t="s">
        <v>17</v>
      </c>
      <c r="LC37" s="2" t="s">
        <v>17</v>
      </c>
      <c r="LD37" s="2" t="s">
        <v>17</v>
      </c>
      <c r="LE37" s="2" t="s">
        <v>17</v>
      </c>
      <c r="LF37" s="2" t="s">
        <v>17</v>
      </c>
      <c r="LG37" s="2" t="s">
        <v>17</v>
      </c>
      <c r="LH37" s="2" t="s">
        <v>17</v>
      </c>
      <c r="LI37" s="2" t="s">
        <v>17</v>
      </c>
      <c r="LJ37" s="2" t="s">
        <v>87</v>
      </c>
      <c r="LK37" s="2" t="s">
        <v>17</v>
      </c>
      <c r="LL37" s="2" t="s">
        <v>17</v>
      </c>
      <c r="LM37" s="2">
        <v>0</v>
      </c>
      <c r="LN37" s="2" t="s">
        <v>17</v>
      </c>
      <c r="LO37" s="2" t="s">
        <v>17</v>
      </c>
      <c r="LP37" s="2" t="s">
        <v>17</v>
      </c>
      <c r="LQ37" s="2" t="s">
        <v>17</v>
      </c>
      <c r="LR37" s="2" t="s">
        <v>17</v>
      </c>
      <c r="LS37" s="2" t="s">
        <v>17</v>
      </c>
      <c r="LT37" s="2" t="s">
        <v>17</v>
      </c>
      <c r="LU37" s="2" t="s">
        <v>17</v>
      </c>
      <c r="LV37" s="2" t="s">
        <v>9</v>
      </c>
      <c r="LW37" s="2" t="s">
        <v>9</v>
      </c>
      <c r="LX37" s="2" t="s">
        <v>9</v>
      </c>
      <c r="LY37" s="5">
        <v>6500000</v>
      </c>
      <c r="LZ37" s="5">
        <v>0</v>
      </c>
      <c r="MA37" s="5">
        <v>8400000</v>
      </c>
      <c r="MB37" s="5">
        <v>0</v>
      </c>
      <c r="MC37" s="5">
        <v>0</v>
      </c>
      <c r="MD37" s="5">
        <v>0</v>
      </c>
      <c r="ME37" s="5">
        <v>10000000</v>
      </c>
      <c r="MF37" s="5">
        <v>0</v>
      </c>
      <c r="MG37" s="5">
        <v>0</v>
      </c>
      <c r="MH37" s="5">
        <v>0</v>
      </c>
      <c r="MI37" s="5">
        <v>0</v>
      </c>
      <c r="MJ37" s="5">
        <v>0</v>
      </c>
      <c r="MK37" s="5">
        <v>0</v>
      </c>
      <c r="ML37" s="2">
        <v>0</v>
      </c>
      <c r="MM37" s="5">
        <v>0</v>
      </c>
      <c r="MN37" s="5">
        <v>0</v>
      </c>
      <c r="MO37" s="2">
        <v>0</v>
      </c>
      <c r="MP37" s="2">
        <v>0</v>
      </c>
      <c r="MQ37" s="2">
        <v>0</v>
      </c>
      <c r="MR37" s="5">
        <v>2950000</v>
      </c>
      <c r="MS37" s="5">
        <v>0</v>
      </c>
      <c r="MT37" s="5">
        <v>4600000</v>
      </c>
      <c r="MU37" s="5">
        <v>0</v>
      </c>
      <c r="MV37" s="5">
        <v>0</v>
      </c>
      <c r="MW37" s="5">
        <v>0</v>
      </c>
      <c r="MX37" s="5">
        <v>0</v>
      </c>
      <c r="MY37" s="5">
        <v>2500000</v>
      </c>
      <c r="MZ37" s="5">
        <v>0</v>
      </c>
      <c r="NA37" s="5">
        <v>5000000</v>
      </c>
      <c r="NB37" s="5">
        <v>0</v>
      </c>
      <c r="NC37" s="5">
        <v>0</v>
      </c>
      <c r="ND37" s="5">
        <v>0</v>
      </c>
      <c r="NE37" s="5">
        <v>0</v>
      </c>
      <c r="NF37" s="5">
        <v>0</v>
      </c>
      <c r="NG37" s="5">
        <v>3458400</v>
      </c>
      <c r="NH37" s="5">
        <v>3400000</v>
      </c>
      <c r="NI37" s="5">
        <v>3400000</v>
      </c>
      <c r="NJ37" s="5"/>
      <c r="NK37" s="5">
        <v>0</v>
      </c>
      <c r="NL37" s="2" t="s">
        <v>17</v>
      </c>
      <c r="NM37" s="2" t="s">
        <v>17</v>
      </c>
      <c r="NN37" s="2"/>
      <c r="NO37" s="2" t="s">
        <v>17</v>
      </c>
      <c r="NP37" s="2"/>
      <c r="NQ37" s="2"/>
      <c r="NR37" s="2" t="s">
        <v>17</v>
      </c>
      <c r="NS37" s="2"/>
      <c r="NT37" s="2" t="s">
        <v>9</v>
      </c>
      <c r="NU37" s="2" t="s">
        <v>450</v>
      </c>
      <c r="NV37" s="2">
        <v>102.13</v>
      </c>
      <c r="NW37" s="2" t="s">
        <v>3342</v>
      </c>
      <c r="NX37" s="2" t="s">
        <v>17</v>
      </c>
      <c r="NY37" s="2"/>
      <c r="NZ37" s="2"/>
      <c r="OA37" s="2" t="s">
        <v>118</v>
      </c>
      <c r="OB37" s="2" t="s">
        <v>118</v>
      </c>
      <c r="OC37" s="2" t="s">
        <v>118</v>
      </c>
      <c r="OD37" s="2" t="s">
        <v>3343</v>
      </c>
      <c r="OE37" s="2" t="s">
        <v>3429</v>
      </c>
      <c r="OF37" s="2"/>
      <c r="OG37" s="2" t="s">
        <v>17</v>
      </c>
      <c r="OH37" s="2" t="s">
        <v>119</v>
      </c>
      <c r="OI37" s="2" t="s">
        <v>17</v>
      </c>
      <c r="OJ37" s="2"/>
      <c r="OK37" s="2" t="s">
        <v>17</v>
      </c>
      <c r="OL37" s="2" t="s">
        <v>17</v>
      </c>
      <c r="OM37" s="2" t="s">
        <v>85</v>
      </c>
      <c r="ON37" s="6">
        <v>0</v>
      </c>
      <c r="OO37" s="6">
        <v>0</v>
      </c>
      <c r="OP37" s="2" t="s">
        <v>93</v>
      </c>
      <c r="OQ37" s="2" t="s">
        <v>93</v>
      </c>
      <c r="OR37" s="6">
        <v>0</v>
      </c>
      <c r="OS37" s="4">
        <v>0</v>
      </c>
      <c r="OT37" s="2" t="s">
        <v>17</v>
      </c>
      <c r="OU37" s="2" t="s">
        <v>17</v>
      </c>
      <c r="OV37" s="2"/>
      <c r="OW37" s="2"/>
      <c r="OX37" s="5">
        <v>21830040</v>
      </c>
      <c r="OY37" s="6">
        <v>209904.23</v>
      </c>
      <c r="OZ37" s="8">
        <v>500000</v>
      </c>
      <c r="PA37" s="8">
        <v>500000</v>
      </c>
      <c r="PB37" s="2"/>
      <c r="PC37" s="2"/>
      <c r="PD37" s="8">
        <v>20878188</v>
      </c>
      <c r="PE37" s="8">
        <v>203112</v>
      </c>
      <c r="PF37" s="8">
        <v>21081300</v>
      </c>
      <c r="PG37" s="2"/>
      <c r="PH37" s="2"/>
      <c r="PI37" s="2"/>
      <c r="PJ37" s="2"/>
      <c r="PK37" s="2"/>
      <c r="PL37" s="2"/>
      <c r="PM37" s="8">
        <v>20878188</v>
      </c>
      <c r="PN37" s="8">
        <v>703112</v>
      </c>
      <c r="PO37" s="8">
        <v>21581300</v>
      </c>
      <c r="PP37" s="8">
        <v>3000000</v>
      </c>
      <c r="PQ37" s="2"/>
      <c r="PR37" s="8">
        <v>3000000</v>
      </c>
      <c r="PS37" s="6">
        <v>3021382</v>
      </c>
      <c r="PT37" s="8">
        <v>23878188</v>
      </c>
      <c r="PU37" s="8">
        <v>703112</v>
      </c>
      <c r="PV37" s="8">
        <v>24581300</v>
      </c>
      <c r="PW37" s="8">
        <v>1170013</v>
      </c>
      <c r="PX37" s="2"/>
      <c r="PY37" s="8">
        <v>1170013</v>
      </c>
      <c r="PZ37" s="6">
        <v>1229065</v>
      </c>
      <c r="QA37" s="8">
        <v>1064591</v>
      </c>
      <c r="QB37" s="8">
        <v>383299</v>
      </c>
      <c r="QC37" s="8">
        <v>1447890</v>
      </c>
      <c r="QD37" s="8">
        <v>284357</v>
      </c>
      <c r="QE37" s="8">
        <v>29139</v>
      </c>
      <c r="QF37" s="8">
        <v>313496</v>
      </c>
      <c r="QG37" s="8">
        <v>1064680</v>
      </c>
      <c r="QH37" s="2"/>
      <c r="QI37" s="8">
        <v>1064680</v>
      </c>
      <c r="QJ37" s="2"/>
      <c r="QK37" s="8">
        <v>541845</v>
      </c>
      <c r="QL37" s="8">
        <v>541845</v>
      </c>
      <c r="QM37" s="2"/>
      <c r="QN37" s="2"/>
      <c r="QO37" s="2"/>
      <c r="QP37" s="2"/>
      <c r="QQ37" s="2"/>
      <c r="QR37" s="2"/>
      <c r="QS37" s="8">
        <v>2413628</v>
      </c>
      <c r="QT37" s="8">
        <v>954283</v>
      </c>
      <c r="QU37" s="8">
        <v>3367911</v>
      </c>
      <c r="QV37" s="8">
        <v>130000</v>
      </c>
      <c r="QW37" s="8">
        <v>36889</v>
      </c>
      <c r="QX37" s="8">
        <v>166889</v>
      </c>
      <c r="QY37" s="6">
        <v>168395.55</v>
      </c>
      <c r="QZ37" s="8">
        <v>1670406</v>
      </c>
      <c r="RA37" s="8">
        <v>1152070</v>
      </c>
      <c r="RB37" s="8">
        <v>2822476</v>
      </c>
      <c r="RC37" s="8">
        <v>101780</v>
      </c>
      <c r="RD37" s="8">
        <v>101780</v>
      </c>
      <c r="RE37" s="2"/>
      <c r="RF37" s="2"/>
      <c r="RG37" s="2"/>
      <c r="RH37" s="8">
        <v>1670406</v>
      </c>
      <c r="RI37" s="8">
        <v>1253850</v>
      </c>
      <c r="RJ37" s="8">
        <v>2924256</v>
      </c>
      <c r="RK37" s="8">
        <v>29262235</v>
      </c>
      <c r="RL37" s="8">
        <v>2948134</v>
      </c>
      <c r="RM37" s="8">
        <v>32210369</v>
      </c>
      <c r="RN37" s="2">
        <v>0</v>
      </c>
      <c r="RO37" s="6">
        <v>0</v>
      </c>
      <c r="RP37" s="8">
        <v>5100000</v>
      </c>
      <c r="RQ37" s="2"/>
      <c r="RR37" s="8">
        <v>5100000</v>
      </c>
      <c r="RS37" s="6">
        <v>5153659</v>
      </c>
      <c r="RT37" s="6">
        <v>0</v>
      </c>
      <c r="RU37" s="8">
        <v>5100000</v>
      </c>
      <c r="RV37" s="2"/>
      <c r="RW37" s="8">
        <v>5100000</v>
      </c>
      <c r="RX37" s="6">
        <v>5153659</v>
      </c>
      <c r="RY37" s="8">
        <v>309980</v>
      </c>
      <c r="RZ37" s="8">
        <v>309980</v>
      </c>
      <c r="SA37" s="6">
        <v>364000</v>
      </c>
      <c r="SB37" s="8">
        <v>4160000</v>
      </c>
      <c r="SC37" s="8">
        <v>4160000</v>
      </c>
      <c r="SD37" s="8">
        <v>34362235</v>
      </c>
      <c r="SE37" s="8">
        <v>7418114</v>
      </c>
      <c r="SF37" s="8">
        <v>41780349</v>
      </c>
      <c r="SG37" s="2"/>
      <c r="SH37" s="2"/>
      <c r="SI37" s="2"/>
      <c r="SJ37" s="2"/>
      <c r="SK37" s="8">
        <v>36000000</v>
      </c>
      <c r="SL37" s="2" t="s">
        <v>95</v>
      </c>
      <c r="SM37" s="2"/>
      <c r="SN37" s="2"/>
      <c r="SO37" s="2"/>
      <c r="SP37" s="2"/>
      <c r="SQ37" s="2"/>
      <c r="SR37" s="2"/>
      <c r="SS37" s="2" t="s">
        <v>96</v>
      </c>
      <c r="ST37" s="2" t="s">
        <v>96</v>
      </c>
      <c r="SU37" s="2" t="s">
        <v>96</v>
      </c>
      <c r="SV37" s="2" t="s">
        <v>96</v>
      </c>
      <c r="SW37" s="8">
        <v>15638450</v>
      </c>
      <c r="SX37" s="2"/>
      <c r="SY37" s="2"/>
      <c r="SZ37" s="2"/>
      <c r="TA37" s="2"/>
      <c r="TB37" s="2"/>
      <c r="TC37" s="2"/>
      <c r="TD37" s="2">
        <v>0</v>
      </c>
      <c r="TE37" s="8">
        <v>51638450</v>
      </c>
      <c r="TF37" s="8">
        <v>9858101</v>
      </c>
      <c r="TG37" s="2" t="s">
        <v>9</v>
      </c>
      <c r="TH37" s="8">
        <v>9000000</v>
      </c>
      <c r="TI37" s="2" t="s">
        <v>95</v>
      </c>
      <c r="TJ37" s="2"/>
      <c r="TK37" s="2"/>
      <c r="TL37" s="2"/>
      <c r="TM37" s="2"/>
      <c r="TN37" s="2" t="s">
        <v>96</v>
      </c>
      <c r="TO37" s="2" t="s">
        <v>96</v>
      </c>
      <c r="TP37" s="2" t="s">
        <v>96</v>
      </c>
      <c r="TQ37" s="2" t="s">
        <v>96</v>
      </c>
      <c r="TR37" s="8">
        <v>31276900</v>
      </c>
      <c r="TS37" s="2"/>
      <c r="TT37" s="2"/>
      <c r="TU37" s="2"/>
      <c r="TV37" s="2"/>
      <c r="TW37" s="2"/>
      <c r="TX37" s="2"/>
      <c r="TY37" s="8">
        <v>1503449</v>
      </c>
      <c r="TZ37" s="8">
        <v>41780349</v>
      </c>
      <c r="UA37" s="6">
        <v>9000000</v>
      </c>
      <c r="UB37" s="2">
        <v>0</v>
      </c>
      <c r="UC37" s="2" t="s">
        <v>9</v>
      </c>
      <c r="UD37" s="2">
        <v>104</v>
      </c>
      <c r="UE37" s="5">
        <v>310000</v>
      </c>
      <c r="UF37" s="6">
        <v>413333.33</v>
      </c>
      <c r="UG37" s="6">
        <v>413333.33</v>
      </c>
      <c r="UH37" s="6">
        <v>438133.33</v>
      </c>
      <c r="UI37" s="6">
        <v>45565866.670000002</v>
      </c>
      <c r="UJ37" s="6">
        <v>7290538</v>
      </c>
      <c r="UK37" s="2" t="s">
        <v>97</v>
      </c>
      <c r="UL37" s="6">
        <v>7290538</v>
      </c>
      <c r="UM37" s="6">
        <v>52856404.670000002</v>
      </c>
      <c r="UN37" s="6">
        <v>36810369</v>
      </c>
      <c r="UO37" s="4">
        <v>0.99990000000000001</v>
      </c>
      <c r="UP37" s="2" t="s">
        <v>9</v>
      </c>
      <c r="UQ37" s="6">
        <v>0</v>
      </c>
      <c r="UR37" s="6">
        <v>0</v>
      </c>
      <c r="US37" s="6">
        <v>736303.36</v>
      </c>
      <c r="UT37" s="6">
        <v>736303.36</v>
      </c>
      <c r="UU37" s="6">
        <v>0</v>
      </c>
      <c r="UV37" s="6">
        <v>736303.36</v>
      </c>
      <c r="UW37" s="6">
        <v>0</v>
      </c>
      <c r="UX37" s="6">
        <v>736303.36</v>
      </c>
      <c r="UY37" s="2" t="s">
        <v>3387</v>
      </c>
      <c r="UZ37" s="2" t="s">
        <v>3288</v>
      </c>
      <c r="VA37" s="2" t="s">
        <v>17</v>
      </c>
      <c r="VB37" s="2" t="s">
        <v>17</v>
      </c>
      <c r="VC37" s="2" t="s">
        <v>17</v>
      </c>
      <c r="VD37" s="2" t="s">
        <v>17</v>
      </c>
      <c r="VE37" s="2" t="s">
        <v>17</v>
      </c>
      <c r="VF37" s="2" t="s">
        <v>17</v>
      </c>
      <c r="VG37" s="2" t="s">
        <v>3978</v>
      </c>
      <c r="VH37" s="2"/>
      <c r="VI37" s="388" t="s">
        <v>286</v>
      </c>
      <c r="VJ37" s="2" t="s">
        <v>98</v>
      </c>
      <c r="VK37" s="2" t="s">
        <v>324</v>
      </c>
      <c r="VL37" s="23">
        <f t="shared" si="21"/>
        <v>104</v>
      </c>
      <c r="VM37" s="17">
        <f t="shared" si="22"/>
        <v>1</v>
      </c>
      <c r="VN37" s="17" t="str">
        <f t="shared" si="2"/>
        <v>NC-HR-E</v>
      </c>
      <c r="VO37" s="17" t="str">
        <f t="shared" si="14"/>
        <v>NC-HR-E-ESS</v>
      </c>
      <c r="VP37" s="12">
        <v>9</v>
      </c>
      <c r="VQ37" s="57">
        <v>1</v>
      </c>
      <c r="VR37" s="57">
        <f t="shared" si="3"/>
        <v>1</v>
      </c>
      <c r="VS37" s="14">
        <f t="shared" si="4"/>
        <v>1</v>
      </c>
      <c r="VT37" s="12">
        <f t="shared" si="5"/>
        <v>0.88349999999999995</v>
      </c>
      <c r="VU37" s="29">
        <f t="shared" si="6"/>
        <v>27035100</v>
      </c>
      <c r="VV37" s="29">
        <f t="shared" si="23"/>
        <v>259952.88</v>
      </c>
      <c r="VW37" s="12" t="str">
        <f t="shared" si="15"/>
        <v>A</v>
      </c>
      <c r="VX37" s="12" t="str">
        <f t="shared" si="24"/>
        <v>NC-HR-ESS</v>
      </c>
      <c r="VY37" s="352">
        <f t="shared" si="16"/>
        <v>5</v>
      </c>
      <c r="WA37" s="12">
        <f t="shared" si="17"/>
        <v>1</v>
      </c>
      <c r="WB37" s="12">
        <f t="shared" si="18"/>
        <v>0</v>
      </c>
      <c r="WC37" s="12">
        <f t="shared" si="18"/>
        <v>0</v>
      </c>
      <c r="WD37" s="12">
        <f t="shared" si="18"/>
        <v>0</v>
      </c>
      <c r="WE37" s="12">
        <f t="shared" si="19"/>
        <v>1</v>
      </c>
      <c r="WF37" s="12">
        <f t="shared" si="25"/>
        <v>0</v>
      </c>
      <c r="WG37" s="12">
        <f t="shared" si="26"/>
        <v>0</v>
      </c>
      <c r="WH37" s="12">
        <f t="shared" si="27"/>
        <v>1</v>
      </c>
      <c r="WI37" s="31">
        <f t="shared" si="28"/>
        <v>3</v>
      </c>
      <c r="WJ37" s="2"/>
      <c r="WK37" s="444" t="str">
        <f t="shared" si="20"/>
        <v>NC-HR-ESS-BBN-BRN-NPH-E</v>
      </c>
      <c r="WL37" s="444"/>
      <c r="WM37" s="444"/>
    </row>
    <row r="38" spans="1:611" x14ac:dyDescent="0.25">
      <c r="A38" s="2">
        <v>9640</v>
      </c>
      <c r="B38" s="2" t="s">
        <v>3979</v>
      </c>
      <c r="C38" s="2" t="s">
        <v>3305</v>
      </c>
      <c r="D38" s="3">
        <v>45159</v>
      </c>
      <c r="E38" s="2" t="s">
        <v>9</v>
      </c>
      <c r="F38" s="2">
        <v>3</v>
      </c>
      <c r="G38" s="2" t="s">
        <v>9</v>
      </c>
      <c r="H38" s="2">
        <v>3</v>
      </c>
      <c r="I38" s="2" t="s">
        <v>9</v>
      </c>
      <c r="J38" s="2">
        <v>2</v>
      </c>
      <c r="K38" s="2" t="s">
        <v>9</v>
      </c>
      <c r="L38" s="2">
        <v>3</v>
      </c>
      <c r="M38" s="2" t="s">
        <v>10</v>
      </c>
      <c r="N38" s="2">
        <v>0</v>
      </c>
      <c r="O38" s="2" t="s">
        <v>10</v>
      </c>
      <c r="P38" s="2">
        <v>0</v>
      </c>
      <c r="Q38" s="2" t="s">
        <v>11</v>
      </c>
      <c r="R38" s="2">
        <v>0</v>
      </c>
      <c r="S38" s="2" t="s">
        <v>9</v>
      </c>
      <c r="T38" s="2">
        <v>2</v>
      </c>
      <c r="U38" s="2" t="s">
        <v>9</v>
      </c>
      <c r="V38" s="2">
        <v>2</v>
      </c>
      <c r="W38" s="2" t="s">
        <v>9</v>
      </c>
      <c r="X38" s="2">
        <v>2</v>
      </c>
      <c r="Y38" s="2" t="s">
        <v>12</v>
      </c>
      <c r="Z38" s="2" t="s">
        <v>15</v>
      </c>
      <c r="AA38" s="2" t="s">
        <v>15</v>
      </c>
      <c r="AB38" s="2" t="s">
        <v>15</v>
      </c>
      <c r="AC38" s="2" t="s">
        <v>15</v>
      </c>
      <c r="AD38" s="2" t="s">
        <v>15</v>
      </c>
      <c r="AE38" s="2" t="s">
        <v>3980</v>
      </c>
      <c r="AF38" s="2">
        <v>0</v>
      </c>
      <c r="AG38" s="2" t="s">
        <v>234</v>
      </c>
      <c r="AH38" s="2" t="s">
        <v>17</v>
      </c>
      <c r="AI38" s="4">
        <v>0.15556</v>
      </c>
      <c r="AJ38" s="2" t="s">
        <v>17</v>
      </c>
      <c r="AK38" s="2" t="s">
        <v>9</v>
      </c>
      <c r="AL38" s="2" t="s">
        <v>17</v>
      </c>
      <c r="AM38" s="2" t="s">
        <v>17</v>
      </c>
      <c r="AN38" s="2" t="s">
        <v>17</v>
      </c>
      <c r="AO38" s="2" t="s">
        <v>9</v>
      </c>
      <c r="AP38" s="2" t="s">
        <v>17</v>
      </c>
      <c r="AQ38" s="2" t="s">
        <v>17</v>
      </c>
      <c r="AR38" s="2" t="s">
        <v>17</v>
      </c>
      <c r="AS38" s="2" t="s">
        <v>17</v>
      </c>
      <c r="AT38" s="2">
        <v>5</v>
      </c>
      <c r="AU38" s="5">
        <v>100000</v>
      </c>
      <c r="AV38" s="2" t="s">
        <v>85</v>
      </c>
      <c r="AW38" s="2">
        <v>0</v>
      </c>
      <c r="AX38" s="2">
        <v>7</v>
      </c>
      <c r="AY38" s="2">
        <v>0</v>
      </c>
      <c r="AZ38" s="2">
        <v>18</v>
      </c>
      <c r="BA38" s="2">
        <v>0</v>
      </c>
      <c r="BB38" s="2">
        <v>0</v>
      </c>
      <c r="BC38" s="2">
        <v>1</v>
      </c>
      <c r="BD38" s="2">
        <v>5</v>
      </c>
      <c r="BE38" s="2">
        <v>0</v>
      </c>
      <c r="BF38" s="2">
        <v>1</v>
      </c>
      <c r="BG38" s="2">
        <v>0</v>
      </c>
      <c r="BH38" s="2">
        <v>0</v>
      </c>
      <c r="BI38" s="2">
        <v>13</v>
      </c>
      <c r="BJ38" s="2">
        <v>1</v>
      </c>
      <c r="BK38" s="2">
        <v>0</v>
      </c>
      <c r="BL38" s="2">
        <v>2</v>
      </c>
      <c r="BM38" s="2">
        <v>2</v>
      </c>
      <c r="BN38" s="2">
        <v>13</v>
      </c>
      <c r="BO38" s="2">
        <v>11</v>
      </c>
      <c r="BP38" s="2">
        <v>0</v>
      </c>
      <c r="BQ38" s="2">
        <v>10</v>
      </c>
      <c r="BR38" s="2">
        <v>9.98</v>
      </c>
      <c r="BS38" s="2">
        <v>0</v>
      </c>
      <c r="BT38" s="4">
        <v>0.06</v>
      </c>
      <c r="BU38" s="2" t="s">
        <v>9</v>
      </c>
      <c r="BV38" s="6">
        <v>210453</v>
      </c>
      <c r="BW38" s="2" t="s">
        <v>126</v>
      </c>
      <c r="BX38" s="2" t="s">
        <v>17</v>
      </c>
      <c r="BY38" s="2" t="s">
        <v>17</v>
      </c>
      <c r="BZ38" s="2" t="s">
        <v>17</v>
      </c>
      <c r="CA38" s="2" t="s">
        <v>17</v>
      </c>
      <c r="CB38" s="2" t="s">
        <v>17</v>
      </c>
      <c r="CC38" s="2" t="s">
        <v>17</v>
      </c>
      <c r="CD38" s="2" t="s">
        <v>17</v>
      </c>
      <c r="CE38" s="2" t="s">
        <v>3981</v>
      </c>
      <c r="CF38" s="2" t="s">
        <v>9</v>
      </c>
      <c r="CG38" s="2" t="s">
        <v>3982</v>
      </c>
      <c r="CH38" s="2" t="s">
        <v>3983</v>
      </c>
      <c r="CI38" s="2"/>
      <c r="CJ38" s="2" t="s">
        <v>9</v>
      </c>
      <c r="CK38" s="2" t="s">
        <v>328</v>
      </c>
      <c r="CL38" s="2" t="s">
        <v>3982</v>
      </c>
      <c r="CM38" s="2" t="s">
        <v>329</v>
      </c>
      <c r="CN38" s="2" t="s">
        <v>330</v>
      </c>
      <c r="CO38" s="2" t="s">
        <v>24</v>
      </c>
      <c r="CP38" s="2" t="s">
        <v>229</v>
      </c>
      <c r="CQ38" s="2">
        <v>90</v>
      </c>
      <c r="CR38" s="2" t="s">
        <v>25</v>
      </c>
      <c r="CS38" s="2">
        <v>2020</v>
      </c>
      <c r="CT38" s="2" t="s">
        <v>26</v>
      </c>
      <c r="CU38" s="2" t="s">
        <v>27</v>
      </c>
      <c r="CV38" s="2" t="s">
        <v>332</v>
      </c>
      <c r="CW38" s="2" t="s">
        <v>3984</v>
      </c>
      <c r="CX38" s="2" t="s">
        <v>24</v>
      </c>
      <c r="CY38" s="2" t="s">
        <v>229</v>
      </c>
      <c r="CZ38" s="2">
        <v>86</v>
      </c>
      <c r="DA38" s="2" t="s">
        <v>25</v>
      </c>
      <c r="DB38" s="2">
        <v>2018</v>
      </c>
      <c r="DC38" s="2" t="s">
        <v>30</v>
      </c>
      <c r="DD38" s="2" t="s">
        <v>27</v>
      </c>
      <c r="DE38" s="2" t="s">
        <v>334</v>
      </c>
      <c r="DF38" s="2" t="s">
        <v>335</v>
      </c>
      <c r="DG38" s="2" t="s">
        <v>24</v>
      </c>
      <c r="DH38" s="2" t="s">
        <v>229</v>
      </c>
      <c r="DI38" s="2">
        <v>96</v>
      </c>
      <c r="DJ38" s="2" t="s">
        <v>25</v>
      </c>
      <c r="DK38" s="2">
        <v>2017</v>
      </c>
      <c r="DL38" s="2" t="s">
        <v>30</v>
      </c>
      <c r="DM38" s="2" t="s">
        <v>27</v>
      </c>
      <c r="DN38" s="2" t="s">
        <v>33</v>
      </c>
      <c r="DO38" s="2" t="s">
        <v>336</v>
      </c>
      <c r="DP38" s="2" t="s">
        <v>337</v>
      </c>
      <c r="DQ38" s="2" t="s">
        <v>338</v>
      </c>
      <c r="DR38" s="2" t="s">
        <v>508</v>
      </c>
      <c r="DS38" s="2">
        <v>1</v>
      </c>
      <c r="DT38" s="2" t="s">
        <v>3918</v>
      </c>
      <c r="DU38" s="2" t="s">
        <v>1974</v>
      </c>
      <c r="DV38" s="2" t="s">
        <v>39</v>
      </c>
      <c r="DW38" s="2">
        <v>32405</v>
      </c>
      <c r="DX38" s="2" t="s">
        <v>340</v>
      </c>
      <c r="DY38" s="2"/>
      <c r="DZ38" s="2" t="s">
        <v>341</v>
      </c>
      <c r="EA38" s="2" t="s">
        <v>36</v>
      </c>
      <c r="EB38" s="2" t="s">
        <v>329</v>
      </c>
      <c r="EC38" s="2" t="s">
        <v>330</v>
      </c>
      <c r="ED38" s="2" t="s">
        <v>44</v>
      </c>
      <c r="EE38" s="2">
        <v>90</v>
      </c>
      <c r="EF38" s="2" t="s">
        <v>45</v>
      </c>
      <c r="EG38" s="2">
        <v>3</v>
      </c>
      <c r="EH38" s="2" t="s">
        <v>46</v>
      </c>
      <c r="EI38" s="2" t="s">
        <v>47</v>
      </c>
      <c r="EJ38" s="2" t="s">
        <v>3985</v>
      </c>
      <c r="EK38" s="2" t="s">
        <v>333</v>
      </c>
      <c r="EL38" s="2" t="s">
        <v>44</v>
      </c>
      <c r="EM38" s="2">
        <v>86</v>
      </c>
      <c r="EN38" s="2" t="s">
        <v>45</v>
      </c>
      <c r="EO38" s="2">
        <v>4</v>
      </c>
      <c r="EP38" s="2" t="s">
        <v>46</v>
      </c>
      <c r="EQ38" s="2" t="s">
        <v>47</v>
      </c>
      <c r="ER38" s="2" t="s">
        <v>3986</v>
      </c>
      <c r="ES38" s="2"/>
      <c r="ET38" s="2" t="s">
        <v>3987</v>
      </c>
      <c r="EU38" s="2" t="s">
        <v>3988</v>
      </c>
      <c r="EV38" s="2" t="s">
        <v>3989</v>
      </c>
      <c r="EW38" s="2" t="s">
        <v>3990</v>
      </c>
      <c r="EX38" s="2" t="s">
        <v>39</v>
      </c>
      <c r="EY38" s="2">
        <v>33304</v>
      </c>
      <c r="EZ38" s="2" t="s">
        <v>3991</v>
      </c>
      <c r="FA38" s="2"/>
      <c r="FB38" s="2" t="s">
        <v>3992</v>
      </c>
      <c r="FC38" s="2" t="s">
        <v>343</v>
      </c>
      <c r="FD38" s="2"/>
      <c r="FE38" s="2" t="s">
        <v>344</v>
      </c>
      <c r="FF38" s="2" t="s">
        <v>345</v>
      </c>
      <c r="FG38" s="2" t="s">
        <v>346</v>
      </c>
      <c r="FH38" s="2" t="s">
        <v>347</v>
      </c>
      <c r="FI38" s="2" t="s">
        <v>39</v>
      </c>
      <c r="FJ38" s="2">
        <v>33309</v>
      </c>
      <c r="FK38" s="2" t="s">
        <v>348</v>
      </c>
      <c r="FL38" s="2"/>
      <c r="FM38" s="2" t="s">
        <v>349</v>
      </c>
      <c r="FN38" s="2" t="s">
        <v>3993</v>
      </c>
      <c r="FO38" s="2" t="s">
        <v>63</v>
      </c>
      <c r="FP38" s="2" t="s">
        <v>64</v>
      </c>
      <c r="FQ38" s="2" t="s">
        <v>9</v>
      </c>
      <c r="FR38" s="2" t="s">
        <v>17</v>
      </c>
      <c r="FS38" s="2" t="s">
        <v>17</v>
      </c>
      <c r="FT38" s="2" t="s">
        <v>9</v>
      </c>
      <c r="FU38" s="2"/>
      <c r="FV38" s="2"/>
      <c r="FW38" s="2">
        <v>0</v>
      </c>
      <c r="FX38" s="2">
        <v>0</v>
      </c>
      <c r="FY38" s="4">
        <v>0</v>
      </c>
      <c r="FZ38" s="4">
        <v>0</v>
      </c>
      <c r="GA38" s="2" t="s">
        <v>65</v>
      </c>
      <c r="GB38" s="2"/>
      <c r="GC38" s="2" t="s">
        <v>66</v>
      </c>
      <c r="GD38" s="2" t="s">
        <v>67</v>
      </c>
      <c r="GE38" s="2" t="s">
        <v>2684</v>
      </c>
      <c r="GF38" s="2"/>
      <c r="GG38" s="2"/>
      <c r="GH38" s="2"/>
      <c r="GI38" s="2"/>
      <c r="GJ38" s="2"/>
      <c r="GK38" s="2">
        <v>90</v>
      </c>
      <c r="GL38" s="2"/>
      <c r="GM38" s="2"/>
      <c r="GN38" s="2"/>
      <c r="GO38" s="2"/>
      <c r="GP38" s="2"/>
      <c r="GQ38" s="2">
        <v>90</v>
      </c>
      <c r="GR38" s="2" t="s">
        <v>3332</v>
      </c>
      <c r="GS38" s="2" t="s">
        <v>2686</v>
      </c>
      <c r="GT38" s="2" t="s">
        <v>3994</v>
      </c>
      <c r="GU38" s="2" t="s">
        <v>299</v>
      </c>
      <c r="GV38" s="2" t="s">
        <v>17</v>
      </c>
      <c r="GW38" s="2">
        <v>25.832101000000002</v>
      </c>
      <c r="GX38" s="2">
        <v>-80.224692000000005</v>
      </c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>
        <v>25.832371999999999</v>
      </c>
      <c r="HS38" s="2">
        <v>-80.241178000000005</v>
      </c>
      <c r="HT38" s="2">
        <v>1.03</v>
      </c>
      <c r="HU38" s="2">
        <v>4</v>
      </c>
      <c r="HV38" s="2" t="s">
        <v>359</v>
      </c>
      <c r="HW38" s="2" t="s">
        <v>3995</v>
      </c>
      <c r="HX38" s="2">
        <v>0.84</v>
      </c>
      <c r="HY38" s="2">
        <v>2.5</v>
      </c>
      <c r="HZ38" s="2"/>
      <c r="IA38" s="2"/>
      <c r="IB38" s="2"/>
      <c r="IC38" s="2"/>
      <c r="ID38" s="2" t="s">
        <v>224</v>
      </c>
      <c r="IE38" s="2">
        <v>0.76</v>
      </c>
      <c r="IF38" s="2">
        <v>2.5</v>
      </c>
      <c r="IG38" s="2" t="s">
        <v>3996</v>
      </c>
      <c r="IH38" s="2">
        <v>0.68</v>
      </c>
      <c r="II38" s="2">
        <v>3.5</v>
      </c>
      <c r="IJ38" s="2" t="s">
        <v>17</v>
      </c>
      <c r="IK38" s="2"/>
      <c r="IL38" s="2" t="s">
        <v>79</v>
      </c>
      <c r="IM38" s="2" t="s">
        <v>17</v>
      </c>
      <c r="IN38" s="2"/>
      <c r="IO38" s="2" t="s">
        <v>79</v>
      </c>
      <c r="IP38" s="2">
        <v>4</v>
      </c>
      <c r="IQ38" s="2">
        <v>8.5</v>
      </c>
      <c r="IR38" s="2">
        <v>12.5</v>
      </c>
      <c r="IS38" s="2" t="s">
        <v>17</v>
      </c>
      <c r="IT38" s="2" t="s">
        <v>17</v>
      </c>
      <c r="IU38" s="2" t="s">
        <v>17</v>
      </c>
      <c r="IV38" s="2" t="s">
        <v>9</v>
      </c>
      <c r="IW38" s="2" t="s">
        <v>9</v>
      </c>
      <c r="IX38" s="2" t="s">
        <v>9</v>
      </c>
      <c r="IY38" s="2">
        <v>12.5</v>
      </c>
      <c r="IZ38" s="2">
        <v>90</v>
      </c>
      <c r="JA38" s="2" t="s">
        <v>3085</v>
      </c>
      <c r="JB38" s="2"/>
      <c r="JC38" s="2" t="s">
        <v>82</v>
      </c>
      <c r="JD38" s="2"/>
      <c r="JE38" s="2"/>
      <c r="JF38" s="7">
        <v>0</v>
      </c>
      <c r="JG38" s="7"/>
      <c r="JH38" s="7"/>
      <c r="JI38" s="2">
        <v>0</v>
      </c>
      <c r="JJ38" s="7">
        <v>0</v>
      </c>
      <c r="JK38" s="2">
        <v>0</v>
      </c>
      <c r="JL38" s="7">
        <v>0</v>
      </c>
      <c r="JM38" s="2">
        <v>14</v>
      </c>
      <c r="JN38" s="2"/>
      <c r="JO38" s="2"/>
      <c r="JP38" s="2">
        <v>48</v>
      </c>
      <c r="JQ38" s="2">
        <v>14</v>
      </c>
      <c r="JR38" s="2">
        <v>14</v>
      </c>
      <c r="JS38" s="2">
        <v>0</v>
      </c>
      <c r="JT38" s="2">
        <v>0</v>
      </c>
      <c r="JU38" s="2"/>
      <c r="JV38" s="2">
        <v>90</v>
      </c>
      <c r="JW38" s="4">
        <v>1</v>
      </c>
      <c r="JX38" s="2">
        <v>90</v>
      </c>
      <c r="JY38" s="4">
        <v>0.6</v>
      </c>
      <c r="JZ38" s="2">
        <v>0</v>
      </c>
      <c r="KA38" s="2"/>
      <c r="KB38" s="2"/>
      <c r="KC38" s="2"/>
      <c r="KD38" s="2"/>
      <c r="KE38" s="2"/>
      <c r="KF38" s="2"/>
      <c r="KG38" s="2"/>
      <c r="KH38" s="2">
        <v>78</v>
      </c>
      <c r="KI38" s="2"/>
      <c r="KJ38" s="2"/>
      <c r="KK38" s="2">
        <v>12</v>
      </c>
      <c r="KL38" s="2"/>
      <c r="KM38" s="2"/>
      <c r="KN38" s="2"/>
      <c r="KO38" s="2"/>
      <c r="KP38" s="2"/>
      <c r="KQ38" s="2" t="s">
        <v>83</v>
      </c>
      <c r="KR38" s="2"/>
      <c r="KS38" s="2" t="s">
        <v>73</v>
      </c>
      <c r="KT38" s="2">
        <v>1</v>
      </c>
      <c r="KU38" s="2" t="s">
        <v>84</v>
      </c>
      <c r="KV38" s="2" t="s">
        <v>85</v>
      </c>
      <c r="KW38" s="2" t="s">
        <v>86</v>
      </c>
      <c r="KX38" s="2" t="s">
        <v>17</v>
      </c>
      <c r="KY38" s="2" t="s">
        <v>17</v>
      </c>
      <c r="KZ38" s="2" t="s">
        <v>17</v>
      </c>
      <c r="LA38" s="2" t="s">
        <v>17</v>
      </c>
      <c r="LB38" s="2" t="s">
        <v>17</v>
      </c>
      <c r="LC38" s="2" t="s">
        <v>17</v>
      </c>
      <c r="LD38" s="2" t="s">
        <v>17</v>
      </c>
      <c r="LE38" s="2" t="s">
        <v>17</v>
      </c>
      <c r="LF38" s="2" t="s">
        <v>17</v>
      </c>
      <c r="LG38" s="2" t="s">
        <v>17</v>
      </c>
      <c r="LH38" s="2" t="s">
        <v>17</v>
      </c>
      <c r="LI38" s="2" t="s">
        <v>17</v>
      </c>
      <c r="LJ38" s="2" t="s">
        <v>87</v>
      </c>
      <c r="LK38" s="2" t="s">
        <v>17</v>
      </c>
      <c r="LL38" s="2" t="s">
        <v>17</v>
      </c>
      <c r="LM38" s="2">
        <v>0</v>
      </c>
      <c r="LN38" s="2" t="s">
        <v>17</v>
      </c>
      <c r="LO38" s="2" t="s">
        <v>17</v>
      </c>
      <c r="LP38" s="2" t="s">
        <v>17</v>
      </c>
      <c r="LQ38" s="2" t="s">
        <v>17</v>
      </c>
      <c r="LR38" s="2" t="s">
        <v>17</v>
      </c>
      <c r="LS38" s="2" t="s">
        <v>17</v>
      </c>
      <c r="LT38" s="2" t="s">
        <v>9</v>
      </c>
      <c r="LU38" s="2" t="s">
        <v>9</v>
      </c>
      <c r="LV38" s="2" t="s">
        <v>9</v>
      </c>
      <c r="LW38" s="2" t="s">
        <v>17</v>
      </c>
      <c r="LX38" s="2" t="s">
        <v>17</v>
      </c>
      <c r="LY38" s="5">
        <v>6500000</v>
      </c>
      <c r="LZ38" s="5">
        <v>0</v>
      </c>
      <c r="MA38" s="5">
        <v>8400000</v>
      </c>
      <c r="MB38" s="5">
        <v>0</v>
      </c>
      <c r="MC38" s="5">
        <v>0</v>
      </c>
      <c r="MD38" s="5">
        <v>0</v>
      </c>
      <c r="ME38" s="5">
        <v>9450000</v>
      </c>
      <c r="MF38" s="5">
        <v>0</v>
      </c>
      <c r="MG38" s="5">
        <v>0</v>
      </c>
      <c r="MH38" s="5">
        <v>0</v>
      </c>
      <c r="MI38" s="5">
        <v>0</v>
      </c>
      <c r="MJ38" s="5">
        <v>0</v>
      </c>
      <c r="MK38" s="5">
        <v>0</v>
      </c>
      <c r="ML38" s="2">
        <v>0</v>
      </c>
      <c r="MM38" s="5">
        <v>0</v>
      </c>
      <c r="MN38" s="5">
        <v>0</v>
      </c>
      <c r="MO38" s="2">
        <v>0</v>
      </c>
      <c r="MP38" s="2">
        <v>0</v>
      </c>
      <c r="MQ38" s="2">
        <v>0</v>
      </c>
      <c r="MR38" s="5">
        <v>2950000</v>
      </c>
      <c r="MS38" s="5">
        <v>0</v>
      </c>
      <c r="MT38" s="5">
        <v>4600000</v>
      </c>
      <c r="MU38" s="5">
        <v>0</v>
      </c>
      <c r="MV38" s="5">
        <v>0</v>
      </c>
      <c r="MW38" s="5">
        <v>0</v>
      </c>
      <c r="MX38" s="5">
        <v>0</v>
      </c>
      <c r="MY38" s="5">
        <v>2500000</v>
      </c>
      <c r="MZ38" s="5">
        <v>0</v>
      </c>
      <c r="NA38" s="5">
        <v>5000000</v>
      </c>
      <c r="NB38" s="5">
        <v>0</v>
      </c>
      <c r="NC38" s="5">
        <v>0</v>
      </c>
      <c r="ND38" s="5">
        <v>0</v>
      </c>
      <c r="NE38" s="5">
        <v>0</v>
      </c>
      <c r="NF38" s="5">
        <v>0</v>
      </c>
      <c r="NG38" s="5">
        <v>3458400</v>
      </c>
      <c r="NH38" s="5">
        <v>2950000</v>
      </c>
      <c r="NI38" s="5">
        <v>2950000</v>
      </c>
      <c r="NJ38" s="5"/>
      <c r="NK38" s="5">
        <v>0</v>
      </c>
      <c r="NL38" s="2" t="s">
        <v>17</v>
      </c>
      <c r="NM38" s="2" t="s">
        <v>17</v>
      </c>
      <c r="NN38" s="2"/>
      <c r="NO38" s="2" t="s">
        <v>17</v>
      </c>
      <c r="NP38" s="2"/>
      <c r="NQ38" s="2"/>
      <c r="NR38" s="2" t="s">
        <v>17</v>
      </c>
      <c r="NS38" s="2"/>
      <c r="NT38" s="2" t="s">
        <v>9</v>
      </c>
      <c r="NU38" s="2" t="s">
        <v>450</v>
      </c>
      <c r="NV38" s="2">
        <v>15.01</v>
      </c>
      <c r="NW38" s="2" t="s">
        <v>3342</v>
      </c>
      <c r="NX38" s="2"/>
      <c r="NY38" s="2"/>
      <c r="NZ38" s="2"/>
      <c r="OA38" s="2" t="s">
        <v>118</v>
      </c>
      <c r="OB38" s="2" t="s">
        <v>118</v>
      </c>
      <c r="OC38" s="2" t="s">
        <v>118</v>
      </c>
      <c r="OD38" s="2" t="s">
        <v>3384</v>
      </c>
      <c r="OE38" s="2" t="s">
        <v>85</v>
      </c>
      <c r="OF38" s="2" t="s">
        <v>17</v>
      </c>
      <c r="OG38" s="2" t="s">
        <v>17</v>
      </c>
      <c r="OH38" s="2" t="s">
        <v>119</v>
      </c>
      <c r="OI38" s="2" t="s">
        <v>17</v>
      </c>
      <c r="OJ38" s="2"/>
      <c r="OK38" s="2" t="s">
        <v>17</v>
      </c>
      <c r="OL38" s="2" t="s">
        <v>17</v>
      </c>
      <c r="OM38" s="2" t="s">
        <v>85</v>
      </c>
      <c r="ON38" s="6">
        <v>0</v>
      </c>
      <c r="OO38" s="6">
        <v>0</v>
      </c>
      <c r="OP38" s="2" t="s">
        <v>93</v>
      </c>
      <c r="OQ38" s="2" t="s">
        <v>93</v>
      </c>
      <c r="OR38" s="6">
        <v>0</v>
      </c>
      <c r="OS38" s="4">
        <v>0</v>
      </c>
      <c r="OT38" s="2" t="s">
        <v>17</v>
      </c>
      <c r="OU38" s="2" t="s">
        <v>17</v>
      </c>
      <c r="OV38" s="2"/>
      <c r="OW38" s="2"/>
      <c r="OX38" s="5">
        <v>18940770</v>
      </c>
      <c r="OY38" s="6">
        <v>210453</v>
      </c>
      <c r="OZ38" s="2"/>
      <c r="PA38" s="2"/>
      <c r="PB38" s="2"/>
      <c r="PC38" s="2"/>
      <c r="PD38" s="8">
        <v>19027301</v>
      </c>
      <c r="PE38" s="8">
        <v>446105</v>
      </c>
      <c r="PF38" s="8">
        <v>19473406</v>
      </c>
      <c r="PG38" s="2"/>
      <c r="PH38" s="8">
        <v>100000</v>
      </c>
      <c r="PI38" s="8">
        <v>100000</v>
      </c>
      <c r="PJ38" s="8">
        <v>310000</v>
      </c>
      <c r="PK38" s="2"/>
      <c r="PL38" s="8">
        <v>310000</v>
      </c>
      <c r="PM38" s="8">
        <v>19337301</v>
      </c>
      <c r="PN38" s="8">
        <v>546105</v>
      </c>
      <c r="PO38" s="8">
        <v>19883406</v>
      </c>
      <c r="PP38" s="8">
        <v>2731828</v>
      </c>
      <c r="PQ38" s="2"/>
      <c r="PR38" s="8">
        <v>2731828</v>
      </c>
      <c r="PS38" s="6">
        <v>2783676</v>
      </c>
      <c r="PT38" s="8">
        <v>22069129</v>
      </c>
      <c r="PU38" s="8">
        <v>546105</v>
      </c>
      <c r="PV38" s="8">
        <v>22615234</v>
      </c>
      <c r="PW38" s="8">
        <v>1003736</v>
      </c>
      <c r="PX38" s="8">
        <v>111526</v>
      </c>
      <c r="PY38" s="8">
        <v>1115262</v>
      </c>
      <c r="PZ38" s="6">
        <v>1130761.7</v>
      </c>
      <c r="QA38" s="8">
        <v>1070100</v>
      </c>
      <c r="QB38" s="8">
        <v>407975</v>
      </c>
      <c r="QC38" s="8">
        <v>1478075</v>
      </c>
      <c r="QD38" s="8">
        <v>270000</v>
      </c>
      <c r="QE38" s="8">
        <v>30000</v>
      </c>
      <c r="QF38" s="8">
        <v>300000</v>
      </c>
      <c r="QG38" s="8">
        <v>557373</v>
      </c>
      <c r="QH38" s="8">
        <v>30000</v>
      </c>
      <c r="QI38" s="8">
        <v>587373</v>
      </c>
      <c r="QJ38" s="2"/>
      <c r="QK38" s="8">
        <v>530100</v>
      </c>
      <c r="QL38" s="8">
        <v>530100</v>
      </c>
      <c r="QM38" s="2"/>
      <c r="QN38" s="2"/>
      <c r="QO38" s="2"/>
      <c r="QP38" s="2"/>
      <c r="QQ38" s="2"/>
      <c r="QR38" s="2"/>
      <c r="QS38" s="8">
        <v>1897473</v>
      </c>
      <c r="QT38" s="8">
        <v>998075</v>
      </c>
      <c r="QU38" s="8">
        <v>2895548</v>
      </c>
      <c r="QV38" s="8">
        <v>72000</v>
      </c>
      <c r="QW38" s="8">
        <v>72000</v>
      </c>
      <c r="QX38" s="8">
        <v>144000</v>
      </c>
      <c r="QY38" s="6">
        <v>144777.4</v>
      </c>
      <c r="QZ38" s="8">
        <v>1024000</v>
      </c>
      <c r="RA38" s="8">
        <v>1050000</v>
      </c>
      <c r="RB38" s="8">
        <v>2074000</v>
      </c>
      <c r="RC38" s="8">
        <v>77500</v>
      </c>
      <c r="RD38" s="8">
        <v>77500</v>
      </c>
      <c r="RE38" s="2"/>
      <c r="RF38" s="2"/>
      <c r="RG38" s="2"/>
      <c r="RH38" s="8">
        <v>1024000</v>
      </c>
      <c r="RI38" s="8">
        <v>1127500</v>
      </c>
      <c r="RJ38" s="8">
        <v>2151500</v>
      </c>
      <c r="RK38" s="8">
        <v>26066338</v>
      </c>
      <c r="RL38" s="8">
        <v>2855206</v>
      </c>
      <c r="RM38" s="8">
        <v>28921544</v>
      </c>
      <c r="RN38" s="2">
        <v>0</v>
      </c>
      <c r="RO38" s="6">
        <v>0</v>
      </c>
      <c r="RP38" s="8">
        <v>4626514</v>
      </c>
      <c r="RQ38" s="2"/>
      <c r="RR38" s="8">
        <v>4626514</v>
      </c>
      <c r="RS38" s="6">
        <v>4627447</v>
      </c>
      <c r="RT38" s="6">
        <v>0</v>
      </c>
      <c r="RU38" s="8">
        <v>4626514</v>
      </c>
      <c r="RV38" s="2"/>
      <c r="RW38" s="8">
        <v>4626514</v>
      </c>
      <c r="RX38" s="6">
        <v>4627447</v>
      </c>
      <c r="RY38" s="8">
        <v>315000</v>
      </c>
      <c r="RZ38" s="8">
        <v>315000</v>
      </c>
      <c r="SA38" s="6">
        <v>315000</v>
      </c>
      <c r="SB38" s="8">
        <v>1000</v>
      </c>
      <c r="SC38" s="8">
        <v>1000</v>
      </c>
      <c r="SD38" s="8">
        <v>30692852</v>
      </c>
      <c r="SE38" s="8">
        <v>3171206</v>
      </c>
      <c r="SF38" s="8">
        <v>33864058</v>
      </c>
      <c r="SG38" s="2" t="s">
        <v>229</v>
      </c>
      <c r="SH38" s="2" t="s">
        <v>3997</v>
      </c>
      <c r="SI38" s="2"/>
      <c r="SJ38" s="2"/>
      <c r="SK38" s="8">
        <v>23000000</v>
      </c>
      <c r="SL38" s="2" t="s">
        <v>95</v>
      </c>
      <c r="SM38" s="2"/>
      <c r="SN38" s="2"/>
      <c r="SO38" s="2"/>
      <c r="SP38" s="2"/>
      <c r="SQ38" s="2"/>
      <c r="SR38" s="2"/>
      <c r="SS38" s="2" t="s">
        <v>96</v>
      </c>
      <c r="ST38" s="2" t="s">
        <v>96</v>
      </c>
      <c r="SU38" s="2" t="s">
        <v>96</v>
      </c>
      <c r="SV38" s="2" t="s">
        <v>96</v>
      </c>
      <c r="SW38" s="8">
        <v>16105389.199999999</v>
      </c>
      <c r="SX38" s="2"/>
      <c r="SY38" s="2"/>
      <c r="SZ38" s="2"/>
      <c r="TA38" s="2"/>
      <c r="TB38" s="2"/>
      <c r="TC38" s="2"/>
      <c r="TD38" s="2">
        <v>0</v>
      </c>
      <c r="TE38" s="8">
        <v>39105389.200000003</v>
      </c>
      <c r="TF38" s="8">
        <v>5241331.2</v>
      </c>
      <c r="TG38" s="2" t="s">
        <v>9</v>
      </c>
      <c r="TH38" s="8">
        <v>3500000</v>
      </c>
      <c r="TI38" s="2" t="s">
        <v>95</v>
      </c>
      <c r="TJ38" s="2"/>
      <c r="TK38" s="2"/>
      <c r="TL38" s="2"/>
      <c r="TM38" s="2"/>
      <c r="TN38" s="2" t="s">
        <v>96</v>
      </c>
      <c r="TO38" s="2" t="s">
        <v>96</v>
      </c>
      <c r="TP38" s="2" t="s">
        <v>96</v>
      </c>
      <c r="TQ38" s="2" t="s">
        <v>96</v>
      </c>
      <c r="TR38" s="8">
        <v>26842315</v>
      </c>
      <c r="TS38" s="2"/>
      <c r="TT38" s="2"/>
      <c r="TU38" s="2"/>
      <c r="TV38" s="2"/>
      <c r="TW38" s="2"/>
      <c r="TX38" s="2"/>
      <c r="TY38" s="8">
        <v>3521743</v>
      </c>
      <c r="TZ38" s="8">
        <v>33864058</v>
      </c>
      <c r="UA38" s="6">
        <v>3500000</v>
      </c>
      <c r="UB38" s="2">
        <v>0</v>
      </c>
      <c r="UC38" s="2" t="s">
        <v>9</v>
      </c>
      <c r="UD38" s="2">
        <v>90</v>
      </c>
      <c r="UE38" s="5">
        <v>310000</v>
      </c>
      <c r="UF38" s="6">
        <v>413333.33</v>
      </c>
      <c r="UG38" s="6">
        <v>413333.33</v>
      </c>
      <c r="UH38" s="6">
        <v>438133.33</v>
      </c>
      <c r="UI38" s="6">
        <v>39432000</v>
      </c>
      <c r="UJ38" s="6">
        <v>6309120</v>
      </c>
      <c r="UK38" s="2" t="s">
        <v>97</v>
      </c>
      <c r="UL38" s="6">
        <v>6309120</v>
      </c>
      <c r="UM38" s="6">
        <v>45741120</v>
      </c>
      <c r="UN38" s="6">
        <v>33548058</v>
      </c>
      <c r="UO38" s="4">
        <v>0.99990000000000001</v>
      </c>
      <c r="UP38" s="2" t="s">
        <v>9</v>
      </c>
      <c r="UQ38" s="6">
        <v>0</v>
      </c>
      <c r="UR38" s="6">
        <v>0</v>
      </c>
      <c r="US38" s="6">
        <v>369397.48</v>
      </c>
      <c r="UT38" s="6">
        <v>369397.48</v>
      </c>
      <c r="UU38" s="6">
        <v>0</v>
      </c>
      <c r="UV38" s="6">
        <v>369397.48</v>
      </c>
      <c r="UW38" s="6">
        <v>0</v>
      </c>
      <c r="UX38" s="6">
        <v>369397.48</v>
      </c>
      <c r="UY38" s="2" t="s">
        <v>3387</v>
      </c>
      <c r="UZ38" s="2" t="s">
        <v>3288</v>
      </c>
      <c r="VA38" s="2" t="s">
        <v>17</v>
      </c>
      <c r="VB38" s="2" t="s">
        <v>17</v>
      </c>
      <c r="VC38" s="2" t="s">
        <v>17</v>
      </c>
      <c r="VD38" s="2" t="s">
        <v>17</v>
      </c>
      <c r="VE38" s="2" t="s">
        <v>17</v>
      </c>
      <c r="VF38" s="2" t="s">
        <v>17</v>
      </c>
      <c r="VG38" s="2" t="s">
        <v>3998</v>
      </c>
      <c r="VH38" s="2"/>
      <c r="VI38" s="388" t="s">
        <v>3999</v>
      </c>
      <c r="VJ38" s="2" t="s">
        <v>98</v>
      </c>
      <c r="VK38" s="2" t="s">
        <v>4000</v>
      </c>
      <c r="VL38" s="23">
        <f t="shared" si="21"/>
        <v>102</v>
      </c>
      <c r="VM38" s="17">
        <f t="shared" si="22"/>
        <v>1.1333333333333333</v>
      </c>
      <c r="VN38" s="17" t="str">
        <f t="shared" si="2"/>
        <v>NC-HR-E</v>
      </c>
      <c r="VO38" s="17" t="str">
        <f t="shared" si="14"/>
        <v>NC-HR-E-ESS</v>
      </c>
      <c r="VP38" s="12">
        <v>9</v>
      </c>
      <c r="VQ38" s="57">
        <v>1</v>
      </c>
      <c r="VR38" s="57">
        <f t="shared" si="3"/>
        <v>1</v>
      </c>
      <c r="VS38" s="14">
        <f t="shared" si="4"/>
        <v>1</v>
      </c>
      <c r="VT38" s="12">
        <f t="shared" si="5"/>
        <v>0.88349999999999995</v>
      </c>
      <c r="VU38" s="29">
        <f t="shared" si="6"/>
        <v>23456925</v>
      </c>
      <c r="VV38" s="29">
        <f t="shared" si="23"/>
        <v>260632.5</v>
      </c>
      <c r="VW38" s="12" t="str">
        <f t="shared" si="15"/>
        <v>A</v>
      </c>
      <c r="VX38" s="12" t="str">
        <f t="shared" si="24"/>
        <v>NC-HR-ESS</v>
      </c>
      <c r="VY38" s="352">
        <f t="shared" si="16"/>
        <v>5</v>
      </c>
      <c r="WA38" s="12">
        <f t="shared" si="17"/>
        <v>1</v>
      </c>
      <c r="WB38" s="12">
        <f t="shared" si="18"/>
        <v>0</v>
      </c>
      <c r="WC38" s="12">
        <f t="shared" si="18"/>
        <v>0</v>
      </c>
      <c r="WD38" s="12">
        <f t="shared" si="18"/>
        <v>0</v>
      </c>
      <c r="WE38" s="12">
        <f t="shared" si="19"/>
        <v>1</v>
      </c>
      <c r="WF38" s="12">
        <f t="shared" si="25"/>
        <v>0</v>
      </c>
      <c r="WG38" s="12">
        <f t="shared" si="26"/>
        <v>0</v>
      </c>
      <c r="WH38" s="12">
        <f t="shared" si="27"/>
        <v>1</v>
      </c>
      <c r="WI38" s="22">
        <f t="shared" si="28"/>
        <v>3</v>
      </c>
      <c r="WJ38" s="2"/>
      <c r="WK38" s="444" t="str">
        <f t="shared" si="20"/>
        <v>NC-HR-ESS-BBN-BRN-NPH-E</v>
      </c>
      <c r="WL38" s="444"/>
      <c r="WM38" s="444"/>
    </row>
    <row r="39" spans="1:611" x14ac:dyDescent="0.25">
      <c r="A39" s="2">
        <v>9634</v>
      </c>
      <c r="B39" s="2" t="s">
        <v>4001</v>
      </c>
      <c r="C39" s="2" t="s">
        <v>3305</v>
      </c>
      <c r="D39" s="3">
        <v>45100</v>
      </c>
      <c r="E39" s="2" t="s">
        <v>9</v>
      </c>
      <c r="F39" s="2">
        <v>3</v>
      </c>
      <c r="G39" s="2" t="s">
        <v>9</v>
      </c>
      <c r="H39" s="2">
        <v>3</v>
      </c>
      <c r="I39" s="2" t="s">
        <v>9</v>
      </c>
      <c r="J39" s="2">
        <v>3</v>
      </c>
      <c r="K39" s="2" t="s">
        <v>9</v>
      </c>
      <c r="L39" s="2">
        <v>3</v>
      </c>
      <c r="M39" s="2" t="s">
        <v>10</v>
      </c>
      <c r="N39" s="2">
        <v>0</v>
      </c>
      <c r="O39" s="2" t="s">
        <v>10</v>
      </c>
      <c r="P39" s="2">
        <v>0</v>
      </c>
      <c r="Q39" s="2" t="s">
        <v>11</v>
      </c>
      <c r="R39" s="2">
        <v>0</v>
      </c>
      <c r="S39" s="2" t="s">
        <v>9</v>
      </c>
      <c r="T39" s="2">
        <v>2</v>
      </c>
      <c r="U39" s="2" t="s">
        <v>9</v>
      </c>
      <c r="V39" s="2">
        <v>2</v>
      </c>
      <c r="W39" s="2" t="s">
        <v>9</v>
      </c>
      <c r="X39" s="2">
        <v>2</v>
      </c>
      <c r="Y39" s="2" t="s">
        <v>12</v>
      </c>
      <c r="Z39" s="2" t="s">
        <v>15</v>
      </c>
      <c r="AA39" s="2" t="s">
        <v>15</v>
      </c>
      <c r="AB39" s="2" t="s">
        <v>15</v>
      </c>
      <c r="AC39" s="2" t="s">
        <v>15</v>
      </c>
      <c r="AD39" s="2" t="s">
        <v>434</v>
      </c>
      <c r="AE39" s="2" t="s">
        <v>15</v>
      </c>
      <c r="AF39" s="2">
        <v>0</v>
      </c>
      <c r="AG39" s="2" t="s">
        <v>234</v>
      </c>
      <c r="AH39" s="2" t="s">
        <v>17</v>
      </c>
      <c r="AI39" s="4">
        <v>0.16327</v>
      </c>
      <c r="AJ39" s="2" t="s">
        <v>17</v>
      </c>
      <c r="AK39" s="2" t="s">
        <v>9</v>
      </c>
      <c r="AL39" s="2" t="s">
        <v>9</v>
      </c>
      <c r="AM39" s="2" t="s">
        <v>17</v>
      </c>
      <c r="AN39" s="2" t="s">
        <v>17</v>
      </c>
      <c r="AO39" s="2" t="s">
        <v>9</v>
      </c>
      <c r="AP39" s="2" t="s">
        <v>17</v>
      </c>
      <c r="AQ39" s="2" t="s">
        <v>17</v>
      </c>
      <c r="AR39" s="2" t="s">
        <v>17</v>
      </c>
      <c r="AS39" s="2" t="s">
        <v>17</v>
      </c>
      <c r="AT39" s="2">
        <v>5</v>
      </c>
      <c r="AU39" s="5">
        <v>100000</v>
      </c>
      <c r="AV39" s="2" t="s">
        <v>85</v>
      </c>
      <c r="AW39" s="2">
        <v>0</v>
      </c>
      <c r="AX39" s="2">
        <v>11</v>
      </c>
      <c r="AY39" s="2">
        <v>0</v>
      </c>
      <c r="AZ39" s="2">
        <v>18</v>
      </c>
      <c r="BA39" s="2">
        <v>0</v>
      </c>
      <c r="BB39" s="2">
        <v>0</v>
      </c>
      <c r="BC39" s="2">
        <v>1</v>
      </c>
      <c r="BD39" s="2">
        <v>5</v>
      </c>
      <c r="BE39" s="2">
        <v>0</v>
      </c>
      <c r="BF39" s="2">
        <v>1</v>
      </c>
      <c r="BG39" s="2">
        <v>0</v>
      </c>
      <c r="BH39" s="2">
        <v>0</v>
      </c>
      <c r="BI39" s="2">
        <v>13</v>
      </c>
      <c r="BJ39" s="2">
        <v>1</v>
      </c>
      <c r="BK39" s="2">
        <v>0</v>
      </c>
      <c r="BL39" s="2">
        <v>2</v>
      </c>
      <c r="BM39" s="2">
        <v>2</v>
      </c>
      <c r="BN39" s="2">
        <v>11</v>
      </c>
      <c r="BO39" s="2">
        <v>11</v>
      </c>
      <c r="BP39" s="2">
        <v>0</v>
      </c>
      <c r="BQ39" s="2">
        <v>10</v>
      </c>
      <c r="BR39" s="2">
        <v>9.27</v>
      </c>
      <c r="BS39" s="2">
        <v>0</v>
      </c>
      <c r="BT39" s="4">
        <v>0.06</v>
      </c>
      <c r="BU39" s="2" t="s">
        <v>9</v>
      </c>
      <c r="BV39" s="6">
        <v>210720.89</v>
      </c>
      <c r="BW39" s="2" t="s">
        <v>126</v>
      </c>
      <c r="BX39" s="2" t="s">
        <v>17</v>
      </c>
      <c r="BY39" s="2" t="s">
        <v>17</v>
      </c>
      <c r="BZ39" s="2" t="s">
        <v>17</v>
      </c>
      <c r="CA39" s="2" t="s">
        <v>17</v>
      </c>
      <c r="CB39" s="2" t="s">
        <v>17</v>
      </c>
      <c r="CC39" s="2" t="s">
        <v>17</v>
      </c>
      <c r="CD39" s="2" t="s">
        <v>17</v>
      </c>
      <c r="CE39" s="2" t="s">
        <v>4002</v>
      </c>
      <c r="CF39" s="2" t="s">
        <v>17</v>
      </c>
      <c r="CG39" s="2" t="s">
        <v>4003</v>
      </c>
      <c r="CH39" s="2"/>
      <c r="CI39" s="2"/>
      <c r="CJ39" s="2" t="s">
        <v>9</v>
      </c>
      <c r="CK39" s="2" t="s">
        <v>3937</v>
      </c>
      <c r="CL39" s="2" t="s">
        <v>4003</v>
      </c>
      <c r="CM39" s="2" t="s">
        <v>3938</v>
      </c>
      <c r="CN39" s="2" t="s">
        <v>2705</v>
      </c>
      <c r="CO39" s="2" t="s">
        <v>24</v>
      </c>
      <c r="CP39" s="2"/>
      <c r="CQ39" s="2">
        <v>120</v>
      </c>
      <c r="CR39" s="2" t="s">
        <v>4004</v>
      </c>
      <c r="CS39" s="2">
        <v>2019</v>
      </c>
      <c r="CT39" s="2" t="s">
        <v>26</v>
      </c>
      <c r="CU39" s="2" t="s">
        <v>27</v>
      </c>
      <c r="CV39" s="2" t="s">
        <v>3939</v>
      </c>
      <c r="CW39" s="2" t="s">
        <v>2705</v>
      </c>
      <c r="CX39" s="2" t="s">
        <v>24</v>
      </c>
      <c r="CY39" s="2"/>
      <c r="CZ39" s="2">
        <v>180</v>
      </c>
      <c r="DA39" s="2" t="s">
        <v>4004</v>
      </c>
      <c r="DB39" s="2">
        <v>2022</v>
      </c>
      <c r="DC39" s="2" t="s">
        <v>30</v>
      </c>
      <c r="DD39" s="2" t="s">
        <v>27</v>
      </c>
      <c r="DE39" s="2" t="s">
        <v>3940</v>
      </c>
      <c r="DF39" s="2" t="s">
        <v>3148</v>
      </c>
      <c r="DG39" s="2" t="s">
        <v>24</v>
      </c>
      <c r="DH39" s="2"/>
      <c r="DI39" s="2">
        <v>128</v>
      </c>
      <c r="DJ39" s="2" t="s">
        <v>4004</v>
      </c>
      <c r="DK39" s="2">
        <v>2019</v>
      </c>
      <c r="DL39" s="2" t="s">
        <v>30</v>
      </c>
      <c r="DM39" s="2" t="s">
        <v>27</v>
      </c>
      <c r="DN39" s="2" t="s">
        <v>33</v>
      </c>
      <c r="DO39" s="2" t="s">
        <v>738</v>
      </c>
      <c r="DP39" s="2"/>
      <c r="DQ39" s="2" t="s">
        <v>3941</v>
      </c>
      <c r="DR39" s="2" t="s">
        <v>3942</v>
      </c>
      <c r="DS39" s="2">
        <v>1</v>
      </c>
      <c r="DT39" s="2" t="s">
        <v>3943</v>
      </c>
      <c r="DU39" s="2" t="s">
        <v>3944</v>
      </c>
      <c r="DV39" s="2" t="s">
        <v>39</v>
      </c>
      <c r="DW39" s="2">
        <v>33156</v>
      </c>
      <c r="DX39" s="2" t="s">
        <v>3945</v>
      </c>
      <c r="DY39" s="2"/>
      <c r="DZ39" s="2" t="s">
        <v>3946</v>
      </c>
      <c r="EA39" s="2" t="s">
        <v>3942</v>
      </c>
      <c r="EB39" s="2" t="s">
        <v>3938</v>
      </c>
      <c r="EC39" s="2" t="s">
        <v>2705</v>
      </c>
      <c r="ED39" s="2" t="s">
        <v>44</v>
      </c>
      <c r="EE39" s="2">
        <v>120</v>
      </c>
      <c r="EF39" s="2" t="s">
        <v>4005</v>
      </c>
      <c r="EG39" s="2">
        <v>4</v>
      </c>
      <c r="EH39" s="2" t="s">
        <v>46</v>
      </c>
      <c r="EI39" s="2" t="s">
        <v>47</v>
      </c>
      <c r="EJ39" s="2" t="s">
        <v>3940</v>
      </c>
      <c r="EK39" s="2" t="s">
        <v>3148</v>
      </c>
      <c r="EL39" s="2" t="s">
        <v>44</v>
      </c>
      <c r="EM39" s="2">
        <v>128</v>
      </c>
      <c r="EN39" s="2" t="s">
        <v>4005</v>
      </c>
      <c r="EO39" s="2">
        <v>4</v>
      </c>
      <c r="EP39" s="2" t="s">
        <v>46</v>
      </c>
      <c r="EQ39" s="2" t="s">
        <v>47</v>
      </c>
      <c r="ER39" s="2" t="s">
        <v>3947</v>
      </c>
      <c r="ES39" s="2"/>
      <c r="ET39" s="2" t="s">
        <v>3948</v>
      </c>
      <c r="EU39" s="2" t="s">
        <v>3949</v>
      </c>
      <c r="EV39" s="2" t="s">
        <v>3950</v>
      </c>
      <c r="EW39" s="2" t="s">
        <v>299</v>
      </c>
      <c r="EX39" s="2" t="s">
        <v>39</v>
      </c>
      <c r="EY39" s="2">
        <v>33136</v>
      </c>
      <c r="EZ39" s="2" t="s">
        <v>3951</v>
      </c>
      <c r="FA39" s="2"/>
      <c r="FB39" s="2" t="s">
        <v>3952</v>
      </c>
      <c r="FC39" s="2" t="s">
        <v>3953</v>
      </c>
      <c r="FD39" s="2"/>
      <c r="FE39" s="2" t="s">
        <v>3954</v>
      </c>
      <c r="FF39" s="2" t="s">
        <v>3955</v>
      </c>
      <c r="FG39" s="2" t="s">
        <v>3950</v>
      </c>
      <c r="FH39" s="2" t="s">
        <v>299</v>
      </c>
      <c r="FI39" s="2" t="s">
        <v>39</v>
      </c>
      <c r="FJ39" s="2">
        <v>33136</v>
      </c>
      <c r="FK39" s="2" t="s">
        <v>3956</v>
      </c>
      <c r="FL39" s="2"/>
      <c r="FM39" s="2" t="s">
        <v>3957</v>
      </c>
      <c r="FN39" s="2" t="s">
        <v>4006</v>
      </c>
      <c r="FO39" s="2" t="s">
        <v>63</v>
      </c>
      <c r="FP39" s="2" t="s">
        <v>64</v>
      </c>
      <c r="FQ39" s="2" t="s">
        <v>9</v>
      </c>
      <c r="FR39" s="2" t="s">
        <v>17</v>
      </c>
      <c r="FS39" s="2" t="s">
        <v>17</v>
      </c>
      <c r="FT39" s="2" t="s">
        <v>9</v>
      </c>
      <c r="FU39" s="2"/>
      <c r="FV39" s="2"/>
      <c r="FW39" s="2">
        <v>0</v>
      </c>
      <c r="FX39" s="2">
        <v>0</v>
      </c>
      <c r="FY39" s="4">
        <v>0</v>
      </c>
      <c r="FZ39" s="4">
        <v>0</v>
      </c>
      <c r="GA39" s="2" t="s">
        <v>65</v>
      </c>
      <c r="GB39" s="2"/>
      <c r="GC39" s="2" t="s">
        <v>66</v>
      </c>
      <c r="GD39" s="2" t="s">
        <v>67</v>
      </c>
      <c r="GE39" s="2" t="s">
        <v>2684</v>
      </c>
      <c r="GF39" s="2"/>
      <c r="GG39" s="2"/>
      <c r="GH39" s="2"/>
      <c r="GI39" s="2"/>
      <c r="GJ39" s="2"/>
      <c r="GK39" s="2">
        <v>98</v>
      </c>
      <c r="GL39" s="2"/>
      <c r="GM39" s="2"/>
      <c r="GN39" s="2"/>
      <c r="GO39" s="2"/>
      <c r="GP39" s="2"/>
      <c r="GQ39" s="2">
        <v>98</v>
      </c>
      <c r="GR39" s="2" t="s">
        <v>3332</v>
      </c>
      <c r="GS39" s="2" t="s">
        <v>2686</v>
      </c>
      <c r="GT39" s="2" t="s">
        <v>4007</v>
      </c>
      <c r="GU39" s="2" t="s">
        <v>2720</v>
      </c>
      <c r="GV39" s="2" t="s">
        <v>17</v>
      </c>
      <c r="GW39" s="2">
        <v>25.603052000000002</v>
      </c>
      <c r="GX39" s="2">
        <v>-80.354777999999996</v>
      </c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>
        <v>25.603484999999999</v>
      </c>
      <c r="HO39" s="2">
        <v>-80.353138999999999</v>
      </c>
      <c r="HP39" s="2">
        <v>0.12</v>
      </c>
      <c r="HQ39" s="2">
        <v>6</v>
      </c>
      <c r="HR39" s="2"/>
      <c r="HS39" s="2"/>
      <c r="HT39" s="2"/>
      <c r="HU39" s="2"/>
      <c r="HV39" s="2" t="s">
        <v>549</v>
      </c>
      <c r="HW39" s="2" t="s">
        <v>4008</v>
      </c>
      <c r="HX39" s="2">
        <v>0.48</v>
      </c>
      <c r="HY39" s="2">
        <v>3.5</v>
      </c>
      <c r="HZ39" s="2"/>
      <c r="IA39" s="2"/>
      <c r="IB39" s="2"/>
      <c r="IC39" s="2"/>
      <c r="ID39" s="2" t="s">
        <v>224</v>
      </c>
      <c r="IE39" s="2">
        <v>0.46</v>
      </c>
      <c r="IF39" s="2">
        <v>3.5</v>
      </c>
      <c r="IG39" s="2" t="s">
        <v>3961</v>
      </c>
      <c r="IH39" s="2">
        <v>7.0000000000000007E-2</v>
      </c>
      <c r="II39" s="2">
        <v>4</v>
      </c>
      <c r="IJ39" s="2" t="s">
        <v>9</v>
      </c>
      <c r="IK39" s="2" t="s">
        <v>3962</v>
      </c>
      <c r="IL39" s="2" t="s">
        <v>3341</v>
      </c>
      <c r="IM39" s="2" t="s">
        <v>17</v>
      </c>
      <c r="IN39" s="2"/>
      <c r="IO39" s="2" t="s">
        <v>79</v>
      </c>
      <c r="IP39" s="2">
        <v>6</v>
      </c>
      <c r="IQ39" s="2">
        <v>11</v>
      </c>
      <c r="IR39" s="2">
        <v>17</v>
      </c>
      <c r="IS39" s="2" t="s">
        <v>17</v>
      </c>
      <c r="IT39" s="2" t="s">
        <v>17</v>
      </c>
      <c r="IU39" s="2" t="s">
        <v>9</v>
      </c>
      <c r="IV39" s="2" t="s">
        <v>9</v>
      </c>
      <c r="IW39" s="2" t="s">
        <v>9</v>
      </c>
      <c r="IX39" s="2" t="s">
        <v>9</v>
      </c>
      <c r="IY39" s="2">
        <v>17</v>
      </c>
      <c r="IZ39" s="2">
        <v>98</v>
      </c>
      <c r="JA39" s="2" t="s">
        <v>3085</v>
      </c>
      <c r="JB39" s="2"/>
      <c r="JC39" s="2" t="s">
        <v>82</v>
      </c>
      <c r="JD39" s="2"/>
      <c r="JE39" s="2"/>
      <c r="JF39" s="7">
        <v>0</v>
      </c>
      <c r="JG39" s="7"/>
      <c r="JH39" s="7"/>
      <c r="JI39" s="2">
        <v>0</v>
      </c>
      <c r="JJ39" s="7">
        <v>0</v>
      </c>
      <c r="JK39" s="2">
        <v>0</v>
      </c>
      <c r="JL39" s="7">
        <v>0</v>
      </c>
      <c r="JM39" s="2">
        <v>16</v>
      </c>
      <c r="JN39" s="2">
        <v>11</v>
      </c>
      <c r="JO39" s="2"/>
      <c r="JP39" s="2">
        <v>1</v>
      </c>
      <c r="JQ39" s="2">
        <v>70</v>
      </c>
      <c r="JR39" s="2"/>
      <c r="JS39" s="2">
        <v>0</v>
      </c>
      <c r="JT39" s="2">
        <v>0</v>
      </c>
      <c r="JU39" s="2"/>
      <c r="JV39" s="2">
        <v>98</v>
      </c>
      <c r="JW39" s="4">
        <v>1</v>
      </c>
      <c r="JX39" s="2">
        <v>98</v>
      </c>
      <c r="JY39" s="4">
        <v>0.6</v>
      </c>
      <c r="JZ39" s="2">
        <v>0</v>
      </c>
      <c r="KA39" s="2"/>
      <c r="KB39" s="2"/>
      <c r="KC39" s="2"/>
      <c r="KD39" s="2"/>
      <c r="KE39" s="2"/>
      <c r="KF39" s="2"/>
      <c r="KG39" s="2">
        <v>81</v>
      </c>
      <c r="KH39" s="2">
        <v>5</v>
      </c>
      <c r="KI39" s="2">
        <v>12</v>
      </c>
      <c r="KJ39" s="2"/>
      <c r="KK39" s="2"/>
      <c r="KL39" s="2"/>
      <c r="KM39" s="2"/>
      <c r="KN39" s="2"/>
      <c r="KO39" s="2"/>
      <c r="KP39" s="2"/>
      <c r="KQ39" s="2" t="s">
        <v>83</v>
      </c>
      <c r="KR39" s="2"/>
      <c r="KS39" s="2" t="s">
        <v>73</v>
      </c>
      <c r="KT39" s="2">
        <v>1</v>
      </c>
      <c r="KU39" s="2" t="s">
        <v>84</v>
      </c>
      <c r="KV39" s="2" t="s">
        <v>85</v>
      </c>
      <c r="KW39" s="2" t="s">
        <v>86</v>
      </c>
      <c r="KX39" s="2" t="s">
        <v>17</v>
      </c>
      <c r="KY39" s="2" t="s">
        <v>17</v>
      </c>
      <c r="KZ39" s="2" t="s">
        <v>17</v>
      </c>
      <c r="LA39" s="2" t="s">
        <v>17</v>
      </c>
      <c r="LB39" s="2" t="s">
        <v>17</v>
      </c>
      <c r="LC39" s="2" t="s">
        <v>17</v>
      </c>
      <c r="LD39" s="2" t="s">
        <v>17</v>
      </c>
      <c r="LE39" s="2" t="s">
        <v>17</v>
      </c>
      <c r="LF39" s="2" t="s">
        <v>17</v>
      </c>
      <c r="LG39" s="2" t="s">
        <v>17</v>
      </c>
      <c r="LH39" s="2" t="s">
        <v>17</v>
      </c>
      <c r="LI39" s="2" t="s">
        <v>17</v>
      </c>
      <c r="LJ39" s="2" t="s">
        <v>87</v>
      </c>
      <c r="LK39" s="2" t="s">
        <v>17</v>
      </c>
      <c r="LL39" s="2" t="s">
        <v>17</v>
      </c>
      <c r="LM39" s="2">
        <v>0</v>
      </c>
      <c r="LN39" s="2" t="s">
        <v>17</v>
      </c>
      <c r="LO39" s="2" t="s">
        <v>17</v>
      </c>
      <c r="LP39" s="2" t="s">
        <v>17</v>
      </c>
      <c r="LQ39" s="2" t="s">
        <v>17</v>
      </c>
      <c r="LR39" s="2" t="s">
        <v>17</v>
      </c>
      <c r="LS39" s="2" t="s">
        <v>17</v>
      </c>
      <c r="LT39" s="2" t="s">
        <v>17</v>
      </c>
      <c r="LU39" s="2" t="s">
        <v>9</v>
      </c>
      <c r="LV39" s="2" t="s">
        <v>9</v>
      </c>
      <c r="LW39" s="2" t="s">
        <v>9</v>
      </c>
      <c r="LX39" s="2" t="s">
        <v>17</v>
      </c>
      <c r="LY39" s="5">
        <v>6500000</v>
      </c>
      <c r="LZ39" s="5">
        <v>0</v>
      </c>
      <c r="MA39" s="5">
        <v>8400000</v>
      </c>
      <c r="MB39" s="5">
        <v>0</v>
      </c>
      <c r="MC39" s="5">
        <v>0</v>
      </c>
      <c r="MD39" s="5">
        <v>0</v>
      </c>
      <c r="ME39" s="5">
        <v>10000000</v>
      </c>
      <c r="MF39" s="5">
        <v>0</v>
      </c>
      <c r="MG39" s="5">
        <v>0</v>
      </c>
      <c r="MH39" s="5">
        <v>0</v>
      </c>
      <c r="MI39" s="5">
        <v>0</v>
      </c>
      <c r="MJ39" s="5">
        <v>0</v>
      </c>
      <c r="MK39" s="5">
        <v>0</v>
      </c>
      <c r="ML39" s="2">
        <v>0</v>
      </c>
      <c r="MM39" s="5">
        <v>0</v>
      </c>
      <c r="MN39" s="5">
        <v>0</v>
      </c>
      <c r="MO39" s="2">
        <v>0</v>
      </c>
      <c r="MP39" s="2">
        <v>0</v>
      </c>
      <c r="MQ39" s="2">
        <v>0</v>
      </c>
      <c r="MR39" s="5">
        <v>2950000</v>
      </c>
      <c r="MS39" s="5">
        <v>0</v>
      </c>
      <c r="MT39" s="5">
        <v>4600000</v>
      </c>
      <c r="MU39" s="5">
        <v>0</v>
      </c>
      <c r="MV39" s="5">
        <v>0</v>
      </c>
      <c r="MW39" s="5">
        <v>0</v>
      </c>
      <c r="MX39" s="5">
        <v>0</v>
      </c>
      <c r="MY39" s="5">
        <v>2500000</v>
      </c>
      <c r="MZ39" s="5">
        <v>0</v>
      </c>
      <c r="NA39" s="5">
        <v>5000000</v>
      </c>
      <c r="NB39" s="5">
        <v>0</v>
      </c>
      <c r="NC39" s="5">
        <v>0</v>
      </c>
      <c r="ND39" s="5">
        <v>0</v>
      </c>
      <c r="NE39" s="5">
        <v>0</v>
      </c>
      <c r="NF39" s="5">
        <v>0</v>
      </c>
      <c r="NG39" s="5">
        <v>3458400</v>
      </c>
      <c r="NH39" s="5">
        <v>3458399</v>
      </c>
      <c r="NI39" s="5">
        <v>3458399</v>
      </c>
      <c r="NJ39" s="5"/>
      <c r="NK39" s="5">
        <v>0</v>
      </c>
      <c r="NL39" s="2" t="s">
        <v>17</v>
      </c>
      <c r="NM39" s="2" t="s">
        <v>9</v>
      </c>
      <c r="NN39" s="2" t="s">
        <v>4009</v>
      </c>
      <c r="NO39" s="2" t="s">
        <v>17</v>
      </c>
      <c r="NP39" s="2"/>
      <c r="NQ39" s="2"/>
      <c r="NR39" s="2" t="s">
        <v>17</v>
      </c>
      <c r="NS39" s="2"/>
      <c r="NT39" s="2" t="s">
        <v>9</v>
      </c>
      <c r="NU39" s="2" t="s">
        <v>450</v>
      </c>
      <c r="NV39" s="2">
        <v>83.09</v>
      </c>
      <c r="NW39" s="2" t="s">
        <v>3342</v>
      </c>
      <c r="NX39" s="2"/>
      <c r="NY39" s="2"/>
      <c r="NZ39" s="2"/>
      <c r="OA39" s="2" t="s">
        <v>118</v>
      </c>
      <c r="OB39" s="2" t="s">
        <v>118</v>
      </c>
      <c r="OC39" s="2" t="s">
        <v>118</v>
      </c>
      <c r="OD39" s="2" t="s">
        <v>3343</v>
      </c>
      <c r="OE39" s="2" t="s">
        <v>3963</v>
      </c>
      <c r="OF39" s="2"/>
      <c r="OG39" s="2" t="s">
        <v>17</v>
      </c>
      <c r="OH39" s="2" t="s">
        <v>119</v>
      </c>
      <c r="OI39" s="2" t="s">
        <v>17</v>
      </c>
      <c r="OJ39" s="2"/>
      <c r="OK39" s="2" t="s">
        <v>17</v>
      </c>
      <c r="OL39" s="2" t="s">
        <v>17</v>
      </c>
      <c r="OM39" s="2" t="s">
        <v>85</v>
      </c>
      <c r="ON39" s="6">
        <v>0</v>
      </c>
      <c r="OO39" s="6">
        <v>0</v>
      </c>
      <c r="OP39" s="2" t="s">
        <v>93</v>
      </c>
      <c r="OQ39" s="2" t="s">
        <v>93</v>
      </c>
      <c r="OR39" s="6">
        <v>0</v>
      </c>
      <c r="OS39" s="4">
        <v>0</v>
      </c>
      <c r="OT39" s="2" t="s">
        <v>9</v>
      </c>
      <c r="OU39" s="2" t="s">
        <v>17</v>
      </c>
      <c r="OV39" s="2" t="s">
        <v>4010</v>
      </c>
      <c r="OW39" s="2"/>
      <c r="OX39" s="5">
        <v>20650647</v>
      </c>
      <c r="OY39" s="6">
        <v>210720.89</v>
      </c>
      <c r="OZ39" s="8">
        <v>400000</v>
      </c>
      <c r="PA39" s="8">
        <v>400000</v>
      </c>
      <c r="PB39" s="8">
        <v>272012</v>
      </c>
      <c r="PC39" s="8">
        <v>272012</v>
      </c>
      <c r="PD39" s="8">
        <v>16422704</v>
      </c>
      <c r="PE39" s="8">
        <v>470022</v>
      </c>
      <c r="PF39" s="8">
        <v>16892726</v>
      </c>
      <c r="PG39" s="8">
        <v>1190144</v>
      </c>
      <c r="PH39" s="8">
        <v>62639</v>
      </c>
      <c r="PI39" s="8">
        <v>1252783</v>
      </c>
      <c r="PJ39" s="2"/>
      <c r="PK39" s="2"/>
      <c r="PL39" s="2"/>
      <c r="PM39" s="8">
        <v>17612848</v>
      </c>
      <c r="PN39" s="8">
        <v>1204673</v>
      </c>
      <c r="PO39" s="8">
        <v>18817521</v>
      </c>
      <c r="PP39" s="8">
        <v>2632571</v>
      </c>
      <c r="PQ39" s="2"/>
      <c r="PR39" s="8">
        <v>2632571</v>
      </c>
      <c r="PS39" s="6">
        <v>2634452</v>
      </c>
      <c r="PT39" s="8">
        <v>20245419</v>
      </c>
      <c r="PU39" s="8">
        <v>1204673</v>
      </c>
      <c r="PV39" s="8">
        <v>21450092</v>
      </c>
      <c r="PW39" s="8">
        <v>925056</v>
      </c>
      <c r="PX39" s="2"/>
      <c r="PY39" s="8">
        <v>925056</v>
      </c>
      <c r="PZ39" s="6">
        <v>1072504.6000000001</v>
      </c>
      <c r="QA39" s="8">
        <v>2044803</v>
      </c>
      <c r="QB39" s="8">
        <v>921068</v>
      </c>
      <c r="QC39" s="8">
        <v>2965871</v>
      </c>
      <c r="QD39" s="8">
        <v>223752</v>
      </c>
      <c r="QE39" s="8">
        <v>113752</v>
      </c>
      <c r="QF39" s="8">
        <v>337504</v>
      </c>
      <c r="QG39" s="8">
        <v>204349</v>
      </c>
      <c r="QH39" s="8">
        <v>102951</v>
      </c>
      <c r="QI39" s="8">
        <v>307300</v>
      </c>
      <c r="QJ39" s="2"/>
      <c r="QK39" s="8">
        <v>552409</v>
      </c>
      <c r="QL39" s="8">
        <v>552409</v>
      </c>
      <c r="QM39" s="2"/>
      <c r="QN39" s="8">
        <v>133478</v>
      </c>
      <c r="QO39" s="8">
        <v>133478</v>
      </c>
      <c r="QP39" s="2"/>
      <c r="QQ39" s="2"/>
      <c r="QR39" s="2"/>
      <c r="QS39" s="8">
        <v>2472904</v>
      </c>
      <c r="QT39" s="8">
        <v>1823658</v>
      </c>
      <c r="QU39" s="8">
        <v>4296562</v>
      </c>
      <c r="QV39" s="8">
        <v>123645</v>
      </c>
      <c r="QW39" s="8">
        <v>91183</v>
      </c>
      <c r="QX39" s="8">
        <v>214828</v>
      </c>
      <c r="QY39" s="6">
        <v>214828.1</v>
      </c>
      <c r="QZ39" s="8">
        <v>2175051</v>
      </c>
      <c r="RA39" s="8">
        <v>1344793</v>
      </c>
      <c r="RB39" s="8">
        <v>3519844</v>
      </c>
      <c r="RC39" s="8">
        <v>72000</v>
      </c>
      <c r="RD39" s="8">
        <v>72000</v>
      </c>
      <c r="RE39" s="2"/>
      <c r="RF39" s="2"/>
      <c r="RG39" s="2"/>
      <c r="RH39" s="8">
        <v>2175051</v>
      </c>
      <c r="RI39" s="8">
        <v>1416793</v>
      </c>
      <c r="RJ39" s="8">
        <v>3591844</v>
      </c>
      <c r="RK39" s="8">
        <v>25942075</v>
      </c>
      <c r="RL39" s="8">
        <v>4536307</v>
      </c>
      <c r="RM39" s="8">
        <v>30478382</v>
      </c>
      <c r="RN39" s="2">
        <v>0</v>
      </c>
      <c r="RO39" s="6">
        <v>0</v>
      </c>
      <c r="RP39" s="8">
        <v>4806482</v>
      </c>
      <c r="RQ39" s="2"/>
      <c r="RR39" s="8">
        <v>4806482</v>
      </c>
      <c r="RS39" s="6">
        <v>4876541</v>
      </c>
      <c r="RT39" s="6">
        <v>0</v>
      </c>
      <c r="RU39" s="8">
        <v>4806482</v>
      </c>
      <c r="RV39" s="2"/>
      <c r="RW39" s="8">
        <v>4806482</v>
      </c>
      <c r="RX39" s="6">
        <v>4876541</v>
      </c>
      <c r="RY39" s="2"/>
      <c r="RZ39" s="2"/>
      <c r="SA39" s="6">
        <v>343000</v>
      </c>
      <c r="SB39" s="8">
        <v>980000</v>
      </c>
      <c r="SC39" s="8">
        <v>980000</v>
      </c>
      <c r="SD39" s="8">
        <v>30748557</v>
      </c>
      <c r="SE39" s="8">
        <v>5516307</v>
      </c>
      <c r="SF39" s="8">
        <v>36264864</v>
      </c>
      <c r="SG39" s="2" t="s">
        <v>4011</v>
      </c>
      <c r="SH39" s="2"/>
      <c r="SI39" s="2"/>
      <c r="SJ39" s="2"/>
      <c r="SK39" s="8">
        <v>25500000</v>
      </c>
      <c r="SL39" s="2" t="s">
        <v>95</v>
      </c>
      <c r="SM39" s="2"/>
      <c r="SN39" s="2"/>
      <c r="SO39" s="2"/>
      <c r="SP39" s="2"/>
      <c r="SQ39" s="2"/>
      <c r="SR39" s="2"/>
      <c r="SS39" s="2" t="s">
        <v>96</v>
      </c>
      <c r="ST39" s="2" t="s">
        <v>96</v>
      </c>
      <c r="SU39" s="2" t="s">
        <v>96</v>
      </c>
      <c r="SV39" s="2" t="s">
        <v>96</v>
      </c>
      <c r="SW39" s="8">
        <v>11134931</v>
      </c>
      <c r="SX39" s="2"/>
      <c r="SY39" s="2"/>
      <c r="SZ39" s="2"/>
      <c r="TA39" s="2"/>
      <c r="TB39" s="2"/>
      <c r="TC39" s="2"/>
      <c r="TD39" s="2">
        <v>0</v>
      </c>
      <c r="TE39" s="8">
        <v>36634931</v>
      </c>
      <c r="TF39" s="8">
        <v>370067</v>
      </c>
      <c r="TG39" s="2" t="s">
        <v>9</v>
      </c>
      <c r="TH39" s="8">
        <v>4000000</v>
      </c>
      <c r="TI39" s="2" t="s">
        <v>95</v>
      </c>
      <c r="TJ39" s="2"/>
      <c r="TK39" s="2"/>
      <c r="TL39" s="2"/>
      <c r="TM39" s="2"/>
      <c r="TN39" s="2" t="s">
        <v>96</v>
      </c>
      <c r="TO39" s="2" t="s">
        <v>96</v>
      </c>
      <c r="TP39" s="2" t="s">
        <v>96</v>
      </c>
      <c r="TQ39" s="2" t="s">
        <v>96</v>
      </c>
      <c r="TR39" s="8">
        <v>31814089</v>
      </c>
      <c r="TS39" s="2"/>
      <c r="TT39" s="2"/>
      <c r="TU39" s="2"/>
      <c r="TV39" s="2"/>
      <c r="TW39" s="2"/>
      <c r="TX39" s="2"/>
      <c r="TY39" s="8">
        <v>450775</v>
      </c>
      <c r="TZ39" s="8">
        <v>36264864</v>
      </c>
      <c r="UA39" s="6">
        <v>4000000</v>
      </c>
      <c r="UB39" s="2">
        <v>0</v>
      </c>
      <c r="UC39" s="2" t="s">
        <v>9</v>
      </c>
      <c r="UD39" s="2">
        <v>98</v>
      </c>
      <c r="UE39" s="5">
        <v>310000</v>
      </c>
      <c r="UF39" s="6">
        <v>413333.33</v>
      </c>
      <c r="UG39" s="6">
        <v>420833.33</v>
      </c>
      <c r="UH39" s="6">
        <v>446083.33</v>
      </c>
      <c r="UI39" s="6">
        <v>43716166.670000002</v>
      </c>
      <c r="UJ39" s="6">
        <v>6994586</v>
      </c>
      <c r="UK39" s="2" t="s">
        <v>97</v>
      </c>
      <c r="UL39" s="6">
        <v>6994586</v>
      </c>
      <c r="UM39" s="6">
        <v>50710752.670000002</v>
      </c>
      <c r="UN39" s="6">
        <v>34479374</v>
      </c>
      <c r="UO39" s="4">
        <v>0.99990000000000001</v>
      </c>
      <c r="UP39" s="2" t="s">
        <v>9</v>
      </c>
      <c r="UQ39" s="6">
        <v>0</v>
      </c>
      <c r="UR39" s="6">
        <v>0</v>
      </c>
      <c r="US39" s="6">
        <v>353550.69</v>
      </c>
      <c r="UT39" s="6">
        <v>353550.69</v>
      </c>
      <c r="UU39" s="6">
        <v>0</v>
      </c>
      <c r="UV39" s="6">
        <v>353550.69</v>
      </c>
      <c r="UW39" s="6">
        <v>0</v>
      </c>
      <c r="UX39" s="6">
        <v>353550.69</v>
      </c>
      <c r="UY39" s="2" t="s">
        <v>3633</v>
      </c>
      <c r="UZ39" s="2" t="s">
        <v>3288</v>
      </c>
      <c r="VA39" s="2" t="s">
        <v>17</v>
      </c>
      <c r="VB39" s="2" t="s">
        <v>17</v>
      </c>
      <c r="VC39" s="2" t="s">
        <v>17</v>
      </c>
      <c r="VD39" s="2" t="s">
        <v>17</v>
      </c>
      <c r="VE39" s="2" t="s">
        <v>17</v>
      </c>
      <c r="VF39" s="2" t="s">
        <v>17</v>
      </c>
      <c r="VG39" s="2" t="s">
        <v>4012</v>
      </c>
      <c r="VH39" s="2"/>
      <c r="VI39" s="388" t="s">
        <v>3967</v>
      </c>
      <c r="VJ39" s="2" t="s">
        <v>98</v>
      </c>
      <c r="VK39" s="2" t="s">
        <v>3968</v>
      </c>
      <c r="VL39" s="23">
        <f t="shared" si="21"/>
        <v>110</v>
      </c>
      <c r="VM39" s="17">
        <f t="shared" si="22"/>
        <v>1.1224489795918366</v>
      </c>
      <c r="VN39" s="17" t="str">
        <f t="shared" si="2"/>
        <v>NC-HR-E</v>
      </c>
      <c r="VO39" s="17" t="str">
        <f t="shared" si="14"/>
        <v>NC-HR-E-ESS</v>
      </c>
      <c r="VP39" s="12">
        <v>9</v>
      </c>
      <c r="VQ39" s="57">
        <v>1</v>
      </c>
      <c r="VR39" s="57">
        <f t="shared" si="3"/>
        <v>1</v>
      </c>
      <c r="VS39" s="14">
        <f t="shared" si="4"/>
        <v>0.97</v>
      </c>
      <c r="VT39" s="12">
        <f t="shared" si="5"/>
        <v>0.88349999999999995</v>
      </c>
      <c r="VU39" s="29">
        <f t="shared" si="6"/>
        <v>26674475.859044999</v>
      </c>
      <c r="VV39" s="29">
        <f t="shared" si="23"/>
        <v>272188.53000000003</v>
      </c>
      <c r="VW39" s="12" t="str">
        <f t="shared" si="15"/>
        <v>B</v>
      </c>
      <c r="VX39" s="12" t="str">
        <f t="shared" si="24"/>
        <v>NC-HR-ESS</v>
      </c>
      <c r="VY39" s="352">
        <f t="shared" si="16"/>
        <v>5</v>
      </c>
      <c r="WA39" s="12">
        <f t="shared" si="17"/>
        <v>1</v>
      </c>
      <c r="WB39" s="12">
        <f t="shared" si="18"/>
        <v>0</v>
      </c>
      <c r="WC39" s="12">
        <f t="shared" si="18"/>
        <v>0</v>
      </c>
      <c r="WD39" s="12">
        <f t="shared" si="18"/>
        <v>1</v>
      </c>
      <c r="WE39" s="12">
        <f t="shared" si="19"/>
        <v>1</v>
      </c>
      <c r="WF39" s="12">
        <f t="shared" si="25"/>
        <v>0</v>
      </c>
      <c r="WG39" s="12">
        <f t="shared" si="26"/>
        <v>0</v>
      </c>
      <c r="WH39" s="12">
        <f t="shared" si="27"/>
        <v>1</v>
      </c>
      <c r="WI39" s="22">
        <f t="shared" si="28"/>
        <v>4</v>
      </c>
      <c r="WJ39" s="2"/>
      <c r="WK39" s="444" t="str">
        <f t="shared" si="20"/>
        <v>NC-HR-ESS-BBN-BRN-PHA-E</v>
      </c>
      <c r="WL39" s="444"/>
      <c r="WM39" s="444"/>
    </row>
    <row r="40" spans="1:611" x14ac:dyDescent="0.25">
      <c r="A40" s="2">
        <v>9667</v>
      </c>
      <c r="B40" s="2" t="s">
        <v>4013</v>
      </c>
      <c r="C40" s="2" t="s">
        <v>3305</v>
      </c>
      <c r="D40" s="3">
        <v>45100</v>
      </c>
      <c r="E40" s="2" t="s">
        <v>9</v>
      </c>
      <c r="F40" s="2">
        <v>3</v>
      </c>
      <c r="G40" s="2" t="s">
        <v>9</v>
      </c>
      <c r="H40" s="2">
        <v>3</v>
      </c>
      <c r="I40" s="2" t="s">
        <v>9</v>
      </c>
      <c r="J40" s="2">
        <v>3</v>
      </c>
      <c r="K40" s="2" t="s">
        <v>9</v>
      </c>
      <c r="L40" s="2">
        <v>3</v>
      </c>
      <c r="M40" s="2" t="s">
        <v>10</v>
      </c>
      <c r="N40" s="2">
        <v>0</v>
      </c>
      <c r="O40" s="2" t="s">
        <v>10</v>
      </c>
      <c r="P40" s="2">
        <v>0</v>
      </c>
      <c r="Q40" s="2" t="s">
        <v>11</v>
      </c>
      <c r="R40" s="2">
        <v>0</v>
      </c>
      <c r="S40" s="2" t="s">
        <v>9</v>
      </c>
      <c r="T40" s="2">
        <v>2</v>
      </c>
      <c r="U40" s="2" t="s">
        <v>9</v>
      </c>
      <c r="V40" s="2">
        <v>2</v>
      </c>
      <c r="W40" s="2" t="s">
        <v>9</v>
      </c>
      <c r="X40" s="2">
        <v>2</v>
      </c>
      <c r="Y40" s="2" t="s">
        <v>12</v>
      </c>
      <c r="Z40" s="2" t="s">
        <v>15</v>
      </c>
      <c r="AA40" s="2" t="s">
        <v>15</v>
      </c>
      <c r="AB40" s="2" t="s">
        <v>15</v>
      </c>
      <c r="AC40" s="2" t="s">
        <v>15</v>
      </c>
      <c r="AD40" s="2" t="s">
        <v>15</v>
      </c>
      <c r="AE40" s="2" t="s">
        <v>1128</v>
      </c>
      <c r="AF40" s="2">
        <v>0</v>
      </c>
      <c r="AG40" s="2" t="s">
        <v>234</v>
      </c>
      <c r="AH40" s="2" t="s">
        <v>17</v>
      </c>
      <c r="AI40" s="4">
        <v>0.16327</v>
      </c>
      <c r="AJ40" s="2" t="s">
        <v>17</v>
      </c>
      <c r="AK40" s="2" t="s">
        <v>9</v>
      </c>
      <c r="AL40" s="2" t="s">
        <v>9</v>
      </c>
      <c r="AM40" s="2" t="s">
        <v>17</v>
      </c>
      <c r="AN40" s="2" t="s">
        <v>17</v>
      </c>
      <c r="AO40" s="2" t="s">
        <v>9</v>
      </c>
      <c r="AP40" s="2" t="s">
        <v>17</v>
      </c>
      <c r="AQ40" s="2" t="s">
        <v>17</v>
      </c>
      <c r="AR40" s="2" t="s">
        <v>17</v>
      </c>
      <c r="AS40" s="2" t="s">
        <v>17</v>
      </c>
      <c r="AT40" s="2">
        <v>5</v>
      </c>
      <c r="AU40" s="5">
        <v>100000</v>
      </c>
      <c r="AV40" s="2" t="s">
        <v>85</v>
      </c>
      <c r="AW40" s="2">
        <v>0</v>
      </c>
      <c r="AX40" s="2">
        <v>11</v>
      </c>
      <c r="AY40" s="2">
        <v>0</v>
      </c>
      <c r="AZ40" s="2">
        <v>18</v>
      </c>
      <c r="BA40" s="2">
        <v>0</v>
      </c>
      <c r="BB40" s="2">
        <v>0</v>
      </c>
      <c r="BC40" s="2">
        <v>1</v>
      </c>
      <c r="BD40" s="2">
        <v>5</v>
      </c>
      <c r="BE40" s="2">
        <v>0</v>
      </c>
      <c r="BF40" s="2">
        <v>1</v>
      </c>
      <c r="BG40" s="2">
        <v>0</v>
      </c>
      <c r="BH40" s="2">
        <v>0</v>
      </c>
      <c r="BI40" s="2">
        <v>13</v>
      </c>
      <c r="BJ40" s="2">
        <v>1</v>
      </c>
      <c r="BK40" s="2">
        <v>0</v>
      </c>
      <c r="BL40" s="2">
        <v>2</v>
      </c>
      <c r="BM40" s="2">
        <v>1</v>
      </c>
      <c r="BN40" s="2">
        <v>8</v>
      </c>
      <c r="BO40" s="2">
        <v>11</v>
      </c>
      <c r="BP40" s="2">
        <v>0</v>
      </c>
      <c r="BQ40" s="2">
        <v>10</v>
      </c>
      <c r="BR40" s="2">
        <v>9.27</v>
      </c>
      <c r="BS40" s="2">
        <v>0</v>
      </c>
      <c r="BT40" s="4">
        <v>0.06</v>
      </c>
      <c r="BU40" s="2" t="s">
        <v>9</v>
      </c>
      <c r="BV40" s="6">
        <v>210720.95</v>
      </c>
      <c r="BW40" s="2" t="s">
        <v>126</v>
      </c>
      <c r="BX40" s="2" t="s">
        <v>17</v>
      </c>
      <c r="BY40" s="2" t="s">
        <v>17</v>
      </c>
      <c r="BZ40" s="2" t="s">
        <v>17</v>
      </c>
      <c r="CA40" s="2" t="s">
        <v>17</v>
      </c>
      <c r="CB40" s="2" t="s">
        <v>17</v>
      </c>
      <c r="CC40" s="2" t="s">
        <v>17</v>
      </c>
      <c r="CD40" s="2" t="s">
        <v>17</v>
      </c>
      <c r="CE40" s="2" t="s">
        <v>4014</v>
      </c>
      <c r="CF40" s="2" t="s">
        <v>17</v>
      </c>
      <c r="CG40" s="2" t="s">
        <v>4015</v>
      </c>
      <c r="CH40" s="2"/>
      <c r="CI40" s="2"/>
      <c r="CJ40" s="2" t="s">
        <v>9</v>
      </c>
      <c r="CK40" s="2" t="s">
        <v>3937</v>
      </c>
      <c r="CL40" s="2" t="s">
        <v>4015</v>
      </c>
      <c r="CM40" s="2" t="s">
        <v>3938</v>
      </c>
      <c r="CN40" s="2" t="s">
        <v>2705</v>
      </c>
      <c r="CO40" s="2" t="s">
        <v>24</v>
      </c>
      <c r="CP40" s="2"/>
      <c r="CQ40" s="2">
        <v>120</v>
      </c>
      <c r="CR40" s="2" t="s">
        <v>4004</v>
      </c>
      <c r="CS40" s="2">
        <v>2019</v>
      </c>
      <c r="CT40" s="2" t="s">
        <v>26</v>
      </c>
      <c r="CU40" s="2" t="s">
        <v>27</v>
      </c>
      <c r="CV40" s="2" t="s">
        <v>3939</v>
      </c>
      <c r="CW40" s="2" t="s">
        <v>2705</v>
      </c>
      <c r="CX40" s="2" t="s">
        <v>24</v>
      </c>
      <c r="CY40" s="2"/>
      <c r="CZ40" s="2">
        <v>180</v>
      </c>
      <c r="DA40" s="2" t="s">
        <v>4004</v>
      </c>
      <c r="DB40" s="2">
        <v>2022</v>
      </c>
      <c r="DC40" s="2" t="s">
        <v>30</v>
      </c>
      <c r="DD40" s="2" t="s">
        <v>27</v>
      </c>
      <c r="DE40" s="2" t="s">
        <v>3940</v>
      </c>
      <c r="DF40" s="2" t="s">
        <v>3148</v>
      </c>
      <c r="DG40" s="2" t="s">
        <v>24</v>
      </c>
      <c r="DH40" s="2"/>
      <c r="DI40" s="2">
        <v>128</v>
      </c>
      <c r="DJ40" s="2" t="s">
        <v>4004</v>
      </c>
      <c r="DK40" s="2">
        <v>2019</v>
      </c>
      <c r="DL40" s="2" t="s">
        <v>30</v>
      </c>
      <c r="DM40" s="2" t="s">
        <v>27</v>
      </c>
      <c r="DN40" s="2" t="s">
        <v>33</v>
      </c>
      <c r="DO40" s="2" t="s">
        <v>738</v>
      </c>
      <c r="DP40" s="2"/>
      <c r="DQ40" s="2" t="s">
        <v>3941</v>
      </c>
      <c r="DR40" s="2" t="s">
        <v>3942</v>
      </c>
      <c r="DS40" s="2">
        <v>1</v>
      </c>
      <c r="DT40" s="2" t="s">
        <v>3943</v>
      </c>
      <c r="DU40" s="2" t="s">
        <v>3944</v>
      </c>
      <c r="DV40" s="2" t="s">
        <v>39</v>
      </c>
      <c r="DW40" s="2">
        <v>33156</v>
      </c>
      <c r="DX40" s="2" t="s">
        <v>3945</v>
      </c>
      <c r="DY40" s="2"/>
      <c r="DZ40" s="2" t="s">
        <v>3946</v>
      </c>
      <c r="EA40" s="2" t="s">
        <v>3942</v>
      </c>
      <c r="EB40" s="2" t="s">
        <v>3938</v>
      </c>
      <c r="EC40" s="2" t="s">
        <v>2705</v>
      </c>
      <c r="ED40" s="2" t="s">
        <v>44</v>
      </c>
      <c r="EE40" s="2">
        <v>120</v>
      </c>
      <c r="EF40" s="2" t="s">
        <v>4005</v>
      </c>
      <c r="EG40" s="2">
        <v>4</v>
      </c>
      <c r="EH40" s="2" t="s">
        <v>46</v>
      </c>
      <c r="EI40" s="2" t="s">
        <v>47</v>
      </c>
      <c r="EJ40" s="2" t="s">
        <v>3940</v>
      </c>
      <c r="EK40" s="2" t="s">
        <v>3148</v>
      </c>
      <c r="EL40" s="2" t="s">
        <v>44</v>
      </c>
      <c r="EM40" s="2">
        <v>128</v>
      </c>
      <c r="EN40" s="2" t="s">
        <v>4005</v>
      </c>
      <c r="EO40" s="2">
        <v>4</v>
      </c>
      <c r="EP40" s="2" t="s">
        <v>46</v>
      </c>
      <c r="EQ40" s="2" t="s">
        <v>47</v>
      </c>
      <c r="ER40" s="2" t="s">
        <v>3947</v>
      </c>
      <c r="ES40" s="2"/>
      <c r="ET40" s="2" t="s">
        <v>3948</v>
      </c>
      <c r="EU40" s="2" t="s">
        <v>3949</v>
      </c>
      <c r="EV40" s="2" t="s">
        <v>3950</v>
      </c>
      <c r="EW40" s="2" t="s">
        <v>299</v>
      </c>
      <c r="EX40" s="2" t="s">
        <v>39</v>
      </c>
      <c r="EY40" s="2">
        <v>33136</v>
      </c>
      <c r="EZ40" s="2" t="s">
        <v>3951</v>
      </c>
      <c r="FA40" s="2"/>
      <c r="FB40" s="2" t="s">
        <v>3952</v>
      </c>
      <c r="FC40" s="2" t="s">
        <v>3953</v>
      </c>
      <c r="FD40" s="2"/>
      <c r="FE40" s="2" t="s">
        <v>3954</v>
      </c>
      <c r="FF40" s="2" t="s">
        <v>3955</v>
      </c>
      <c r="FG40" s="2" t="s">
        <v>3950</v>
      </c>
      <c r="FH40" s="2" t="s">
        <v>299</v>
      </c>
      <c r="FI40" s="2" t="s">
        <v>39</v>
      </c>
      <c r="FJ40" s="2">
        <v>33136</v>
      </c>
      <c r="FK40" s="2" t="s">
        <v>3956</v>
      </c>
      <c r="FL40" s="2"/>
      <c r="FM40" s="2" t="s">
        <v>3957</v>
      </c>
      <c r="FN40" s="2" t="s">
        <v>4016</v>
      </c>
      <c r="FO40" s="2" t="s">
        <v>63</v>
      </c>
      <c r="FP40" s="2" t="s">
        <v>64</v>
      </c>
      <c r="FQ40" s="2" t="s">
        <v>9</v>
      </c>
      <c r="FR40" s="2" t="s">
        <v>17</v>
      </c>
      <c r="FS40" s="2" t="s">
        <v>17</v>
      </c>
      <c r="FT40" s="2" t="s">
        <v>9</v>
      </c>
      <c r="FU40" s="2"/>
      <c r="FV40" s="2"/>
      <c r="FW40" s="2">
        <v>0</v>
      </c>
      <c r="FX40" s="2">
        <v>0</v>
      </c>
      <c r="FY40" s="4">
        <v>0</v>
      </c>
      <c r="FZ40" s="4">
        <v>0</v>
      </c>
      <c r="GA40" s="2" t="s">
        <v>65</v>
      </c>
      <c r="GB40" s="2"/>
      <c r="GC40" s="2" t="s">
        <v>66</v>
      </c>
      <c r="GD40" s="2" t="s">
        <v>67</v>
      </c>
      <c r="GE40" s="2" t="s">
        <v>2684</v>
      </c>
      <c r="GF40" s="2"/>
      <c r="GG40" s="2"/>
      <c r="GH40" s="2"/>
      <c r="GI40" s="2"/>
      <c r="GJ40" s="2"/>
      <c r="GK40" s="2">
        <v>98</v>
      </c>
      <c r="GL40" s="2"/>
      <c r="GM40" s="2"/>
      <c r="GN40" s="2"/>
      <c r="GO40" s="2"/>
      <c r="GP40" s="2"/>
      <c r="GQ40" s="2">
        <v>98</v>
      </c>
      <c r="GR40" s="2" t="s">
        <v>3332</v>
      </c>
      <c r="GS40" s="2" t="s">
        <v>2686</v>
      </c>
      <c r="GT40" s="2" t="s">
        <v>4017</v>
      </c>
      <c r="GU40" s="2" t="s">
        <v>299</v>
      </c>
      <c r="GV40" s="2" t="s">
        <v>17</v>
      </c>
      <c r="GW40" s="2">
        <v>25.782198000000001</v>
      </c>
      <c r="GX40" s="2">
        <v>-80.204012000000006</v>
      </c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>
        <v>25.784528000000002</v>
      </c>
      <c r="HS40" s="2">
        <v>-80.207549999999998</v>
      </c>
      <c r="HT40" s="2">
        <v>0.27</v>
      </c>
      <c r="HU40" s="2">
        <v>6</v>
      </c>
      <c r="HV40" s="2" t="s">
        <v>4018</v>
      </c>
      <c r="HW40" s="2" t="s">
        <v>4019</v>
      </c>
      <c r="HX40" s="2">
        <v>0.59</v>
      </c>
      <c r="HY40" s="2">
        <v>3</v>
      </c>
      <c r="HZ40" s="2"/>
      <c r="IA40" s="2"/>
      <c r="IB40" s="2"/>
      <c r="IC40" s="2"/>
      <c r="ID40" s="2" t="s">
        <v>4020</v>
      </c>
      <c r="IE40" s="2">
        <v>0.59</v>
      </c>
      <c r="IF40" s="2">
        <v>3</v>
      </c>
      <c r="IG40" s="2" t="s">
        <v>4021</v>
      </c>
      <c r="IH40" s="2">
        <v>0.28000000000000003</v>
      </c>
      <c r="II40" s="2">
        <v>4</v>
      </c>
      <c r="IJ40" s="2" t="s">
        <v>17</v>
      </c>
      <c r="IK40" s="2"/>
      <c r="IL40" s="2" t="s">
        <v>79</v>
      </c>
      <c r="IM40" s="2" t="s">
        <v>9</v>
      </c>
      <c r="IN40" s="2" t="s">
        <v>4022</v>
      </c>
      <c r="IO40" s="2" t="s">
        <v>3341</v>
      </c>
      <c r="IP40" s="2">
        <v>6</v>
      </c>
      <c r="IQ40" s="2">
        <v>10</v>
      </c>
      <c r="IR40" s="2">
        <v>16</v>
      </c>
      <c r="IS40" s="2" t="s">
        <v>17</v>
      </c>
      <c r="IT40" s="2" t="s">
        <v>17</v>
      </c>
      <c r="IU40" s="2" t="s">
        <v>9</v>
      </c>
      <c r="IV40" s="2" t="s">
        <v>9</v>
      </c>
      <c r="IW40" s="2" t="s">
        <v>9</v>
      </c>
      <c r="IX40" s="2" t="s">
        <v>9</v>
      </c>
      <c r="IY40" s="2">
        <v>16</v>
      </c>
      <c r="IZ40" s="2">
        <v>98</v>
      </c>
      <c r="JA40" s="2" t="s">
        <v>3085</v>
      </c>
      <c r="JB40" s="2"/>
      <c r="JC40" s="2" t="s">
        <v>82</v>
      </c>
      <c r="JD40" s="2"/>
      <c r="JE40" s="2"/>
      <c r="JF40" s="7">
        <v>0</v>
      </c>
      <c r="JG40" s="7"/>
      <c r="JH40" s="7"/>
      <c r="JI40" s="2">
        <v>0</v>
      </c>
      <c r="JJ40" s="7">
        <v>0</v>
      </c>
      <c r="JK40" s="2">
        <v>0</v>
      </c>
      <c r="JL40" s="7">
        <v>0</v>
      </c>
      <c r="JM40" s="2">
        <v>16</v>
      </c>
      <c r="JN40" s="2">
        <v>5</v>
      </c>
      <c r="JO40" s="2">
        <v>2</v>
      </c>
      <c r="JP40" s="2">
        <v>26</v>
      </c>
      <c r="JQ40" s="2">
        <v>38</v>
      </c>
      <c r="JR40" s="2">
        <v>11</v>
      </c>
      <c r="JS40" s="2">
        <v>0</v>
      </c>
      <c r="JT40" s="2">
        <v>0</v>
      </c>
      <c r="JU40" s="2"/>
      <c r="JV40" s="2">
        <v>98</v>
      </c>
      <c r="JW40" s="4">
        <v>1</v>
      </c>
      <c r="JX40" s="2">
        <v>98</v>
      </c>
      <c r="JY40" s="4">
        <v>0.6</v>
      </c>
      <c r="JZ40" s="2">
        <v>0</v>
      </c>
      <c r="KA40" s="2"/>
      <c r="KB40" s="2"/>
      <c r="KC40" s="2"/>
      <c r="KD40" s="2"/>
      <c r="KE40" s="2"/>
      <c r="KF40" s="2"/>
      <c r="KG40" s="2">
        <v>88</v>
      </c>
      <c r="KH40" s="2">
        <v>4</v>
      </c>
      <c r="KI40" s="2"/>
      <c r="KJ40" s="2"/>
      <c r="KK40" s="2">
        <v>6</v>
      </c>
      <c r="KL40" s="2"/>
      <c r="KM40" s="2"/>
      <c r="KN40" s="2"/>
      <c r="KO40" s="2"/>
      <c r="KP40" s="2"/>
      <c r="KQ40" s="2" t="s">
        <v>83</v>
      </c>
      <c r="KR40" s="2"/>
      <c r="KS40" s="2" t="s">
        <v>73</v>
      </c>
      <c r="KT40" s="2">
        <v>1</v>
      </c>
      <c r="KU40" s="2" t="s">
        <v>84</v>
      </c>
      <c r="KV40" s="2" t="s">
        <v>85</v>
      </c>
      <c r="KW40" s="2" t="s">
        <v>86</v>
      </c>
      <c r="KX40" s="2" t="s">
        <v>17</v>
      </c>
      <c r="KY40" s="2" t="s">
        <v>17</v>
      </c>
      <c r="KZ40" s="2" t="s">
        <v>17</v>
      </c>
      <c r="LA40" s="2" t="s">
        <v>17</v>
      </c>
      <c r="LB40" s="2" t="s">
        <v>17</v>
      </c>
      <c r="LC40" s="2" t="s">
        <v>17</v>
      </c>
      <c r="LD40" s="2" t="s">
        <v>17</v>
      </c>
      <c r="LE40" s="2" t="s">
        <v>17</v>
      </c>
      <c r="LF40" s="2" t="s">
        <v>17</v>
      </c>
      <c r="LG40" s="2" t="s">
        <v>17</v>
      </c>
      <c r="LH40" s="2" t="s">
        <v>17</v>
      </c>
      <c r="LI40" s="2" t="s">
        <v>17</v>
      </c>
      <c r="LJ40" s="2" t="s">
        <v>87</v>
      </c>
      <c r="LK40" s="2" t="s">
        <v>17</v>
      </c>
      <c r="LL40" s="2" t="s">
        <v>17</v>
      </c>
      <c r="LM40" s="2">
        <v>0</v>
      </c>
      <c r="LN40" s="2" t="s">
        <v>17</v>
      </c>
      <c r="LO40" s="2" t="s">
        <v>17</v>
      </c>
      <c r="LP40" s="2" t="s">
        <v>17</v>
      </c>
      <c r="LQ40" s="2" t="s">
        <v>17</v>
      </c>
      <c r="LR40" s="2" t="s">
        <v>17</v>
      </c>
      <c r="LS40" s="2" t="s">
        <v>17</v>
      </c>
      <c r="LT40" s="2" t="s">
        <v>17</v>
      </c>
      <c r="LU40" s="2" t="s">
        <v>9</v>
      </c>
      <c r="LV40" s="2" t="s">
        <v>9</v>
      </c>
      <c r="LW40" s="2" t="s">
        <v>9</v>
      </c>
      <c r="LX40" s="2" t="s">
        <v>17</v>
      </c>
      <c r="LY40" s="5">
        <v>6500000</v>
      </c>
      <c r="LZ40" s="5">
        <v>0</v>
      </c>
      <c r="MA40" s="5">
        <v>8400000</v>
      </c>
      <c r="MB40" s="5">
        <v>0</v>
      </c>
      <c r="MC40" s="5">
        <v>0</v>
      </c>
      <c r="MD40" s="5">
        <v>0</v>
      </c>
      <c r="ME40" s="5">
        <v>10000000</v>
      </c>
      <c r="MF40" s="5">
        <v>0</v>
      </c>
      <c r="MG40" s="5">
        <v>0</v>
      </c>
      <c r="MH40" s="5">
        <v>0</v>
      </c>
      <c r="MI40" s="5">
        <v>0</v>
      </c>
      <c r="MJ40" s="5">
        <v>0</v>
      </c>
      <c r="MK40" s="5">
        <v>0</v>
      </c>
      <c r="ML40" s="2">
        <v>0</v>
      </c>
      <c r="MM40" s="5">
        <v>0</v>
      </c>
      <c r="MN40" s="5">
        <v>0</v>
      </c>
      <c r="MO40" s="2">
        <v>0</v>
      </c>
      <c r="MP40" s="2">
        <v>0</v>
      </c>
      <c r="MQ40" s="2">
        <v>0</v>
      </c>
      <c r="MR40" s="5">
        <v>2950000</v>
      </c>
      <c r="MS40" s="5">
        <v>0</v>
      </c>
      <c r="MT40" s="5">
        <v>4600000</v>
      </c>
      <c r="MU40" s="5">
        <v>0</v>
      </c>
      <c r="MV40" s="5">
        <v>0</v>
      </c>
      <c r="MW40" s="5">
        <v>0</v>
      </c>
      <c r="MX40" s="5">
        <v>0</v>
      </c>
      <c r="MY40" s="5">
        <v>2500000</v>
      </c>
      <c r="MZ40" s="5">
        <v>0</v>
      </c>
      <c r="NA40" s="5">
        <v>5000000</v>
      </c>
      <c r="NB40" s="5">
        <v>0</v>
      </c>
      <c r="NC40" s="5">
        <v>0</v>
      </c>
      <c r="ND40" s="5">
        <v>0</v>
      </c>
      <c r="NE40" s="5">
        <v>0</v>
      </c>
      <c r="NF40" s="5">
        <v>0</v>
      </c>
      <c r="NG40" s="5">
        <v>3458400</v>
      </c>
      <c r="NH40" s="5">
        <v>3458400</v>
      </c>
      <c r="NI40" s="5">
        <v>3458400</v>
      </c>
      <c r="NJ40" s="5"/>
      <c r="NK40" s="5">
        <v>0</v>
      </c>
      <c r="NL40" s="2" t="s">
        <v>17</v>
      </c>
      <c r="NM40" s="2" t="s">
        <v>9</v>
      </c>
      <c r="NN40" s="2" t="s">
        <v>4023</v>
      </c>
      <c r="NO40" s="2" t="s">
        <v>17</v>
      </c>
      <c r="NP40" s="2"/>
      <c r="NQ40" s="2"/>
      <c r="NR40" s="2" t="s">
        <v>17</v>
      </c>
      <c r="NS40" s="2"/>
      <c r="NT40" s="2" t="s">
        <v>9</v>
      </c>
      <c r="NU40" s="2" t="s">
        <v>450</v>
      </c>
      <c r="NV40" s="2">
        <v>36.07</v>
      </c>
      <c r="NW40" s="2" t="s">
        <v>3342</v>
      </c>
      <c r="NX40" s="2" t="s">
        <v>17</v>
      </c>
      <c r="NY40" s="2"/>
      <c r="NZ40" s="2"/>
      <c r="OA40" s="2" t="s">
        <v>118</v>
      </c>
      <c r="OB40" s="2" t="s">
        <v>118</v>
      </c>
      <c r="OC40" s="2" t="s">
        <v>118</v>
      </c>
      <c r="OD40" s="2" t="s">
        <v>3343</v>
      </c>
      <c r="OE40" s="2" t="s">
        <v>4024</v>
      </c>
      <c r="OF40" s="2"/>
      <c r="OG40" s="2" t="s">
        <v>17</v>
      </c>
      <c r="OH40" s="2" t="s">
        <v>119</v>
      </c>
      <c r="OI40" s="2" t="s">
        <v>17</v>
      </c>
      <c r="OJ40" s="2"/>
      <c r="OK40" s="2" t="s">
        <v>17</v>
      </c>
      <c r="OL40" s="2" t="s">
        <v>17</v>
      </c>
      <c r="OM40" s="2" t="s">
        <v>85</v>
      </c>
      <c r="ON40" s="6">
        <v>0</v>
      </c>
      <c r="OO40" s="6">
        <v>0</v>
      </c>
      <c r="OP40" s="2" t="s">
        <v>93</v>
      </c>
      <c r="OQ40" s="2" t="s">
        <v>93</v>
      </c>
      <c r="OR40" s="6">
        <v>0</v>
      </c>
      <c r="OS40" s="4">
        <v>0</v>
      </c>
      <c r="OT40" s="2" t="s">
        <v>9</v>
      </c>
      <c r="OU40" s="2" t="s">
        <v>17</v>
      </c>
      <c r="OV40" s="2" t="s">
        <v>4010</v>
      </c>
      <c r="OW40" s="2"/>
      <c r="OX40" s="5">
        <v>20650653</v>
      </c>
      <c r="OY40" s="6">
        <v>210720.95</v>
      </c>
      <c r="OZ40" s="8">
        <v>400000</v>
      </c>
      <c r="PA40" s="8">
        <v>400000</v>
      </c>
      <c r="PB40" s="2"/>
      <c r="PC40" s="2"/>
      <c r="PD40" s="8">
        <v>17372489</v>
      </c>
      <c r="PE40" s="8">
        <v>596054</v>
      </c>
      <c r="PF40" s="8">
        <v>17968543</v>
      </c>
      <c r="PG40" s="8">
        <v>1277909</v>
      </c>
      <c r="PH40" s="8">
        <v>141990</v>
      </c>
      <c r="PI40" s="8">
        <v>1419899</v>
      </c>
      <c r="PJ40" s="2"/>
      <c r="PK40" s="2"/>
      <c r="PL40" s="2"/>
      <c r="PM40" s="8">
        <v>18650398</v>
      </c>
      <c r="PN40" s="8">
        <v>1138044</v>
      </c>
      <c r="PO40" s="8">
        <v>19788442</v>
      </c>
      <c r="PP40" s="8">
        <v>2770381</v>
      </c>
      <c r="PQ40" s="2"/>
      <c r="PR40" s="8">
        <v>2770381</v>
      </c>
      <c r="PS40" s="6">
        <v>2770381</v>
      </c>
      <c r="PT40" s="8">
        <v>21420779</v>
      </c>
      <c r="PU40" s="8">
        <v>1138044</v>
      </c>
      <c r="PV40" s="8">
        <v>22558823</v>
      </c>
      <c r="PW40" s="8">
        <v>1048941</v>
      </c>
      <c r="PX40" s="2"/>
      <c r="PY40" s="8">
        <v>1048941</v>
      </c>
      <c r="PZ40" s="6">
        <v>1127941.1499999999</v>
      </c>
      <c r="QA40" s="8">
        <v>3029453</v>
      </c>
      <c r="QB40" s="8">
        <v>1009794</v>
      </c>
      <c r="QC40" s="8">
        <v>4039247</v>
      </c>
      <c r="QD40" s="8">
        <v>286934</v>
      </c>
      <c r="QE40" s="8">
        <v>111934</v>
      </c>
      <c r="QF40" s="8">
        <v>398868</v>
      </c>
      <c r="QG40" s="8">
        <v>406298</v>
      </c>
      <c r="QH40" s="8">
        <v>114380</v>
      </c>
      <c r="QI40" s="8">
        <v>520678</v>
      </c>
      <c r="QJ40" s="2"/>
      <c r="QK40" s="8">
        <v>552409</v>
      </c>
      <c r="QL40" s="8">
        <v>552409</v>
      </c>
      <c r="QM40" s="2"/>
      <c r="QN40" s="8">
        <v>80996</v>
      </c>
      <c r="QO40" s="8">
        <v>80996</v>
      </c>
      <c r="QP40" s="2"/>
      <c r="QQ40" s="2"/>
      <c r="QR40" s="2"/>
      <c r="QS40" s="8">
        <v>3722685</v>
      </c>
      <c r="QT40" s="8">
        <v>1869513</v>
      </c>
      <c r="QU40" s="8">
        <v>5592198</v>
      </c>
      <c r="QV40" s="8">
        <v>166134</v>
      </c>
      <c r="QW40" s="8">
        <v>93476</v>
      </c>
      <c r="QX40" s="8">
        <v>259610</v>
      </c>
      <c r="QY40" s="6">
        <v>279609.90000000002</v>
      </c>
      <c r="QZ40" s="8">
        <v>1779370</v>
      </c>
      <c r="RA40" s="8">
        <v>940288</v>
      </c>
      <c r="RB40" s="8">
        <v>2719658</v>
      </c>
      <c r="RC40" s="8">
        <v>100260</v>
      </c>
      <c r="RD40" s="8">
        <v>100260</v>
      </c>
      <c r="RE40" s="2"/>
      <c r="RF40" s="2"/>
      <c r="RG40" s="2"/>
      <c r="RH40" s="8">
        <v>1779370</v>
      </c>
      <c r="RI40" s="8">
        <v>1040548</v>
      </c>
      <c r="RJ40" s="8">
        <v>2819918</v>
      </c>
      <c r="RK40" s="8">
        <v>28137909</v>
      </c>
      <c r="RL40" s="8">
        <v>4141581</v>
      </c>
      <c r="RM40" s="8">
        <v>32279490</v>
      </c>
      <c r="RN40" s="2">
        <v>0</v>
      </c>
      <c r="RO40" s="6">
        <v>0</v>
      </c>
      <c r="RP40" s="8">
        <v>5112943</v>
      </c>
      <c r="RQ40" s="2"/>
      <c r="RR40" s="8">
        <v>5112943</v>
      </c>
      <c r="RS40" s="6">
        <v>5164718</v>
      </c>
      <c r="RT40" s="6">
        <v>0</v>
      </c>
      <c r="RU40" s="8">
        <v>5112943</v>
      </c>
      <c r="RV40" s="2"/>
      <c r="RW40" s="8">
        <v>5112943</v>
      </c>
      <c r="RX40" s="6">
        <v>5164718</v>
      </c>
      <c r="RY40" s="2"/>
      <c r="RZ40" s="2"/>
      <c r="SA40" s="6">
        <v>343000</v>
      </c>
      <c r="SB40" s="8">
        <v>1960000</v>
      </c>
      <c r="SC40" s="8">
        <v>1960000</v>
      </c>
      <c r="SD40" s="8">
        <v>33250852</v>
      </c>
      <c r="SE40" s="8">
        <v>6101581</v>
      </c>
      <c r="SF40" s="8">
        <v>39352433</v>
      </c>
      <c r="SG40" s="2" t="s">
        <v>1876</v>
      </c>
      <c r="SH40" s="2"/>
      <c r="SI40" s="2"/>
      <c r="SJ40" s="2"/>
      <c r="SK40" s="8">
        <v>26000000</v>
      </c>
      <c r="SL40" s="2" t="s">
        <v>95</v>
      </c>
      <c r="SM40" s="2"/>
      <c r="SN40" s="2"/>
      <c r="SO40" s="2"/>
      <c r="SP40" s="2"/>
      <c r="SQ40" s="2"/>
      <c r="SR40" s="2"/>
      <c r="SS40" s="2" t="s">
        <v>96</v>
      </c>
      <c r="ST40" s="2" t="s">
        <v>96</v>
      </c>
      <c r="SU40" s="2" t="s">
        <v>96</v>
      </c>
      <c r="SV40" s="2" t="s">
        <v>96</v>
      </c>
      <c r="SW40" s="8">
        <v>11134935</v>
      </c>
      <c r="SX40" s="2"/>
      <c r="SY40" s="2"/>
      <c r="SZ40" s="2"/>
      <c r="TA40" s="2"/>
      <c r="TB40" s="2"/>
      <c r="TC40" s="2"/>
      <c r="TD40" s="8">
        <v>2217498</v>
      </c>
      <c r="TE40" s="8">
        <v>39352433</v>
      </c>
      <c r="TF40" s="2">
        <v>0</v>
      </c>
      <c r="TG40" s="2" t="s">
        <v>9</v>
      </c>
      <c r="TH40" s="8">
        <v>5570000</v>
      </c>
      <c r="TI40" s="2" t="s">
        <v>95</v>
      </c>
      <c r="TJ40" s="2"/>
      <c r="TK40" s="2"/>
      <c r="TL40" s="2"/>
      <c r="TM40" s="2"/>
      <c r="TN40" s="2" t="s">
        <v>96</v>
      </c>
      <c r="TO40" s="2" t="s">
        <v>96</v>
      </c>
      <c r="TP40" s="2" t="s">
        <v>96</v>
      </c>
      <c r="TQ40" s="2" t="s">
        <v>96</v>
      </c>
      <c r="TR40" s="8">
        <v>31814098</v>
      </c>
      <c r="TS40" s="2"/>
      <c r="TT40" s="2"/>
      <c r="TU40" s="2"/>
      <c r="TV40" s="2"/>
      <c r="TW40" s="2"/>
      <c r="TX40" s="2"/>
      <c r="TY40" s="8">
        <v>1968335</v>
      </c>
      <c r="TZ40" s="8">
        <v>39352433</v>
      </c>
      <c r="UA40" s="6">
        <v>5570000</v>
      </c>
      <c r="UB40" s="2">
        <v>0</v>
      </c>
      <c r="UC40" s="2" t="s">
        <v>9</v>
      </c>
      <c r="UD40" s="2">
        <v>98</v>
      </c>
      <c r="UE40" s="5">
        <v>310000</v>
      </c>
      <c r="UF40" s="6">
        <v>413333.33</v>
      </c>
      <c r="UG40" s="6">
        <v>420833.33</v>
      </c>
      <c r="UH40" s="6">
        <v>446083.33</v>
      </c>
      <c r="UI40" s="6">
        <v>43716166.670000002</v>
      </c>
      <c r="UJ40" s="6">
        <v>6994586</v>
      </c>
      <c r="UK40" s="2" t="s">
        <v>97</v>
      </c>
      <c r="UL40" s="6">
        <v>6994586</v>
      </c>
      <c r="UM40" s="6">
        <v>50710752.670000002</v>
      </c>
      <c r="UN40" s="6">
        <v>36911437</v>
      </c>
      <c r="UO40" s="4">
        <v>0.99990000000000001</v>
      </c>
      <c r="UP40" s="2" t="s">
        <v>9</v>
      </c>
      <c r="UQ40" s="6">
        <v>0</v>
      </c>
      <c r="UR40" s="6">
        <v>0</v>
      </c>
      <c r="US40" s="6">
        <v>143654.57</v>
      </c>
      <c r="UT40" s="6">
        <v>143654.57</v>
      </c>
      <c r="UU40" s="6">
        <v>0</v>
      </c>
      <c r="UV40" s="6">
        <v>143654.57</v>
      </c>
      <c r="UW40" s="6">
        <v>0</v>
      </c>
      <c r="UX40" s="6">
        <v>143654.57</v>
      </c>
      <c r="UY40" s="2" t="s">
        <v>3633</v>
      </c>
      <c r="UZ40" s="2" t="s">
        <v>3288</v>
      </c>
      <c r="VA40" s="2" t="s">
        <v>17</v>
      </c>
      <c r="VB40" s="2" t="s">
        <v>17</v>
      </c>
      <c r="VC40" s="2" t="s">
        <v>17</v>
      </c>
      <c r="VD40" s="2" t="s">
        <v>17</v>
      </c>
      <c r="VE40" s="2" t="s">
        <v>17</v>
      </c>
      <c r="VF40" s="2" t="s">
        <v>17</v>
      </c>
      <c r="VG40" s="2" t="s">
        <v>4025</v>
      </c>
      <c r="VH40" s="2"/>
      <c r="VI40" s="388" t="s">
        <v>3967</v>
      </c>
      <c r="VJ40" s="2" t="s">
        <v>98</v>
      </c>
      <c r="VK40" s="2" t="s">
        <v>3968</v>
      </c>
      <c r="VL40" s="23">
        <f t="shared" si="21"/>
        <v>104</v>
      </c>
      <c r="VM40" s="17">
        <f t="shared" si="22"/>
        <v>1.0612244897959184</v>
      </c>
      <c r="VN40" s="17" t="str">
        <f t="shared" si="2"/>
        <v>NC-HR-E</v>
      </c>
      <c r="VO40" s="17" t="str">
        <f t="shared" si="14"/>
        <v>NC-HR-E-ESS</v>
      </c>
      <c r="VP40" s="12">
        <v>9</v>
      </c>
      <c r="VQ40" s="57">
        <v>1</v>
      </c>
      <c r="VR40" s="57">
        <f t="shared" si="3"/>
        <v>1</v>
      </c>
      <c r="VS40" s="14">
        <f t="shared" si="4"/>
        <v>0.97</v>
      </c>
      <c r="VT40" s="12">
        <f t="shared" si="5"/>
        <v>0.88349999999999995</v>
      </c>
      <c r="VU40" s="29">
        <f t="shared" si="6"/>
        <v>26674483.571999997</v>
      </c>
      <c r="VV40" s="29">
        <f t="shared" si="23"/>
        <v>272188.61</v>
      </c>
      <c r="VW40" s="12" t="str">
        <f t="shared" si="15"/>
        <v>B</v>
      </c>
      <c r="VX40" s="12" t="str">
        <f t="shared" si="24"/>
        <v>NC-HR-ESS</v>
      </c>
      <c r="VY40" s="352">
        <f t="shared" si="16"/>
        <v>5</v>
      </c>
      <c r="WA40" s="12">
        <f t="shared" si="17"/>
        <v>1</v>
      </c>
      <c r="WB40" s="12">
        <f t="shared" si="18"/>
        <v>0</v>
      </c>
      <c r="WC40" s="12">
        <f t="shared" si="18"/>
        <v>0</v>
      </c>
      <c r="WD40" s="12">
        <f t="shared" si="18"/>
        <v>1</v>
      </c>
      <c r="WE40" s="12">
        <f t="shared" si="19"/>
        <v>1</v>
      </c>
      <c r="WF40" s="12">
        <f t="shared" si="25"/>
        <v>0</v>
      </c>
      <c r="WG40" s="12">
        <f t="shared" si="26"/>
        <v>0</v>
      </c>
      <c r="WH40" s="12">
        <f t="shared" si="27"/>
        <v>1</v>
      </c>
      <c r="WI40" s="22">
        <f t="shared" si="28"/>
        <v>4</v>
      </c>
      <c r="WJ40" s="2"/>
      <c r="WK40" s="444" t="str">
        <f t="shared" si="20"/>
        <v>NC-HR-ESS-BBN-BRN-PHA-E</v>
      </c>
      <c r="WL40" s="444"/>
      <c r="WM40" s="444"/>
    </row>
    <row r="41" spans="1:611" x14ac:dyDescent="0.25">
      <c r="A41" s="2">
        <v>9588</v>
      </c>
      <c r="B41" s="2" t="s">
        <v>4026</v>
      </c>
      <c r="C41" s="2" t="s">
        <v>3305</v>
      </c>
      <c r="D41" s="3">
        <v>45159</v>
      </c>
      <c r="E41" s="2" t="s">
        <v>9</v>
      </c>
      <c r="F41" s="2">
        <v>3</v>
      </c>
      <c r="G41" s="2" t="s">
        <v>9</v>
      </c>
      <c r="H41" s="2">
        <v>3</v>
      </c>
      <c r="I41" s="2" t="s">
        <v>9</v>
      </c>
      <c r="J41" s="2">
        <v>3</v>
      </c>
      <c r="K41" s="2" t="s">
        <v>9</v>
      </c>
      <c r="L41" s="2">
        <v>3</v>
      </c>
      <c r="M41" s="2" t="s">
        <v>10</v>
      </c>
      <c r="N41" s="2">
        <v>0</v>
      </c>
      <c r="O41" s="2" t="s">
        <v>10</v>
      </c>
      <c r="P41" s="2">
        <v>0</v>
      </c>
      <c r="Q41" s="2" t="s">
        <v>11</v>
      </c>
      <c r="R41" s="2">
        <v>0</v>
      </c>
      <c r="S41" s="2" t="s">
        <v>9</v>
      </c>
      <c r="T41" s="2">
        <v>2</v>
      </c>
      <c r="U41" s="2" t="s">
        <v>9</v>
      </c>
      <c r="V41" s="2">
        <v>2</v>
      </c>
      <c r="W41" s="2" t="s">
        <v>9</v>
      </c>
      <c r="X41" s="2">
        <v>2</v>
      </c>
      <c r="Y41" s="2" t="s">
        <v>12</v>
      </c>
      <c r="Z41" s="2" t="s">
        <v>15</v>
      </c>
      <c r="AA41" s="2" t="s">
        <v>15</v>
      </c>
      <c r="AB41" s="2" t="s">
        <v>15</v>
      </c>
      <c r="AC41" s="2" t="s">
        <v>15</v>
      </c>
      <c r="AD41" s="2" t="s">
        <v>187</v>
      </c>
      <c r="AE41" s="2" t="s">
        <v>15</v>
      </c>
      <c r="AF41" s="2">
        <v>0</v>
      </c>
      <c r="AG41" s="2" t="s">
        <v>234</v>
      </c>
      <c r="AH41" s="2" t="s">
        <v>17</v>
      </c>
      <c r="AI41" s="4">
        <v>0.15217</v>
      </c>
      <c r="AJ41" s="2" t="s">
        <v>17</v>
      </c>
      <c r="AK41" s="2" t="s">
        <v>9</v>
      </c>
      <c r="AL41" s="2" t="s">
        <v>17</v>
      </c>
      <c r="AM41" s="2" t="s">
        <v>17</v>
      </c>
      <c r="AN41" s="2" t="s">
        <v>17</v>
      </c>
      <c r="AO41" s="2" t="s">
        <v>17</v>
      </c>
      <c r="AP41" s="2" t="s">
        <v>9</v>
      </c>
      <c r="AQ41" s="2" t="s">
        <v>9</v>
      </c>
      <c r="AR41" s="2" t="s">
        <v>17</v>
      </c>
      <c r="AS41" s="2" t="s">
        <v>17</v>
      </c>
      <c r="AT41" s="2">
        <v>5</v>
      </c>
      <c r="AU41" s="5">
        <v>100000</v>
      </c>
      <c r="AV41" s="2" t="s">
        <v>85</v>
      </c>
      <c r="AW41" s="2">
        <v>0</v>
      </c>
      <c r="AX41" s="2">
        <v>8</v>
      </c>
      <c r="AY41" s="2">
        <v>0</v>
      </c>
      <c r="AZ41" s="2">
        <v>18</v>
      </c>
      <c r="BA41" s="2">
        <v>0</v>
      </c>
      <c r="BB41" s="2">
        <v>0</v>
      </c>
      <c r="BC41" s="2">
        <v>1</v>
      </c>
      <c r="BD41" s="2">
        <v>5</v>
      </c>
      <c r="BE41" s="2">
        <v>0</v>
      </c>
      <c r="BF41" s="2">
        <v>1</v>
      </c>
      <c r="BG41" s="2">
        <v>0</v>
      </c>
      <c r="BH41" s="2">
        <v>0</v>
      </c>
      <c r="BI41" s="2">
        <v>13</v>
      </c>
      <c r="BJ41" s="2">
        <v>1</v>
      </c>
      <c r="BK41" s="2">
        <v>0</v>
      </c>
      <c r="BL41" s="2">
        <v>3</v>
      </c>
      <c r="BM41" s="2">
        <v>1</v>
      </c>
      <c r="BN41" s="2">
        <v>12</v>
      </c>
      <c r="BO41" s="2">
        <v>11</v>
      </c>
      <c r="BP41" s="2">
        <v>0</v>
      </c>
      <c r="BQ41" s="2">
        <v>10</v>
      </c>
      <c r="BR41" s="2">
        <v>9.7899999999999991</v>
      </c>
      <c r="BS41" s="2">
        <v>0</v>
      </c>
      <c r="BT41" s="4">
        <v>0.06</v>
      </c>
      <c r="BU41" s="2" t="s">
        <v>9</v>
      </c>
      <c r="BV41" s="6">
        <v>214601.58</v>
      </c>
      <c r="BW41" s="2" t="s">
        <v>18</v>
      </c>
      <c r="BX41" s="2" t="s">
        <v>17</v>
      </c>
      <c r="BY41" s="2" t="s">
        <v>17</v>
      </c>
      <c r="BZ41" s="2" t="s">
        <v>17</v>
      </c>
      <c r="CA41" s="2" t="s">
        <v>17</v>
      </c>
      <c r="CB41" s="2" t="s">
        <v>17</v>
      </c>
      <c r="CC41" s="2" t="s">
        <v>17</v>
      </c>
      <c r="CD41" s="2" t="s">
        <v>17</v>
      </c>
      <c r="CE41" s="2" t="s">
        <v>4027</v>
      </c>
      <c r="CF41" s="2" t="s">
        <v>17</v>
      </c>
      <c r="CG41" s="2" t="s">
        <v>4028</v>
      </c>
      <c r="CH41" s="2"/>
      <c r="CI41" s="2"/>
      <c r="CJ41" s="2" t="s">
        <v>9</v>
      </c>
      <c r="CK41" s="2" t="s">
        <v>286</v>
      </c>
      <c r="CL41" s="2" t="s">
        <v>4028</v>
      </c>
      <c r="CM41" s="2" t="s">
        <v>287</v>
      </c>
      <c r="CN41" s="2" t="s">
        <v>288</v>
      </c>
      <c r="CO41" s="2" t="s">
        <v>24</v>
      </c>
      <c r="CP41" s="2"/>
      <c r="CQ41" s="2">
        <v>100</v>
      </c>
      <c r="CR41" s="2" t="s">
        <v>4029</v>
      </c>
      <c r="CS41" s="2">
        <v>2021</v>
      </c>
      <c r="CT41" s="2" t="s">
        <v>26</v>
      </c>
      <c r="CU41" s="2" t="s">
        <v>27</v>
      </c>
      <c r="CV41" s="2" t="s">
        <v>3973</v>
      </c>
      <c r="CW41" s="2" t="s">
        <v>291</v>
      </c>
      <c r="CX41" s="2" t="s">
        <v>24</v>
      </c>
      <c r="CY41" s="2"/>
      <c r="CZ41" s="2">
        <v>110</v>
      </c>
      <c r="DA41" s="2" t="s">
        <v>4029</v>
      </c>
      <c r="DB41" s="2">
        <v>2021</v>
      </c>
      <c r="DC41" s="2" t="s">
        <v>30</v>
      </c>
      <c r="DD41" s="2" t="s">
        <v>27</v>
      </c>
      <c r="DE41" s="2" t="s">
        <v>292</v>
      </c>
      <c r="DF41" s="2" t="s">
        <v>293</v>
      </c>
      <c r="DG41" s="2" t="s">
        <v>24</v>
      </c>
      <c r="DH41" s="2"/>
      <c r="DI41" s="2">
        <v>132</v>
      </c>
      <c r="DJ41" s="2" t="s">
        <v>4029</v>
      </c>
      <c r="DK41" s="2">
        <v>2020</v>
      </c>
      <c r="DL41" s="2" t="s">
        <v>30</v>
      </c>
      <c r="DM41" s="2" t="s">
        <v>27</v>
      </c>
      <c r="DN41" s="2" t="s">
        <v>33</v>
      </c>
      <c r="DO41" s="2" t="s">
        <v>294</v>
      </c>
      <c r="DP41" s="2" t="s">
        <v>3974</v>
      </c>
      <c r="DQ41" s="2" t="s">
        <v>296</v>
      </c>
      <c r="DR41" s="2" t="s">
        <v>297</v>
      </c>
      <c r="DS41" s="2">
        <v>1</v>
      </c>
      <c r="DT41" s="2" t="s">
        <v>1060</v>
      </c>
      <c r="DU41" s="2" t="s">
        <v>299</v>
      </c>
      <c r="DV41" s="2" t="s">
        <v>39</v>
      </c>
      <c r="DW41" s="2">
        <v>33133</v>
      </c>
      <c r="DX41" s="2" t="s">
        <v>1061</v>
      </c>
      <c r="DY41" s="2">
        <v>125</v>
      </c>
      <c r="DZ41" s="2" t="s">
        <v>301</v>
      </c>
      <c r="EA41" s="2" t="s">
        <v>297</v>
      </c>
      <c r="EB41" s="2" t="s">
        <v>302</v>
      </c>
      <c r="EC41" s="2" t="s">
        <v>291</v>
      </c>
      <c r="ED41" s="2" t="s">
        <v>44</v>
      </c>
      <c r="EE41" s="2">
        <v>144</v>
      </c>
      <c r="EF41" s="2" t="s">
        <v>4030</v>
      </c>
      <c r="EG41" s="2">
        <v>7</v>
      </c>
      <c r="EH41" s="2" t="s">
        <v>46</v>
      </c>
      <c r="EI41" s="2" t="s">
        <v>47</v>
      </c>
      <c r="EJ41" s="2" t="s">
        <v>304</v>
      </c>
      <c r="EK41" s="2" t="s">
        <v>305</v>
      </c>
      <c r="EL41" s="2" t="s">
        <v>44</v>
      </c>
      <c r="EM41" s="2">
        <v>150</v>
      </c>
      <c r="EN41" s="2" t="s">
        <v>4030</v>
      </c>
      <c r="EO41" s="2">
        <v>5</v>
      </c>
      <c r="EP41" s="2" t="s">
        <v>46</v>
      </c>
      <c r="EQ41" s="2" t="s">
        <v>47</v>
      </c>
      <c r="ER41" s="2" t="s">
        <v>294</v>
      </c>
      <c r="ES41" s="2" t="s">
        <v>295</v>
      </c>
      <c r="ET41" s="2" t="s">
        <v>296</v>
      </c>
      <c r="EU41" s="2" t="s">
        <v>4027</v>
      </c>
      <c r="EV41" s="2" t="s">
        <v>1060</v>
      </c>
      <c r="EW41" s="2" t="s">
        <v>299</v>
      </c>
      <c r="EX41" s="2" t="s">
        <v>39</v>
      </c>
      <c r="EY41" s="2">
        <v>33133</v>
      </c>
      <c r="EZ41" s="2" t="s">
        <v>1061</v>
      </c>
      <c r="FA41" s="2">
        <v>125</v>
      </c>
      <c r="FB41" s="2" t="s">
        <v>301</v>
      </c>
      <c r="FC41" s="2" t="s">
        <v>307</v>
      </c>
      <c r="FD41" s="2"/>
      <c r="FE41" s="2" t="s">
        <v>308</v>
      </c>
      <c r="FF41" s="2" t="s">
        <v>309</v>
      </c>
      <c r="FG41" s="2" t="s">
        <v>1060</v>
      </c>
      <c r="FH41" s="2" t="s">
        <v>299</v>
      </c>
      <c r="FI41" s="2" t="s">
        <v>39</v>
      </c>
      <c r="FJ41" s="2">
        <v>33133</v>
      </c>
      <c r="FK41" s="2" t="s">
        <v>1063</v>
      </c>
      <c r="FL41" s="2"/>
      <c r="FM41" s="2" t="s">
        <v>311</v>
      </c>
      <c r="FN41" s="2" t="s">
        <v>4031</v>
      </c>
      <c r="FO41" s="2" t="s">
        <v>63</v>
      </c>
      <c r="FP41" s="2" t="s">
        <v>64</v>
      </c>
      <c r="FQ41" s="2" t="s">
        <v>9</v>
      </c>
      <c r="FR41" s="2" t="s">
        <v>17</v>
      </c>
      <c r="FS41" s="2" t="s">
        <v>17</v>
      </c>
      <c r="FT41" s="2" t="s">
        <v>9</v>
      </c>
      <c r="FU41" s="2"/>
      <c r="FV41" s="2"/>
      <c r="FW41" s="2">
        <v>0</v>
      </c>
      <c r="FX41" s="2">
        <v>0</v>
      </c>
      <c r="FY41" s="4">
        <v>0</v>
      </c>
      <c r="FZ41" s="4">
        <v>0</v>
      </c>
      <c r="GA41" s="2" t="s">
        <v>65</v>
      </c>
      <c r="GB41" s="2"/>
      <c r="GC41" s="2" t="s">
        <v>66</v>
      </c>
      <c r="GD41" s="2" t="s">
        <v>67</v>
      </c>
      <c r="GE41" s="2" t="s">
        <v>2684</v>
      </c>
      <c r="GF41" s="2"/>
      <c r="GG41" s="2"/>
      <c r="GH41" s="2"/>
      <c r="GI41" s="2"/>
      <c r="GJ41" s="2"/>
      <c r="GK41" s="2">
        <v>92</v>
      </c>
      <c r="GL41" s="2"/>
      <c r="GM41" s="2"/>
      <c r="GN41" s="2"/>
      <c r="GO41" s="2"/>
      <c r="GP41" s="2"/>
      <c r="GQ41" s="2">
        <v>92</v>
      </c>
      <c r="GR41" s="2" t="s">
        <v>3332</v>
      </c>
      <c r="GS41" s="2" t="s">
        <v>2686</v>
      </c>
      <c r="GT41" s="2" t="s">
        <v>4032</v>
      </c>
      <c r="GU41" s="2" t="s">
        <v>2720</v>
      </c>
      <c r="GV41" s="2" t="s">
        <v>17</v>
      </c>
      <c r="GW41" s="2">
        <v>25.565075</v>
      </c>
      <c r="GX41" s="2">
        <v>-80.384868999999995</v>
      </c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>
        <v>25.565964000000001</v>
      </c>
      <c r="HO41" s="2">
        <v>-80.382636000000005</v>
      </c>
      <c r="HP41" s="2">
        <v>0.16</v>
      </c>
      <c r="HQ41" s="2">
        <v>6</v>
      </c>
      <c r="HR41" s="2"/>
      <c r="HS41" s="2"/>
      <c r="HT41" s="2"/>
      <c r="HU41" s="2"/>
      <c r="HV41" s="2" t="s">
        <v>74</v>
      </c>
      <c r="HW41" s="2" t="s">
        <v>3426</v>
      </c>
      <c r="HX41" s="2">
        <v>0.72</v>
      </c>
      <c r="HY41" s="2">
        <v>3</v>
      </c>
      <c r="HZ41" s="2"/>
      <c r="IA41" s="2"/>
      <c r="IB41" s="2"/>
      <c r="IC41" s="2"/>
      <c r="ID41" s="2" t="s">
        <v>76</v>
      </c>
      <c r="IE41" s="2">
        <v>0.72</v>
      </c>
      <c r="IF41" s="2">
        <v>3</v>
      </c>
      <c r="IG41" s="2" t="s">
        <v>3582</v>
      </c>
      <c r="IH41" s="2">
        <v>0.28000000000000003</v>
      </c>
      <c r="II41" s="2">
        <v>4</v>
      </c>
      <c r="IJ41" s="2" t="s">
        <v>9</v>
      </c>
      <c r="IK41" s="2" t="s">
        <v>3428</v>
      </c>
      <c r="IL41" s="2" t="s">
        <v>3341</v>
      </c>
      <c r="IM41" s="2" t="s">
        <v>17</v>
      </c>
      <c r="IN41" s="2"/>
      <c r="IO41" s="2" t="s">
        <v>79</v>
      </c>
      <c r="IP41" s="2">
        <v>6</v>
      </c>
      <c r="IQ41" s="2">
        <v>10</v>
      </c>
      <c r="IR41" s="2">
        <v>16</v>
      </c>
      <c r="IS41" s="2" t="s">
        <v>17</v>
      </c>
      <c r="IT41" s="2" t="s">
        <v>17</v>
      </c>
      <c r="IU41" s="2" t="s">
        <v>9</v>
      </c>
      <c r="IV41" s="2" t="s">
        <v>9</v>
      </c>
      <c r="IW41" s="2" t="s">
        <v>9</v>
      </c>
      <c r="IX41" s="2" t="s">
        <v>9</v>
      </c>
      <c r="IY41" s="2">
        <v>16</v>
      </c>
      <c r="IZ41" s="2">
        <v>92</v>
      </c>
      <c r="JA41" s="2" t="s">
        <v>2731</v>
      </c>
      <c r="JB41" s="2"/>
      <c r="JC41" s="2" t="s">
        <v>82</v>
      </c>
      <c r="JD41" s="2"/>
      <c r="JE41" s="2"/>
      <c r="JF41" s="7">
        <v>0</v>
      </c>
      <c r="JG41" s="7"/>
      <c r="JH41" s="7"/>
      <c r="JI41" s="2">
        <v>0</v>
      </c>
      <c r="JJ41" s="7">
        <v>0</v>
      </c>
      <c r="JK41" s="2">
        <v>0</v>
      </c>
      <c r="JL41" s="7">
        <v>0</v>
      </c>
      <c r="JM41" s="2">
        <v>14</v>
      </c>
      <c r="JN41" s="2"/>
      <c r="JO41" s="2"/>
      <c r="JP41" s="2">
        <v>36</v>
      </c>
      <c r="JQ41" s="2">
        <v>42</v>
      </c>
      <c r="JR41" s="2"/>
      <c r="JS41" s="2">
        <v>0</v>
      </c>
      <c r="JT41" s="2">
        <v>0</v>
      </c>
      <c r="JU41" s="2"/>
      <c r="JV41" s="2">
        <v>92</v>
      </c>
      <c r="JW41" s="4">
        <v>1</v>
      </c>
      <c r="JX41" s="2">
        <v>92</v>
      </c>
      <c r="JY41" s="4">
        <v>0.6</v>
      </c>
      <c r="JZ41" s="2">
        <v>0</v>
      </c>
      <c r="KA41" s="2"/>
      <c r="KB41" s="2"/>
      <c r="KC41" s="2"/>
      <c r="KD41" s="2"/>
      <c r="KE41" s="2"/>
      <c r="KF41" s="2"/>
      <c r="KG41" s="2"/>
      <c r="KH41" s="2">
        <v>92</v>
      </c>
      <c r="KI41" s="2"/>
      <c r="KJ41" s="2"/>
      <c r="KK41" s="2"/>
      <c r="KL41" s="2"/>
      <c r="KM41" s="2"/>
      <c r="KN41" s="2"/>
      <c r="KO41" s="2"/>
      <c r="KP41" s="2"/>
      <c r="KQ41" s="2" t="s">
        <v>83</v>
      </c>
      <c r="KR41" s="2" t="s">
        <v>73</v>
      </c>
      <c r="KS41" s="2"/>
      <c r="KT41" s="2">
        <v>1</v>
      </c>
      <c r="KU41" s="2" t="s">
        <v>84</v>
      </c>
      <c r="KV41" s="2" t="s">
        <v>85</v>
      </c>
      <c r="KW41" s="2" t="s">
        <v>86</v>
      </c>
      <c r="KX41" s="2" t="s">
        <v>17</v>
      </c>
      <c r="KY41" s="2" t="s">
        <v>17</v>
      </c>
      <c r="KZ41" s="2" t="s">
        <v>17</v>
      </c>
      <c r="LA41" s="2" t="s">
        <v>17</v>
      </c>
      <c r="LB41" s="2" t="s">
        <v>17</v>
      </c>
      <c r="LC41" s="2" t="s">
        <v>17</v>
      </c>
      <c r="LD41" s="2" t="s">
        <v>17</v>
      </c>
      <c r="LE41" s="2" t="s">
        <v>17</v>
      </c>
      <c r="LF41" s="2" t="s">
        <v>17</v>
      </c>
      <c r="LG41" s="2" t="s">
        <v>17</v>
      </c>
      <c r="LH41" s="2" t="s">
        <v>17</v>
      </c>
      <c r="LI41" s="2" t="s">
        <v>17</v>
      </c>
      <c r="LJ41" s="2" t="s">
        <v>87</v>
      </c>
      <c r="LK41" s="2" t="s">
        <v>17</v>
      </c>
      <c r="LL41" s="2" t="s">
        <v>17</v>
      </c>
      <c r="LM41" s="2">
        <v>0</v>
      </c>
      <c r="LN41" s="2" t="s">
        <v>17</v>
      </c>
      <c r="LO41" s="2" t="s">
        <v>9</v>
      </c>
      <c r="LP41" s="2" t="s">
        <v>9</v>
      </c>
      <c r="LQ41" s="2" t="s">
        <v>17</v>
      </c>
      <c r="LR41" s="2" t="s">
        <v>9</v>
      </c>
      <c r="LS41" s="2" t="s">
        <v>17</v>
      </c>
      <c r="LT41" s="2" t="s">
        <v>17</v>
      </c>
      <c r="LU41" s="2" t="s">
        <v>17</v>
      </c>
      <c r="LV41" s="2" t="s">
        <v>17</v>
      </c>
      <c r="LW41" s="2" t="s">
        <v>17</v>
      </c>
      <c r="LX41" s="2" t="s">
        <v>17</v>
      </c>
      <c r="LY41" s="5">
        <v>6500000</v>
      </c>
      <c r="LZ41" s="5">
        <v>0</v>
      </c>
      <c r="MA41" s="5">
        <v>8400000</v>
      </c>
      <c r="MB41" s="5">
        <v>0</v>
      </c>
      <c r="MC41" s="5">
        <v>0</v>
      </c>
      <c r="MD41" s="5">
        <v>0</v>
      </c>
      <c r="ME41" s="5">
        <v>9660000</v>
      </c>
      <c r="MF41" s="5">
        <v>0</v>
      </c>
      <c r="MG41" s="5">
        <v>0</v>
      </c>
      <c r="MH41" s="5">
        <v>0</v>
      </c>
      <c r="MI41" s="5">
        <v>0</v>
      </c>
      <c r="MJ41" s="5">
        <v>0</v>
      </c>
      <c r="MK41" s="5">
        <v>0</v>
      </c>
      <c r="ML41" s="2">
        <v>0</v>
      </c>
      <c r="MM41" s="5">
        <v>0</v>
      </c>
      <c r="MN41" s="5">
        <v>0</v>
      </c>
      <c r="MO41" s="2">
        <v>0</v>
      </c>
      <c r="MP41" s="2">
        <v>0</v>
      </c>
      <c r="MQ41" s="2">
        <v>0</v>
      </c>
      <c r="MR41" s="5">
        <v>2950000</v>
      </c>
      <c r="MS41" s="5">
        <v>0</v>
      </c>
      <c r="MT41" s="5">
        <v>4600000</v>
      </c>
      <c r="MU41" s="5">
        <v>0</v>
      </c>
      <c r="MV41" s="5">
        <v>0</v>
      </c>
      <c r="MW41" s="5">
        <v>0</v>
      </c>
      <c r="MX41" s="5">
        <v>0</v>
      </c>
      <c r="MY41" s="5">
        <v>2500000</v>
      </c>
      <c r="MZ41" s="5">
        <v>0</v>
      </c>
      <c r="NA41" s="5">
        <v>5000000</v>
      </c>
      <c r="NB41" s="5">
        <v>0</v>
      </c>
      <c r="NC41" s="5">
        <v>0</v>
      </c>
      <c r="ND41" s="5">
        <v>0</v>
      </c>
      <c r="NE41" s="5">
        <v>0</v>
      </c>
      <c r="NF41" s="5">
        <v>0</v>
      </c>
      <c r="NG41" s="5">
        <v>3458400</v>
      </c>
      <c r="NH41" s="5">
        <v>3075000</v>
      </c>
      <c r="NI41" s="5">
        <v>3075000</v>
      </c>
      <c r="NJ41" s="5"/>
      <c r="NK41" s="5">
        <v>0</v>
      </c>
      <c r="NL41" s="2" t="s">
        <v>17</v>
      </c>
      <c r="NM41" s="2" t="s">
        <v>17</v>
      </c>
      <c r="NN41" s="2"/>
      <c r="NO41" s="2" t="s">
        <v>17</v>
      </c>
      <c r="NP41" s="2"/>
      <c r="NQ41" s="2"/>
      <c r="NR41" s="2" t="s">
        <v>17</v>
      </c>
      <c r="NS41" s="2"/>
      <c r="NT41" s="2" t="s">
        <v>17</v>
      </c>
      <c r="NU41" s="2"/>
      <c r="NV41" s="2"/>
      <c r="NW41" s="2"/>
      <c r="NX41" s="2" t="s">
        <v>9</v>
      </c>
      <c r="NY41" s="2" t="s">
        <v>88</v>
      </c>
      <c r="NZ41" s="2">
        <v>104</v>
      </c>
      <c r="OA41" s="2" t="s">
        <v>3400</v>
      </c>
      <c r="OB41" s="2" t="s">
        <v>3401</v>
      </c>
      <c r="OC41" s="2" t="s">
        <v>3401</v>
      </c>
      <c r="OD41" s="2" t="s">
        <v>3343</v>
      </c>
      <c r="OE41" s="2" t="s">
        <v>3429</v>
      </c>
      <c r="OF41" s="2" t="s">
        <v>9</v>
      </c>
      <c r="OG41" s="2" t="s">
        <v>17</v>
      </c>
      <c r="OH41" s="2"/>
      <c r="OI41" s="2" t="s">
        <v>9</v>
      </c>
      <c r="OJ41" s="2" t="s">
        <v>92</v>
      </c>
      <c r="OK41" s="2" t="s">
        <v>17</v>
      </c>
      <c r="OL41" s="2" t="s">
        <v>17</v>
      </c>
      <c r="OM41" s="2" t="s">
        <v>85</v>
      </c>
      <c r="ON41" s="6">
        <v>0</v>
      </c>
      <c r="OO41" s="6">
        <v>0</v>
      </c>
      <c r="OP41" s="2" t="s">
        <v>93</v>
      </c>
      <c r="OQ41" s="2" t="s">
        <v>93</v>
      </c>
      <c r="OR41" s="6">
        <v>0</v>
      </c>
      <c r="OS41" s="4">
        <v>0</v>
      </c>
      <c r="OT41" s="2" t="s">
        <v>17</v>
      </c>
      <c r="OU41" s="2" t="s">
        <v>17</v>
      </c>
      <c r="OV41" s="2"/>
      <c r="OW41" s="2"/>
      <c r="OX41" s="5">
        <v>19743345</v>
      </c>
      <c r="OY41" s="6">
        <v>214601.58</v>
      </c>
      <c r="OZ41" s="2"/>
      <c r="PA41" s="2"/>
      <c r="PB41" s="2"/>
      <c r="PC41" s="2"/>
      <c r="PD41" s="8">
        <v>21008776</v>
      </c>
      <c r="PE41" s="8">
        <v>554901</v>
      </c>
      <c r="PF41" s="8">
        <v>21563677</v>
      </c>
      <c r="PG41" s="2"/>
      <c r="PH41" s="2"/>
      <c r="PI41" s="2"/>
      <c r="PJ41" s="2"/>
      <c r="PK41" s="2"/>
      <c r="PL41" s="2"/>
      <c r="PM41" s="8">
        <v>21008776</v>
      </c>
      <c r="PN41" s="8">
        <v>554901</v>
      </c>
      <c r="PO41" s="8">
        <v>21563677</v>
      </c>
      <c r="PP41" s="8">
        <v>3000000</v>
      </c>
      <c r="PQ41" s="2"/>
      <c r="PR41" s="8">
        <v>3000000</v>
      </c>
      <c r="PS41" s="6">
        <v>3018914</v>
      </c>
      <c r="PT41" s="8">
        <v>24008776</v>
      </c>
      <c r="PU41" s="8">
        <v>554901</v>
      </c>
      <c r="PV41" s="8">
        <v>24563677</v>
      </c>
      <c r="PW41" s="8">
        <v>1180316</v>
      </c>
      <c r="PX41" s="2"/>
      <c r="PY41" s="8">
        <v>1180316</v>
      </c>
      <c r="PZ41" s="6">
        <v>1228183.8500000001</v>
      </c>
      <c r="QA41" s="8">
        <v>1018278</v>
      </c>
      <c r="QB41" s="8">
        <v>375706</v>
      </c>
      <c r="QC41" s="8">
        <v>1393984</v>
      </c>
      <c r="QD41" s="8">
        <v>286861</v>
      </c>
      <c r="QE41" s="2"/>
      <c r="QF41" s="8">
        <v>286861</v>
      </c>
      <c r="QG41" s="8">
        <v>590189</v>
      </c>
      <c r="QH41" s="2"/>
      <c r="QI41" s="8">
        <v>590189</v>
      </c>
      <c r="QJ41" s="2"/>
      <c r="QK41" s="8">
        <v>512595</v>
      </c>
      <c r="QL41" s="8">
        <v>512595</v>
      </c>
      <c r="QM41" s="2"/>
      <c r="QN41" s="2"/>
      <c r="QO41" s="2"/>
      <c r="QP41" s="2"/>
      <c r="QQ41" s="2"/>
      <c r="QR41" s="2"/>
      <c r="QS41" s="8">
        <v>1895328</v>
      </c>
      <c r="QT41" s="8">
        <v>888301</v>
      </c>
      <c r="QU41" s="8">
        <v>2783629</v>
      </c>
      <c r="QV41" s="8">
        <v>107490</v>
      </c>
      <c r="QW41" s="8">
        <v>30873</v>
      </c>
      <c r="QX41" s="8">
        <v>138363</v>
      </c>
      <c r="QY41" s="6">
        <v>139181.45000000001</v>
      </c>
      <c r="QZ41" s="8">
        <v>1500276</v>
      </c>
      <c r="RA41" s="8">
        <v>1037136</v>
      </c>
      <c r="RB41" s="8">
        <v>2537412</v>
      </c>
      <c r="RC41" s="8">
        <v>86620</v>
      </c>
      <c r="RD41" s="8">
        <v>86620</v>
      </c>
      <c r="RE41" s="2"/>
      <c r="RF41" s="2"/>
      <c r="RG41" s="2"/>
      <c r="RH41" s="8">
        <v>1500276</v>
      </c>
      <c r="RI41" s="8">
        <v>1123756</v>
      </c>
      <c r="RJ41" s="8">
        <v>2624032</v>
      </c>
      <c r="RK41" s="8">
        <v>28692186</v>
      </c>
      <c r="RL41" s="8">
        <v>2597831</v>
      </c>
      <c r="RM41" s="8">
        <v>31290017</v>
      </c>
      <c r="RN41" s="2">
        <v>0</v>
      </c>
      <c r="RO41" s="6">
        <v>0</v>
      </c>
      <c r="RP41" s="8">
        <v>5000000</v>
      </c>
      <c r="RQ41" s="2"/>
      <c r="RR41" s="8">
        <v>5000000</v>
      </c>
      <c r="RS41" s="6">
        <v>5006402</v>
      </c>
      <c r="RT41" s="6">
        <v>0</v>
      </c>
      <c r="RU41" s="8">
        <v>5000000</v>
      </c>
      <c r="RV41" s="2"/>
      <c r="RW41" s="8">
        <v>5000000</v>
      </c>
      <c r="RX41" s="6">
        <v>5006402</v>
      </c>
      <c r="RY41" s="8">
        <v>288179</v>
      </c>
      <c r="RZ41" s="8">
        <v>288179</v>
      </c>
      <c r="SA41" s="6">
        <v>322000</v>
      </c>
      <c r="SB41" s="8">
        <v>2600000</v>
      </c>
      <c r="SC41" s="8">
        <v>2600000</v>
      </c>
      <c r="SD41" s="8">
        <v>33692186</v>
      </c>
      <c r="SE41" s="8">
        <v>5486010</v>
      </c>
      <c r="SF41" s="8">
        <v>39178196</v>
      </c>
      <c r="SG41" s="2"/>
      <c r="SH41" s="2"/>
      <c r="SI41" s="2"/>
      <c r="SJ41" s="2"/>
      <c r="SK41" s="8">
        <v>33000000</v>
      </c>
      <c r="SL41" s="2" t="s">
        <v>95</v>
      </c>
      <c r="SM41" s="2"/>
      <c r="SN41" s="2"/>
      <c r="SO41" s="2"/>
      <c r="SP41" s="2"/>
      <c r="SQ41" s="2"/>
      <c r="SR41" s="2"/>
      <c r="SS41" s="2" t="s">
        <v>96</v>
      </c>
      <c r="ST41" s="2" t="s">
        <v>96</v>
      </c>
      <c r="SU41" s="2" t="s">
        <v>96</v>
      </c>
      <c r="SV41" s="2" t="s">
        <v>96</v>
      </c>
      <c r="SW41" s="8">
        <v>14143600</v>
      </c>
      <c r="SX41" s="2"/>
      <c r="SY41" s="2"/>
      <c r="SZ41" s="2"/>
      <c r="TA41" s="2"/>
      <c r="TB41" s="2"/>
      <c r="TC41" s="2"/>
      <c r="TD41" s="2">
        <v>0</v>
      </c>
      <c r="TE41" s="8">
        <v>47143600</v>
      </c>
      <c r="TF41" s="8">
        <v>7965404</v>
      </c>
      <c r="TG41" s="2" t="s">
        <v>9</v>
      </c>
      <c r="TH41" s="8">
        <v>7000000</v>
      </c>
      <c r="TI41" s="2" t="s">
        <v>95</v>
      </c>
      <c r="TJ41" s="2"/>
      <c r="TK41" s="2"/>
      <c r="TL41" s="2"/>
      <c r="TM41" s="2"/>
      <c r="TN41" s="2" t="s">
        <v>96</v>
      </c>
      <c r="TO41" s="2" t="s">
        <v>96</v>
      </c>
      <c r="TP41" s="2" t="s">
        <v>96</v>
      </c>
      <c r="TQ41" s="2" t="s">
        <v>96</v>
      </c>
      <c r="TR41" s="8">
        <v>28287200</v>
      </c>
      <c r="TS41" s="2"/>
      <c r="TT41" s="2"/>
      <c r="TU41" s="2"/>
      <c r="TV41" s="2"/>
      <c r="TW41" s="2"/>
      <c r="TX41" s="2"/>
      <c r="TY41" s="8">
        <v>3890996</v>
      </c>
      <c r="TZ41" s="8">
        <v>39178196</v>
      </c>
      <c r="UA41" s="6">
        <v>7000000</v>
      </c>
      <c r="UB41" s="2">
        <v>0</v>
      </c>
      <c r="UC41" s="2" t="s">
        <v>9</v>
      </c>
      <c r="UD41" s="2">
        <v>92</v>
      </c>
      <c r="UE41" s="5">
        <v>310000</v>
      </c>
      <c r="UF41" s="6">
        <v>413333.33</v>
      </c>
      <c r="UG41" s="6">
        <v>413333.33</v>
      </c>
      <c r="UH41" s="6">
        <v>438133.33</v>
      </c>
      <c r="UI41" s="6">
        <v>40308266.670000002</v>
      </c>
      <c r="UJ41" s="6">
        <v>6449322</v>
      </c>
      <c r="UK41" s="2" t="s">
        <v>97</v>
      </c>
      <c r="UL41" s="6">
        <v>6449322</v>
      </c>
      <c r="UM41" s="6">
        <v>46757588.670000002</v>
      </c>
      <c r="UN41" s="6">
        <v>36290017</v>
      </c>
      <c r="UO41" s="4">
        <v>0.99990000000000001</v>
      </c>
      <c r="UP41" s="2" t="s">
        <v>9</v>
      </c>
      <c r="UQ41" s="6">
        <v>0</v>
      </c>
      <c r="UR41" s="6">
        <v>0</v>
      </c>
      <c r="US41" s="6">
        <v>651345.28</v>
      </c>
      <c r="UT41" s="6">
        <v>651345.28</v>
      </c>
      <c r="UU41" s="6">
        <v>0</v>
      </c>
      <c r="UV41" s="6">
        <v>651345.28</v>
      </c>
      <c r="UW41" s="6">
        <v>0</v>
      </c>
      <c r="UX41" s="6">
        <v>651345.28</v>
      </c>
      <c r="UY41" s="2" t="s">
        <v>3387</v>
      </c>
      <c r="UZ41" s="2" t="s">
        <v>3288</v>
      </c>
      <c r="VA41" s="2" t="s">
        <v>17</v>
      </c>
      <c r="VB41" s="2" t="s">
        <v>17</v>
      </c>
      <c r="VC41" s="2" t="s">
        <v>17</v>
      </c>
      <c r="VD41" s="2" t="s">
        <v>17</v>
      </c>
      <c r="VE41" s="2" t="s">
        <v>17</v>
      </c>
      <c r="VF41" s="2" t="s">
        <v>17</v>
      </c>
      <c r="VG41" s="2" t="s">
        <v>4033</v>
      </c>
      <c r="VH41" s="2"/>
      <c r="VI41" s="388" t="s">
        <v>286</v>
      </c>
      <c r="VJ41" s="2" t="s">
        <v>98</v>
      </c>
      <c r="VK41" s="2" t="s">
        <v>4034</v>
      </c>
      <c r="VL41" s="23">
        <f t="shared" si="21"/>
        <v>92</v>
      </c>
      <c r="VM41" s="17">
        <f t="shared" si="22"/>
        <v>1</v>
      </c>
      <c r="VN41" s="17" t="str">
        <f t="shared" si="2"/>
        <v>NC-HR-F</v>
      </c>
      <c r="VO41" s="17" t="str">
        <f t="shared" si="14"/>
        <v>NC-HR-F-ESS</v>
      </c>
      <c r="VP41" s="12">
        <v>9</v>
      </c>
      <c r="VQ41" s="57">
        <v>1</v>
      </c>
      <c r="VR41" s="57">
        <f t="shared" si="3"/>
        <v>1</v>
      </c>
      <c r="VS41" s="14">
        <f t="shared" si="4"/>
        <v>1</v>
      </c>
      <c r="VT41" s="12">
        <f t="shared" si="5"/>
        <v>0.88349999999999995</v>
      </c>
      <c r="VU41" s="29">
        <f t="shared" si="6"/>
        <v>24450862.5</v>
      </c>
      <c r="VV41" s="29">
        <f t="shared" si="23"/>
        <v>265770.23999999999</v>
      </c>
      <c r="VW41" s="12" t="str">
        <f t="shared" si="15"/>
        <v>B</v>
      </c>
      <c r="VX41" s="12" t="str">
        <f t="shared" si="24"/>
        <v>NC-HR-ESS</v>
      </c>
      <c r="VY41" s="352">
        <f t="shared" si="16"/>
        <v>5</v>
      </c>
      <c r="WA41" s="12">
        <f t="shared" si="17"/>
        <v>0</v>
      </c>
      <c r="WB41" s="12">
        <f t="shared" si="18"/>
        <v>0</v>
      </c>
      <c r="WC41" s="12">
        <f t="shared" si="18"/>
        <v>0</v>
      </c>
      <c r="WD41" s="12">
        <f t="shared" si="18"/>
        <v>0</v>
      </c>
      <c r="WE41" s="12">
        <f t="shared" si="19"/>
        <v>1</v>
      </c>
      <c r="WF41" s="12">
        <f t="shared" si="25"/>
        <v>0</v>
      </c>
      <c r="WG41" s="12">
        <f t="shared" si="26"/>
        <v>0</v>
      </c>
      <c r="WH41" s="12">
        <f t="shared" si="27"/>
        <v>1</v>
      </c>
      <c r="WI41" s="22">
        <f t="shared" si="28"/>
        <v>2</v>
      </c>
      <c r="WJ41" s="2"/>
      <c r="WK41" s="444" t="str">
        <f t="shared" si="20"/>
        <v>NC-HR-ESS-BBN-BRN-NPH-F</v>
      </c>
      <c r="WL41" s="444"/>
      <c r="WM41" s="444"/>
    </row>
    <row r="42" spans="1:611" x14ac:dyDescent="0.25">
      <c r="A42" s="2">
        <v>9656</v>
      </c>
      <c r="B42" s="2" t="s">
        <v>4035</v>
      </c>
      <c r="C42" s="2" t="s">
        <v>3305</v>
      </c>
      <c r="D42" s="3">
        <v>45159</v>
      </c>
      <c r="E42" s="2" t="s">
        <v>9</v>
      </c>
      <c r="F42" s="2">
        <v>3</v>
      </c>
      <c r="G42" s="2" t="s">
        <v>9</v>
      </c>
      <c r="H42" s="2">
        <v>3</v>
      </c>
      <c r="I42" s="2" t="s">
        <v>9</v>
      </c>
      <c r="J42" s="2">
        <v>2</v>
      </c>
      <c r="K42" s="2" t="s">
        <v>9</v>
      </c>
      <c r="L42" s="2">
        <v>3</v>
      </c>
      <c r="M42" s="2" t="s">
        <v>10</v>
      </c>
      <c r="N42" s="2">
        <v>0</v>
      </c>
      <c r="O42" s="2" t="s">
        <v>10</v>
      </c>
      <c r="P42" s="2">
        <v>0</v>
      </c>
      <c r="Q42" s="2" t="s">
        <v>11</v>
      </c>
      <c r="R42" s="2">
        <v>0</v>
      </c>
      <c r="S42" s="2" t="s">
        <v>9</v>
      </c>
      <c r="T42" s="2">
        <v>2</v>
      </c>
      <c r="U42" s="2" t="s">
        <v>9</v>
      </c>
      <c r="V42" s="2">
        <v>2</v>
      </c>
      <c r="W42" s="2" t="s">
        <v>9</v>
      </c>
      <c r="X42" s="2">
        <v>2</v>
      </c>
      <c r="Y42" s="2" t="s">
        <v>12</v>
      </c>
      <c r="Z42" s="2" t="s">
        <v>1620</v>
      </c>
      <c r="AA42" s="2" t="s">
        <v>1128</v>
      </c>
      <c r="AB42" s="2" t="s">
        <v>3178</v>
      </c>
      <c r="AC42" s="2" t="s">
        <v>15</v>
      </c>
      <c r="AD42" s="2" t="s">
        <v>15</v>
      </c>
      <c r="AE42" s="2" t="s">
        <v>15</v>
      </c>
      <c r="AF42" s="2">
        <v>3</v>
      </c>
      <c r="AG42" s="2" t="s">
        <v>4036</v>
      </c>
      <c r="AH42" s="2" t="s">
        <v>17</v>
      </c>
      <c r="AI42" s="4">
        <v>0.15</v>
      </c>
      <c r="AJ42" s="2" t="s">
        <v>17</v>
      </c>
      <c r="AK42" s="2" t="s">
        <v>9</v>
      </c>
      <c r="AL42" s="2" t="s">
        <v>17</v>
      </c>
      <c r="AM42" s="2" t="s">
        <v>17</v>
      </c>
      <c r="AN42" s="2" t="s">
        <v>17</v>
      </c>
      <c r="AO42" s="2" t="s">
        <v>9</v>
      </c>
      <c r="AP42" s="2" t="s">
        <v>17</v>
      </c>
      <c r="AQ42" s="2" t="s">
        <v>17</v>
      </c>
      <c r="AR42" s="2" t="s">
        <v>17</v>
      </c>
      <c r="AS42" s="2" t="s">
        <v>17</v>
      </c>
      <c r="AT42" s="2">
        <v>5</v>
      </c>
      <c r="AU42" s="5">
        <v>100000</v>
      </c>
      <c r="AV42" s="2" t="s">
        <v>85</v>
      </c>
      <c r="AW42" s="2">
        <v>0</v>
      </c>
      <c r="AX42" s="2">
        <v>19</v>
      </c>
      <c r="AY42" s="2">
        <v>0</v>
      </c>
      <c r="AZ42" s="2">
        <v>18</v>
      </c>
      <c r="BA42" s="2">
        <v>0</v>
      </c>
      <c r="BB42" s="2">
        <v>0</v>
      </c>
      <c r="BC42" s="2">
        <v>0</v>
      </c>
      <c r="BD42" s="2">
        <v>3</v>
      </c>
      <c r="BE42" s="2">
        <v>0</v>
      </c>
      <c r="BF42" s="2">
        <v>1</v>
      </c>
      <c r="BG42" s="2">
        <v>0</v>
      </c>
      <c r="BH42" s="2">
        <v>0</v>
      </c>
      <c r="BI42" s="2">
        <v>13</v>
      </c>
      <c r="BJ42" s="2">
        <v>1</v>
      </c>
      <c r="BK42" s="2">
        <v>0</v>
      </c>
      <c r="BL42" s="2">
        <v>3</v>
      </c>
      <c r="BM42" s="2">
        <v>2</v>
      </c>
      <c r="BN42" s="2">
        <v>12</v>
      </c>
      <c r="BO42" s="2">
        <v>11</v>
      </c>
      <c r="BP42" s="2">
        <v>0</v>
      </c>
      <c r="BQ42" s="2">
        <v>10</v>
      </c>
      <c r="BR42" s="2">
        <v>9.76</v>
      </c>
      <c r="BS42" s="2">
        <v>0</v>
      </c>
      <c r="BT42" s="4">
        <v>0.06</v>
      </c>
      <c r="BU42" s="2" t="s">
        <v>9</v>
      </c>
      <c r="BV42" s="6">
        <v>215090.1</v>
      </c>
      <c r="BW42" s="2" t="s">
        <v>18</v>
      </c>
      <c r="BX42" s="2" t="s">
        <v>17</v>
      </c>
      <c r="BY42" s="2" t="s">
        <v>17</v>
      </c>
      <c r="BZ42" s="2" t="s">
        <v>17</v>
      </c>
      <c r="CA42" s="2" t="s">
        <v>17</v>
      </c>
      <c r="CB42" s="2" t="s">
        <v>17</v>
      </c>
      <c r="CC42" s="2" t="s">
        <v>17</v>
      </c>
      <c r="CD42" s="2" t="s">
        <v>17</v>
      </c>
      <c r="CE42" s="2" t="s">
        <v>4037</v>
      </c>
      <c r="CF42" s="2" t="s">
        <v>17</v>
      </c>
      <c r="CG42" s="2" t="s">
        <v>4038</v>
      </c>
      <c r="CH42" s="2"/>
      <c r="CI42" s="2"/>
      <c r="CJ42" s="2" t="s">
        <v>9</v>
      </c>
      <c r="CK42" s="2" t="s">
        <v>4039</v>
      </c>
      <c r="CL42" s="2" t="s">
        <v>4038</v>
      </c>
      <c r="CM42" s="2" t="s">
        <v>1963</v>
      </c>
      <c r="CN42" s="2" t="s">
        <v>2661</v>
      </c>
      <c r="CO42" s="2" t="s">
        <v>24</v>
      </c>
      <c r="CP42" s="2"/>
      <c r="CQ42" s="2">
        <v>96</v>
      </c>
      <c r="CR42" s="2" t="s">
        <v>3904</v>
      </c>
      <c r="CS42" s="2">
        <v>2020</v>
      </c>
      <c r="CT42" s="2" t="s">
        <v>26</v>
      </c>
      <c r="CU42" s="2" t="s">
        <v>27</v>
      </c>
      <c r="CV42" s="2" t="s">
        <v>4040</v>
      </c>
      <c r="CW42" s="2" t="s">
        <v>2661</v>
      </c>
      <c r="CX42" s="2" t="s">
        <v>24</v>
      </c>
      <c r="CY42" s="2"/>
      <c r="CZ42" s="2">
        <v>96</v>
      </c>
      <c r="DA42" s="2" t="s">
        <v>3904</v>
      </c>
      <c r="DB42" s="2">
        <v>2013</v>
      </c>
      <c r="DC42" s="2" t="s">
        <v>30</v>
      </c>
      <c r="DD42" s="2" t="s">
        <v>27</v>
      </c>
      <c r="DE42" s="2" t="s">
        <v>4041</v>
      </c>
      <c r="DF42" s="2" t="s">
        <v>2661</v>
      </c>
      <c r="DG42" s="2" t="s">
        <v>24</v>
      </c>
      <c r="DH42" s="2"/>
      <c r="DI42" s="2">
        <v>150</v>
      </c>
      <c r="DJ42" s="2" t="s">
        <v>3904</v>
      </c>
      <c r="DK42" s="2">
        <v>2011</v>
      </c>
      <c r="DL42" s="2" t="s">
        <v>243</v>
      </c>
      <c r="DM42" s="2" t="s">
        <v>27</v>
      </c>
      <c r="DN42" s="2" t="s">
        <v>33</v>
      </c>
      <c r="DO42" s="2" t="s">
        <v>34</v>
      </c>
      <c r="DP42" s="2" t="s">
        <v>337</v>
      </c>
      <c r="DQ42" s="2" t="s">
        <v>35</v>
      </c>
      <c r="DR42" s="2" t="s">
        <v>36</v>
      </c>
      <c r="DS42" s="2">
        <v>1</v>
      </c>
      <c r="DT42" s="2" t="s">
        <v>1965</v>
      </c>
      <c r="DU42" s="2" t="s">
        <v>38</v>
      </c>
      <c r="DV42" s="2" t="s">
        <v>39</v>
      </c>
      <c r="DW42" s="2">
        <v>32405</v>
      </c>
      <c r="DX42" s="2" t="s">
        <v>617</v>
      </c>
      <c r="DY42" s="2"/>
      <c r="DZ42" s="2" t="s">
        <v>4042</v>
      </c>
      <c r="EA42" s="2" t="s">
        <v>36</v>
      </c>
      <c r="EB42" s="2" t="s">
        <v>4043</v>
      </c>
      <c r="EC42" s="2" t="s">
        <v>4044</v>
      </c>
      <c r="ED42" s="2" t="s">
        <v>44</v>
      </c>
      <c r="EE42" s="2">
        <v>100</v>
      </c>
      <c r="EF42" s="2" t="s">
        <v>3906</v>
      </c>
      <c r="EG42" s="2">
        <v>10</v>
      </c>
      <c r="EH42" s="2" t="s">
        <v>46</v>
      </c>
      <c r="EI42" s="2" t="s">
        <v>47</v>
      </c>
      <c r="EJ42" s="2" t="s">
        <v>4045</v>
      </c>
      <c r="EK42" s="2" t="s">
        <v>2661</v>
      </c>
      <c r="EL42" s="2" t="s">
        <v>44</v>
      </c>
      <c r="EM42" s="2">
        <v>90</v>
      </c>
      <c r="EN42" s="2" t="s">
        <v>3906</v>
      </c>
      <c r="EO42" s="2">
        <v>12</v>
      </c>
      <c r="EP42" s="2" t="s">
        <v>46</v>
      </c>
      <c r="EQ42" s="2" t="s">
        <v>47</v>
      </c>
      <c r="ER42" s="2" t="s">
        <v>4046</v>
      </c>
      <c r="ES42" s="2" t="s">
        <v>295</v>
      </c>
      <c r="ET42" s="2" t="s">
        <v>4047</v>
      </c>
      <c r="EU42" s="2" t="s">
        <v>4037</v>
      </c>
      <c r="EV42" s="2" t="s">
        <v>4048</v>
      </c>
      <c r="EW42" s="2" t="s">
        <v>299</v>
      </c>
      <c r="EX42" s="2" t="s">
        <v>39</v>
      </c>
      <c r="EY42" s="2">
        <v>33145</v>
      </c>
      <c r="EZ42" s="2" t="s">
        <v>4049</v>
      </c>
      <c r="FA42" s="2"/>
      <c r="FB42" s="2" t="s">
        <v>4050</v>
      </c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 t="s">
        <v>4051</v>
      </c>
      <c r="FO42" s="2" t="s">
        <v>63</v>
      </c>
      <c r="FP42" s="2" t="s">
        <v>64</v>
      </c>
      <c r="FQ42" s="2" t="s">
        <v>9</v>
      </c>
      <c r="FR42" s="2" t="s">
        <v>17</v>
      </c>
      <c r="FS42" s="2" t="s">
        <v>17</v>
      </c>
      <c r="FT42" s="2" t="s">
        <v>9</v>
      </c>
      <c r="FU42" s="2"/>
      <c r="FV42" s="2"/>
      <c r="FW42" s="2">
        <v>0</v>
      </c>
      <c r="FX42" s="2">
        <v>0</v>
      </c>
      <c r="FY42" s="4">
        <v>0</v>
      </c>
      <c r="FZ42" s="4">
        <v>0</v>
      </c>
      <c r="GA42" s="2" t="s">
        <v>65</v>
      </c>
      <c r="GB42" s="2"/>
      <c r="GC42" s="2" t="s">
        <v>66</v>
      </c>
      <c r="GD42" s="2" t="s">
        <v>67</v>
      </c>
      <c r="GE42" s="2" t="s">
        <v>2684</v>
      </c>
      <c r="GF42" s="2"/>
      <c r="GG42" s="2"/>
      <c r="GH42" s="2"/>
      <c r="GI42" s="2"/>
      <c r="GJ42" s="2"/>
      <c r="GK42" s="2">
        <v>100</v>
      </c>
      <c r="GL42" s="2"/>
      <c r="GM42" s="2"/>
      <c r="GN42" s="2"/>
      <c r="GO42" s="2"/>
      <c r="GP42" s="2"/>
      <c r="GQ42" s="2">
        <v>100</v>
      </c>
      <c r="GR42" s="2" t="s">
        <v>3332</v>
      </c>
      <c r="GS42" s="2" t="s">
        <v>2686</v>
      </c>
      <c r="GT42" s="2" t="s">
        <v>4052</v>
      </c>
      <c r="GU42" s="2" t="s">
        <v>4053</v>
      </c>
      <c r="GV42" s="2" t="s">
        <v>17</v>
      </c>
      <c r="GW42" s="2">
        <v>25.901308</v>
      </c>
      <c r="GX42" s="2">
        <v>-80.190550999999999</v>
      </c>
      <c r="GY42" s="2"/>
      <c r="GZ42" s="2">
        <v>25.903241000000001</v>
      </c>
      <c r="HA42" s="2">
        <v>-80.187121000000005</v>
      </c>
      <c r="HB42" s="2">
        <v>0.25</v>
      </c>
      <c r="HC42" s="2">
        <v>4.5</v>
      </c>
      <c r="HD42" s="2">
        <v>25.903570999999999</v>
      </c>
      <c r="HE42" s="2">
        <v>-80.186954</v>
      </c>
      <c r="HF42" s="2">
        <v>0.28000000000000003</v>
      </c>
      <c r="HG42" s="2">
        <v>25.890183</v>
      </c>
      <c r="HH42" s="2">
        <v>-80.189848999999995</v>
      </c>
      <c r="HI42" s="2">
        <v>0.78</v>
      </c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 t="s">
        <v>4054</v>
      </c>
      <c r="HW42" s="2" t="s">
        <v>4055</v>
      </c>
      <c r="HX42" s="2">
        <v>0.63</v>
      </c>
      <c r="HY42" s="2">
        <v>3</v>
      </c>
      <c r="HZ42" s="2" t="s">
        <v>4056</v>
      </c>
      <c r="IA42" s="2" t="s">
        <v>4057</v>
      </c>
      <c r="IB42" s="2">
        <v>0.72</v>
      </c>
      <c r="IC42" s="2">
        <v>3</v>
      </c>
      <c r="ID42" s="2" t="s">
        <v>4058</v>
      </c>
      <c r="IE42" s="2">
        <v>0.63</v>
      </c>
      <c r="IF42" s="2">
        <v>3</v>
      </c>
      <c r="IG42" s="2"/>
      <c r="IH42" s="2"/>
      <c r="II42" s="2"/>
      <c r="IJ42" s="2" t="s">
        <v>17</v>
      </c>
      <c r="IK42" s="2"/>
      <c r="IL42" s="2" t="s">
        <v>79</v>
      </c>
      <c r="IM42" s="2" t="s">
        <v>17</v>
      </c>
      <c r="IN42" s="2"/>
      <c r="IO42" s="2" t="s">
        <v>79</v>
      </c>
      <c r="IP42" s="2">
        <v>4.5</v>
      </c>
      <c r="IQ42" s="2">
        <v>9</v>
      </c>
      <c r="IR42" s="2">
        <v>13.5</v>
      </c>
      <c r="IS42" s="2" t="s">
        <v>17</v>
      </c>
      <c r="IT42" s="2" t="s">
        <v>17</v>
      </c>
      <c r="IU42" s="2" t="s">
        <v>17</v>
      </c>
      <c r="IV42" s="2" t="s">
        <v>9</v>
      </c>
      <c r="IW42" s="2" t="s">
        <v>9</v>
      </c>
      <c r="IX42" s="2" t="s">
        <v>9</v>
      </c>
      <c r="IY42" s="2">
        <v>13.5</v>
      </c>
      <c r="IZ42" s="2">
        <v>100</v>
      </c>
      <c r="JA42" s="2" t="s">
        <v>2731</v>
      </c>
      <c r="JB42" s="2"/>
      <c r="JC42" s="2" t="s">
        <v>82</v>
      </c>
      <c r="JD42" s="2"/>
      <c r="JE42" s="2"/>
      <c r="JF42" s="7">
        <v>0</v>
      </c>
      <c r="JG42" s="7"/>
      <c r="JH42" s="7"/>
      <c r="JI42" s="2">
        <v>0</v>
      </c>
      <c r="JJ42" s="7">
        <v>0</v>
      </c>
      <c r="JK42" s="2">
        <v>0</v>
      </c>
      <c r="JL42" s="7">
        <v>0</v>
      </c>
      <c r="JM42" s="2">
        <v>15</v>
      </c>
      <c r="JN42" s="2"/>
      <c r="JO42" s="2"/>
      <c r="JP42" s="2">
        <v>63</v>
      </c>
      <c r="JQ42" s="2"/>
      <c r="JR42" s="2">
        <v>22</v>
      </c>
      <c r="JS42" s="2">
        <v>0</v>
      </c>
      <c r="JT42" s="2">
        <v>0</v>
      </c>
      <c r="JU42" s="2"/>
      <c r="JV42" s="2">
        <v>100</v>
      </c>
      <c r="JW42" s="4">
        <v>1</v>
      </c>
      <c r="JX42" s="2">
        <v>100</v>
      </c>
      <c r="JY42" s="4">
        <v>0.59899999999999998</v>
      </c>
      <c r="JZ42" s="2">
        <v>0</v>
      </c>
      <c r="KA42" s="2"/>
      <c r="KB42" s="2"/>
      <c r="KC42" s="2"/>
      <c r="KD42" s="2"/>
      <c r="KE42" s="2"/>
      <c r="KF42" s="2"/>
      <c r="KG42" s="2"/>
      <c r="KH42" s="2">
        <v>35</v>
      </c>
      <c r="KI42" s="2">
        <v>50</v>
      </c>
      <c r="KJ42" s="2"/>
      <c r="KK42" s="2"/>
      <c r="KL42" s="2">
        <v>15</v>
      </c>
      <c r="KM42" s="2"/>
      <c r="KN42" s="2"/>
      <c r="KO42" s="2"/>
      <c r="KP42" s="2"/>
      <c r="KQ42" s="2" t="s">
        <v>83</v>
      </c>
      <c r="KR42" s="2" t="s">
        <v>73</v>
      </c>
      <c r="KS42" s="2"/>
      <c r="KT42" s="2">
        <v>1</v>
      </c>
      <c r="KU42" s="2" t="s">
        <v>84</v>
      </c>
      <c r="KV42" s="2" t="s">
        <v>85</v>
      </c>
      <c r="KW42" s="2" t="s">
        <v>86</v>
      </c>
      <c r="KX42" s="2" t="s">
        <v>17</v>
      </c>
      <c r="KY42" s="2" t="s">
        <v>17</v>
      </c>
      <c r="KZ42" s="2" t="s">
        <v>17</v>
      </c>
      <c r="LA42" s="2" t="s">
        <v>17</v>
      </c>
      <c r="LB42" s="2" t="s">
        <v>17</v>
      </c>
      <c r="LC42" s="2" t="s">
        <v>17</v>
      </c>
      <c r="LD42" s="2" t="s">
        <v>17</v>
      </c>
      <c r="LE42" s="2" t="s">
        <v>17</v>
      </c>
      <c r="LF42" s="2" t="s">
        <v>17</v>
      </c>
      <c r="LG42" s="2" t="s">
        <v>17</v>
      </c>
      <c r="LH42" s="2" t="s">
        <v>17</v>
      </c>
      <c r="LI42" s="2" t="s">
        <v>17</v>
      </c>
      <c r="LJ42" s="2" t="s">
        <v>87</v>
      </c>
      <c r="LK42" s="2" t="s">
        <v>17</v>
      </c>
      <c r="LL42" s="2" t="s">
        <v>17</v>
      </c>
      <c r="LM42" s="2">
        <v>0</v>
      </c>
      <c r="LN42" s="2" t="s">
        <v>17</v>
      </c>
      <c r="LO42" s="2" t="s">
        <v>9</v>
      </c>
      <c r="LP42" s="2" t="s">
        <v>9</v>
      </c>
      <c r="LQ42" s="2" t="s">
        <v>17</v>
      </c>
      <c r="LR42" s="2" t="s">
        <v>9</v>
      </c>
      <c r="LS42" s="2" t="s">
        <v>17</v>
      </c>
      <c r="LT42" s="2" t="s">
        <v>17</v>
      </c>
      <c r="LU42" s="2" t="s">
        <v>17</v>
      </c>
      <c r="LV42" s="2" t="s">
        <v>17</v>
      </c>
      <c r="LW42" s="2" t="s">
        <v>17</v>
      </c>
      <c r="LX42" s="2" t="s">
        <v>17</v>
      </c>
      <c r="LY42" s="5">
        <v>6500000</v>
      </c>
      <c r="LZ42" s="5">
        <v>0</v>
      </c>
      <c r="MA42" s="5">
        <v>8400000</v>
      </c>
      <c r="MB42" s="5">
        <v>0</v>
      </c>
      <c r="MC42" s="5">
        <v>0</v>
      </c>
      <c r="MD42" s="5">
        <v>0</v>
      </c>
      <c r="ME42" s="5">
        <v>10000000</v>
      </c>
      <c r="MF42" s="5">
        <v>0</v>
      </c>
      <c r="MG42" s="5">
        <v>0</v>
      </c>
      <c r="MH42" s="5">
        <v>0</v>
      </c>
      <c r="MI42" s="5">
        <v>0</v>
      </c>
      <c r="MJ42" s="5">
        <v>0</v>
      </c>
      <c r="MK42" s="5">
        <v>0</v>
      </c>
      <c r="ML42" s="2">
        <v>0</v>
      </c>
      <c r="MM42" s="5">
        <v>0</v>
      </c>
      <c r="MN42" s="5">
        <v>0</v>
      </c>
      <c r="MO42" s="2">
        <v>0</v>
      </c>
      <c r="MP42" s="2">
        <v>0</v>
      </c>
      <c r="MQ42" s="2">
        <v>0</v>
      </c>
      <c r="MR42" s="5">
        <v>2950000</v>
      </c>
      <c r="MS42" s="5">
        <v>0</v>
      </c>
      <c r="MT42" s="5">
        <v>4600000</v>
      </c>
      <c r="MU42" s="5">
        <v>0</v>
      </c>
      <c r="MV42" s="5">
        <v>0</v>
      </c>
      <c r="MW42" s="5">
        <v>0</v>
      </c>
      <c r="MX42" s="5">
        <v>0</v>
      </c>
      <c r="MY42" s="5">
        <v>2500000</v>
      </c>
      <c r="MZ42" s="5">
        <v>0</v>
      </c>
      <c r="NA42" s="5">
        <v>5000000</v>
      </c>
      <c r="NB42" s="5">
        <v>0</v>
      </c>
      <c r="NC42" s="5">
        <v>0</v>
      </c>
      <c r="ND42" s="5">
        <v>0</v>
      </c>
      <c r="NE42" s="5">
        <v>0</v>
      </c>
      <c r="NF42" s="5">
        <v>0</v>
      </c>
      <c r="NG42" s="5">
        <v>3458400</v>
      </c>
      <c r="NH42" s="5">
        <v>3350000</v>
      </c>
      <c r="NI42" s="5">
        <v>3350000</v>
      </c>
      <c r="NJ42" s="5"/>
      <c r="NK42" s="5">
        <v>0</v>
      </c>
      <c r="NL42" s="2" t="s">
        <v>9</v>
      </c>
      <c r="NM42" s="2" t="s">
        <v>17</v>
      </c>
      <c r="NN42" s="2"/>
      <c r="NO42" s="2" t="s">
        <v>17</v>
      </c>
      <c r="NP42" s="2"/>
      <c r="NQ42" s="2"/>
      <c r="NR42" s="2" t="s">
        <v>17</v>
      </c>
      <c r="NS42" s="2"/>
      <c r="NT42" s="2" t="s">
        <v>9</v>
      </c>
      <c r="NU42" s="2" t="s">
        <v>450</v>
      </c>
      <c r="NV42" s="2">
        <v>3.09</v>
      </c>
      <c r="NW42" s="2" t="s">
        <v>3342</v>
      </c>
      <c r="NX42" s="2"/>
      <c r="NY42" s="2"/>
      <c r="NZ42" s="2"/>
      <c r="OA42" s="2" t="s">
        <v>118</v>
      </c>
      <c r="OB42" s="2" t="s">
        <v>118</v>
      </c>
      <c r="OC42" s="2" t="s">
        <v>118</v>
      </c>
      <c r="OD42" s="2" t="s">
        <v>3384</v>
      </c>
      <c r="OE42" s="2" t="s">
        <v>85</v>
      </c>
      <c r="OF42" s="2" t="s">
        <v>17</v>
      </c>
      <c r="OG42" s="2" t="s">
        <v>17</v>
      </c>
      <c r="OH42" s="2" t="s">
        <v>119</v>
      </c>
      <c r="OI42" s="2" t="s">
        <v>9</v>
      </c>
      <c r="OJ42" s="2" t="s">
        <v>92</v>
      </c>
      <c r="OK42" s="2" t="s">
        <v>17</v>
      </c>
      <c r="OL42" s="2" t="s">
        <v>17</v>
      </c>
      <c r="OM42" s="2" t="s">
        <v>85</v>
      </c>
      <c r="ON42" s="6">
        <v>0</v>
      </c>
      <c r="OO42" s="6">
        <v>0</v>
      </c>
      <c r="OP42" s="2" t="s">
        <v>93</v>
      </c>
      <c r="OQ42" s="2" t="s">
        <v>93</v>
      </c>
      <c r="OR42" s="6">
        <v>0</v>
      </c>
      <c r="OS42" s="4">
        <v>0</v>
      </c>
      <c r="OT42" s="2" t="s">
        <v>17</v>
      </c>
      <c r="OU42" s="2" t="s">
        <v>17</v>
      </c>
      <c r="OV42" s="2"/>
      <c r="OW42" s="2"/>
      <c r="OX42" s="5">
        <v>21509010</v>
      </c>
      <c r="OY42" s="6">
        <v>215090.1</v>
      </c>
      <c r="OZ42" s="2"/>
      <c r="PA42" s="2"/>
      <c r="PB42" s="2"/>
      <c r="PC42" s="2"/>
      <c r="PD42" s="8">
        <v>22786000</v>
      </c>
      <c r="PE42" s="8">
        <v>3894698</v>
      </c>
      <c r="PF42" s="8">
        <v>26680698</v>
      </c>
      <c r="PG42" s="2"/>
      <c r="PH42" s="2"/>
      <c r="PI42" s="2"/>
      <c r="PJ42" s="2"/>
      <c r="PK42" s="2"/>
      <c r="PL42" s="2"/>
      <c r="PM42" s="8">
        <v>22786000</v>
      </c>
      <c r="PN42" s="8">
        <v>3894698</v>
      </c>
      <c r="PO42" s="8">
        <v>26680698</v>
      </c>
      <c r="PP42" s="8">
        <v>3700000</v>
      </c>
      <c r="PQ42" s="2"/>
      <c r="PR42" s="8">
        <v>3700000</v>
      </c>
      <c r="PS42" s="6">
        <v>3735297</v>
      </c>
      <c r="PT42" s="8">
        <v>26486000</v>
      </c>
      <c r="PU42" s="8">
        <v>3894698</v>
      </c>
      <c r="PV42" s="8">
        <v>30380698</v>
      </c>
      <c r="PW42" s="8">
        <v>667767</v>
      </c>
      <c r="PX42" s="8">
        <v>667767</v>
      </c>
      <c r="PY42" s="8">
        <v>1335534</v>
      </c>
      <c r="PZ42" s="6">
        <v>1519034.9</v>
      </c>
      <c r="QA42" s="8">
        <v>1130500</v>
      </c>
      <c r="QB42" s="8">
        <v>140000</v>
      </c>
      <c r="QC42" s="8">
        <v>1270500</v>
      </c>
      <c r="QD42" s="8">
        <v>256250</v>
      </c>
      <c r="QE42" s="8">
        <v>143750</v>
      </c>
      <c r="QF42" s="8">
        <v>400000</v>
      </c>
      <c r="QG42" s="8">
        <v>553010</v>
      </c>
      <c r="QH42" s="8">
        <v>10000</v>
      </c>
      <c r="QI42" s="8">
        <v>563010</v>
      </c>
      <c r="QJ42" s="2"/>
      <c r="QK42" s="8">
        <v>388842</v>
      </c>
      <c r="QL42" s="8">
        <v>388842</v>
      </c>
      <c r="QM42" s="2"/>
      <c r="QN42" s="2"/>
      <c r="QO42" s="2"/>
      <c r="QP42" s="2"/>
      <c r="QQ42" s="2"/>
      <c r="QR42" s="2"/>
      <c r="QS42" s="8">
        <v>1939760</v>
      </c>
      <c r="QT42" s="8">
        <v>682592</v>
      </c>
      <c r="QU42" s="8">
        <v>2622352</v>
      </c>
      <c r="QV42" s="2"/>
      <c r="QW42" s="8">
        <v>100000</v>
      </c>
      <c r="QX42" s="8">
        <v>100000</v>
      </c>
      <c r="QY42" s="6">
        <v>131117.6</v>
      </c>
      <c r="QZ42" s="8">
        <v>810000</v>
      </c>
      <c r="RA42" s="8">
        <v>812727</v>
      </c>
      <c r="RB42" s="8">
        <v>1622727</v>
      </c>
      <c r="RC42" s="8">
        <v>100000</v>
      </c>
      <c r="RD42" s="8">
        <v>100000</v>
      </c>
      <c r="RE42" s="2"/>
      <c r="RF42" s="2"/>
      <c r="RG42" s="2"/>
      <c r="RH42" s="8">
        <v>810000</v>
      </c>
      <c r="RI42" s="8">
        <v>912727</v>
      </c>
      <c r="RJ42" s="8">
        <v>1722727</v>
      </c>
      <c r="RK42" s="8">
        <v>29903527</v>
      </c>
      <c r="RL42" s="8">
        <v>6257784</v>
      </c>
      <c r="RM42" s="8">
        <v>36161311</v>
      </c>
      <c r="RN42" s="2">
        <v>0</v>
      </c>
      <c r="RO42" s="6">
        <v>0</v>
      </c>
      <c r="RP42" s="8">
        <v>5785809</v>
      </c>
      <c r="RQ42" s="2"/>
      <c r="RR42" s="8">
        <v>5785809</v>
      </c>
      <c r="RS42" s="6">
        <v>5785809</v>
      </c>
      <c r="RT42" s="6">
        <v>0</v>
      </c>
      <c r="RU42" s="8">
        <v>5785809</v>
      </c>
      <c r="RV42" s="2"/>
      <c r="RW42" s="8">
        <v>5785809</v>
      </c>
      <c r="RX42" s="6">
        <v>5785809</v>
      </c>
      <c r="RY42" s="2"/>
      <c r="RZ42" s="2"/>
      <c r="SA42" s="6">
        <v>350000</v>
      </c>
      <c r="SB42" s="2"/>
      <c r="SC42" s="2"/>
      <c r="SD42" s="8">
        <v>35689336</v>
      </c>
      <c r="SE42" s="8">
        <v>6257784</v>
      </c>
      <c r="SF42" s="8">
        <v>41947120</v>
      </c>
      <c r="SG42" s="2"/>
      <c r="SH42" s="2"/>
      <c r="SI42" s="2"/>
      <c r="SJ42" s="2"/>
      <c r="SK42" s="8">
        <v>30000000</v>
      </c>
      <c r="SL42" s="2" t="s">
        <v>95</v>
      </c>
      <c r="SM42" s="2"/>
      <c r="SN42" s="2"/>
      <c r="SO42" s="2"/>
      <c r="SP42" s="2"/>
      <c r="SQ42" s="2"/>
      <c r="SR42" s="2"/>
      <c r="SS42" s="2" t="s">
        <v>96</v>
      </c>
      <c r="ST42" s="2" t="s">
        <v>96</v>
      </c>
      <c r="SU42" s="2" t="s">
        <v>96</v>
      </c>
      <c r="SV42" s="2" t="s">
        <v>96</v>
      </c>
      <c r="SW42" s="8">
        <v>6163383</v>
      </c>
      <c r="SX42" s="2"/>
      <c r="SY42" s="2"/>
      <c r="SZ42" s="2"/>
      <c r="TA42" s="2"/>
      <c r="TB42" s="2"/>
      <c r="TC42" s="2"/>
      <c r="TD42" s="8">
        <v>5783737</v>
      </c>
      <c r="TE42" s="8">
        <v>41947120</v>
      </c>
      <c r="TF42" s="2">
        <v>0</v>
      </c>
      <c r="TG42" s="2" t="s">
        <v>9</v>
      </c>
      <c r="TH42" s="8">
        <v>6500000</v>
      </c>
      <c r="TI42" s="2" t="s">
        <v>95</v>
      </c>
      <c r="TJ42" s="2"/>
      <c r="TK42" s="2"/>
      <c r="TL42" s="2"/>
      <c r="TM42" s="2"/>
      <c r="TN42" s="2" t="s">
        <v>96</v>
      </c>
      <c r="TO42" s="2" t="s">
        <v>96</v>
      </c>
      <c r="TP42" s="2" t="s">
        <v>96</v>
      </c>
      <c r="TQ42" s="2" t="s">
        <v>96</v>
      </c>
      <c r="TR42" s="8">
        <v>30816915</v>
      </c>
      <c r="TS42" s="2"/>
      <c r="TT42" s="2"/>
      <c r="TU42" s="2"/>
      <c r="TV42" s="2"/>
      <c r="TW42" s="2"/>
      <c r="TX42" s="2"/>
      <c r="TY42" s="8">
        <v>4630205</v>
      </c>
      <c r="TZ42" s="8">
        <v>41947120</v>
      </c>
      <c r="UA42" s="6">
        <v>6500000</v>
      </c>
      <c r="UB42" s="2">
        <v>0</v>
      </c>
      <c r="UC42" s="2" t="s">
        <v>9</v>
      </c>
      <c r="UD42" s="2">
        <v>100</v>
      </c>
      <c r="UE42" s="5">
        <v>310000</v>
      </c>
      <c r="UF42" s="6">
        <v>413333.33</v>
      </c>
      <c r="UG42" s="6">
        <v>413333.33</v>
      </c>
      <c r="UH42" s="6">
        <v>438133.33</v>
      </c>
      <c r="UI42" s="6">
        <v>43813333.329999998</v>
      </c>
      <c r="UJ42" s="6">
        <v>7010133</v>
      </c>
      <c r="UK42" s="2" t="s">
        <v>97</v>
      </c>
      <c r="UL42" s="6">
        <v>7010133</v>
      </c>
      <c r="UM42" s="6">
        <v>50823466.329999998</v>
      </c>
      <c r="UN42" s="6">
        <v>41947120</v>
      </c>
      <c r="UO42" s="4">
        <v>0.99990000000000001</v>
      </c>
      <c r="UP42" s="2" t="s">
        <v>9</v>
      </c>
      <c r="UQ42" s="6">
        <v>0</v>
      </c>
      <c r="UR42" s="6">
        <v>0</v>
      </c>
      <c r="US42" s="6">
        <v>410441.64</v>
      </c>
      <c r="UT42" s="6">
        <v>410441.64</v>
      </c>
      <c r="UU42" s="6">
        <v>0</v>
      </c>
      <c r="UV42" s="6">
        <v>410441.64</v>
      </c>
      <c r="UW42" s="6">
        <v>0</v>
      </c>
      <c r="UX42" s="6">
        <v>410441.64</v>
      </c>
      <c r="UY42" s="2" t="s">
        <v>3457</v>
      </c>
      <c r="UZ42" s="2" t="s">
        <v>3288</v>
      </c>
      <c r="VA42" s="2" t="s">
        <v>17</v>
      </c>
      <c r="VB42" s="2" t="s">
        <v>17</v>
      </c>
      <c r="VC42" s="2" t="s">
        <v>17</v>
      </c>
      <c r="VD42" s="2" t="s">
        <v>17</v>
      </c>
      <c r="VE42" s="2" t="s">
        <v>17</v>
      </c>
      <c r="VF42" s="2" t="s">
        <v>17</v>
      </c>
      <c r="VG42" s="2" t="s">
        <v>4059</v>
      </c>
      <c r="VH42" s="2"/>
      <c r="VI42" s="388" t="s">
        <v>4039</v>
      </c>
      <c r="VJ42" s="2" t="s">
        <v>98</v>
      </c>
      <c r="VK42" s="2" t="s">
        <v>4060</v>
      </c>
      <c r="VL42" s="23">
        <f t="shared" si="21"/>
        <v>180</v>
      </c>
      <c r="VM42" s="17">
        <f t="shared" si="22"/>
        <v>1.8</v>
      </c>
      <c r="VN42" s="17" t="str">
        <f t="shared" si="2"/>
        <v>NC-HR-F</v>
      </c>
      <c r="VO42" s="17" t="str">
        <f t="shared" si="14"/>
        <v>NC-HR-F-ESS</v>
      </c>
      <c r="VP42" s="12">
        <v>9</v>
      </c>
      <c r="VQ42" s="57">
        <v>1</v>
      </c>
      <c r="VR42" s="57">
        <f t="shared" si="3"/>
        <v>1</v>
      </c>
      <c r="VS42" s="14">
        <f t="shared" si="4"/>
        <v>1</v>
      </c>
      <c r="VT42" s="12">
        <f t="shared" si="5"/>
        <v>0.88350000000000006</v>
      </c>
      <c r="VU42" s="29">
        <f t="shared" si="6"/>
        <v>26637525.000000004</v>
      </c>
      <c r="VV42" s="29">
        <f t="shared" si="23"/>
        <v>266375.25</v>
      </c>
      <c r="VW42" s="12" t="str">
        <f t="shared" si="15"/>
        <v>B</v>
      </c>
      <c r="VX42" s="12" t="str">
        <f t="shared" si="24"/>
        <v>NC-HR-ESS</v>
      </c>
      <c r="VY42" s="352">
        <f t="shared" si="16"/>
        <v>5</v>
      </c>
      <c r="WA42" s="12">
        <f t="shared" si="17"/>
        <v>0</v>
      </c>
      <c r="WB42" s="12">
        <f t="shared" si="18"/>
        <v>0</v>
      </c>
      <c r="WC42" s="12">
        <f t="shared" si="18"/>
        <v>0</v>
      </c>
      <c r="WD42" s="12">
        <f t="shared" si="18"/>
        <v>0</v>
      </c>
      <c r="WE42" s="12">
        <f t="shared" si="19"/>
        <v>1</v>
      </c>
      <c r="WF42" s="12">
        <f t="shared" si="25"/>
        <v>0</v>
      </c>
      <c r="WG42" s="12">
        <f t="shared" si="26"/>
        <v>0</v>
      </c>
      <c r="WH42" s="12">
        <f t="shared" si="27"/>
        <v>1</v>
      </c>
      <c r="WI42" s="22">
        <f t="shared" si="28"/>
        <v>2</v>
      </c>
      <c r="WJ42" s="2"/>
      <c r="WK42" s="444" t="str">
        <f t="shared" si="20"/>
        <v>NC-HR-ESS-BBN-BRN-NPH-F</v>
      </c>
      <c r="WL42" s="444"/>
      <c r="WM42" s="444"/>
    </row>
    <row r="43" spans="1:611" x14ac:dyDescent="0.25">
      <c r="A43" s="2">
        <v>9654</v>
      </c>
      <c r="B43" s="2" t="s">
        <v>4061</v>
      </c>
      <c r="C43" s="2" t="s">
        <v>3305</v>
      </c>
      <c r="D43" s="3">
        <v>45159</v>
      </c>
      <c r="E43" s="2" t="s">
        <v>9</v>
      </c>
      <c r="F43" s="2">
        <v>3</v>
      </c>
      <c r="G43" s="2" t="s">
        <v>9</v>
      </c>
      <c r="H43" s="2">
        <v>3</v>
      </c>
      <c r="I43" s="2" t="s">
        <v>9</v>
      </c>
      <c r="J43" s="2">
        <v>2</v>
      </c>
      <c r="K43" s="2" t="s">
        <v>9</v>
      </c>
      <c r="L43" s="2">
        <v>3</v>
      </c>
      <c r="M43" s="2" t="s">
        <v>10</v>
      </c>
      <c r="N43" s="2">
        <v>0</v>
      </c>
      <c r="O43" s="2" t="s">
        <v>10</v>
      </c>
      <c r="P43" s="2">
        <v>0</v>
      </c>
      <c r="Q43" s="2" t="s">
        <v>11</v>
      </c>
      <c r="R43" s="2">
        <v>0</v>
      </c>
      <c r="S43" s="2" t="s">
        <v>9</v>
      </c>
      <c r="T43" s="2">
        <v>2</v>
      </c>
      <c r="U43" s="2" t="s">
        <v>9</v>
      </c>
      <c r="V43" s="2">
        <v>2</v>
      </c>
      <c r="W43" s="2" t="s">
        <v>9</v>
      </c>
      <c r="X43" s="2">
        <v>2</v>
      </c>
      <c r="Y43" s="2" t="s">
        <v>12</v>
      </c>
      <c r="Z43" s="2" t="s">
        <v>15</v>
      </c>
      <c r="AA43" s="2" t="s">
        <v>15</v>
      </c>
      <c r="AB43" s="2" t="s">
        <v>15</v>
      </c>
      <c r="AC43" s="2" t="s">
        <v>15</v>
      </c>
      <c r="AD43" s="2" t="s">
        <v>15</v>
      </c>
      <c r="AE43" s="2" t="s">
        <v>3901</v>
      </c>
      <c r="AF43" s="2">
        <v>0</v>
      </c>
      <c r="AG43" s="2" t="s">
        <v>234</v>
      </c>
      <c r="AH43" s="2" t="s">
        <v>17</v>
      </c>
      <c r="AI43" s="4">
        <v>0.15464</v>
      </c>
      <c r="AJ43" s="2" t="s">
        <v>17</v>
      </c>
      <c r="AK43" s="2" t="s">
        <v>9</v>
      </c>
      <c r="AL43" s="2" t="s">
        <v>17</v>
      </c>
      <c r="AM43" s="2" t="s">
        <v>17</v>
      </c>
      <c r="AN43" s="2" t="s">
        <v>17</v>
      </c>
      <c r="AO43" s="2" t="s">
        <v>9</v>
      </c>
      <c r="AP43" s="2" t="s">
        <v>17</v>
      </c>
      <c r="AQ43" s="2" t="s">
        <v>17</v>
      </c>
      <c r="AR43" s="2" t="s">
        <v>17</v>
      </c>
      <c r="AS43" s="2" t="s">
        <v>17</v>
      </c>
      <c r="AT43" s="2">
        <v>5</v>
      </c>
      <c r="AU43" s="5">
        <v>100000</v>
      </c>
      <c r="AV43" s="2" t="s">
        <v>85</v>
      </c>
      <c r="AW43" s="2">
        <v>0</v>
      </c>
      <c r="AX43" s="2">
        <v>8</v>
      </c>
      <c r="AY43" s="2">
        <v>0</v>
      </c>
      <c r="AZ43" s="2">
        <v>17</v>
      </c>
      <c r="BA43" s="2">
        <v>0</v>
      </c>
      <c r="BB43" s="2">
        <v>0</v>
      </c>
      <c r="BC43" s="2">
        <v>0</v>
      </c>
      <c r="BD43" s="2">
        <v>5</v>
      </c>
      <c r="BE43" s="2">
        <v>0</v>
      </c>
      <c r="BF43" s="2">
        <v>1</v>
      </c>
      <c r="BG43" s="2">
        <v>0</v>
      </c>
      <c r="BH43" s="2">
        <v>0</v>
      </c>
      <c r="BI43" s="2">
        <v>13</v>
      </c>
      <c r="BJ43" s="2">
        <v>1</v>
      </c>
      <c r="BK43" s="2">
        <v>0</v>
      </c>
      <c r="BL43" s="2">
        <v>2</v>
      </c>
      <c r="BM43" s="2">
        <v>2</v>
      </c>
      <c r="BN43" s="2">
        <v>13</v>
      </c>
      <c r="BO43" s="2">
        <v>11</v>
      </c>
      <c r="BP43" s="2">
        <v>0</v>
      </c>
      <c r="BQ43" s="2">
        <v>10</v>
      </c>
      <c r="BR43" s="2">
        <v>10.58</v>
      </c>
      <c r="BS43" s="2">
        <v>0</v>
      </c>
      <c r="BT43" s="4">
        <v>0.06</v>
      </c>
      <c r="BU43" s="2" t="s">
        <v>9</v>
      </c>
      <c r="BV43" s="6">
        <v>217723.76</v>
      </c>
      <c r="BW43" s="2" t="s">
        <v>126</v>
      </c>
      <c r="BX43" s="2" t="s">
        <v>17</v>
      </c>
      <c r="BY43" s="2" t="s">
        <v>17</v>
      </c>
      <c r="BZ43" s="2" t="s">
        <v>17</v>
      </c>
      <c r="CA43" s="2" t="s">
        <v>17</v>
      </c>
      <c r="CB43" s="2" t="s">
        <v>17</v>
      </c>
      <c r="CC43" s="2" t="s">
        <v>17</v>
      </c>
      <c r="CD43" s="2" t="s">
        <v>17</v>
      </c>
      <c r="CE43" s="2" t="s">
        <v>4062</v>
      </c>
      <c r="CF43" s="2" t="s">
        <v>17</v>
      </c>
      <c r="CG43" s="2" t="s">
        <v>4063</v>
      </c>
      <c r="CH43" s="2" t="s">
        <v>4064</v>
      </c>
      <c r="CI43" s="2"/>
      <c r="CJ43" s="2" t="s">
        <v>9</v>
      </c>
      <c r="CK43" s="2" t="s">
        <v>4065</v>
      </c>
      <c r="CL43" s="2" t="s">
        <v>4063</v>
      </c>
      <c r="CM43" s="2" t="s">
        <v>4066</v>
      </c>
      <c r="CN43" s="2" t="s">
        <v>2661</v>
      </c>
      <c r="CO43" s="2" t="s">
        <v>24</v>
      </c>
      <c r="CP43" s="2"/>
      <c r="CQ43" s="2">
        <v>100</v>
      </c>
      <c r="CR43" s="2" t="s">
        <v>4067</v>
      </c>
      <c r="CS43" s="2">
        <v>2015</v>
      </c>
      <c r="CT43" s="2" t="s">
        <v>26</v>
      </c>
      <c r="CU43" s="2" t="s">
        <v>27</v>
      </c>
      <c r="CV43" s="2" t="s">
        <v>4040</v>
      </c>
      <c r="CW43" s="2" t="s">
        <v>2661</v>
      </c>
      <c r="CX43" s="2" t="s">
        <v>24</v>
      </c>
      <c r="CY43" s="2"/>
      <c r="CZ43" s="2">
        <v>96</v>
      </c>
      <c r="DA43" s="2" t="s">
        <v>4067</v>
      </c>
      <c r="DB43" s="2">
        <v>2013</v>
      </c>
      <c r="DC43" s="2" t="s">
        <v>30</v>
      </c>
      <c r="DD43" s="2" t="s">
        <v>27</v>
      </c>
      <c r="DE43" s="2" t="s">
        <v>4068</v>
      </c>
      <c r="DF43" s="2" t="s">
        <v>2661</v>
      </c>
      <c r="DG43" s="2" t="s">
        <v>24</v>
      </c>
      <c r="DH43" s="2"/>
      <c r="DI43" s="2">
        <v>120</v>
      </c>
      <c r="DJ43" s="2" t="s">
        <v>4067</v>
      </c>
      <c r="DK43" s="2">
        <v>2010</v>
      </c>
      <c r="DL43" s="2" t="s">
        <v>243</v>
      </c>
      <c r="DM43" s="2" t="s">
        <v>27</v>
      </c>
      <c r="DN43" s="2" t="s">
        <v>33</v>
      </c>
      <c r="DO43" s="2" t="s">
        <v>656</v>
      </c>
      <c r="DP43" s="2" t="s">
        <v>583</v>
      </c>
      <c r="DQ43" s="2" t="s">
        <v>4069</v>
      </c>
      <c r="DR43" s="2" t="s">
        <v>4070</v>
      </c>
      <c r="DS43" s="2">
        <v>1</v>
      </c>
      <c r="DT43" s="2" t="s">
        <v>4071</v>
      </c>
      <c r="DU43" s="2" t="s">
        <v>4072</v>
      </c>
      <c r="DV43" s="2" t="s">
        <v>3141</v>
      </c>
      <c r="DW43" s="2">
        <v>2048</v>
      </c>
      <c r="DX43" s="2" t="s">
        <v>4073</v>
      </c>
      <c r="DY43" s="2"/>
      <c r="DZ43" s="2" t="s">
        <v>4074</v>
      </c>
      <c r="EA43" s="2" t="s">
        <v>4070</v>
      </c>
      <c r="EB43" s="2" t="s">
        <v>4066</v>
      </c>
      <c r="EC43" s="2" t="s">
        <v>2661</v>
      </c>
      <c r="ED43" s="2" t="s">
        <v>44</v>
      </c>
      <c r="EE43" s="2">
        <v>100</v>
      </c>
      <c r="EF43" s="2" t="s">
        <v>4075</v>
      </c>
      <c r="EG43" s="2">
        <v>8</v>
      </c>
      <c r="EH43" s="2" t="s">
        <v>46</v>
      </c>
      <c r="EI43" s="2" t="s">
        <v>47</v>
      </c>
      <c r="EJ43" s="2" t="s">
        <v>4068</v>
      </c>
      <c r="EK43" s="2" t="s">
        <v>2661</v>
      </c>
      <c r="EL43" s="2" t="s">
        <v>44</v>
      </c>
      <c r="EM43" s="2">
        <v>120</v>
      </c>
      <c r="EN43" s="2" t="s">
        <v>4075</v>
      </c>
      <c r="EO43" s="2">
        <v>13</v>
      </c>
      <c r="EP43" s="2" t="s">
        <v>46</v>
      </c>
      <c r="EQ43" s="2" t="s">
        <v>47</v>
      </c>
      <c r="ER43" s="2" t="s">
        <v>4076</v>
      </c>
      <c r="ES43" s="2" t="s">
        <v>1415</v>
      </c>
      <c r="ET43" s="2" t="s">
        <v>4077</v>
      </c>
      <c r="EU43" s="2" t="s">
        <v>4062</v>
      </c>
      <c r="EV43" s="2" t="s">
        <v>4071</v>
      </c>
      <c r="EW43" s="2" t="s">
        <v>4072</v>
      </c>
      <c r="EX43" s="2" t="s">
        <v>3141</v>
      </c>
      <c r="EY43" s="2">
        <v>2048</v>
      </c>
      <c r="EZ43" s="2" t="s">
        <v>4073</v>
      </c>
      <c r="FA43" s="2"/>
      <c r="FB43" s="2" t="s">
        <v>4078</v>
      </c>
      <c r="FC43" s="2" t="s">
        <v>4046</v>
      </c>
      <c r="FD43" s="2" t="s">
        <v>295</v>
      </c>
      <c r="FE43" s="2" t="s">
        <v>4047</v>
      </c>
      <c r="FF43" s="2" t="s">
        <v>4062</v>
      </c>
      <c r="FG43" s="2" t="s">
        <v>4048</v>
      </c>
      <c r="FH43" s="2" t="s">
        <v>299</v>
      </c>
      <c r="FI43" s="2" t="s">
        <v>39</v>
      </c>
      <c r="FJ43" s="2">
        <v>33145</v>
      </c>
      <c r="FK43" s="2" t="s">
        <v>4049</v>
      </c>
      <c r="FL43" s="2"/>
      <c r="FM43" s="2" t="s">
        <v>4050</v>
      </c>
      <c r="FN43" s="2" t="s">
        <v>4079</v>
      </c>
      <c r="FO43" s="2" t="s">
        <v>63</v>
      </c>
      <c r="FP43" s="2" t="s">
        <v>64</v>
      </c>
      <c r="FQ43" s="2" t="s">
        <v>9</v>
      </c>
      <c r="FR43" s="2" t="s">
        <v>17</v>
      </c>
      <c r="FS43" s="2" t="s">
        <v>17</v>
      </c>
      <c r="FT43" s="2" t="s">
        <v>9</v>
      </c>
      <c r="FU43" s="2"/>
      <c r="FV43" s="2"/>
      <c r="FW43" s="2">
        <v>0</v>
      </c>
      <c r="FX43" s="2">
        <v>0</v>
      </c>
      <c r="FY43" s="4">
        <v>0</v>
      </c>
      <c r="FZ43" s="4">
        <v>0</v>
      </c>
      <c r="GA43" s="2" t="s">
        <v>65</v>
      </c>
      <c r="GB43" s="2"/>
      <c r="GC43" s="2" t="s">
        <v>66</v>
      </c>
      <c r="GD43" s="2" t="s">
        <v>67</v>
      </c>
      <c r="GE43" s="2" t="s">
        <v>68</v>
      </c>
      <c r="GF43" s="2">
        <v>68</v>
      </c>
      <c r="GG43" s="2">
        <v>68</v>
      </c>
      <c r="GH43" s="2"/>
      <c r="GI43" s="2">
        <v>29</v>
      </c>
      <c r="GJ43" s="2"/>
      <c r="GK43" s="2"/>
      <c r="GL43" s="2"/>
      <c r="GM43" s="2"/>
      <c r="GN43" s="2"/>
      <c r="GO43" s="2"/>
      <c r="GP43" s="2"/>
      <c r="GQ43" s="2">
        <v>97</v>
      </c>
      <c r="GR43" s="2" t="s">
        <v>3332</v>
      </c>
      <c r="GS43" s="2" t="s">
        <v>2686</v>
      </c>
      <c r="GT43" s="2" t="s">
        <v>4080</v>
      </c>
      <c r="GU43" s="2" t="s">
        <v>4081</v>
      </c>
      <c r="GV43" s="2" t="s">
        <v>9</v>
      </c>
      <c r="GW43" s="2">
        <v>25.806992000000001</v>
      </c>
      <c r="GX43" s="2">
        <v>-80.225077999999996</v>
      </c>
      <c r="GY43" s="2" t="s">
        <v>4082</v>
      </c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>
        <v>25.812526999999999</v>
      </c>
      <c r="HS43" s="2">
        <v>-80.230416000000005</v>
      </c>
      <c r="HT43" s="2">
        <v>0.5</v>
      </c>
      <c r="HU43" s="2">
        <v>5.5</v>
      </c>
      <c r="HV43" s="2" t="s">
        <v>3410</v>
      </c>
      <c r="HW43" s="2" t="s">
        <v>4083</v>
      </c>
      <c r="HX43" s="2">
        <v>0.09</v>
      </c>
      <c r="HY43" s="2">
        <v>4</v>
      </c>
      <c r="HZ43" s="2" t="s">
        <v>3590</v>
      </c>
      <c r="IA43" s="2" t="s">
        <v>4084</v>
      </c>
      <c r="IB43" s="2">
        <v>0.27</v>
      </c>
      <c r="IC43" s="2">
        <v>4</v>
      </c>
      <c r="ID43" s="2" t="s">
        <v>4085</v>
      </c>
      <c r="IE43" s="2">
        <v>0.13</v>
      </c>
      <c r="IF43" s="2">
        <v>4</v>
      </c>
      <c r="IG43" s="2"/>
      <c r="IH43" s="2"/>
      <c r="II43" s="2"/>
      <c r="IJ43" s="2" t="s">
        <v>17</v>
      </c>
      <c r="IK43" s="2"/>
      <c r="IL43" s="2" t="s">
        <v>79</v>
      </c>
      <c r="IM43" s="2" t="s">
        <v>9</v>
      </c>
      <c r="IN43" s="2" t="s">
        <v>3832</v>
      </c>
      <c r="IO43" s="2" t="s">
        <v>3341</v>
      </c>
      <c r="IP43" s="2">
        <v>5.5</v>
      </c>
      <c r="IQ43" s="2">
        <v>12</v>
      </c>
      <c r="IR43" s="2">
        <v>17.5</v>
      </c>
      <c r="IS43" s="2" t="s">
        <v>17</v>
      </c>
      <c r="IT43" s="2" t="s">
        <v>17</v>
      </c>
      <c r="IU43" s="2" t="s">
        <v>9</v>
      </c>
      <c r="IV43" s="2" t="s">
        <v>9</v>
      </c>
      <c r="IW43" s="2" t="s">
        <v>9</v>
      </c>
      <c r="IX43" s="2" t="s">
        <v>9</v>
      </c>
      <c r="IY43" s="2">
        <v>17.5</v>
      </c>
      <c r="IZ43" s="2">
        <v>97</v>
      </c>
      <c r="JA43" s="2" t="s">
        <v>3085</v>
      </c>
      <c r="JB43" s="2"/>
      <c r="JC43" s="2" t="s">
        <v>82</v>
      </c>
      <c r="JD43" s="2"/>
      <c r="JE43" s="2"/>
      <c r="JF43" s="7">
        <v>0</v>
      </c>
      <c r="JG43" s="7"/>
      <c r="JH43" s="7"/>
      <c r="JI43" s="2">
        <v>0</v>
      </c>
      <c r="JJ43" s="7">
        <v>0</v>
      </c>
      <c r="JK43" s="2">
        <v>0</v>
      </c>
      <c r="JL43" s="7">
        <v>0</v>
      </c>
      <c r="JM43" s="2">
        <v>15</v>
      </c>
      <c r="JN43" s="2"/>
      <c r="JO43" s="2"/>
      <c r="JP43" s="2">
        <v>63</v>
      </c>
      <c r="JQ43" s="2"/>
      <c r="JR43" s="2">
        <v>19</v>
      </c>
      <c r="JS43" s="2">
        <v>0</v>
      </c>
      <c r="JT43" s="2">
        <v>0</v>
      </c>
      <c r="JU43" s="2"/>
      <c r="JV43" s="2">
        <v>97</v>
      </c>
      <c r="JW43" s="4">
        <v>1</v>
      </c>
      <c r="JX43" s="2">
        <v>97</v>
      </c>
      <c r="JY43" s="4">
        <v>0.59277999999999997</v>
      </c>
      <c r="JZ43" s="2">
        <v>0</v>
      </c>
      <c r="KA43" s="2"/>
      <c r="KB43" s="2"/>
      <c r="KC43" s="2"/>
      <c r="KD43" s="2"/>
      <c r="KE43" s="2"/>
      <c r="KF43" s="2"/>
      <c r="KG43" s="2"/>
      <c r="KH43" s="2">
        <v>49</v>
      </c>
      <c r="KI43" s="2">
        <v>48</v>
      </c>
      <c r="KJ43" s="2"/>
      <c r="KK43" s="2"/>
      <c r="KL43" s="2"/>
      <c r="KM43" s="2"/>
      <c r="KN43" s="2"/>
      <c r="KO43" s="2"/>
      <c r="KP43" s="2"/>
      <c r="KQ43" s="2" t="s">
        <v>83</v>
      </c>
      <c r="KR43" s="2"/>
      <c r="KS43" s="2" t="s">
        <v>73</v>
      </c>
      <c r="KT43" s="2">
        <v>2</v>
      </c>
      <c r="KU43" s="2" t="s">
        <v>84</v>
      </c>
      <c r="KV43" s="2" t="s">
        <v>85</v>
      </c>
      <c r="KW43" s="2" t="s">
        <v>86</v>
      </c>
      <c r="KX43" s="2" t="s">
        <v>17</v>
      </c>
      <c r="KY43" s="2" t="s">
        <v>17</v>
      </c>
      <c r="KZ43" s="2" t="s">
        <v>17</v>
      </c>
      <c r="LA43" s="2" t="s">
        <v>17</v>
      </c>
      <c r="LB43" s="2" t="s">
        <v>17</v>
      </c>
      <c r="LC43" s="2" t="s">
        <v>17</v>
      </c>
      <c r="LD43" s="2" t="s">
        <v>17</v>
      </c>
      <c r="LE43" s="2" t="s">
        <v>17</v>
      </c>
      <c r="LF43" s="2" t="s">
        <v>17</v>
      </c>
      <c r="LG43" s="2" t="s">
        <v>17</v>
      </c>
      <c r="LH43" s="2" t="s">
        <v>17</v>
      </c>
      <c r="LI43" s="2" t="s">
        <v>17</v>
      </c>
      <c r="LJ43" s="2" t="s">
        <v>87</v>
      </c>
      <c r="LK43" s="2" t="s">
        <v>17</v>
      </c>
      <c r="LL43" s="2" t="s">
        <v>17</v>
      </c>
      <c r="LM43" s="2">
        <v>0</v>
      </c>
      <c r="LN43" s="2" t="s">
        <v>17</v>
      </c>
      <c r="LO43" s="2" t="s">
        <v>17</v>
      </c>
      <c r="LP43" s="2" t="s">
        <v>17</v>
      </c>
      <c r="LQ43" s="2" t="s">
        <v>17</v>
      </c>
      <c r="LR43" s="2" t="s">
        <v>17</v>
      </c>
      <c r="LS43" s="2" t="s">
        <v>17</v>
      </c>
      <c r="LT43" s="2" t="s">
        <v>9</v>
      </c>
      <c r="LU43" s="2" t="s">
        <v>9</v>
      </c>
      <c r="LV43" s="2" t="s">
        <v>17</v>
      </c>
      <c r="LW43" s="2" t="s">
        <v>17</v>
      </c>
      <c r="LX43" s="2" t="s">
        <v>9</v>
      </c>
      <c r="LY43" s="5">
        <v>6500000</v>
      </c>
      <c r="LZ43" s="5">
        <v>0</v>
      </c>
      <c r="MA43" s="5">
        <v>8400000</v>
      </c>
      <c r="MB43" s="5">
        <v>0</v>
      </c>
      <c r="MC43" s="5">
        <v>0</v>
      </c>
      <c r="MD43" s="5">
        <v>0</v>
      </c>
      <c r="ME43" s="5">
        <v>10000000</v>
      </c>
      <c r="MF43" s="5">
        <v>0</v>
      </c>
      <c r="MG43" s="5">
        <v>0</v>
      </c>
      <c r="MH43" s="5">
        <v>0</v>
      </c>
      <c r="MI43" s="5">
        <v>0</v>
      </c>
      <c r="MJ43" s="5">
        <v>0</v>
      </c>
      <c r="MK43" s="5">
        <v>0</v>
      </c>
      <c r="ML43" s="2">
        <v>0</v>
      </c>
      <c r="MM43" s="5">
        <v>0</v>
      </c>
      <c r="MN43" s="5">
        <v>0</v>
      </c>
      <c r="MO43" s="2">
        <v>0</v>
      </c>
      <c r="MP43" s="2">
        <v>0</v>
      </c>
      <c r="MQ43" s="2">
        <v>0</v>
      </c>
      <c r="MR43" s="5">
        <v>2950000</v>
      </c>
      <c r="MS43" s="5">
        <v>0</v>
      </c>
      <c r="MT43" s="5">
        <v>4600000</v>
      </c>
      <c r="MU43" s="5">
        <v>0</v>
      </c>
      <c r="MV43" s="5">
        <v>0</v>
      </c>
      <c r="MW43" s="5">
        <v>0</v>
      </c>
      <c r="MX43" s="5">
        <v>0</v>
      </c>
      <c r="MY43" s="5">
        <v>2500000</v>
      </c>
      <c r="MZ43" s="5">
        <v>0</v>
      </c>
      <c r="NA43" s="5">
        <v>5000000</v>
      </c>
      <c r="NB43" s="5">
        <v>0</v>
      </c>
      <c r="NC43" s="5">
        <v>0</v>
      </c>
      <c r="ND43" s="5">
        <v>0</v>
      </c>
      <c r="NE43" s="5">
        <v>0</v>
      </c>
      <c r="NF43" s="5">
        <v>0</v>
      </c>
      <c r="NG43" s="5">
        <v>3458400</v>
      </c>
      <c r="NH43" s="5">
        <v>3000000</v>
      </c>
      <c r="NI43" s="5">
        <v>3000000</v>
      </c>
      <c r="NJ43" s="5"/>
      <c r="NK43" s="5">
        <v>0</v>
      </c>
      <c r="NL43" s="2" t="s">
        <v>17</v>
      </c>
      <c r="NM43" s="2" t="s">
        <v>17</v>
      </c>
      <c r="NN43" s="2"/>
      <c r="NO43" s="2" t="s">
        <v>17</v>
      </c>
      <c r="NP43" s="2"/>
      <c r="NQ43" s="2"/>
      <c r="NR43" s="2" t="s">
        <v>17</v>
      </c>
      <c r="NS43" s="2"/>
      <c r="NT43" s="2" t="s">
        <v>9</v>
      </c>
      <c r="NU43" s="2" t="s">
        <v>450</v>
      </c>
      <c r="NV43" s="2">
        <v>24.04</v>
      </c>
      <c r="NW43" s="2" t="s">
        <v>3342</v>
      </c>
      <c r="NX43" s="2"/>
      <c r="NY43" s="2"/>
      <c r="NZ43" s="2"/>
      <c r="OA43" s="2" t="s">
        <v>118</v>
      </c>
      <c r="OB43" s="2" t="s">
        <v>118</v>
      </c>
      <c r="OC43" s="2" t="s">
        <v>118</v>
      </c>
      <c r="OD43" s="2" t="s">
        <v>3343</v>
      </c>
      <c r="OE43" s="2" t="s">
        <v>3833</v>
      </c>
      <c r="OF43" s="2"/>
      <c r="OG43" s="2" t="s">
        <v>17</v>
      </c>
      <c r="OH43" s="2" t="s">
        <v>119</v>
      </c>
      <c r="OI43" s="2" t="s">
        <v>17</v>
      </c>
      <c r="OJ43" s="2"/>
      <c r="OK43" s="2" t="s">
        <v>17</v>
      </c>
      <c r="OL43" s="2" t="s">
        <v>17</v>
      </c>
      <c r="OM43" s="2" t="s">
        <v>85</v>
      </c>
      <c r="ON43" s="6">
        <v>0</v>
      </c>
      <c r="OO43" s="6">
        <v>0</v>
      </c>
      <c r="OP43" s="2" t="s">
        <v>93</v>
      </c>
      <c r="OQ43" s="2" t="s">
        <v>93</v>
      </c>
      <c r="OR43" s="6">
        <v>0</v>
      </c>
      <c r="OS43" s="4">
        <v>0</v>
      </c>
      <c r="OT43" s="2" t="s">
        <v>17</v>
      </c>
      <c r="OU43" s="2" t="s">
        <v>17</v>
      </c>
      <c r="OV43" s="2"/>
      <c r="OW43" s="2"/>
      <c r="OX43" s="5">
        <v>21119205</v>
      </c>
      <c r="OY43" s="6">
        <v>217723.76</v>
      </c>
      <c r="OZ43" s="2"/>
      <c r="PA43" s="2"/>
      <c r="PB43" s="2"/>
      <c r="PC43" s="2"/>
      <c r="PD43" s="8">
        <v>21350040</v>
      </c>
      <c r="PE43" s="8">
        <v>2611248</v>
      </c>
      <c r="PF43" s="8">
        <v>23961288</v>
      </c>
      <c r="PG43" s="2"/>
      <c r="PH43" s="2"/>
      <c r="PI43" s="2"/>
      <c r="PJ43" s="8">
        <v>1125000</v>
      </c>
      <c r="PK43" s="2"/>
      <c r="PL43" s="8">
        <v>1125000</v>
      </c>
      <c r="PM43" s="8">
        <v>22475040</v>
      </c>
      <c r="PN43" s="8">
        <v>2611248</v>
      </c>
      <c r="PO43" s="8">
        <v>25086288</v>
      </c>
      <c r="PP43" s="8">
        <v>3500000</v>
      </c>
      <c r="PQ43" s="2"/>
      <c r="PR43" s="8">
        <v>3500000</v>
      </c>
      <c r="PS43" s="6">
        <v>3512080</v>
      </c>
      <c r="PT43" s="8">
        <v>25975040</v>
      </c>
      <c r="PU43" s="8">
        <v>2611248</v>
      </c>
      <c r="PV43" s="8">
        <v>28586288</v>
      </c>
      <c r="PW43" s="8">
        <v>644992</v>
      </c>
      <c r="PX43" s="8">
        <v>644992</v>
      </c>
      <c r="PY43" s="8">
        <v>1289984</v>
      </c>
      <c r="PZ43" s="6">
        <v>1429314.4</v>
      </c>
      <c r="QA43" s="8">
        <v>1169227</v>
      </c>
      <c r="QB43" s="8">
        <v>157500</v>
      </c>
      <c r="QC43" s="8">
        <v>1326727</v>
      </c>
      <c r="QD43" s="8">
        <v>306250</v>
      </c>
      <c r="QE43" s="8">
        <v>72186</v>
      </c>
      <c r="QF43" s="8">
        <v>378436</v>
      </c>
      <c r="QG43" s="8">
        <v>532884</v>
      </c>
      <c r="QH43" s="8">
        <v>78750</v>
      </c>
      <c r="QI43" s="8">
        <v>611634</v>
      </c>
      <c r="QJ43" s="2"/>
      <c r="QK43" s="8">
        <v>413842</v>
      </c>
      <c r="QL43" s="8">
        <v>413842</v>
      </c>
      <c r="QM43" s="2"/>
      <c r="QN43" s="2"/>
      <c r="QO43" s="2"/>
      <c r="QP43" s="2"/>
      <c r="QQ43" s="2"/>
      <c r="QR43" s="2"/>
      <c r="QS43" s="8">
        <v>2008361</v>
      </c>
      <c r="QT43" s="8">
        <v>722278</v>
      </c>
      <c r="QU43" s="8">
        <v>2730639</v>
      </c>
      <c r="QV43" s="2"/>
      <c r="QW43" s="8">
        <v>125000</v>
      </c>
      <c r="QX43" s="8">
        <v>125000</v>
      </c>
      <c r="QY43" s="6">
        <v>136531.95000000001</v>
      </c>
      <c r="QZ43" s="8">
        <v>980000</v>
      </c>
      <c r="RA43" s="8">
        <v>1200000</v>
      </c>
      <c r="RB43" s="8">
        <v>2180000</v>
      </c>
      <c r="RC43" s="8">
        <v>115000</v>
      </c>
      <c r="RD43" s="8">
        <v>115000</v>
      </c>
      <c r="RE43" s="2"/>
      <c r="RF43" s="2"/>
      <c r="RG43" s="2"/>
      <c r="RH43" s="8">
        <v>980000</v>
      </c>
      <c r="RI43" s="8">
        <v>1315000</v>
      </c>
      <c r="RJ43" s="8">
        <v>2295000</v>
      </c>
      <c r="RK43" s="8">
        <v>29608393</v>
      </c>
      <c r="RL43" s="8">
        <v>5418518</v>
      </c>
      <c r="RM43" s="8">
        <v>35026911</v>
      </c>
      <c r="RN43" s="2">
        <v>0</v>
      </c>
      <c r="RO43" s="6">
        <v>0</v>
      </c>
      <c r="RP43" s="8">
        <v>5604305</v>
      </c>
      <c r="RQ43" s="2"/>
      <c r="RR43" s="8">
        <v>5604305</v>
      </c>
      <c r="RS43" s="6">
        <v>5604305</v>
      </c>
      <c r="RT43" s="6">
        <v>0</v>
      </c>
      <c r="RU43" s="8">
        <v>5604305</v>
      </c>
      <c r="RV43" s="2"/>
      <c r="RW43" s="8">
        <v>5604305</v>
      </c>
      <c r="RX43" s="6">
        <v>5604305</v>
      </c>
      <c r="RY43" s="2"/>
      <c r="RZ43" s="2"/>
      <c r="SA43" s="6">
        <v>339500</v>
      </c>
      <c r="SB43" s="2"/>
      <c r="SC43" s="2"/>
      <c r="SD43" s="8">
        <v>35212698</v>
      </c>
      <c r="SE43" s="8">
        <v>5418518</v>
      </c>
      <c r="SF43" s="8">
        <v>40631216</v>
      </c>
      <c r="SG43" s="2"/>
      <c r="SH43" s="2" t="s">
        <v>4086</v>
      </c>
      <c r="SI43" s="2"/>
      <c r="SJ43" s="2"/>
      <c r="SK43" s="8">
        <v>30000000</v>
      </c>
      <c r="SL43" s="2" t="s">
        <v>95</v>
      </c>
      <c r="SM43" s="2"/>
      <c r="SN43" s="2"/>
      <c r="SO43" s="2"/>
      <c r="SP43" s="2"/>
      <c r="SQ43" s="2"/>
      <c r="SR43" s="2"/>
      <c r="SS43" s="2" t="s">
        <v>96</v>
      </c>
      <c r="ST43" s="2" t="s">
        <v>96</v>
      </c>
      <c r="SU43" s="2" t="s">
        <v>96</v>
      </c>
      <c r="SV43" s="2" t="s">
        <v>96</v>
      </c>
      <c r="SW43" s="8">
        <v>5519448</v>
      </c>
      <c r="SX43" s="2"/>
      <c r="SY43" s="2"/>
      <c r="SZ43" s="2"/>
      <c r="TA43" s="2"/>
      <c r="TB43" s="2"/>
      <c r="TC43" s="2"/>
      <c r="TD43" s="8">
        <v>5111768</v>
      </c>
      <c r="TE43" s="8">
        <v>40631216</v>
      </c>
      <c r="TF43" s="2">
        <v>0</v>
      </c>
      <c r="TG43" s="2" t="s">
        <v>9</v>
      </c>
      <c r="TH43" s="8">
        <v>7500000</v>
      </c>
      <c r="TI43" s="2" t="s">
        <v>95</v>
      </c>
      <c r="TJ43" s="2"/>
      <c r="TK43" s="2"/>
      <c r="TL43" s="2"/>
      <c r="TM43" s="2"/>
      <c r="TN43" s="2" t="s">
        <v>96</v>
      </c>
      <c r="TO43" s="2" t="s">
        <v>96</v>
      </c>
      <c r="TP43" s="2" t="s">
        <v>96</v>
      </c>
      <c r="TQ43" s="2" t="s">
        <v>96</v>
      </c>
      <c r="TR43" s="8">
        <v>27597240</v>
      </c>
      <c r="TS43" s="2"/>
      <c r="TT43" s="2"/>
      <c r="TU43" s="2"/>
      <c r="TV43" s="2"/>
      <c r="TW43" s="2"/>
      <c r="TX43" s="2"/>
      <c r="TY43" s="8">
        <v>5533976</v>
      </c>
      <c r="TZ43" s="8">
        <v>40631216</v>
      </c>
      <c r="UA43" s="6">
        <v>7500000</v>
      </c>
      <c r="UB43" s="2">
        <v>0</v>
      </c>
      <c r="UC43" s="2" t="s">
        <v>9</v>
      </c>
      <c r="UD43" s="2">
        <v>97</v>
      </c>
      <c r="UE43" s="5">
        <v>268969</v>
      </c>
      <c r="UF43" s="6">
        <v>358625.43</v>
      </c>
      <c r="UG43" s="6">
        <v>358625.43</v>
      </c>
      <c r="UH43" s="6">
        <v>380142.96</v>
      </c>
      <c r="UI43" s="6">
        <v>36873866.670000002</v>
      </c>
      <c r="UJ43" s="6">
        <v>5899818</v>
      </c>
      <c r="UK43" s="2" t="s">
        <v>97</v>
      </c>
      <c r="UL43" s="6">
        <v>5899818</v>
      </c>
      <c r="UM43" s="6">
        <v>42773684.670000002</v>
      </c>
      <c r="UN43" s="6">
        <v>40631216</v>
      </c>
      <c r="UO43" s="4">
        <v>0.99990000000000001</v>
      </c>
      <c r="UP43" s="2" t="s">
        <v>9</v>
      </c>
      <c r="UQ43" s="6">
        <v>0</v>
      </c>
      <c r="UR43" s="6">
        <v>0</v>
      </c>
      <c r="US43" s="6">
        <v>398128.39</v>
      </c>
      <c r="UT43" s="6">
        <v>398128.39</v>
      </c>
      <c r="UU43" s="6">
        <v>0</v>
      </c>
      <c r="UV43" s="6">
        <v>398128.39</v>
      </c>
      <c r="UW43" s="6">
        <v>0</v>
      </c>
      <c r="UX43" s="6">
        <v>398128.39</v>
      </c>
      <c r="UY43" s="2" t="s">
        <v>3387</v>
      </c>
      <c r="UZ43" s="2" t="s">
        <v>3288</v>
      </c>
      <c r="VA43" s="2" t="s">
        <v>17</v>
      </c>
      <c r="VB43" s="2" t="s">
        <v>17</v>
      </c>
      <c r="VC43" s="2" t="s">
        <v>17</v>
      </c>
      <c r="VD43" s="2" t="s">
        <v>17</v>
      </c>
      <c r="VE43" s="2" t="s">
        <v>17</v>
      </c>
      <c r="VF43" s="2" t="s">
        <v>17</v>
      </c>
      <c r="VG43" s="2" t="s">
        <v>4087</v>
      </c>
      <c r="VH43" s="2"/>
      <c r="VI43" s="388" t="s">
        <v>4065</v>
      </c>
      <c r="VJ43" s="2" t="s">
        <v>98</v>
      </c>
      <c r="VK43" s="2" t="s">
        <v>4088</v>
      </c>
      <c r="VL43" s="23">
        <f t="shared" si="21"/>
        <v>145</v>
      </c>
      <c r="VM43" s="17">
        <f t="shared" si="22"/>
        <v>1.4948453608247423</v>
      </c>
      <c r="VN43" s="17" t="str">
        <f t="shared" si="2"/>
        <v>NC-GA-E</v>
      </c>
      <c r="VO43" s="17" t="str">
        <f t="shared" si="14"/>
        <v>NC-GA-E-ESS</v>
      </c>
      <c r="VP43" s="12">
        <v>9</v>
      </c>
      <c r="VQ43" s="57">
        <v>1</v>
      </c>
      <c r="VR43" s="57">
        <f t="shared" si="3"/>
        <v>1</v>
      </c>
      <c r="VS43" s="14">
        <f t="shared" si="4"/>
        <v>1</v>
      </c>
      <c r="VT43" s="12">
        <f t="shared" si="5"/>
        <v>0.92165876288659798</v>
      </c>
      <c r="VU43" s="29">
        <f t="shared" si="6"/>
        <v>24884786.597938146</v>
      </c>
      <c r="VV43" s="29">
        <f t="shared" si="23"/>
        <v>256544.19</v>
      </c>
      <c r="VW43" s="12" t="str">
        <f t="shared" si="15"/>
        <v>A</v>
      </c>
      <c r="VX43" s="12" t="str">
        <f t="shared" si="24"/>
        <v>NC-GA-ESS</v>
      </c>
      <c r="VY43" s="352">
        <f t="shared" si="16"/>
        <v>4</v>
      </c>
      <c r="WA43" s="12">
        <f t="shared" si="17"/>
        <v>1</v>
      </c>
      <c r="WB43" s="12">
        <f t="shared" si="18"/>
        <v>0</v>
      </c>
      <c r="WC43" s="12">
        <f t="shared" si="18"/>
        <v>0</v>
      </c>
      <c r="WD43" s="12">
        <f t="shared" si="18"/>
        <v>0</v>
      </c>
      <c r="WE43" s="12">
        <f t="shared" si="19"/>
        <v>1</v>
      </c>
      <c r="WF43" s="12">
        <f t="shared" si="25"/>
        <v>1</v>
      </c>
      <c r="WG43" s="12">
        <f t="shared" si="26"/>
        <v>1</v>
      </c>
      <c r="WH43" s="12">
        <f t="shared" si="27"/>
        <v>0</v>
      </c>
      <c r="WI43" s="22">
        <f t="shared" si="28"/>
        <v>4</v>
      </c>
      <c r="WJ43" s="2"/>
      <c r="WK43" s="444" t="str">
        <f t="shared" si="20"/>
        <v>NC-GA-ESS-BBN-BRN-NPH-E</v>
      </c>
      <c r="WL43" s="444"/>
      <c r="WM43" s="444"/>
    </row>
    <row r="44" spans="1:611" x14ac:dyDescent="0.25">
      <c r="A44" s="2">
        <v>9655</v>
      </c>
      <c r="B44" s="2" t="s">
        <v>4089</v>
      </c>
      <c r="C44" s="2" t="s">
        <v>3305</v>
      </c>
      <c r="D44" s="3">
        <v>45159</v>
      </c>
      <c r="E44" s="2" t="s">
        <v>9</v>
      </c>
      <c r="F44" s="2">
        <v>3</v>
      </c>
      <c r="G44" s="2" t="s">
        <v>9</v>
      </c>
      <c r="H44" s="2">
        <v>3</v>
      </c>
      <c r="I44" s="2" t="s">
        <v>9</v>
      </c>
      <c r="J44" s="2">
        <v>2</v>
      </c>
      <c r="K44" s="2" t="s">
        <v>9</v>
      </c>
      <c r="L44" s="2">
        <v>3</v>
      </c>
      <c r="M44" s="2" t="s">
        <v>10</v>
      </c>
      <c r="N44" s="2">
        <v>0</v>
      </c>
      <c r="O44" s="2" t="s">
        <v>10</v>
      </c>
      <c r="P44" s="2">
        <v>0</v>
      </c>
      <c r="Q44" s="2" t="s">
        <v>11</v>
      </c>
      <c r="R44" s="2">
        <v>0</v>
      </c>
      <c r="S44" s="2" t="s">
        <v>9</v>
      </c>
      <c r="T44" s="2">
        <v>2</v>
      </c>
      <c r="U44" s="2" t="s">
        <v>9</v>
      </c>
      <c r="V44" s="2">
        <v>2</v>
      </c>
      <c r="W44" s="2" t="s">
        <v>9</v>
      </c>
      <c r="X44" s="2">
        <v>2</v>
      </c>
      <c r="Y44" s="2" t="s">
        <v>12</v>
      </c>
      <c r="Z44" s="2" t="s">
        <v>15</v>
      </c>
      <c r="AA44" s="2" t="s">
        <v>15</v>
      </c>
      <c r="AB44" s="2" t="s">
        <v>15</v>
      </c>
      <c r="AC44" s="2" t="s">
        <v>15</v>
      </c>
      <c r="AD44" s="2" t="s">
        <v>15</v>
      </c>
      <c r="AE44" s="2" t="s">
        <v>2653</v>
      </c>
      <c r="AF44" s="2">
        <v>0</v>
      </c>
      <c r="AG44" s="2" t="s">
        <v>234</v>
      </c>
      <c r="AH44" s="2" t="s">
        <v>17</v>
      </c>
      <c r="AI44" s="4">
        <v>0.15</v>
      </c>
      <c r="AJ44" s="2" t="s">
        <v>17</v>
      </c>
      <c r="AK44" s="2" t="s">
        <v>9</v>
      </c>
      <c r="AL44" s="2" t="s">
        <v>17</v>
      </c>
      <c r="AM44" s="2" t="s">
        <v>17</v>
      </c>
      <c r="AN44" s="2" t="s">
        <v>17</v>
      </c>
      <c r="AO44" s="2" t="s">
        <v>9</v>
      </c>
      <c r="AP44" s="2" t="s">
        <v>17</v>
      </c>
      <c r="AQ44" s="2" t="s">
        <v>17</v>
      </c>
      <c r="AR44" s="2" t="s">
        <v>17</v>
      </c>
      <c r="AS44" s="2" t="s">
        <v>17</v>
      </c>
      <c r="AT44" s="2">
        <v>5</v>
      </c>
      <c r="AU44" s="5">
        <v>100000</v>
      </c>
      <c r="AV44" s="2" t="s">
        <v>85</v>
      </c>
      <c r="AW44" s="2">
        <v>0</v>
      </c>
      <c r="AX44" s="2">
        <v>19</v>
      </c>
      <c r="AY44" s="2">
        <v>0</v>
      </c>
      <c r="AZ44" s="2">
        <v>18</v>
      </c>
      <c r="BA44" s="2">
        <v>0</v>
      </c>
      <c r="BB44" s="2">
        <v>0</v>
      </c>
      <c r="BC44" s="2">
        <v>1</v>
      </c>
      <c r="BD44" s="2">
        <v>5</v>
      </c>
      <c r="BE44" s="2">
        <v>0</v>
      </c>
      <c r="BF44" s="2">
        <v>1</v>
      </c>
      <c r="BG44" s="2">
        <v>0</v>
      </c>
      <c r="BH44" s="2">
        <v>0</v>
      </c>
      <c r="BI44" s="2">
        <v>13</v>
      </c>
      <c r="BJ44" s="2">
        <v>1</v>
      </c>
      <c r="BK44" s="2">
        <v>0</v>
      </c>
      <c r="BL44" s="2">
        <v>2</v>
      </c>
      <c r="BM44" s="2">
        <v>1</v>
      </c>
      <c r="BN44" s="2">
        <v>10</v>
      </c>
      <c r="BO44" s="2">
        <v>11</v>
      </c>
      <c r="BP44" s="2">
        <v>0</v>
      </c>
      <c r="BQ44" s="2">
        <v>10</v>
      </c>
      <c r="BR44" s="2">
        <v>9.6199999999999992</v>
      </c>
      <c r="BS44" s="2">
        <v>0</v>
      </c>
      <c r="BT44" s="4">
        <v>0.06</v>
      </c>
      <c r="BU44" s="2" t="s">
        <v>9</v>
      </c>
      <c r="BV44" s="6">
        <v>218300.4</v>
      </c>
      <c r="BW44" s="2" t="s">
        <v>126</v>
      </c>
      <c r="BX44" s="2" t="s">
        <v>17</v>
      </c>
      <c r="BY44" s="2" t="s">
        <v>17</v>
      </c>
      <c r="BZ44" s="2" t="s">
        <v>17</v>
      </c>
      <c r="CA44" s="2" t="s">
        <v>17</v>
      </c>
      <c r="CB44" s="2" t="s">
        <v>17</v>
      </c>
      <c r="CC44" s="2" t="s">
        <v>17</v>
      </c>
      <c r="CD44" s="2" t="s">
        <v>17</v>
      </c>
      <c r="CE44" s="2" t="s">
        <v>4090</v>
      </c>
      <c r="CF44" s="2" t="s">
        <v>17</v>
      </c>
      <c r="CG44" s="2" t="s">
        <v>4091</v>
      </c>
      <c r="CH44" s="2"/>
      <c r="CI44" s="2"/>
      <c r="CJ44" s="2" t="s">
        <v>9</v>
      </c>
      <c r="CK44" s="2" t="s">
        <v>4039</v>
      </c>
      <c r="CL44" s="2" t="s">
        <v>4091</v>
      </c>
      <c r="CM44" s="2" t="s">
        <v>1963</v>
      </c>
      <c r="CN44" s="2" t="s">
        <v>2661</v>
      </c>
      <c r="CO44" s="2" t="s">
        <v>24</v>
      </c>
      <c r="CP44" s="2"/>
      <c r="CQ44" s="2">
        <v>96</v>
      </c>
      <c r="CR44" s="2" t="s">
        <v>3904</v>
      </c>
      <c r="CS44" s="2">
        <v>2020</v>
      </c>
      <c r="CT44" s="2" t="s">
        <v>26</v>
      </c>
      <c r="CU44" s="2" t="s">
        <v>27</v>
      </c>
      <c r="CV44" s="2" t="s">
        <v>4040</v>
      </c>
      <c r="CW44" s="2" t="s">
        <v>2661</v>
      </c>
      <c r="CX44" s="2" t="s">
        <v>24</v>
      </c>
      <c r="CY44" s="2"/>
      <c r="CZ44" s="2">
        <v>96</v>
      </c>
      <c r="DA44" s="2" t="s">
        <v>3904</v>
      </c>
      <c r="DB44" s="2">
        <v>2013</v>
      </c>
      <c r="DC44" s="2" t="s">
        <v>30</v>
      </c>
      <c r="DD44" s="2" t="s">
        <v>27</v>
      </c>
      <c r="DE44" s="2" t="s">
        <v>4041</v>
      </c>
      <c r="DF44" s="2" t="s">
        <v>2661</v>
      </c>
      <c r="DG44" s="2" t="s">
        <v>24</v>
      </c>
      <c r="DH44" s="2"/>
      <c r="DI44" s="2">
        <v>150</v>
      </c>
      <c r="DJ44" s="2" t="s">
        <v>3904</v>
      </c>
      <c r="DK44" s="2">
        <v>2011</v>
      </c>
      <c r="DL44" s="2" t="s">
        <v>243</v>
      </c>
      <c r="DM44" s="2" t="s">
        <v>27</v>
      </c>
      <c r="DN44" s="2" t="s">
        <v>33</v>
      </c>
      <c r="DO44" s="2" t="s">
        <v>34</v>
      </c>
      <c r="DP44" s="2" t="s">
        <v>337</v>
      </c>
      <c r="DQ44" s="2" t="s">
        <v>35</v>
      </c>
      <c r="DR44" s="2" t="s">
        <v>36</v>
      </c>
      <c r="DS44" s="2">
        <v>1</v>
      </c>
      <c r="DT44" s="2" t="s">
        <v>1965</v>
      </c>
      <c r="DU44" s="2" t="s">
        <v>38</v>
      </c>
      <c r="DV44" s="2" t="s">
        <v>39</v>
      </c>
      <c r="DW44" s="2">
        <v>32405</v>
      </c>
      <c r="DX44" s="2" t="s">
        <v>617</v>
      </c>
      <c r="DY44" s="2"/>
      <c r="DZ44" s="2" t="s">
        <v>4042</v>
      </c>
      <c r="EA44" s="2" t="s">
        <v>36</v>
      </c>
      <c r="EB44" s="2" t="s">
        <v>4043</v>
      </c>
      <c r="EC44" s="2" t="s">
        <v>4044</v>
      </c>
      <c r="ED44" s="2" t="s">
        <v>44</v>
      </c>
      <c r="EE44" s="2">
        <v>100</v>
      </c>
      <c r="EF44" s="2" t="s">
        <v>3906</v>
      </c>
      <c r="EG44" s="2">
        <v>10</v>
      </c>
      <c r="EH44" s="2" t="s">
        <v>46</v>
      </c>
      <c r="EI44" s="2" t="s">
        <v>47</v>
      </c>
      <c r="EJ44" s="2" t="s">
        <v>4045</v>
      </c>
      <c r="EK44" s="2" t="s">
        <v>2661</v>
      </c>
      <c r="EL44" s="2" t="s">
        <v>44</v>
      </c>
      <c r="EM44" s="2">
        <v>90</v>
      </c>
      <c r="EN44" s="2" t="s">
        <v>3906</v>
      </c>
      <c r="EO44" s="2">
        <v>12</v>
      </c>
      <c r="EP44" s="2" t="s">
        <v>46</v>
      </c>
      <c r="EQ44" s="2" t="s">
        <v>47</v>
      </c>
      <c r="ER44" s="2" t="s">
        <v>4046</v>
      </c>
      <c r="ES44" s="2" t="s">
        <v>295</v>
      </c>
      <c r="ET44" s="2" t="s">
        <v>4047</v>
      </c>
      <c r="EU44" s="2" t="s">
        <v>4090</v>
      </c>
      <c r="EV44" s="2" t="s">
        <v>4048</v>
      </c>
      <c r="EW44" s="2" t="s">
        <v>299</v>
      </c>
      <c r="EX44" s="2" t="s">
        <v>39</v>
      </c>
      <c r="EY44" s="2">
        <v>33145</v>
      </c>
      <c r="EZ44" s="2" t="s">
        <v>4049</v>
      </c>
      <c r="FA44" s="2"/>
      <c r="FB44" s="2" t="s">
        <v>4050</v>
      </c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 t="s">
        <v>4092</v>
      </c>
      <c r="FO44" s="2" t="s">
        <v>63</v>
      </c>
      <c r="FP44" s="2" t="s">
        <v>64</v>
      </c>
      <c r="FQ44" s="2" t="s">
        <v>9</v>
      </c>
      <c r="FR44" s="2" t="s">
        <v>17</v>
      </c>
      <c r="FS44" s="2" t="s">
        <v>17</v>
      </c>
      <c r="FT44" s="2" t="s">
        <v>9</v>
      </c>
      <c r="FU44" s="2"/>
      <c r="FV44" s="2"/>
      <c r="FW44" s="2">
        <v>0</v>
      </c>
      <c r="FX44" s="2">
        <v>0</v>
      </c>
      <c r="FY44" s="4">
        <v>0</v>
      </c>
      <c r="FZ44" s="4">
        <v>0</v>
      </c>
      <c r="GA44" s="2" t="s">
        <v>65</v>
      </c>
      <c r="GB44" s="2"/>
      <c r="GC44" s="2" t="s">
        <v>66</v>
      </c>
      <c r="GD44" s="2" t="s">
        <v>67</v>
      </c>
      <c r="GE44" s="2" t="s">
        <v>2684</v>
      </c>
      <c r="GF44" s="2"/>
      <c r="GG44" s="2"/>
      <c r="GH44" s="2"/>
      <c r="GI44" s="2"/>
      <c r="GJ44" s="2"/>
      <c r="GK44" s="2">
        <v>100</v>
      </c>
      <c r="GL44" s="2"/>
      <c r="GM44" s="2"/>
      <c r="GN44" s="2"/>
      <c r="GO44" s="2"/>
      <c r="GP44" s="2"/>
      <c r="GQ44" s="2">
        <v>100</v>
      </c>
      <c r="GR44" s="2" t="s">
        <v>3332</v>
      </c>
      <c r="GS44" s="2" t="s">
        <v>2686</v>
      </c>
      <c r="GT44" s="2" t="s">
        <v>4093</v>
      </c>
      <c r="GU44" s="2" t="s">
        <v>2720</v>
      </c>
      <c r="GV44" s="2" t="s">
        <v>17</v>
      </c>
      <c r="GW44" s="2">
        <v>25.823903000000001</v>
      </c>
      <c r="GX44" s="2">
        <v>-80.232354000000001</v>
      </c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>
        <v>25.822089999999999</v>
      </c>
      <c r="HS44" s="2">
        <v>-80.241033000000002</v>
      </c>
      <c r="HT44" s="2">
        <v>0.56000000000000005</v>
      </c>
      <c r="HU44" s="2">
        <v>5</v>
      </c>
      <c r="HV44" s="2" t="s">
        <v>167</v>
      </c>
      <c r="HW44" s="2" t="s">
        <v>4094</v>
      </c>
      <c r="HX44" s="2">
        <v>1.08</v>
      </c>
      <c r="HY44" s="2">
        <v>2</v>
      </c>
      <c r="HZ44" s="2"/>
      <c r="IA44" s="2"/>
      <c r="IB44" s="2"/>
      <c r="IC44" s="2"/>
      <c r="ID44" s="2" t="s">
        <v>4095</v>
      </c>
      <c r="IE44" s="2">
        <v>0.41</v>
      </c>
      <c r="IF44" s="2">
        <v>3.5</v>
      </c>
      <c r="IG44" s="2" t="s">
        <v>3819</v>
      </c>
      <c r="IH44" s="2">
        <v>0.33</v>
      </c>
      <c r="II44" s="2">
        <v>4</v>
      </c>
      <c r="IJ44" s="2" t="s">
        <v>9</v>
      </c>
      <c r="IK44" s="2" t="s">
        <v>3820</v>
      </c>
      <c r="IL44" s="2" t="s">
        <v>3414</v>
      </c>
      <c r="IM44" s="2" t="s">
        <v>17</v>
      </c>
      <c r="IN44" s="2"/>
      <c r="IO44" s="2" t="s">
        <v>79</v>
      </c>
      <c r="IP44" s="2">
        <v>5</v>
      </c>
      <c r="IQ44" s="2">
        <v>9.5</v>
      </c>
      <c r="IR44" s="2">
        <v>14.5</v>
      </c>
      <c r="IS44" s="2" t="s">
        <v>17</v>
      </c>
      <c r="IT44" s="2" t="s">
        <v>17</v>
      </c>
      <c r="IU44" s="2" t="s">
        <v>9</v>
      </c>
      <c r="IV44" s="2" t="s">
        <v>9</v>
      </c>
      <c r="IW44" s="2" t="s">
        <v>9</v>
      </c>
      <c r="IX44" s="2" t="s">
        <v>9</v>
      </c>
      <c r="IY44" s="2">
        <v>14.5</v>
      </c>
      <c r="IZ44" s="2">
        <v>100</v>
      </c>
      <c r="JA44" s="2" t="s">
        <v>3085</v>
      </c>
      <c r="JB44" s="2"/>
      <c r="JC44" s="2" t="s">
        <v>82</v>
      </c>
      <c r="JD44" s="2"/>
      <c r="JE44" s="2"/>
      <c r="JF44" s="7">
        <v>0</v>
      </c>
      <c r="JG44" s="7"/>
      <c r="JH44" s="7"/>
      <c r="JI44" s="2">
        <v>0</v>
      </c>
      <c r="JJ44" s="7">
        <v>0</v>
      </c>
      <c r="JK44" s="2">
        <v>0</v>
      </c>
      <c r="JL44" s="7">
        <v>0</v>
      </c>
      <c r="JM44" s="2">
        <v>15</v>
      </c>
      <c r="JN44" s="2"/>
      <c r="JO44" s="2"/>
      <c r="JP44" s="2">
        <v>63</v>
      </c>
      <c r="JQ44" s="2"/>
      <c r="JR44" s="2">
        <v>22</v>
      </c>
      <c r="JS44" s="2">
        <v>0</v>
      </c>
      <c r="JT44" s="2">
        <v>0</v>
      </c>
      <c r="JU44" s="2"/>
      <c r="JV44" s="2">
        <v>100</v>
      </c>
      <c r="JW44" s="4">
        <v>1</v>
      </c>
      <c r="JX44" s="2">
        <v>100</v>
      </c>
      <c r="JY44" s="4">
        <v>0.59899999999999998</v>
      </c>
      <c r="JZ44" s="2">
        <v>0</v>
      </c>
      <c r="KA44" s="2"/>
      <c r="KB44" s="2"/>
      <c r="KC44" s="2"/>
      <c r="KD44" s="2"/>
      <c r="KE44" s="2"/>
      <c r="KF44" s="2"/>
      <c r="KG44" s="2"/>
      <c r="KH44" s="2">
        <v>50</v>
      </c>
      <c r="KI44" s="2">
        <v>50</v>
      </c>
      <c r="KJ44" s="2"/>
      <c r="KK44" s="2"/>
      <c r="KL44" s="2"/>
      <c r="KM44" s="2"/>
      <c r="KN44" s="2"/>
      <c r="KO44" s="2"/>
      <c r="KP44" s="2"/>
      <c r="KQ44" s="2" t="s">
        <v>83</v>
      </c>
      <c r="KR44" s="2"/>
      <c r="KS44" s="2" t="s">
        <v>73</v>
      </c>
      <c r="KT44" s="2">
        <v>1</v>
      </c>
      <c r="KU44" s="2" t="s">
        <v>84</v>
      </c>
      <c r="KV44" s="2" t="s">
        <v>85</v>
      </c>
      <c r="KW44" s="2" t="s">
        <v>86</v>
      </c>
      <c r="KX44" s="2" t="s">
        <v>17</v>
      </c>
      <c r="KY44" s="2" t="s">
        <v>17</v>
      </c>
      <c r="KZ44" s="2" t="s">
        <v>17</v>
      </c>
      <c r="LA44" s="2" t="s">
        <v>17</v>
      </c>
      <c r="LB44" s="2" t="s">
        <v>17</v>
      </c>
      <c r="LC44" s="2" t="s">
        <v>17</v>
      </c>
      <c r="LD44" s="2" t="s">
        <v>17</v>
      </c>
      <c r="LE44" s="2" t="s">
        <v>17</v>
      </c>
      <c r="LF44" s="2" t="s">
        <v>17</v>
      </c>
      <c r="LG44" s="2" t="s">
        <v>17</v>
      </c>
      <c r="LH44" s="2" t="s">
        <v>17</v>
      </c>
      <c r="LI44" s="2" t="s">
        <v>17</v>
      </c>
      <c r="LJ44" s="2" t="s">
        <v>87</v>
      </c>
      <c r="LK44" s="2" t="s">
        <v>17</v>
      </c>
      <c r="LL44" s="2" t="s">
        <v>17</v>
      </c>
      <c r="LM44" s="2">
        <v>0</v>
      </c>
      <c r="LN44" s="2" t="s">
        <v>17</v>
      </c>
      <c r="LO44" s="2" t="s">
        <v>17</v>
      </c>
      <c r="LP44" s="2" t="s">
        <v>17</v>
      </c>
      <c r="LQ44" s="2" t="s">
        <v>17</v>
      </c>
      <c r="LR44" s="2" t="s">
        <v>17</v>
      </c>
      <c r="LS44" s="2" t="s">
        <v>17</v>
      </c>
      <c r="LT44" s="2" t="s">
        <v>9</v>
      </c>
      <c r="LU44" s="2" t="s">
        <v>9</v>
      </c>
      <c r="LV44" s="2" t="s">
        <v>17</v>
      </c>
      <c r="LW44" s="2" t="s">
        <v>17</v>
      </c>
      <c r="LX44" s="2" t="s">
        <v>9</v>
      </c>
      <c r="LY44" s="5">
        <v>6500000</v>
      </c>
      <c r="LZ44" s="5">
        <v>0</v>
      </c>
      <c r="MA44" s="5">
        <v>8400000</v>
      </c>
      <c r="MB44" s="5">
        <v>0</v>
      </c>
      <c r="MC44" s="5">
        <v>0</v>
      </c>
      <c r="MD44" s="5">
        <v>0</v>
      </c>
      <c r="ME44" s="5">
        <v>10000000</v>
      </c>
      <c r="MF44" s="5">
        <v>0</v>
      </c>
      <c r="MG44" s="5">
        <v>0</v>
      </c>
      <c r="MH44" s="5">
        <v>0</v>
      </c>
      <c r="MI44" s="5">
        <v>0</v>
      </c>
      <c r="MJ44" s="5">
        <v>0</v>
      </c>
      <c r="MK44" s="5">
        <v>0</v>
      </c>
      <c r="ML44" s="2">
        <v>0</v>
      </c>
      <c r="MM44" s="5">
        <v>0</v>
      </c>
      <c r="MN44" s="5">
        <v>0</v>
      </c>
      <c r="MO44" s="2">
        <v>0</v>
      </c>
      <c r="MP44" s="2">
        <v>0</v>
      </c>
      <c r="MQ44" s="2">
        <v>0</v>
      </c>
      <c r="MR44" s="5">
        <v>2950000</v>
      </c>
      <c r="MS44" s="5">
        <v>0</v>
      </c>
      <c r="MT44" s="5">
        <v>4600000</v>
      </c>
      <c r="MU44" s="5">
        <v>0</v>
      </c>
      <c r="MV44" s="5">
        <v>0</v>
      </c>
      <c r="MW44" s="5">
        <v>0</v>
      </c>
      <c r="MX44" s="5">
        <v>0</v>
      </c>
      <c r="MY44" s="5">
        <v>2500000</v>
      </c>
      <c r="MZ44" s="5">
        <v>0</v>
      </c>
      <c r="NA44" s="5">
        <v>5000000</v>
      </c>
      <c r="NB44" s="5">
        <v>0</v>
      </c>
      <c r="NC44" s="5">
        <v>0</v>
      </c>
      <c r="ND44" s="5">
        <v>0</v>
      </c>
      <c r="NE44" s="5">
        <v>0</v>
      </c>
      <c r="NF44" s="5">
        <v>0</v>
      </c>
      <c r="NG44" s="5">
        <v>3458400</v>
      </c>
      <c r="NH44" s="5">
        <v>3400000</v>
      </c>
      <c r="NI44" s="5">
        <v>3400000</v>
      </c>
      <c r="NJ44" s="5"/>
      <c r="NK44" s="5">
        <v>0</v>
      </c>
      <c r="NL44" s="2" t="s">
        <v>17</v>
      </c>
      <c r="NM44" s="2" t="s">
        <v>17</v>
      </c>
      <c r="NN44" s="2"/>
      <c r="NO44" s="2" t="s">
        <v>17</v>
      </c>
      <c r="NP44" s="2"/>
      <c r="NQ44" s="2"/>
      <c r="NR44" s="2" t="s">
        <v>17</v>
      </c>
      <c r="NS44" s="2"/>
      <c r="NT44" s="2" t="s">
        <v>9</v>
      </c>
      <c r="NU44" s="2" t="s">
        <v>450</v>
      </c>
      <c r="NV44" s="2">
        <v>18.02</v>
      </c>
      <c r="NW44" s="2" t="s">
        <v>3342</v>
      </c>
      <c r="NX44" s="2" t="s">
        <v>17</v>
      </c>
      <c r="NY44" s="2"/>
      <c r="NZ44" s="2"/>
      <c r="OA44" s="2" t="s">
        <v>118</v>
      </c>
      <c r="OB44" s="2" t="s">
        <v>118</v>
      </c>
      <c r="OC44" s="2" t="s">
        <v>118</v>
      </c>
      <c r="OD44" s="2" t="s">
        <v>3343</v>
      </c>
      <c r="OE44" s="2" t="s">
        <v>3822</v>
      </c>
      <c r="OF44" s="2"/>
      <c r="OG44" s="2" t="s">
        <v>17</v>
      </c>
      <c r="OH44" s="2" t="s">
        <v>119</v>
      </c>
      <c r="OI44" s="2" t="s">
        <v>17</v>
      </c>
      <c r="OJ44" s="2"/>
      <c r="OK44" s="2" t="s">
        <v>17</v>
      </c>
      <c r="OL44" s="2" t="s">
        <v>17</v>
      </c>
      <c r="OM44" s="2" t="s">
        <v>85</v>
      </c>
      <c r="ON44" s="6">
        <v>0</v>
      </c>
      <c r="OO44" s="6">
        <v>0</v>
      </c>
      <c r="OP44" s="2" t="s">
        <v>93</v>
      </c>
      <c r="OQ44" s="2" t="s">
        <v>93</v>
      </c>
      <c r="OR44" s="6">
        <v>0</v>
      </c>
      <c r="OS44" s="4">
        <v>0</v>
      </c>
      <c r="OT44" s="2" t="s">
        <v>17</v>
      </c>
      <c r="OU44" s="2" t="s">
        <v>17</v>
      </c>
      <c r="OV44" s="2"/>
      <c r="OW44" s="2"/>
      <c r="OX44" s="5">
        <v>21830040</v>
      </c>
      <c r="OY44" s="6">
        <v>218300.4</v>
      </c>
      <c r="OZ44" s="2"/>
      <c r="PA44" s="2"/>
      <c r="PB44" s="2"/>
      <c r="PC44" s="2"/>
      <c r="PD44" s="8">
        <v>22816000</v>
      </c>
      <c r="PE44" s="8">
        <v>3894698</v>
      </c>
      <c r="PF44" s="8">
        <v>26710698</v>
      </c>
      <c r="PG44" s="2"/>
      <c r="PH44" s="2"/>
      <c r="PI44" s="2"/>
      <c r="PJ44" s="2"/>
      <c r="PK44" s="2"/>
      <c r="PL44" s="2"/>
      <c r="PM44" s="8">
        <v>22816000</v>
      </c>
      <c r="PN44" s="8">
        <v>3894698</v>
      </c>
      <c r="PO44" s="8">
        <v>26710698</v>
      </c>
      <c r="PP44" s="8">
        <v>3700000</v>
      </c>
      <c r="PQ44" s="2"/>
      <c r="PR44" s="8">
        <v>3700000</v>
      </c>
      <c r="PS44" s="6">
        <v>3739497</v>
      </c>
      <c r="PT44" s="8">
        <v>26516000</v>
      </c>
      <c r="PU44" s="8">
        <v>3894698</v>
      </c>
      <c r="PV44" s="8">
        <v>30410698</v>
      </c>
      <c r="PW44" s="8">
        <v>667767</v>
      </c>
      <c r="PX44" s="8">
        <v>667767</v>
      </c>
      <c r="PY44" s="8">
        <v>1335534</v>
      </c>
      <c r="PZ44" s="6">
        <v>1520534.9</v>
      </c>
      <c r="QA44" s="8">
        <v>1130500</v>
      </c>
      <c r="QB44" s="8">
        <v>140000</v>
      </c>
      <c r="QC44" s="8">
        <v>1270500</v>
      </c>
      <c r="QD44" s="8">
        <v>256250</v>
      </c>
      <c r="QE44" s="8">
        <v>143750</v>
      </c>
      <c r="QF44" s="8">
        <v>400000</v>
      </c>
      <c r="QG44" s="8">
        <v>553010</v>
      </c>
      <c r="QH44" s="8">
        <v>28750</v>
      </c>
      <c r="QI44" s="8">
        <v>581760</v>
      </c>
      <c r="QJ44" s="2"/>
      <c r="QK44" s="8">
        <v>388842</v>
      </c>
      <c r="QL44" s="8">
        <v>388842</v>
      </c>
      <c r="QM44" s="2"/>
      <c r="QN44" s="2"/>
      <c r="QO44" s="2"/>
      <c r="QP44" s="2"/>
      <c r="QQ44" s="2"/>
      <c r="QR44" s="2"/>
      <c r="QS44" s="8">
        <v>1939760</v>
      </c>
      <c r="QT44" s="8">
        <v>701342</v>
      </c>
      <c r="QU44" s="8">
        <v>2641102</v>
      </c>
      <c r="QV44" s="2"/>
      <c r="QW44" s="8">
        <v>100000</v>
      </c>
      <c r="QX44" s="8">
        <v>100000</v>
      </c>
      <c r="QY44" s="6">
        <v>132055.1</v>
      </c>
      <c r="QZ44" s="8">
        <v>812273</v>
      </c>
      <c r="RA44" s="8">
        <v>812727</v>
      </c>
      <c r="RB44" s="8">
        <v>1625000</v>
      </c>
      <c r="RC44" s="8">
        <v>100000</v>
      </c>
      <c r="RD44" s="8">
        <v>100000</v>
      </c>
      <c r="RE44" s="2"/>
      <c r="RF44" s="2"/>
      <c r="RG44" s="2"/>
      <c r="RH44" s="8">
        <v>812273</v>
      </c>
      <c r="RI44" s="8">
        <v>912727</v>
      </c>
      <c r="RJ44" s="8">
        <v>1725000</v>
      </c>
      <c r="RK44" s="8">
        <v>29935800</v>
      </c>
      <c r="RL44" s="8">
        <v>6276534</v>
      </c>
      <c r="RM44" s="8">
        <v>36212334</v>
      </c>
      <c r="RN44" s="2">
        <v>0</v>
      </c>
      <c r="RO44" s="6">
        <v>0</v>
      </c>
      <c r="RP44" s="8">
        <v>5793973</v>
      </c>
      <c r="RQ44" s="2"/>
      <c r="RR44" s="8">
        <v>5793973</v>
      </c>
      <c r="RS44" s="6">
        <v>5793973</v>
      </c>
      <c r="RT44" s="6">
        <v>0</v>
      </c>
      <c r="RU44" s="8">
        <v>5793973</v>
      </c>
      <c r="RV44" s="2"/>
      <c r="RW44" s="8">
        <v>5793973</v>
      </c>
      <c r="RX44" s="6">
        <v>5793973</v>
      </c>
      <c r="RY44" s="2"/>
      <c r="RZ44" s="2"/>
      <c r="SA44" s="6">
        <v>350000</v>
      </c>
      <c r="SB44" s="2"/>
      <c r="SC44" s="2"/>
      <c r="SD44" s="8">
        <v>35729773</v>
      </c>
      <c r="SE44" s="8">
        <v>6276534</v>
      </c>
      <c r="SF44" s="8">
        <v>42006307</v>
      </c>
      <c r="SG44" s="2"/>
      <c r="SH44" s="2"/>
      <c r="SI44" s="2"/>
      <c r="SJ44" s="2"/>
      <c r="SK44" s="8">
        <v>30000000</v>
      </c>
      <c r="SL44" s="2" t="s">
        <v>95</v>
      </c>
      <c r="SM44" s="2"/>
      <c r="SN44" s="2"/>
      <c r="SO44" s="2"/>
      <c r="SP44" s="2"/>
      <c r="SQ44" s="2"/>
      <c r="SR44" s="2"/>
      <c r="SS44" s="2" t="s">
        <v>96</v>
      </c>
      <c r="ST44" s="2" t="s">
        <v>96</v>
      </c>
      <c r="SU44" s="2" t="s">
        <v>96</v>
      </c>
      <c r="SV44" s="2" t="s">
        <v>96</v>
      </c>
      <c r="SW44" s="8">
        <v>6255374</v>
      </c>
      <c r="SX44" s="2"/>
      <c r="SY44" s="2"/>
      <c r="SZ44" s="2"/>
      <c r="TA44" s="2"/>
      <c r="TB44" s="2"/>
      <c r="TC44" s="2"/>
      <c r="TD44" s="8">
        <v>5750933</v>
      </c>
      <c r="TE44" s="8">
        <v>42006307</v>
      </c>
      <c r="TF44" s="2">
        <v>0</v>
      </c>
      <c r="TG44" s="2" t="s">
        <v>9</v>
      </c>
      <c r="TH44" s="8">
        <v>6500000</v>
      </c>
      <c r="TI44" s="2" t="s">
        <v>95</v>
      </c>
      <c r="TJ44" s="2"/>
      <c r="TK44" s="2"/>
      <c r="TL44" s="2"/>
      <c r="TM44" s="2"/>
      <c r="TN44" s="2" t="s">
        <v>96</v>
      </c>
      <c r="TO44" s="2" t="s">
        <v>96</v>
      </c>
      <c r="TP44" s="2" t="s">
        <v>96</v>
      </c>
      <c r="TQ44" s="2" t="s">
        <v>96</v>
      </c>
      <c r="TR44" s="8">
        <v>31276869</v>
      </c>
      <c r="TS44" s="2"/>
      <c r="TT44" s="2"/>
      <c r="TU44" s="2"/>
      <c r="TV44" s="2"/>
      <c r="TW44" s="2"/>
      <c r="TX44" s="2"/>
      <c r="TY44" s="8">
        <v>4229438</v>
      </c>
      <c r="TZ44" s="8">
        <v>42006307</v>
      </c>
      <c r="UA44" s="6">
        <v>6500000</v>
      </c>
      <c r="UB44" s="2">
        <v>0</v>
      </c>
      <c r="UC44" s="2" t="s">
        <v>9</v>
      </c>
      <c r="UD44" s="2">
        <v>100</v>
      </c>
      <c r="UE44" s="5">
        <v>310000</v>
      </c>
      <c r="UF44" s="6">
        <v>413333.33</v>
      </c>
      <c r="UG44" s="6">
        <v>413333.33</v>
      </c>
      <c r="UH44" s="6">
        <v>438133.33</v>
      </c>
      <c r="UI44" s="6">
        <v>43813333.329999998</v>
      </c>
      <c r="UJ44" s="6">
        <v>7010133</v>
      </c>
      <c r="UK44" s="2" t="s">
        <v>97</v>
      </c>
      <c r="UL44" s="6">
        <v>7010133</v>
      </c>
      <c r="UM44" s="6">
        <v>50823466.329999998</v>
      </c>
      <c r="UN44" s="6">
        <v>42006307</v>
      </c>
      <c r="UO44" s="4">
        <v>0.99990000000000001</v>
      </c>
      <c r="UP44" s="2" t="s">
        <v>9</v>
      </c>
      <c r="UQ44" s="6">
        <v>0</v>
      </c>
      <c r="UR44" s="6">
        <v>0</v>
      </c>
      <c r="US44" s="6">
        <v>410441.64</v>
      </c>
      <c r="UT44" s="6">
        <v>410441.64</v>
      </c>
      <c r="UU44" s="6">
        <v>0</v>
      </c>
      <c r="UV44" s="6">
        <v>410441.64</v>
      </c>
      <c r="UW44" s="6">
        <v>0</v>
      </c>
      <c r="UX44" s="6">
        <v>410441.64</v>
      </c>
      <c r="UY44" s="2" t="s">
        <v>3457</v>
      </c>
      <c r="UZ44" s="2" t="s">
        <v>3288</v>
      </c>
      <c r="VA44" s="2" t="s">
        <v>17</v>
      </c>
      <c r="VB44" s="2" t="s">
        <v>17</v>
      </c>
      <c r="VC44" s="2" t="s">
        <v>17</v>
      </c>
      <c r="VD44" s="2" t="s">
        <v>17</v>
      </c>
      <c r="VE44" s="2" t="s">
        <v>17</v>
      </c>
      <c r="VF44" s="2" t="s">
        <v>17</v>
      </c>
      <c r="VG44" s="2" t="s">
        <v>4096</v>
      </c>
      <c r="VH44" s="2"/>
      <c r="VI44" s="388" t="s">
        <v>4039</v>
      </c>
      <c r="VJ44" s="2" t="s">
        <v>98</v>
      </c>
      <c r="VK44" s="2" t="s">
        <v>4060</v>
      </c>
      <c r="VL44" s="23">
        <f t="shared" si="21"/>
        <v>150</v>
      </c>
      <c r="VM44" s="17">
        <f t="shared" si="22"/>
        <v>1.5</v>
      </c>
      <c r="VN44" s="17" t="str">
        <f t="shared" si="2"/>
        <v>NC-HR-E</v>
      </c>
      <c r="VO44" s="17" t="str">
        <f t="shared" si="14"/>
        <v>NC-HR-E-ESS</v>
      </c>
      <c r="VP44" s="12">
        <v>9</v>
      </c>
      <c r="VQ44" s="57">
        <v>1</v>
      </c>
      <c r="VR44" s="57">
        <f t="shared" si="3"/>
        <v>1</v>
      </c>
      <c r="VS44" s="14">
        <f t="shared" si="4"/>
        <v>1</v>
      </c>
      <c r="VT44" s="12">
        <f t="shared" si="5"/>
        <v>0.88350000000000006</v>
      </c>
      <c r="VU44" s="29">
        <f t="shared" si="6"/>
        <v>27035100.000000004</v>
      </c>
      <c r="VV44" s="29">
        <f t="shared" si="23"/>
        <v>270351</v>
      </c>
      <c r="VW44" s="12" t="str">
        <f t="shared" si="15"/>
        <v>B</v>
      </c>
      <c r="VX44" s="12" t="str">
        <f t="shared" si="24"/>
        <v>NC-HR-ESS</v>
      </c>
      <c r="VY44" s="352">
        <f t="shared" si="16"/>
        <v>5</v>
      </c>
      <c r="WA44" s="12">
        <f t="shared" si="17"/>
        <v>1</v>
      </c>
      <c r="WB44" s="12">
        <f t="shared" si="18"/>
        <v>0</v>
      </c>
      <c r="WC44" s="12">
        <f t="shared" si="18"/>
        <v>0</v>
      </c>
      <c r="WD44" s="12">
        <f t="shared" si="18"/>
        <v>0</v>
      </c>
      <c r="WE44" s="12">
        <f t="shared" si="19"/>
        <v>1</v>
      </c>
      <c r="WF44" s="12">
        <f t="shared" si="25"/>
        <v>0</v>
      </c>
      <c r="WG44" s="12">
        <f t="shared" si="26"/>
        <v>0</v>
      </c>
      <c r="WH44" s="12">
        <f t="shared" si="27"/>
        <v>1</v>
      </c>
      <c r="WI44" s="22">
        <f t="shared" si="28"/>
        <v>3</v>
      </c>
      <c r="WJ44" s="2"/>
      <c r="WK44" s="444" t="str">
        <f t="shared" si="20"/>
        <v>NC-HR-ESS-BBN-BRN-NPH-E</v>
      </c>
      <c r="WL44" s="444"/>
      <c r="WM44" s="444"/>
    </row>
    <row r="45" spans="1:611" x14ac:dyDescent="0.25">
      <c r="A45" s="2">
        <v>9642</v>
      </c>
      <c r="B45" s="2" t="s">
        <v>4097</v>
      </c>
      <c r="C45" s="2" t="s">
        <v>3305</v>
      </c>
      <c r="D45" s="3">
        <v>45152</v>
      </c>
      <c r="E45" s="2" t="s">
        <v>9</v>
      </c>
      <c r="F45" s="2">
        <v>3</v>
      </c>
      <c r="G45" s="2" t="s">
        <v>9</v>
      </c>
      <c r="H45" s="2">
        <v>3</v>
      </c>
      <c r="I45" s="2" t="s">
        <v>9</v>
      </c>
      <c r="J45" s="2">
        <v>2</v>
      </c>
      <c r="K45" s="2" t="s">
        <v>9</v>
      </c>
      <c r="L45" s="2">
        <v>3</v>
      </c>
      <c r="M45" s="2" t="s">
        <v>10</v>
      </c>
      <c r="N45" s="2">
        <v>0</v>
      </c>
      <c r="O45" s="2" t="s">
        <v>10</v>
      </c>
      <c r="P45" s="2">
        <v>0</v>
      </c>
      <c r="Q45" s="2" t="s">
        <v>11</v>
      </c>
      <c r="R45" s="2">
        <v>0</v>
      </c>
      <c r="S45" s="2" t="s">
        <v>9</v>
      </c>
      <c r="T45" s="2">
        <v>2</v>
      </c>
      <c r="U45" s="2" t="s">
        <v>9</v>
      </c>
      <c r="V45" s="2">
        <v>2</v>
      </c>
      <c r="W45" s="2" t="s">
        <v>9</v>
      </c>
      <c r="X45" s="2">
        <v>2</v>
      </c>
      <c r="Y45" s="2" t="s">
        <v>12</v>
      </c>
      <c r="Z45" s="2" t="s">
        <v>15</v>
      </c>
      <c r="AA45" s="2" t="s">
        <v>15</v>
      </c>
      <c r="AB45" s="2" t="s">
        <v>15</v>
      </c>
      <c r="AC45" s="2" t="s">
        <v>15</v>
      </c>
      <c r="AD45" s="2" t="s">
        <v>101</v>
      </c>
      <c r="AE45" s="2" t="s">
        <v>15</v>
      </c>
      <c r="AF45" s="2">
        <v>0</v>
      </c>
      <c r="AG45" s="2" t="s">
        <v>234</v>
      </c>
      <c r="AH45" s="2" t="s">
        <v>17</v>
      </c>
      <c r="AI45" s="4">
        <v>0.15556</v>
      </c>
      <c r="AJ45" s="2" t="s">
        <v>17</v>
      </c>
      <c r="AK45" s="2" t="s">
        <v>9</v>
      </c>
      <c r="AL45" s="2" t="s">
        <v>17</v>
      </c>
      <c r="AM45" s="2" t="s">
        <v>17</v>
      </c>
      <c r="AN45" s="2" t="s">
        <v>17</v>
      </c>
      <c r="AO45" s="2" t="s">
        <v>17</v>
      </c>
      <c r="AP45" s="2" t="s">
        <v>17</v>
      </c>
      <c r="AQ45" s="2" t="s">
        <v>9</v>
      </c>
      <c r="AR45" s="2" t="s">
        <v>17</v>
      </c>
      <c r="AS45" s="2" t="s">
        <v>17</v>
      </c>
      <c r="AT45" s="2">
        <v>5</v>
      </c>
      <c r="AU45" s="5">
        <v>100000</v>
      </c>
      <c r="AV45" s="2" t="s">
        <v>85</v>
      </c>
      <c r="AW45" s="2">
        <v>0</v>
      </c>
      <c r="AX45" s="2">
        <v>7</v>
      </c>
      <c r="AY45" s="2">
        <v>0</v>
      </c>
      <c r="AZ45" s="2">
        <v>18</v>
      </c>
      <c r="BA45" s="2">
        <v>0</v>
      </c>
      <c r="BB45" s="2">
        <v>0</v>
      </c>
      <c r="BC45" s="2">
        <v>1</v>
      </c>
      <c r="BD45" s="2">
        <v>5</v>
      </c>
      <c r="BE45" s="2">
        <v>0</v>
      </c>
      <c r="BF45" s="2">
        <v>1</v>
      </c>
      <c r="BG45" s="2">
        <v>0</v>
      </c>
      <c r="BH45" s="2">
        <v>0</v>
      </c>
      <c r="BI45" s="2">
        <v>13</v>
      </c>
      <c r="BJ45" s="2">
        <v>1</v>
      </c>
      <c r="BK45" s="2">
        <v>0</v>
      </c>
      <c r="BL45" s="2">
        <v>2</v>
      </c>
      <c r="BM45" s="2">
        <v>1</v>
      </c>
      <c r="BN45" s="2">
        <v>11</v>
      </c>
      <c r="BO45" s="2">
        <v>11</v>
      </c>
      <c r="BP45" s="2">
        <v>0</v>
      </c>
      <c r="BQ45" s="2">
        <v>10</v>
      </c>
      <c r="BR45" s="2">
        <v>9.59</v>
      </c>
      <c r="BS45" s="2">
        <v>0</v>
      </c>
      <c r="BT45" s="4">
        <v>0.06</v>
      </c>
      <c r="BU45" s="2" t="s">
        <v>9</v>
      </c>
      <c r="BV45" s="6">
        <v>219013.8</v>
      </c>
      <c r="BW45" s="2" t="s">
        <v>126</v>
      </c>
      <c r="BX45" s="2" t="s">
        <v>17</v>
      </c>
      <c r="BY45" s="2" t="s">
        <v>17</v>
      </c>
      <c r="BZ45" s="2" t="s">
        <v>17</v>
      </c>
      <c r="CA45" s="2" t="s">
        <v>17</v>
      </c>
      <c r="CB45" s="2" t="s">
        <v>17</v>
      </c>
      <c r="CC45" s="2" t="s">
        <v>17</v>
      </c>
      <c r="CD45" s="2" t="s">
        <v>17</v>
      </c>
      <c r="CE45" s="2" t="s">
        <v>4098</v>
      </c>
      <c r="CF45" s="2" t="s">
        <v>17</v>
      </c>
      <c r="CG45" s="2" t="s">
        <v>4099</v>
      </c>
      <c r="CH45" s="2"/>
      <c r="CI45" s="2"/>
      <c r="CJ45" s="2" t="s">
        <v>9</v>
      </c>
      <c r="CK45" s="2" t="s">
        <v>328</v>
      </c>
      <c r="CL45" s="2" t="s">
        <v>4099</v>
      </c>
      <c r="CM45" s="2" t="s">
        <v>329</v>
      </c>
      <c r="CN45" s="2" t="s">
        <v>330</v>
      </c>
      <c r="CO45" s="2" t="s">
        <v>24</v>
      </c>
      <c r="CP45" s="2" t="s">
        <v>229</v>
      </c>
      <c r="CQ45" s="2">
        <v>90</v>
      </c>
      <c r="CR45" s="2" t="s">
        <v>25</v>
      </c>
      <c r="CS45" s="2">
        <v>2020</v>
      </c>
      <c r="CT45" s="2" t="s">
        <v>26</v>
      </c>
      <c r="CU45" s="2" t="s">
        <v>27</v>
      </c>
      <c r="CV45" s="2" t="s">
        <v>332</v>
      </c>
      <c r="CW45" s="2" t="s">
        <v>333</v>
      </c>
      <c r="CX45" s="2" t="s">
        <v>24</v>
      </c>
      <c r="CY45" s="2" t="s">
        <v>229</v>
      </c>
      <c r="CZ45" s="2">
        <v>86</v>
      </c>
      <c r="DA45" s="2" t="s">
        <v>25</v>
      </c>
      <c r="DB45" s="2">
        <v>2018</v>
      </c>
      <c r="DC45" s="2" t="s">
        <v>30</v>
      </c>
      <c r="DD45" s="2" t="s">
        <v>27</v>
      </c>
      <c r="DE45" s="2" t="s">
        <v>334</v>
      </c>
      <c r="DF45" s="2" t="s">
        <v>335</v>
      </c>
      <c r="DG45" s="2" t="s">
        <v>24</v>
      </c>
      <c r="DH45" s="2" t="s">
        <v>229</v>
      </c>
      <c r="DI45" s="2">
        <v>96</v>
      </c>
      <c r="DJ45" s="2" t="s">
        <v>25</v>
      </c>
      <c r="DK45" s="2">
        <v>2017</v>
      </c>
      <c r="DL45" s="2" t="s">
        <v>30</v>
      </c>
      <c r="DM45" s="2" t="s">
        <v>27</v>
      </c>
      <c r="DN45" s="2" t="s">
        <v>33</v>
      </c>
      <c r="DO45" s="2" t="s">
        <v>336</v>
      </c>
      <c r="DP45" s="2" t="s">
        <v>337</v>
      </c>
      <c r="DQ45" s="2" t="s">
        <v>338</v>
      </c>
      <c r="DR45" s="2" t="s">
        <v>4100</v>
      </c>
      <c r="DS45" s="2">
        <v>1</v>
      </c>
      <c r="DT45" s="2" t="s">
        <v>4101</v>
      </c>
      <c r="DU45" s="2" t="s">
        <v>38</v>
      </c>
      <c r="DV45" s="2" t="s">
        <v>39</v>
      </c>
      <c r="DW45" s="2">
        <v>32405</v>
      </c>
      <c r="DX45" s="2" t="s">
        <v>340</v>
      </c>
      <c r="DY45" s="2"/>
      <c r="DZ45" s="2" t="s">
        <v>341</v>
      </c>
      <c r="EA45" s="2" t="s">
        <v>36</v>
      </c>
      <c r="EB45" s="2" t="s">
        <v>329</v>
      </c>
      <c r="EC45" s="2" t="s">
        <v>330</v>
      </c>
      <c r="ED45" s="2" t="s">
        <v>44</v>
      </c>
      <c r="EE45" s="2">
        <v>90</v>
      </c>
      <c r="EF45" s="2" t="s">
        <v>45</v>
      </c>
      <c r="EG45" s="2">
        <v>3</v>
      </c>
      <c r="EH45" s="2" t="s">
        <v>46</v>
      </c>
      <c r="EI45" s="2" t="s">
        <v>47</v>
      </c>
      <c r="EJ45" s="2" t="s">
        <v>332</v>
      </c>
      <c r="EK45" s="2" t="s">
        <v>333</v>
      </c>
      <c r="EL45" s="2" t="s">
        <v>44</v>
      </c>
      <c r="EM45" s="2">
        <v>86</v>
      </c>
      <c r="EN45" s="2" t="s">
        <v>45</v>
      </c>
      <c r="EO45" s="2">
        <v>4</v>
      </c>
      <c r="EP45" s="2" t="s">
        <v>46</v>
      </c>
      <c r="EQ45" s="2" t="s">
        <v>47</v>
      </c>
      <c r="ER45" s="2" t="s">
        <v>343</v>
      </c>
      <c r="ES45" s="2"/>
      <c r="ET45" s="2" t="s">
        <v>344</v>
      </c>
      <c r="EU45" s="2" t="s">
        <v>345</v>
      </c>
      <c r="EV45" s="2" t="s">
        <v>352</v>
      </c>
      <c r="EW45" s="2" t="s">
        <v>347</v>
      </c>
      <c r="EX45" s="2" t="s">
        <v>39</v>
      </c>
      <c r="EY45" s="2">
        <v>33309</v>
      </c>
      <c r="EZ45" s="2" t="s">
        <v>348</v>
      </c>
      <c r="FA45" s="2"/>
      <c r="FB45" s="2" t="s">
        <v>349</v>
      </c>
      <c r="FC45" s="2" t="s">
        <v>4102</v>
      </c>
      <c r="FD45" s="2" t="s">
        <v>1660</v>
      </c>
      <c r="FE45" s="2" t="s">
        <v>351</v>
      </c>
      <c r="FF45" s="2" t="s">
        <v>345</v>
      </c>
      <c r="FG45" s="2" t="s">
        <v>352</v>
      </c>
      <c r="FH45" s="2" t="s">
        <v>347</v>
      </c>
      <c r="FI45" s="2" t="s">
        <v>39</v>
      </c>
      <c r="FJ45" s="2">
        <v>33309</v>
      </c>
      <c r="FK45" s="2" t="s">
        <v>353</v>
      </c>
      <c r="FL45" s="2"/>
      <c r="FM45" s="2" t="s">
        <v>354</v>
      </c>
      <c r="FN45" s="2" t="s">
        <v>4103</v>
      </c>
      <c r="FO45" s="2" t="s">
        <v>63</v>
      </c>
      <c r="FP45" s="2" t="s">
        <v>64</v>
      </c>
      <c r="FQ45" s="2" t="s">
        <v>9</v>
      </c>
      <c r="FR45" s="2" t="s">
        <v>17</v>
      </c>
      <c r="FS45" s="2" t="s">
        <v>17</v>
      </c>
      <c r="FT45" s="2" t="s">
        <v>9</v>
      </c>
      <c r="FU45" s="2"/>
      <c r="FV45" s="2"/>
      <c r="FW45" s="2">
        <v>0</v>
      </c>
      <c r="FX45" s="2">
        <v>0</v>
      </c>
      <c r="FY45" s="4">
        <v>0</v>
      </c>
      <c r="FZ45" s="4">
        <v>0</v>
      </c>
      <c r="GA45" s="2" t="s">
        <v>65</v>
      </c>
      <c r="GB45" s="2"/>
      <c r="GC45" s="2" t="s">
        <v>66</v>
      </c>
      <c r="GD45" s="2" t="s">
        <v>67</v>
      </c>
      <c r="GE45" s="2" t="s">
        <v>2684</v>
      </c>
      <c r="GF45" s="2"/>
      <c r="GG45" s="2"/>
      <c r="GH45" s="2"/>
      <c r="GI45" s="2"/>
      <c r="GJ45" s="2"/>
      <c r="GK45" s="2">
        <v>90</v>
      </c>
      <c r="GL45" s="2"/>
      <c r="GM45" s="2"/>
      <c r="GN45" s="2"/>
      <c r="GO45" s="2"/>
      <c r="GP45" s="2"/>
      <c r="GQ45" s="2">
        <v>90</v>
      </c>
      <c r="GR45" s="2" t="s">
        <v>3332</v>
      </c>
      <c r="GS45" s="2" t="s">
        <v>2686</v>
      </c>
      <c r="GT45" s="2" t="s">
        <v>4104</v>
      </c>
      <c r="GU45" s="2" t="s">
        <v>2720</v>
      </c>
      <c r="GV45" s="2" t="s">
        <v>17</v>
      </c>
      <c r="GW45" s="2">
        <v>25.567571999999998</v>
      </c>
      <c r="GX45" s="2">
        <v>-80.383358000000001</v>
      </c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>
        <v>25.565973</v>
      </c>
      <c r="HO45" s="2">
        <v>-80.382682000000003</v>
      </c>
      <c r="HP45" s="2">
        <v>0.12</v>
      </c>
      <c r="HQ45" s="2">
        <v>6</v>
      </c>
      <c r="HR45" s="2"/>
      <c r="HS45" s="2"/>
      <c r="HT45" s="2"/>
      <c r="HU45" s="2"/>
      <c r="HV45" s="2" t="s">
        <v>74</v>
      </c>
      <c r="HW45" s="2" t="s">
        <v>3426</v>
      </c>
      <c r="HX45" s="2">
        <v>0.55000000000000004</v>
      </c>
      <c r="HY45" s="2">
        <v>3</v>
      </c>
      <c r="HZ45" s="2"/>
      <c r="IA45" s="2"/>
      <c r="IB45" s="2"/>
      <c r="IC45" s="2"/>
      <c r="ID45" s="2" t="s">
        <v>74</v>
      </c>
      <c r="IE45" s="2">
        <v>0.55000000000000004</v>
      </c>
      <c r="IF45" s="2">
        <v>3</v>
      </c>
      <c r="IG45" s="2" t="s">
        <v>3582</v>
      </c>
      <c r="IH45" s="2">
        <v>0.27</v>
      </c>
      <c r="II45" s="2">
        <v>4</v>
      </c>
      <c r="IJ45" s="2" t="s">
        <v>9</v>
      </c>
      <c r="IK45" s="2" t="s">
        <v>3428</v>
      </c>
      <c r="IL45" s="2" t="s">
        <v>3341</v>
      </c>
      <c r="IM45" s="2" t="s">
        <v>17</v>
      </c>
      <c r="IN45" s="2"/>
      <c r="IO45" s="2" t="s">
        <v>79</v>
      </c>
      <c r="IP45" s="2">
        <v>6</v>
      </c>
      <c r="IQ45" s="2">
        <v>10</v>
      </c>
      <c r="IR45" s="2">
        <v>16</v>
      </c>
      <c r="IS45" s="2" t="s">
        <v>17</v>
      </c>
      <c r="IT45" s="2" t="s">
        <v>17</v>
      </c>
      <c r="IU45" s="2" t="s">
        <v>9</v>
      </c>
      <c r="IV45" s="2" t="s">
        <v>9</v>
      </c>
      <c r="IW45" s="2" t="s">
        <v>9</v>
      </c>
      <c r="IX45" s="2" t="s">
        <v>9</v>
      </c>
      <c r="IY45" s="2">
        <v>16</v>
      </c>
      <c r="IZ45" s="2">
        <v>90</v>
      </c>
      <c r="JA45" s="2" t="s">
        <v>3085</v>
      </c>
      <c r="JB45" s="2"/>
      <c r="JC45" s="2" t="s">
        <v>82</v>
      </c>
      <c r="JD45" s="2"/>
      <c r="JE45" s="2"/>
      <c r="JF45" s="7">
        <v>0</v>
      </c>
      <c r="JG45" s="7"/>
      <c r="JH45" s="7"/>
      <c r="JI45" s="2">
        <v>0</v>
      </c>
      <c r="JJ45" s="7">
        <v>0</v>
      </c>
      <c r="JK45" s="2">
        <v>0</v>
      </c>
      <c r="JL45" s="7">
        <v>0</v>
      </c>
      <c r="JM45" s="2">
        <v>14</v>
      </c>
      <c r="JN45" s="2"/>
      <c r="JO45" s="2"/>
      <c r="JP45" s="2">
        <v>43</v>
      </c>
      <c r="JQ45" s="2">
        <v>24</v>
      </c>
      <c r="JR45" s="2">
        <v>9</v>
      </c>
      <c r="JS45" s="2">
        <v>0</v>
      </c>
      <c r="JT45" s="2">
        <v>0</v>
      </c>
      <c r="JU45" s="2"/>
      <c r="JV45" s="2">
        <v>90</v>
      </c>
      <c r="JW45" s="4">
        <v>1</v>
      </c>
      <c r="JX45" s="2">
        <v>90</v>
      </c>
      <c r="JY45" s="4">
        <v>0.6</v>
      </c>
      <c r="JZ45" s="2">
        <v>0</v>
      </c>
      <c r="KA45" s="2"/>
      <c r="KB45" s="2"/>
      <c r="KC45" s="2"/>
      <c r="KD45" s="2"/>
      <c r="KE45" s="2"/>
      <c r="KF45" s="2"/>
      <c r="KG45" s="2"/>
      <c r="KH45" s="2">
        <v>90</v>
      </c>
      <c r="KI45" s="2"/>
      <c r="KJ45" s="2"/>
      <c r="KK45" s="2"/>
      <c r="KL45" s="2"/>
      <c r="KM45" s="2"/>
      <c r="KN45" s="2"/>
      <c r="KO45" s="2"/>
      <c r="KP45" s="2"/>
      <c r="KQ45" s="2" t="s">
        <v>83</v>
      </c>
      <c r="KR45" s="2"/>
      <c r="KS45" s="2" t="s">
        <v>73</v>
      </c>
      <c r="KT45" s="2">
        <v>1</v>
      </c>
      <c r="KU45" s="2" t="s">
        <v>84</v>
      </c>
      <c r="KV45" s="2" t="s">
        <v>85</v>
      </c>
      <c r="KW45" s="2" t="s">
        <v>86</v>
      </c>
      <c r="KX45" s="2" t="s">
        <v>17</v>
      </c>
      <c r="KY45" s="2" t="s">
        <v>17</v>
      </c>
      <c r="KZ45" s="2" t="s">
        <v>17</v>
      </c>
      <c r="LA45" s="2" t="s">
        <v>17</v>
      </c>
      <c r="LB45" s="2" t="s">
        <v>17</v>
      </c>
      <c r="LC45" s="2" t="s">
        <v>17</v>
      </c>
      <c r="LD45" s="2" t="s">
        <v>17</v>
      </c>
      <c r="LE45" s="2" t="s">
        <v>17</v>
      </c>
      <c r="LF45" s="2" t="s">
        <v>17</v>
      </c>
      <c r="LG45" s="2" t="s">
        <v>17</v>
      </c>
      <c r="LH45" s="2" t="s">
        <v>17</v>
      </c>
      <c r="LI45" s="2" t="s">
        <v>17</v>
      </c>
      <c r="LJ45" s="2" t="s">
        <v>87</v>
      </c>
      <c r="LK45" s="2" t="s">
        <v>17</v>
      </c>
      <c r="LL45" s="2" t="s">
        <v>17</v>
      </c>
      <c r="LM45" s="2">
        <v>0</v>
      </c>
      <c r="LN45" s="2" t="s">
        <v>17</v>
      </c>
      <c r="LO45" s="2" t="s">
        <v>17</v>
      </c>
      <c r="LP45" s="2" t="s">
        <v>17</v>
      </c>
      <c r="LQ45" s="2" t="s">
        <v>17</v>
      </c>
      <c r="LR45" s="2" t="s">
        <v>17</v>
      </c>
      <c r="LS45" s="2" t="s">
        <v>17</v>
      </c>
      <c r="LT45" s="2" t="s">
        <v>9</v>
      </c>
      <c r="LU45" s="2" t="s">
        <v>9</v>
      </c>
      <c r="LV45" s="2" t="s">
        <v>9</v>
      </c>
      <c r="LW45" s="2" t="s">
        <v>17</v>
      </c>
      <c r="LX45" s="2" t="s">
        <v>17</v>
      </c>
      <c r="LY45" s="5">
        <v>6500000</v>
      </c>
      <c r="LZ45" s="5">
        <v>0</v>
      </c>
      <c r="MA45" s="5">
        <v>8400000</v>
      </c>
      <c r="MB45" s="5">
        <v>0</v>
      </c>
      <c r="MC45" s="5">
        <v>0</v>
      </c>
      <c r="MD45" s="5">
        <v>0</v>
      </c>
      <c r="ME45" s="5">
        <v>9450000</v>
      </c>
      <c r="MF45" s="5">
        <v>0</v>
      </c>
      <c r="MG45" s="5">
        <v>0</v>
      </c>
      <c r="MH45" s="5">
        <v>0</v>
      </c>
      <c r="MI45" s="5">
        <v>0</v>
      </c>
      <c r="MJ45" s="5">
        <v>0</v>
      </c>
      <c r="MK45" s="5">
        <v>0</v>
      </c>
      <c r="ML45" s="2">
        <v>0</v>
      </c>
      <c r="MM45" s="5">
        <v>0</v>
      </c>
      <c r="MN45" s="5">
        <v>0</v>
      </c>
      <c r="MO45" s="2">
        <v>0</v>
      </c>
      <c r="MP45" s="2">
        <v>0</v>
      </c>
      <c r="MQ45" s="2">
        <v>0</v>
      </c>
      <c r="MR45" s="5">
        <v>2950000</v>
      </c>
      <c r="MS45" s="5">
        <v>0</v>
      </c>
      <c r="MT45" s="5">
        <v>4600000</v>
      </c>
      <c r="MU45" s="5">
        <v>0</v>
      </c>
      <c r="MV45" s="5">
        <v>0</v>
      </c>
      <c r="MW45" s="5">
        <v>0</v>
      </c>
      <c r="MX45" s="5">
        <v>0</v>
      </c>
      <c r="MY45" s="5">
        <v>2500000</v>
      </c>
      <c r="MZ45" s="5">
        <v>0</v>
      </c>
      <c r="NA45" s="5">
        <v>5000000</v>
      </c>
      <c r="NB45" s="5">
        <v>0</v>
      </c>
      <c r="NC45" s="5">
        <v>0</v>
      </c>
      <c r="ND45" s="5">
        <v>0</v>
      </c>
      <c r="NE45" s="5">
        <v>0</v>
      </c>
      <c r="NF45" s="5">
        <v>0</v>
      </c>
      <c r="NG45" s="5">
        <v>3458400</v>
      </c>
      <c r="NH45" s="5">
        <v>3070000</v>
      </c>
      <c r="NI45" s="5">
        <v>3070000</v>
      </c>
      <c r="NJ45" s="5"/>
      <c r="NK45" s="5">
        <v>0</v>
      </c>
      <c r="NL45" s="2" t="s">
        <v>17</v>
      </c>
      <c r="NM45" s="2" t="s">
        <v>17</v>
      </c>
      <c r="NN45" s="2"/>
      <c r="NO45" s="2" t="s">
        <v>17</v>
      </c>
      <c r="NP45" s="2"/>
      <c r="NQ45" s="2"/>
      <c r="NR45" s="2" t="s">
        <v>17</v>
      </c>
      <c r="NS45" s="2"/>
      <c r="NT45" s="2" t="s">
        <v>17</v>
      </c>
      <c r="NU45" s="2"/>
      <c r="NV45" s="2"/>
      <c r="NW45" s="2"/>
      <c r="NX45" s="2" t="s">
        <v>17</v>
      </c>
      <c r="NY45" s="2"/>
      <c r="NZ45" s="2"/>
      <c r="OA45" s="2" t="s">
        <v>118</v>
      </c>
      <c r="OB45" s="2" t="s">
        <v>118</v>
      </c>
      <c r="OC45" s="2" t="s">
        <v>118</v>
      </c>
      <c r="OD45" s="2" t="s">
        <v>3343</v>
      </c>
      <c r="OE45" s="2" t="s">
        <v>3429</v>
      </c>
      <c r="OF45" s="2" t="s">
        <v>9</v>
      </c>
      <c r="OG45" s="2" t="s">
        <v>17</v>
      </c>
      <c r="OH45" s="2"/>
      <c r="OI45" s="2" t="s">
        <v>17</v>
      </c>
      <c r="OJ45" s="2"/>
      <c r="OK45" s="2" t="s">
        <v>17</v>
      </c>
      <c r="OL45" s="2" t="s">
        <v>17</v>
      </c>
      <c r="OM45" s="2" t="s">
        <v>85</v>
      </c>
      <c r="ON45" s="6">
        <v>0</v>
      </c>
      <c r="OO45" s="6">
        <v>0</v>
      </c>
      <c r="OP45" s="2" t="s">
        <v>93</v>
      </c>
      <c r="OQ45" s="2" t="s">
        <v>93</v>
      </c>
      <c r="OR45" s="6">
        <v>0</v>
      </c>
      <c r="OS45" s="4">
        <v>0</v>
      </c>
      <c r="OT45" s="2" t="s">
        <v>17</v>
      </c>
      <c r="OU45" s="2" t="s">
        <v>17</v>
      </c>
      <c r="OV45" s="2"/>
      <c r="OW45" s="2"/>
      <c r="OX45" s="5">
        <v>19711242</v>
      </c>
      <c r="OY45" s="6">
        <v>219013.8</v>
      </c>
      <c r="OZ45" s="2"/>
      <c r="PA45" s="2"/>
      <c r="PB45" s="8">
        <v>400000</v>
      </c>
      <c r="PC45" s="8">
        <v>400000</v>
      </c>
      <c r="PD45" s="8">
        <v>18753869</v>
      </c>
      <c r="PE45" s="8">
        <v>447885</v>
      </c>
      <c r="PF45" s="8">
        <v>19201754</v>
      </c>
      <c r="PG45" s="2"/>
      <c r="PH45" s="8">
        <v>50000</v>
      </c>
      <c r="PI45" s="8">
        <v>50000</v>
      </c>
      <c r="PJ45" s="8">
        <v>310000</v>
      </c>
      <c r="PK45" s="2"/>
      <c r="PL45" s="8">
        <v>310000</v>
      </c>
      <c r="PM45" s="8">
        <v>19063869</v>
      </c>
      <c r="PN45" s="8">
        <v>897885</v>
      </c>
      <c r="PO45" s="8">
        <v>19961754</v>
      </c>
      <c r="PP45" s="8">
        <v>2742512</v>
      </c>
      <c r="PQ45" s="2"/>
      <c r="PR45" s="8">
        <v>2742512</v>
      </c>
      <c r="PS45" s="6">
        <v>2794645</v>
      </c>
      <c r="PT45" s="8">
        <v>21806381</v>
      </c>
      <c r="PU45" s="8">
        <v>897885</v>
      </c>
      <c r="PV45" s="8">
        <v>22704266</v>
      </c>
      <c r="PW45" s="8">
        <v>1007742</v>
      </c>
      <c r="PX45" s="8">
        <v>111971</v>
      </c>
      <c r="PY45" s="8">
        <v>1119713</v>
      </c>
      <c r="PZ45" s="6">
        <v>1135213.3</v>
      </c>
      <c r="QA45" s="8">
        <v>1040100</v>
      </c>
      <c r="QB45" s="8">
        <v>407975</v>
      </c>
      <c r="QC45" s="8">
        <v>1448075</v>
      </c>
      <c r="QD45" s="8">
        <v>246000</v>
      </c>
      <c r="QE45" s="8">
        <v>24000</v>
      </c>
      <c r="QF45" s="8">
        <v>270000</v>
      </c>
      <c r="QG45" s="8">
        <v>463374</v>
      </c>
      <c r="QH45" s="8">
        <v>30000</v>
      </c>
      <c r="QI45" s="8">
        <v>493374</v>
      </c>
      <c r="QJ45" s="2"/>
      <c r="QK45" s="8">
        <v>534100</v>
      </c>
      <c r="QL45" s="8">
        <v>534100</v>
      </c>
      <c r="QM45" s="2"/>
      <c r="QN45" s="2"/>
      <c r="QO45" s="2"/>
      <c r="QP45" s="2"/>
      <c r="QQ45" s="2"/>
      <c r="QR45" s="2"/>
      <c r="QS45" s="8">
        <v>1749474</v>
      </c>
      <c r="QT45" s="8">
        <v>996075</v>
      </c>
      <c r="QU45" s="8">
        <v>2745549</v>
      </c>
      <c r="QV45" s="8">
        <v>45000</v>
      </c>
      <c r="QW45" s="8">
        <v>45000</v>
      </c>
      <c r="QX45" s="8">
        <v>90000</v>
      </c>
      <c r="QY45" s="6">
        <v>137277.45000000001</v>
      </c>
      <c r="QZ45" s="8">
        <v>1074000</v>
      </c>
      <c r="RA45" s="8">
        <v>1130000</v>
      </c>
      <c r="RB45" s="8">
        <v>2204000</v>
      </c>
      <c r="RC45" s="8">
        <v>62000</v>
      </c>
      <c r="RD45" s="8">
        <v>62000</v>
      </c>
      <c r="RE45" s="2"/>
      <c r="RF45" s="2"/>
      <c r="RG45" s="2"/>
      <c r="RH45" s="8">
        <v>1074000</v>
      </c>
      <c r="RI45" s="8">
        <v>1192000</v>
      </c>
      <c r="RJ45" s="8">
        <v>2266000</v>
      </c>
      <c r="RK45" s="8">
        <v>25682597</v>
      </c>
      <c r="RL45" s="8">
        <v>3242931</v>
      </c>
      <c r="RM45" s="8">
        <v>28925528</v>
      </c>
      <c r="RN45" s="2">
        <v>0</v>
      </c>
      <c r="RO45" s="6">
        <v>0</v>
      </c>
      <c r="RP45" s="8">
        <v>4625192</v>
      </c>
      <c r="RQ45" s="2"/>
      <c r="RR45" s="8">
        <v>4625192</v>
      </c>
      <c r="RS45" s="6">
        <v>4628084</v>
      </c>
      <c r="RT45" s="6">
        <v>0</v>
      </c>
      <c r="RU45" s="8">
        <v>4625192</v>
      </c>
      <c r="RV45" s="2"/>
      <c r="RW45" s="8">
        <v>4625192</v>
      </c>
      <c r="RX45" s="6">
        <v>4628084</v>
      </c>
      <c r="RY45" s="8">
        <v>315000</v>
      </c>
      <c r="RZ45" s="8">
        <v>315000</v>
      </c>
      <c r="SA45" s="6">
        <v>315000</v>
      </c>
      <c r="SB45" s="8">
        <v>2000000</v>
      </c>
      <c r="SC45" s="8">
        <v>2000000</v>
      </c>
      <c r="SD45" s="8">
        <v>30307789</v>
      </c>
      <c r="SE45" s="8">
        <v>5557931</v>
      </c>
      <c r="SF45" s="8">
        <v>35865720</v>
      </c>
      <c r="SG45" s="2" t="s">
        <v>229</v>
      </c>
      <c r="SH45" s="2" t="s">
        <v>4105</v>
      </c>
      <c r="SI45" s="2"/>
      <c r="SJ45" s="2"/>
      <c r="SK45" s="8">
        <v>25500000</v>
      </c>
      <c r="SL45" s="2" t="s">
        <v>95</v>
      </c>
      <c r="SM45" s="2"/>
      <c r="SN45" s="2"/>
      <c r="SO45" s="2"/>
      <c r="SP45" s="2"/>
      <c r="SQ45" s="2"/>
      <c r="SR45" s="2"/>
      <c r="SS45" s="2" t="s">
        <v>96</v>
      </c>
      <c r="ST45" s="2" t="s">
        <v>96</v>
      </c>
      <c r="SU45" s="2" t="s">
        <v>96</v>
      </c>
      <c r="SV45" s="2" t="s">
        <v>96</v>
      </c>
      <c r="SW45" s="8">
        <v>16760523.52</v>
      </c>
      <c r="SX45" s="2"/>
      <c r="SY45" s="2"/>
      <c r="SZ45" s="2"/>
      <c r="TA45" s="2"/>
      <c r="TB45" s="2"/>
      <c r="TC45" s="2"/>
      <c r="TD45" s="2">
        <v>0</v>
      </c>
      <c r="TE45" s="8">
        <v>42260523.520000003</v>
      </c>
      <c r="TF45" s="8">
        <v>6394803.5199999996</v>
      </c>
      <c r="TG45" s="2" t="s">
        <v>9</v>
      </c>
      <c r="TH45" s="8">
        <v>4200000</v>
      </c>
      <c r="TI45" s="2" t="s">
        <v>95</v>
      </c>
      <c r="TJ45" s="2"/>
      <c r="TK45" s="2"/>
      <c r="TL45" s="2"/>
      <c r="TM45" s="2"/>
      <c r="TN45" s="2" t="s">
        <v>96</v>
      </c>
      <c r="TO45" s="2" t="s">
        <v>96</v>
      </c>
      <c r="TP45" s="2" t="s">
        <v>96</v>
      </c>
      <c r="TQ45" s="2" t="s">
        <v>96</v>
      </c>
      <c r="TR45" s="8">
        <v>27934206.039999999</v>
      </c>
      <c r="TS45" s="2"/>
      <c r="TT45" s="2"/>
      <c r="TU45" s="2"/>
      <c r="TV45" s="2"/>
      <c r="TW45" s="2"/>
      <c r="TX45" s="2"/>
      <c r="TY45" s="8">
        <v>3731513.96</v>
      </c>
      <c r="TZ45" s="8">
        <v>35865720</v>
      </c>
      <c r="UA45" s="6">
        <v>4200000</v>
      </c>
      <c r="UB45" s="2">
        <v>0</v>
      </c>
      <c r="UC45" s="2" t="s">
        <v>9</v>
      </c>
      <c r="UD45" s="2">
        <v>90</v>
      </c>
      <c r="UE45" s="5">
        <v>310000</v>
      </c>
      <c r="UF45" s="6">
        <v>413333.33</v>
      </c>
      <c r="UG45" s="6">
        <v>413333.33</v>
      </c>
      <c r="UH45" s="6">
        <v>438133.33</v>
      </c>
      <c r="UI45" s="6">
        <v>39432000</v>
      </c>
      <c r="UJ45" s="6">
        <v>6309120</v>
      </c>
      <c r="UK45" s="2" t="s">
        <v>97</v>
      </c>
      <c r="UL45" s="6">
        <v>6309120</v>
      </c>
      <c r="UM45" s="6">
        <v>45741120</v>
      </c>
      <c r="UN45" s="6">
        <v>33150720</v>
      </c>
      <c r="UO45" s="4">
        <v>0.99990000000000001</v>
      </c>
      <c r="UP45" s="2" t="s">
        <v>9</v>
      </c>
      <c r="UQ45" s="6">
        <v>0</v>
      </c>
      <c r="UR45" s="6">
        <v>0</v>
      </c>
      <c r="US45" s="6">
        <v>617690.68000000005</v>
      </c>
      <c r="UT45" s="6">
        <v>617690.68000000005</v>
      </c>
      <c r="UU45" s="6">
        <v>0</v>
      </c>
      <c r="UV45" s="6">
        <v>617690.68000000005</v>
      </c>
      <c r="UW45" s="6">
        <v>0</v>
      </c>
      <c r="UX45" s="6">
        <v>617690.68000000005</v>
      </c>
      <c r="UY45" s="2" t="s">
        <v>3387</v>
      </c>
      <c r="UZ45" s="2" t="s">
        <v>3288</v>
      </c>
      <c r="VA45" s="2" t="s">
        <v>17</v>
      </c>
      <c r="VB45" s="2" t="s">
        <v>17</v>
      </c>
      <c r="VC45" s="2" t="s">
        <v>17</v>
      </c>
      <c r="VD45" s="2" t="s">
        <v>17</v>
      </c>
      <c r="VE45" s="2" t="s">
        <v>17</v>
      </c>
      <c r="VF45" s="2" t="s">
        <v>17</v>
      </c>
      <c r="VG45" s="2" t="s">
        <v>4106</v>
      </c>
      <c r="VH45" s="2"/>
      <c r="VI45" s="388" t="s">
        <v>328</v>
      </c>
      <c r="VJ45" s="2" t="s">
        <v>98</v>
      </c>
      <c r="VK45" s="2" t="s">
        <v>366</v>
      </c>
      <c r="VL45" s="23">
        <f t="shared" si="21"/>
        <v>90</v>
      </c>
      <c r="VM45" s="17">
        <f t="shared" si="22"/>
        <v>1</v>
      </c>
      <c r="VN45" s="17" t="str">
        <f t="shared" si="2"/>
        <v>NC-HR-E</v>
      </c>
      <c r="VO45" s="17" t="str">
        <f t="shared" si="14"/>
        <v>NC-HR-E-ESS</v>
      </c>
      <c r="VP45" s="12">
        <v>9</v>
      </c>
      <c r="VQ45" s="57">
        <v>1</v>
      </c>
      <c r="VR45" s="57">
        <f t="shared" si="3"/>
        <v>1</v>
      </c>
      <c r="VS45" s="14">
        <f t="shared" si="4"/>
        <v>1</v>
      </c>
      <c r="VT45" s="12">
        <f t="shared" si="5"/>
        <v>0.88349999999999995</v>
      </c>
      <c r="VU45" s="29">
        <f t="shared" si="6"/>
        <v>24411105</v>
      </c>
      <c r="VV45" s="29">
        <f t="shared" si="23"/>
        <v>271234.5</v>
      </c>
      <c r="VW45" s="12" t="str">
        <f t="shared" si="15"/>
        <v>B</v>
      </c>
      <c r="VX45" s="12" t="str">
        <f t="shared" si="24"/>
        <v>NC-HR-ESS</v>
      </c>
      <c r="VY45" s="352">
        <f t="shared" si="16"/>
        <v>5</v>
      </c>
      <c r="WA45" s="12">
        <f t="shared" si="17"/>
        <v>1</v>
      </c>
      <c r="WB45" s="12">
        <f t="shared" si="18"/>
        <v>0</v>
      </c>
      <c r="WC45" s="12">
        <f t="shared" si="18"/>
        <v>0</v>
      </c>
      <c r="WD45" s="12">
        <f t="shared" si="18"/>
        <v>0</v>
      </c>
      <c r="WE45" s="12">
        <f t="shared" si="19"/>
        <v>1</v>
      </c>
      <c r="WF45" s="12">
        <f t="shared" si="25"/>
        <v>0</v>
      </c>
      <c r="WG45" s="12">
        <f t="shared" si="26"/>
        <v>0</v>
      </c>
      <c r="WH45" s="12">
        <f t="shared" si="27"/>
        <v>1</v>
      </c>
      <c r="WI45" s="22">
        <f t="shared" si="28"/>
        <v>3</v>
      </c>
      <c r="WJ45" s="2"/>
      <c r="WK45" s="444" t="str">
        <f t="shared" si="20"/>
        <v>NC-HR-ESS-BBN-BRN-NPH-E</v>
      </c>
      <c r="WL45" s="444"/>
      <c r="WM45" s="444"/>
    </row>
    <row r="46" spans="1:611" x14ac:dyDescent="0.25">
      <c r="A46" s="2">
        <v>9662</v>
      </c>
      <c r="B46" s="2" t="s">
        <v>4107</v>
      </c>
      <c r="C46" s="2" t="s">
        <v>3305</v>
      </c>
      <c r="D46" s="3">
        <v>45159</v>
      </c>
      <c r="E46" s="2" t="s">
        <v>9</v>
      </c>
      <c r="F46" s="2">
        <v>3</v>
      </c>
      <c r="G46" s="2" t="s">
        <v>9</v>
      </c>
      <c r="H46" s="2">
        <v>3</v>
      </c>
      <c r="I46" s="2" t="s">
        <v>9</v>
      </c>
      <c r="J46" s="2">
        <v>1</v>
      </c>
      <c r="K46" s="2" t="s">
        <v>9</v>
      </c>
      <c r="L46" s="2">
        <v>3</v>
      </c>
      <c r="M46" s="2" t="s">
        <v>10</v>
      </c>
      <c r="N46" s="2">
        <v>0</v>
      </c>
      <c r="O46" s="2" t="s">
        <v>10</v>
      </c>
      <c r="P46" s="2">
        <v>0</v>
      </c>
      <c r="Q46" s="2" t="s">
        <v>11</v>
      </c>
      <c r="R46" s="2">
        <v>0</v>
      </c>
      <c r="S46" s="2" t="s">
        <v>9</v>
      </c>
      <c r="T46" s="2">
        <v>2</v>
      </c>
      <c r="U46" s="2" t="s">
        <v>9</v>
      </c>
      <c r="V46" s="2">
        <v>2</v>
      </c>
      <c r="W46" s="2" t="s">
        <v>9</v>
      </c>
      <c r="X46" s="2">
        <v>2</v>
      </c>
      <c r="Y46" s="2" t="s">
        <v>12</v>
      </c>
      <c r="Z46" s="2" t="s">
        <v>15</v>
      </c>
      <c r="AA46" s="2" t="s">
        <v>15</v>
      </c>
      <c r="AB46" s="2" t="s">
        <v>15</v>
      </c>
      <c r="AC46" s="2" t="s">
        <v>15</v>
      </c>
      <c r="AD46" s="2" t="s">
        <v>15</v>
      </c>
      <c r="AE46" s="2" t="s">
        <v>1505</v>
      </c>
      <c r="AF46" s="2">
        <v>0</v>
      </c>
      <c r="AG46" s="2" t="s">
        <v>234</v>
      </c>
      <c r="AH46" s="2" t="s">
        <v>17</v>
      </c>
      <c r="AI46" s="4">
        <v>0.16</v>
      </c>
      <c r="AJ46" s="2" t="s">
        <v>17</v>
      </c>
      <c r="AK46" s="2" t="s">
        <v>9</v>
      </c>
      <c r="AL46" s="2" t="s">
        <v>17</v>
      </c>
      <c r="AM46" s="2" t="s">
        <v>17</v>
      </c>
      <c r="AN46" s="2" t="s">
        <v>17</v>
      </c>
      <c r="AO46" s="2" t="s">
        <v>9</v>
      </c>
      <c r="AP46" s="2" t="s">
        <v>17</v>
      </c>
      <c r="AQ46" s="2" t="s">
        <v>17</v>
      </c>
      <c r="AR46" s="2" t="s">
        <v>17</v>
      </c>
      <c r="AS46" s="2" t="s">
        <v>17</v>
      </c>
      <c r="AT46" s="2">
        <v>5</v>
      </c>
      <c r="AU46" s="5">
        <v>100000</v>
      </c>
      <c r="AV46" s="2" t="s">
        <v>85</v>
      </c>
      <c r="AW46" s="2">
        <v>0</v>
      </c>
      <c r="AX46" s="2">
        <v>11</v>
      </c>
      <c r="AY46" s="2">
        <v>1</v>
      </c>
      <c r="AZ46" s="2">
        <v>18</v>
      </c>
      <c r="BA46" s="2">
        <v>0</v>
      </c>
      <c r="BB46" s="2">
        <v>0</v>
      </c>
      <c r="BC46" s="2">
        <v>1</v>
      </c>
      <c r="BD46" s="2">
        <v>5</v>
      </c>
      <c r="BE46" s="2">
        <v>0</v>
      </c>
      <c r="BF46" s="2">
        <v>1</v>
      </c>
      <c r="BG46" s="2">
        <v>0</v>
      </c>
      <c r="BH46" s="2">
        <v>0</v>
      </c>
      <c r="BI46" s="2">
        <v>13</v>
      </c>
      <c r="BJ46" s="2">
        <v>1</v>
      </c>
      <c r="BK46" s="2">
        <v>0</v>
      </c>
      <c r="BL46" s="2">
        <v>2</v>
      </c>
      <c r="BM46" s="2">
        <v>2</v>
      </c>
      <c r="BN46" s="2">
        <v>13</v>
      </c>
      <c r="BO46" s="2">
        <v>11</v>
      </c>
      <c r="BP46" s="2">
        <v>0</v>
      </c>
      <c r="BQ46" s="2">
        <v>10</v>
      </c>
      <c r="BR46" s="2">
        <v>9.35</v>
      </c>
      <c r="BS46" s="2">
        <v>0</v>
      </c>
      <c r="BT46" s="4">
        <v>0.06</v>
      </c>
      <c r="BU46" s="2" t="s">
        <v>9</v>
      </c>
      <c r="BV46" s="6">
        <v>224721</v>
      </c>
      <c r="BW46" s="2" t="s">
        <v>126</v>
      </c>
      <c r="BX46" s="2" t="s">
        <v>17</v>
      </c>
      <c r="BY46" s="2" t="s">
        <v>17</v>
      </c>
      <c r="BZ46" s="2" t="s">
        <v>17</v>
      </c>
      <c r="CA46" s="2" t="s">
        <v>17</v>
      </c>
      <c r="CB46" s="2" t="s">
        <v>17</v>
      </c>
      <c r="CC46" s="2" t="s">
        <v>17</v>
      </c>
      <c r="CD46" s="2" t="s">
        <v>17</v>
      </c>
      <c r="CE46" s="2" t="s">
        <v>4108</v>
      </c>
      <c r="CF46" s="2" t="s">
        <v>17</v>
      </c>
      <c r="CG46" s="2" t="s">
        <v>4109</v>
      </c>
      <c r="CH46" s="2"/>
      <c r="CI46" s="2"/>
      <c r="CJ46" s="2" t="s">
        <v>9</v>
      </c>
      <c r="CK46" s="2" t="s">
        <v>1523</v>
      </c>
      <c r="CL46" s="2" t="s">
        <v>4109</v>
      </c>
      <c r="CM46" s="2" t="s">
        <v>1276</v>
      </c>
      <c r="CN46" s="2" t="s">
        <v>1277</v>
      </c>
      <c r="CO46" s="2" t="s">
        <v>24</v>
      </c>
      <c r="CP46" s="2"/>
      <c r="CQ46" s="2">
        <v>144</v>
      </c>
      <c r="CR46" s="2" t="s">
        <v>3029</v>
      </c>
      <c r="CS46" s="2">
        <v>2020</v>
      </c>
      <c r="CT46" s="2" t="s">
        <v>26</v>
      </c>
      <c r="CU46" s="2" t="s">
        <v>27</v>
      </c>
      <c r="CV46" s="2" t="s">
        <v>1278</v>
      </c>
      <c r="CW46" s="2" t="s">
        <v>1279</v>
      </c>
      <c r="CX46" s="2" t="s">
        <v>853</v>
      </c>
      <c r="CY46" s="2"/>
      <c r="CZ46" s="2">
        <v>404</v>
      </c>
      <c r="DA46" s="2" t="s">
        <v>3029</v>
      </c>
      <c r="DB46" s="2">
        <v>2018</v>
      </c>
      <c r="DC46" s="2" t="s">
        <v>26</v>
      </c>
      <c r="DD46" s="2" t="s">
        <v>27</v>
      </c>
      <c r="DE46" s="2" t="s">
        <v>1280</v>
      </c>
      <c r="DF46" s="2" t="s">
        <v>1281</v>
      </c>
      <c r="DG46" s="2" t="s">
        <v>853</v>
      </c>
      <c r="DH46" s="2"/>
      <c r="DI46" s="2">
        <v>228</v>
      </c>
      <c r="DJ46" s="2" t="s">
        <v>3029</v>
      </c>
      <c r="DK46" s="2">
        <v>2020</v>
      </c>
      <c r="DL46" s="2" t="s">
        <v>26</v>
      </c>
      <c r="DM46" s="2" t="s">
        <v>27</v>
      </c>
      <c r="DN46" s="2" t="s">
        <v>33</v>
      </c>
      <c r="DO46" s="2" t="s">
        <v>4110</v>
      </c>
      <c r="DP46" s="2"/>
      <c r="DQ46" s="2" t="s">
        <v>1283</v>
      </c>
      <c r="DR46" s="2" t="s">
        <v>1284</v>
      </c>
      <c r="DS46" s="2">
        <v>1</v>
      </c>
      <c r="DT46" s="2" t="s">
        <v>4111</v>
      </c>
      <c r="DU46" s="2" t="s">
        <v>1286</v>
      </c>
      <c r="DV46" s="2" t="s">
        <v>39</v>
      </c>
      <c r="DW46" s="2">
        <v>33511</v>
      </c>
      <c r="DX46" s="2" t="s">
        <v>2900</v>
      </c>
      <c r="DY46" s="2"/>
      <c r="DZ46" s="2" t="s">
        <v>4112</v>
      </c>
      <c r="EA46" s="2" t="s">
        <v>1284</v>
      </c>
      <c r="EB46" s="2" t="s">
        <v>1289</v>
      </c>
      <c r="EC46" s="2" t="s">
        <v>1290</v>
      </c>
      <c r="ED46" s="2" t="s">
        <v>44</v>
      </c>
      <c r="EE46" s="2">
        <v>176</v>
      </c>
      <c r="EF46" s="2" t="s">
        <v>3030</v>
      </c>
      <c r="EG46" s="2">
        <v>5</v>
      </c>
      <c r="EH46" s="2" t="s">
        <v>46</v>
      </c>
      <c r="EI46" s="2" t="s">
        <v>47</v>
      </c>
      <c r="EJ46" s="2" t="s">
        <v>4113</v>
      </c>
      <c r="EK46" s="2" t="s">
        <v>1292</v>
      </c>
      <c r="EL46" s="2" t="s">
        <v>44</v>
      </c>
      <c r="EM46" s="2">
        <v>150</v>
      </c>
      <c r="EN46" s="2" t="s">
        <v>3030</v>
      </c>
      <c r="EO46" s="2">
        <v>12</v>
      </c>
      <c r="EP46" s="2" t="s">
        <v>46</v>
      </c>
      <c r="EQ46" s="2" t="s">
        <v>47</v>
      </c>
      <c r="ER46" s="2" t="s">
        <v>1293</v>
      </c>
      <c r="ES46" s="2"/>
      <c r="ET46" s="2" t="s">
        <v>1294</v>
      </c>
      <c r="EU46" s="2" t="s">
        <v>4108</v>
      </c>
      <c r="EV46" s="2" t="s">
        <v>4114</v>
      </c>
      <c r="EW46" s="2" t="s">
        <v>1297</v>
      </c>
      <c r="EX46" s="2" t="s">
        <v>39</v>
      </c>
      <c r="EY46" s="2">
        <v>33444</v>
      </c>
      <c r="EZ46" s="2" t="s">
        <v>2760</v>
      </c>
      <c r="FA46" s="2"/>
      <c r="FB46" s="2" t="s">
        <v>1299</v>
      </c>
      <c r="FC46" s="2" t="s">
        <v>1300</v>
      </c>
      <c r="FD46" s="2"/>
      <c r="FE46" s="2" t="s">
        <v>1107</v>
      </c>
      <c r="FF46" s="2" t="s">
        <v>4115</v>
      </c>
      <c r="FG46" s="2" t="s">
        <v>4116</v>
      </c>
      <c r="FH46" s="2" t="s">
        <v>1297</v>
      </c>
      <c r="FI46" s="2" t="s">
        <v>39</v>
      </c>
      <c r="FJ46" s="2">
        <v>33444</v>
      </c>
      <c r="FK46" s="2" t="s">
        <v>1303</v>
      </c>
      <c r="FL46" s="2"/>
      <c r="FM46" s="2" t="s">
        <v>1304</v>
      </c>
      <c r="FN46" s="2" t="s">
        <v>4117</v>
      </c>
      <c r="FO46" s="2" t="s">
        <v>63</v>
      </c>
      <c r="FP46" s="2"/>
      <c r="FQ46" s="2" t="s">
        <v>9</v>
      </c>
      <c r="FR46" s="2" t="s">
        <v>17</v>
      </c>
      <c r="FS46" s="2" t="s">
        <v>17</v>
      </c>
      <c r="FT46" s="2" t="s">
        <v>9</v>
      </c>
      <c r="FU46" s="2"/>
      <c r="FV46" s="2"/>
      <c r="FW46" s="2">
        <v>0</v>
      </c>
      <c r="FX46" s="2">
        <v>0</v>
      </c>
      <c r="FY46" s="4">
        <v>0</v>
      </c>
      <c r="FZ46" s="4">
        <v>0</v>
      </c>
      <c r="GA46" s="2" t="s">
        <v>65</v>
      </c>
      <c r="GB46" s="2"/>
      <c r="GC46" s="2" t="s">
        <v>66</v>
      </c>
      <c r="GD46" s="2" t="s">
        <v>67</v>
      </c>
      <c r="GE46" s="2" t="s">
        <v>2684</v>
      </c>
      <c r="GF46" s="2"/>
      <c r="GG46" s="2"/>
      <c r="GH46" s="2"/>
      <c r="GI46" s="2"/>
      <c r="GJ46" s="2"/>
      <c r="GK46" s="2">
        <v>75</v>
      </c>
      <c r="GL46" s="2"/>
      <c r="GM46" s="2"/>
      <c r="GN46" s="2"/>
      <c r="GO46" s="2"/>
      <c r="GP46" s="2"/>
      <c r="GQ46" s="2">
        <v>75</v>
      </c>
      <c r="GR46" s="2" t="s">
        <v>3332</v>
      </c>
      <c r="GS46" s="2" t="s">
        <v>2686</v>
      </c>
      <c r="GT46" s="2" t="s">
        <v>4118</v>
      </c>
      <c r="GU46" s="2" t="s">
        <v>3387</v>
      </c>
      <c r="GV46" s="2" t="s">
        <v>17</v>
      </c>
      <c r="GW46" s="2">
        <v>25.824141999999998</v>
      </c>
      <c r="GX46" s="2">
        <v>-80.242510999999993</v>
      </c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>
        <v>25.822053</v>
      </c>
      <c r="HS46" s="2">
        <v>-80.240758</v>
      </c>
      <c r="HT46" s="2">
        <v>0.19</v>
      </c>
      <c r="HU46" s="2">
        <v>6</v>
      </c>
      <c r="HV46" s="2"/>
      <c r="HW46" s="2"/>
      <c r="HX46" s="2"/>
      <c r="HY46" s="2"/>
      <c r="HZ46" s="2" t="s">
        <v>4119</v>
      </c>
      <c r="IA46" s="2" t="s">
        <v>4120</v>
      </c>
      <c r="IB46" s="2">
        <v>0.34</v>
      </c>
      <c r="IC46" s="2">
        <v>3.5</v>
      </c>
      <c r="ID46" s="2" t="s">
        <v>641</v>
      </c>
      <c r="IE46" s="2">
        <v>1.47</v>
      </c>
      <c r="IF46" s="2">
        <v>1.5</v>
      </c>
      <c r="IG46" s="2" t="s">
        <v>4121</v>
      </c>
      <c r="IH46" s="2">
        <v>0.35</v>
      </c>
      <c r="II46" s="2">
        <v>4</v>
      </c>
      <c r="IJ46" s="2" t="s">
        <v>9</v>
      </c>
      <c r="IK46" s="2" t="s">
        <v>3820</v>
      </c>
      <c r="IL46" s="2" t="s">
        <v>3414</v>
      </c>
      <c r="IM46" s="2" t="s">
        <v>9</v>
      </c>
      <c r="IN46" s="2" t="s">
        <v>3821</v>
      </c>
      <c r="IO46" s="2" t="s">
        <v>3414</v>
      </c>
      <c r="IP46" s="2">
        <v>6</v>
      </c>
      <c r="IQ46" s="2">
        <v>9</v>
      </c>
      <c r="IR46" s="2">
        <v>15</v>
      </c>
      <c r="IS46" s="2" t="s">
        <v>17</v>
      </c>
      <c r="IT46" s="2" t="s">
        <v>17</v>
      </c>
      <c r="IU46" s="2" t="s">
        <v>9</v>
      </c>
      <c r="IV46" s="2" t="s">
        <v>9</v>
      </c>
      <c r="IW46" s="2" t="s">
        <v>9</v>
      </c>
      <c r="IX46" s="2" t="s">
        <v>9</v>
      </c>
      <c r="IY46" s="2">
        <v>15</v>
      </c>
      <c r="IZ46" s="2">
        <v>75</v>
      </c>
      <c r="JA46" s="2" t="s">
        <v>3085</v>
      </c>
      <c r="JB46" s="2"/>
      <c r="JC46" s="2" t="s">
        <v>82</v>
      </c>
      <c r="JD46" s="2"/>
      <c r="JE46" s="2"/>
      <c r="JF46" s="7">
        <v>0</v>
      </c>
      <c r="JG46" s="7"/>
      <c r="JH46" s="7"/>
      <c r="JI46" s="2">
        <v>0</v>
      </c>
      <c r="JJ46" s="7">
        <v>0</v>
      </c>
      <c r="JK46" s="2">
        <v>0</v>
      </c>
      <c r="JL46" s="7">
        <v>0</v>
      </c>
      <c r="JM46" s="2">
        <v>12</v>
      </c>
      <c r="JN46" s="2"/>
      <c r="JO46" s="2"/>
      <c r="JP46" s="2">
        <v>27</v>
      </c>
      <c r="JQ46" s="2">
        <v>36</v>
      </c>
      <c r="JR46" s="2"/>
      <c r="JS46" s="2">
        <v>0</v>
      </c>
      <c r="JT46" s="2">
        <v>0</v>
      </c>
      <c r="JU46" s="2"/>
      <c r="JV46" s="2">
        <v>75</v>
      </c>
      <c r="JW46" s="4">
        <v>1</v>
      </c>
      <c r="JX46" s="2">
        <v>75</v>
      </c>
      <c r="JY46" s="4">
        <v>0.6</v>
      </c>
      <c r="JZ46" s="2">
        <v>0</v>
      </c>
      <c r="KA46" s="2"/>
      <c r="KB46" s="2"/>
      <c r="KC46" s="2"/>
      <c r="KD46" s="2"/>
      <c r="KE46" s="2"/>
      <c r="KF46" s="2"/>
      <c r="KG46" s="2">
        <v>14</v>
      </c>
      <c r="KH46" s="2">
        <v>61</v>
      </c>
      <c r="KI46" s="2"/>
      <c r="KJ46" s="2"/>
      <c r="KK46" s="2"/>
      <c r="KL46" s="2"/>
      <c r="KM46" s="2"/>
      <c r="KN46" s="2"/>
      <c r="KO46" s="2"/>
      <c r="KP46" s="2"/>
      <c r="KQ46" s="2" t="s">
        <v>83</v>
      </c>
      <c r="KR46" s="2"/>
      <c r="KS46" s="2" t="s">
        <v>73</v>
      </c>
      <c r="KT46" s="2">
        <v>1</v>
      </c>
      <c r="KU46" s="2" t="s">
        <v>84</v>
      </c>
      <c r="KV46" s="2" t="s">
        <v>85</v>
      </c>
      <c r="KW46" s="2" t="s">
        <v>86</v>
      </c>
      <c r="KX46" s="2" t="s">
        <v>17</v>
      </c>
      <c r="KY46" s="2" t="s">
        <v>17</v>
      </c>
      <c r="KZ46" s="2" t="s">
        <v>17</v>
      </c>
      <c r="LA46" s="2" t="s">
        <v>17</v>
      </c>
      <c r="LB46" s="2" t="s">
        <v>17</v>
      </c>
      <c r="LC46" s="2" t="s">
        <v>17</v>
      </c>
      <c r="LD46" s="2" t="s">
        <v>17</v>
      </c>
      <c r="LE46" s="2" t="s">
        <v>17</v>
      </c>
      <c r="LF46" s="2" t="s">
        <v>17</v>
      </c>
      <c r="LG46" s="2" t="s">
        <v>17</v>
      </c>
      <c r="LH46" s="2" t="s">
        <v>17</v>
      </c>
      <c r="LI46" s="2" t="s">
        <v>17</v>
      </c>
      <c r="LJ46" s="2" t="s">
        <v>87</v>
      </c>
      <c r="LK46" s="2" t="s">
        <v>17</v>
      </c>
      <c r="LL46" s="2" t="s">
        <v>17</v>
      </c>
      <c r="LM46" s="2">
        <v>0</v>
      </c>
      <c r="LN46" s="2" t="s">
        <v>17</v>
      </c>
      <c r="LO46" s="2" t="s">
        <v>17</v>
      </c>
      <c r="LP46" s="2" t="s">
        <v>17</v>
      </c>
      <c r="LQ46" s="2" t="s">
        <v>17</v>
      </c>
      <c r="LR46" s="2" t="s">
        <v>17</v>
      </c>
      <c r="LS46" s="2" t="s">
        <v>17</v>
      </c>
      <c r="LT46" s="2" t="s">
        <v>9</v>
      </c>
      <c r="LU46" s="2" t="s">
        <v>9</v>
      </c>
      <c r="LV46" s="2" t="s">
        <v>17</v>
      </c>
      <c r="LW46" s="2" t="s">
        <v>9</v>
      </c>
      <c r="LX46" s="2" t="s">
        <v>17</v>
      </c>
      <c r="LY46" s="5">
        <v>6000000</v>
      </c>
      <c r="LZ46" s="5">
        <v>0</v>
      </c>
      <c r="MA46" s="5">
        <v>7500000</v>
      </c>
      <c r="MB46" s="5">
        <v>0</v>
      </c>
      <c r="MC46" s="5">
        <v>0</v>
      </c>
      <c r="MD46" s="5">
        <v>0</v>
      </c>
      <c r="ME46" s="5">
        <v>7875000</v>
      </c>
      <c r="MF46" s="5">
        <v>0</v>
      </c>
      <c r="MG46" s="5">
        <v>0</v>
      </c>
      <c r="MH46" s="5">
        <v>0</v>
      </c>
      <c r="MI46" s="5">
        <v>0</v>
      </c>
      <c r="MJ46" s="5">
        <v>0</v>
      </c>
      <c r="MK46" s="5">
        <v>0</v>
      </c>
      <c r="ML46" s="2">
        <v>0</v>
      </c>
      <c r="MM46" s="5">
        <v>0</v>
      </c>
      <c r="MN46" s="5">
        <v>0</v>
      </c>
      <c r="MO46" s="2">
        <v>0</v>
      </c>
      <c r="MP46" s="2">
        <v>0</v>
      </c>
      <c r="MQ46" s="2">
        <v>0</v>
      </c>
      <c r="MR46" s="5">
        <v>2950000</v>
      </c>
      <c r="MS46" s="5">
        <v>0</v>
      </c>
      <c r="MT46" s="5">
        <v>4600000</v>
      </c>
      <c r="MU46" s="5">
        <v>0</v>
      </c>
      <c r="MV46" s="5">
        <v>0</v>
      </c>
      <c r="MW46" s="5">
        <v>0</v>
      </c>
      <c r="MX46" s="5">
        <v>0</v>
      </c>
      <c r="MY46" s="5">
        <v>2500000</v>
      </c>
      <c r="MZ46" s="5">
        <v>0</v>
      </c>
      <c r="NA46" s="5">
        <v>5000000</v>
      </c>
      <c r="NB46" s="5">
        <v>0</v>
      </c>
      <c r="NC46" s="5">
        <v>0</v>
      </c>
      <c r="ND46" s="5">
        <v>0</v>
      </c>
      <c r="NE46" s="5">
        <v>0</v>
      </c>
      <c r="NF46" s="5">
        <v>0</v>
      </c>
      <c r="NG46" s="5">
        <v>3458400</v>
      </c>
      <c r="NH46" s="5">
        <v>2625000</v>
      </c>
      <c r="NI46" s="5">
        <v>2625000</v>
      </c>
      <c r="NJ46" s="5"/>
      <c r="NK46" s="5">
        <v>0</v>
      </c>
      <c r="NL46" s="2" t="s">
        <v>17</v>
      </c>
      <c r="NM46" s="2" t="s">
        <v>17</v>
      </c>
      <c r="NN46" s="2"/>
      <c r="NO46" s="2" t="s">
        <v>17</v>
      </c>
      <c r="NP46" s="2"/>
      <c r="NQ46" s="2"/>
      <c r="NR46" s="2" t="s">
        <v>17</v>
      </c>
      <c r="NS46" s="2"/>
      <c r="NT46" s="2" t="s">
        <v>9</v>
      </c>
      <c r="NU46" s="2" t="s">
        <v>450</v>
      </c>
      <c r="NV46" s="2">
        <v>17.010000000000002</v>
      </c>
      <c r="NW46" s="2" t="s">
        <v>3342</v>
      </c>
      <c r="NX46" s="2"/>
      <c r="NY46" s="2"/>
      <c r="NZ46" s="2"/>
      <c r="OA46" s="2" t="s">
        <v>118</v>
      </c>
      <c r="OB46" s="2" t="s">
        <v>118</v>
      </c>
      <c r="OC46" s="2" t="s">
        <v>118</v>
      </c>
      <c r="OD46" s="2" t="s">
        <v>3343</v>
      </c>
      <c r="OE46" s="2" t="s">
        <v>3822</v>
      </c>
      <c r="OF46" s="2"/>
      <c r="OG46" s="2" t="s">
        <v>17</v>
      </c>
      <c r="OH46" s="2" t="s">
        <v>119</v>
      </c>
      <c r="OI46" s="2" t="s">
        <v>17</v>
      </c>
      <c r="OJ46" s="2"/>
      <c r="OK46" s="2" t="s">
        <v>17</v>
      </c>
      <c r="OL46" s="2" t="s">
        <v>17</v>
      </c>
      <c r="OM46" s="2" t="s">
        <v>85</v>
      </c>
      <c r="ON46" s="6">
        <v>0</v>
      </c>
      <c r="OO46" s="6">
        <v>0</v>
      </c>
      <c r="OP46" s="2" t="s">
        <v>93</v>
      </c>
      <c r="OQ46" s="2" t="s">
        <v>93</v>
      </c>
      <c r="OR46" s="6">
        <v>0</v>
      </c>
      <c r="OS46" s="4">
        <v>0</v>
      </c>
      <c r="OT46" s="2" t="s">
        <v>17</v>
      </c>
      <c r="OU46" s="2" t="s">
        <v>17</v>
      </c>
      <c r="OV46" s="2"/>
      <c r="OW46" s="2"/>
      <c r="OX46" s="5">
        <v>16854075</v>
      </c>
      <c r="OY46" s="6">
        <v>224721</v>
      </c>
      <c r="OZ46" s="2"/>
      <c r="PA46" s="2"/>
      <c r="PB46" s="2"/>
      <c r="PC46" s="2"/>
      <c r="PD46" s="8">
        <v>14051228</v>
      </c>
      <c r="PE46" s="8">
        <v>751404</v>
      </c>
      <c r="PF46" s="8">
        <v>14802632</v>
      </c>
      <c r="PG46" s="2"/>
      <c r="PH46" s="2"/>
      <c r="PI46" s="2"/>
      <c r="PJ46" s="2"/>
      <c r="PK46" s="2"/>
      <c r="PL46" s="2"/>
      <c r="PM46" s="8">
        <v>14051228</v>
      </c>
      <c r="PN46" s="8">
        <v>751404</v>
      </c>
      <c r="PO46" s="8">
        <v>14802632</v>
      </c>
      <c r="PP46" s="8">
        <v>2072368</v>
      </c>
      <c r="PQ46" s="2"/>
      <c r="PR46" s="8">
        <v>2072368</v>
      </c>
      <c r="PS46" s="6">
        <v>2072368</v>
      </c>
      <c r="PT46" s="8">
        <v>16123596</v>
      </c>
      <c r="PU46" s="8">
        <v>751404</v>
      </c>
      <c r="PV46" s="8">
        <v>16875000</v>
      </c>
      <c r="PW46" s="8">
        <v>843750</v>
      </c>
      <c r="PX46" s="2"/>
      <c r="PY46" s="8">
        <v>843750</v>
      </c>
      <c r="PZ46" s="6">
        <v>843750</v>
      </c>
      <c r="QA46" s="8">
        <v>1796875</v>
      </c>
      <c r="QB46" s="8">
        <v>275000</v>
      </c>
      <c r="QC46" s="8">
        <v>2071875</v>
      </c>
      <c r="QD46" s="8">
        <v>210937</v>
      </c>
      <c r="QE46" s="8">
        <v>300000</v>
      </c>
      <c r="QF46" s="8">
        <v>510937</v>
      </c>
      <c r="QG46" s="8">
        <v>353125</v>
      </c>
      <c r="QH46" s="2"/>
      <c r="QI46" s="8">
        <v>353125</v>
      </c>
      <c r="QJ46" s="2"/>
      <c r="QK46" s="8">
        <v>482769</v>
      </c>
      <c r="QL46" s="8">
        <v>482769</v>
      </c>
      <c r="QM46" s="2"/>
      <c r="QN46" s="2"/>
      <c r="QO46" s="2"/>
      <c r="QP46" s="2"/>
      <c r="QQ46" s="2"/>
      <c r="QR46" s="2"/>
      <c r="QS46" s="8">
        <v>2360937</v>
      </c>
      <c r="QT46" s="8">
        <v>1057769</v>
      </c>
      <c r="QU46" s="8">
        <v>3418706</v>
      </c>
      <c r="QV46" s="8">
        <v>162935</v>
      </c>
      <c r="QW46" s="2"/>
      <c r="QX46" s="8">
        <v>162935</v>
      </c>
      <c r="QY46" s="6">
        <v>170935.3</v>
      </c>
      <c r="QZ46" s="8">
        <v>1277192</v>
      </c>
      <c r="RA46" s="8">
        <v>236230</v>
      </c>
      <c r="RB46" s="8">
        <v>1513422</v>
      </c>
      <c r="RC46" s="8">
        <v>35650</v>
      </c>
      <c r="RD46" s="8">
        <v>35650</v>
      </c>
      <c r="RE46" s="2"/>
      <c r="RF46" s="2"/>
      <c r="RG46" s="2"/>
      <c r="RH46" s="8">
        <v>1277192</v>
      </c>
      <c r="RI46" s="8">
        <v>271880</v>
      </c>
      <c r="RJ46" s="8">
        <v>1549072</v>
      </c>
      <c r="RK46" s="8">
        <v>20768410</v>
      </c>
      <c r="RL46" s="8">
        <v>2081053</v>
      </c>
      <c r="RM46" s="8">
        <v>22849463</v>
      </c>
      <c r="RN46" s="2">
        <v>0</v>
      </c>
      <c r="RO46" s="6">
        <v>0</v>
      </c>
      <c r="RP46" s="8">
        <v>3655914</v>
      </c>
      <c r="RQ46" s="2"/>
      <c r="RR46" s="8">
        <v>3655914</v>
      </c>
      <c r="RS46" s="6">
        <v>3655914</v>
      </c>
      <c r="RT46" s="6">
        <v>0</v>
      </c>
      <c r="RU46" s="8">
        <v>3655914</v>
      </c>
      <c r="RV46" s="2"/>
      <c r="RW46" s="8">
        <v>3655914</v>
      </c>
      <c r="RX46" s="6">
        <v>3655914</v>
      </c>
      <c r="RY46" s="8">
        <v>211584</v>
      </c>
      <c r="RZ46" s="8">
        <v>211584</v>
      </c>
      <c r="SA46" s="6">
        <v>262500</v>
      </c>
      <c r="SB46" s="8">
        <v>1800000</v>
      </c>
      <c r="SC46" s="8">
        <v>1800000</v>
      </c>
      <c r="SD46" s="8">
        <v>24424324</v>
      </c>
      <c r="SE46" s="8">
        <v>4092637</v>
      </c>
      <c r="SF46" s="8">
        <v>28516961</v>
      </c>
      <c r="SG46" s="2"/>
      <c r="SH46" s="2"/>
      <c r="SI46" s="2"/>
      <c r="SJ46" s="2"/>
      <c r="SK46" s="8">
        <v>22000000</v>
      </c>
      <c r="SL46" s="2" t="s">
        <v>95</v>
      </c>
      <c r="SM46" s="2"/>
      <c r="SN46" s="2"/>
      <c r="SO46" s="2"/>
      <c r="SP46" s="2"/>
      <c r="SQ46" s="2"/>
      <c r="SR46" s="2"/>
      <c r="SS46" s="2" t="s">
        <v>96</v>
      </c>
      <c r="ST46" s="2" t="s">
        <v>96</v>
      </c>
      <c r="SU46" s="2" t="s">
        <v>96</v>
      </c>
      <c r="SV46" s="2" t="s">
        <v>96</v>
      </c>
      <c r="SW46" s="8">
        <v>4987001</v>
      </c>
      <c r="SX46" s="2"/>
      <c r="SY46" s="2"/>
      <c r="SZ46" s="2"/>
      <c r="TA46" s="2"/>
      <c r="TB46" s="2"/>
      <c r="TC46" s="2"/>
      <c r="TD46" s="8">
        <v>1529960</v>
      </c>
      <c r="TE46" s="8">
        <v>28516961</v>
      </c>
      <c r="TF46" s="2">
        <v>0</v>
      </c>
      <c r="TG46" s="2" t="s">
        <v>9</v>
      </c>
      <c r="TH46" s="8">
        <v>3100000</v>
      </c>
      <c r="TI46" s="2" t="s">
        <v>95</v>
      </c>
      <c r="TJ46" s="2"/>
      <c r="TK46" s="2"/>
      <c r="TL46" s="2"/>
      <c r="TM46" s="2"/>
      <c r="TN46" s="2" t="s">
        <v>96</v>
      </c>
      <c r="TO46" s="2" t="s">
        <v>96</v>
      </c>
      <c r="TP46" s="2" t="s">
        <v>96</v>
      </c>
      <c r="TQ46" s="2" t="s">
        <v>96</v>
      </c>
      <c r="TR46" s="8">
        <v>24935006</v>
      </c>
      <c r="TS46" s="2"/>
      <c r="TT46" s="2"/>
      <c r="TU46" s="2"/>
      <c r="TV46" s="2"/>
      <c r="TW46" s="2"/>
      <c r="TX46" s="2"/>
      <c r="TY46" s="8">
        <v>481955</v>
      </c>
      <c r="TZ46" s="8">
        <v>28516961</v>
      </c>
      <c r="UA46" s="6">
        <v>3100000</v>
      </c>
      <c r="UB46" s="2">
        <v>0</v>
      </c>
      <c r="UC46" s="2" t="s">
        <v>9</v>
      </c>
      <c r="UD46" s="2">
        <v>75</v>
      </c>
      <c r="UE46" s="5">
        <v>310000</v>
      </c>
      <c r="UF46" s="6">
        <v>413333.33</v>
      </c>
      <c r="UG46" s="6">
        <v>413333.33</v>
      </c>
      <c r="UH46" s="6">
        <v>438133.33</v>
      </c>
      <c r="UI46" s="6">
        <v>32860000</v>
      </c>
      <c r="UJ46" s="6">
        <v>5257600</v>
      </c>
      <c r="UK46" s="2" t="s">
        <v>97</v>
      </c>
      <c r="UL46" s="6">
        <v>5257600</v>
      </c>
      <c r="UM46" s="6">
        <v>38117600</v>
      </c>
      <c r="UN46" s="6">
        <v>26505377</v>
      </c>
      <c r="UO46" s="4">
        <v>0.99990000000000001</v>
      </c>
      <c r="UP46" s="2" t="s">
        <v>9</v>
      </c>
      <c r="UQ46" s="6">
        <v>0</v>
      </c>
      <c r="UR46" s="6">
        <v>0</v>
      </c>
      <c r="US46" s="6">
        <v>314113.5</v>
      </c>
      <c r="UT46" s="6">
        <v>314113.5</v>
      </c>
      <c r="UU46" s="6">
        <v>0</v>
      </c>
      <c r="UV46" s="6">
        <v>314113.5</v>
      </c>
      <c r="UW46" s="6">
        <v>0</v>
      </c>
      <c r="UX46" s="6">
        <v>314113.5</v>
      </c>
      <c r="UY46" s="2" t="s">
        <v>3387</v>
      </c>
      <c r="UZ46" s="2" t="s">
        <v>3288</v>
      </c>
      <c r="VA46" s="2" t="s">
        <v>17</v>
      </c>
      <c r="VB46" s="2" t="s">
        <v>17</v>
      </c>
      <c r="VC46" s="2" t="s">
        <v>17</v>
      </c>
      <c r="VD46" s="2" t="s">
        <v>17</v>
      </c>
      <c r="VE46" s="2" t="s">
        <v>17</v>
      </c>
      <c r="VF46" s="2" t="s">
        <v>17</v>
      </c>
      <c r="VG46" s="2" t="s">
        <v>4122</v>
      </c>
      <c r="VH46" s="2"/>
      <c r="VI46" s="387" t="s">
        <v>1275</v>
      </c>
      <c r="VJ46" s="2" t="s">
        <v>98</v>
      </c>
      <c r="VK46" s="2" t="s">
        <v>1319</v>
      </c>
      <c r="VL46" s="23">
        <f t="shared" si="21"/>
        <v>75</v>
      </c>
      <c r="VM46" s="17">
        <f t="shared" si="22"/>
        <v>1</v>
      </c>
      <c r="VN46" s="17" t="str">
        <f t="shared" si="2"/>
        <v>NC-HR-E</v>
      </c>
      <c r="VO46" s="17" t="str">
        <f t="shared" si="14"/>
        <v>NC-HR-E-ESS</v>
      </c>
      <c r="VP46" s="12">
        <v>9</v>
      </c>
      <c r="VQ46" s="57">
        <v>1</v>
      </c>
      <c r="VR46" s="57">
        <f t="shared" si="3"/>
        <v>1</v>
      </c>
      <c r="VS46" s="14">
        <f t="shared" si="4"/>
        <v>1</v>
      </c>
      <c r="VT46" s="12">
        <f t="shared" si="5"/>
        <v>0.88350000000000006</v>
      </c>
      <c r="VU46" s="29">
        <f t="shared" si="6"/>
        <v>20872687.5</v>
      </c>
      <c r="VV46" s="29">
        <f t="shared" si="23"/>
        <v>278302.5</v>
      </c>
      <c r="VW46" s="12" t="str">
        <f t="shared" si="15"/>
        <v>B</v>
      </c>
      <c r="VX46" s="12" t="str">
        <f t="shared" si="24"/>
        <v>NC-HR-ESS</v>
      </c>
      <c r="VY46" s="352">
        <f t="shared" si="16"/>
        <v>5</v>
      </c>
      <c r="WA46" s="12">
        <f t="shared" si="17"/>
        <v>1</v>
      </c>
      <c r="WB46" s="12">
        <f t="shared" si="18"/>
        <v>0</v>
      </c>
      <c r="WC46" s="12">
        <f t="shared" si="18"/>
        <v>0</v>
      </c>
      <c r="WD46" s="12">
        <f t="shared" si="18"/>
        <v>0</v>
      </c>
      <c r="WE46" s="12">
        <f t="shared" si="19"/>
        <v>1</v>
      </c>
      <c r="WF46" s="12">
        <f t="shared" si="25"/>
        <v>0</v>
      </c>
      <c r="WG46" s="12">
        <f t="shared" si="26"/>
        <v>0</v>
      </c>
      <c r="WH46" s="12">
        <f t="shared" si="27"/>
        <v>1</v>
      </c>
      <c r="WI46" s="22">
        <f t="shared" si="28"/>
        <v>3</v>
      </c>
      <c r="WJ46" s="2"/>
      <c r="WK46" s="444" t="str">
        <f t="shared" si="20"/>
        <v>NC-HR-ESS-BBN-BRN-NPH-E</v>
      </c>
      <c r="WL46" s="444"/>
      <c r="WM46" s="444"/>
    </row>
    <row r="47" spans="1:611" x14ac:dyDescent="0.25">
      <c r="A47" s="2">
        <v>9653</v>
      </c>
      <c r="B47" s="2" t="s">
        <v>4123</v>
      </c>
      <c r="C47" s="2" t="s">
        <v>3305</v>
      </c>
      <c r="D47" s="3">
        <v>45159</v>
      </c>
      <c r="E47" s="2" t="s">
        <v>9</v>
      </c>
      <c r="F47" s="2">
        <v>3</v>
      </c>
      <c r="G47" s="2" t="s">
        <v>9</v>
      </c>
      <c r="H47" s="2">
        <v>3</v>
      </c>
      <c r="I47" s="2" t="s">
        <v>9</v>
      </c>
      <c r="J47" s="2">
        <v>3</v>
      </c>
      <c r="K47" s="2" t="s">
        <v>9</v>
      </c>
      <c r="L47" s="2">
        <v>3</v>
      </c>
      <c r="M47" s="2" t="s">
        <v>10</v>
      </c>
      <c r="N47" s="2">
        <v>0</v>
      </c>
      <c r="O47" s="2" t="s">
        <v>10</v>
      </c>
      <c r="P47" s="2">
        <v>0</v>
      </c>
      <c r="Q47" s="2" t="s">
        <v>11</v>
      </c>
      <c r="R47" s="2">
        <v>0</v>
      </c>
      <c r="S47" s="2" t="s">
        <v>9</v>
      </c>
      <c r="T47" s="2">
        <v>2</v>
      </c>
      <c r="U47" s="2" t="s">
        <v>9</v>
      </c>
      <c r="V47" s="2">
        <v>2</v>
      </c>
      <c r="W47" s="2" t="s">
        <v>9</v>
      </c>
      <c r="X47" s="2">
        <v>2</v>
      </c>
      <c r="Y47" s="2" t="s">
        <v>12</v>
      </c>
      <c r="Z47" s="2" t="s">
        <v>15</v>
      </c>
      <c r="AA47" s="2" t="s">
        <v>15</v>
      </c>
      <c r="AB47" s="2" t="s">
        <v>15</v>
      </c>
      <c r="AC47" s="2" t="s">
        <v>15</v>
      </c>
      <c r="AD47" s="2" t="s">
        <v>785</v>
      </c>
      <c r="AE47" s="2" t="s">
        <v>15</v>
      </c>
      <c r="AF47" s="2">
        <v>0</v>
      </c>
      <c r="AG47" s="2" t="s">
        <v>234</v>
      </c>
      <c r="AH47" s="2" t="s">
        <v>17</v>
      </c>
      <c r="AI47" s="4">
        <v>0.15686</v>
      </c>
      <c r="AJ47" s="2" t="s">
        <v>17</v>
      </c>
      <c r="AK47" s="2" t="s">
        <v>9</v>
      </c>
      <c r="AL47" s="2" t="s">
        <v>17</v>
      </c>
      <c r="AM47" s="2" t="s">
        <v>17</v>
      </c>
      <c r="AN47" s="2" t="s">
        <v>17</v>
      </c>
      <c r="AO47" s="2" t="s">
        <v>17</v>
      </c>
      <c r="AP47" s="2" t="s">
        <v>9</v>
      </c>
      <c r="AQ47" s="2" t="s">
        <v>17</v>
      </c>
      <c r="AR47" s="2" t="s">
        <v>17</v>
      </c>
      <c r="AS47" s="2" t="s">
        <v>17</v>
      </c>
      <c r="AT47" s="2">
        <v>5</v>
      </c>
      <c r="AU47" s="5">
        <v>100000</v>
      </c>
      <c r="AV47" s="2" t="s">
        <v>85</v>
      </c>
      <c r="AW47" s="2">
        <v>0</v>
      </c>
      <c r="AX47" s="2">
        <v>11</v>
      </c>
      <c r="AY47" s="2">
        <v>0</v>
      </c>
      <c r="AZ47" s="2">
        <v>17</v>
      </c>
      <c r="BA47" s="2">
        <v>0</v>
      </c>
      <c r="BB47" s="2">
        <v>0</v>
      </c>
      <c r="BC47" s="2">
        <v>1</v>
      </c>
      <c r="BD47" s="2">
        <v>5</v>
      </c>
      <c r="BE47" s="2">
        <v>0</v>
      </c>
      <c r="BF47" s="2">
        <v>1</v>
      </c>
      <c r="BG47" s="2">
        <v>0</v>
      </c>
      <c r="BH47" s="2">
        <v>0</v>
      </c>
      <c r="BI47" s="2">
        <v>13</v>
      </c>
      <c r="BJ47" s="2">
        <v>1</v>
      </c>
      <c r="BK47" s="2">
        <v>0</v>
      </c>
      <c r="BL47" s="2">
        <v>3</v>
      </c>
      <c r="BM47" s="2">
        <v>1</v>
      </c>
      <c r="BN47" s="2">
        <v>12</v>
      </c>
      <c r="BO47" s="2">
        <v>11</v>
      </c>
      <c r="BP47" s="2">
        <v>0</v>
      </c>
      <c r="BQ47" s="2">
        <v>10</v>
      </c>
      <c r="BR47" s="2">
        <v>9.65</v>
      </c>
      <c r="BS47" s="2">
        <v>0</v>
      </c>
      <c r="BT47" s="4">
        <v>0.06</v>
      </c>
      <c r="BU47" s="2" t="s">
        <v>9</v>
      </c>
      <c r="BV47" s="6">
        <v>232583.98</v>
      </c>
      <c r="BW47" s="2" t="s">
        <v>18</v>
      </c>
      <c r="BX47" s="2" t="s">
        <v>17</v>
      </c>
      <c r="BY47" s="2" t="s">
        <v>17</v>
      </c>
      <c r="BZ47" s="2" t="s">
        <v>17</v>
      </c>
      <c r="CA47" s="2" t="s">
        <v>17</v>
      </c>
      <c r="CB47" s="2" t="s">
        <v>17</v>
      </c>
      <c r="CC47" s="2" t="s">
        <v>17</v>
      </c>
      <c r="CD47" s="2" t="s">
        <v>17</v>
      </c>
      <c r="CE47" s="2" t="s">
        <v>4124</v>
      </c>
      <c r="CF47" s="2" t="s">
        <v>17</v>
      </c>
      <c r="CG47" s="2" t="s">
        <v>4125</v>
      </c>
      <c r="CH47" s="2"/>
      <c r="CI47" s="2"/>
      <c r="CJ47" s="2" t="s">
        <v>9</v>
      </c>
      <c r="CK47" s="2" t="s">
        <v>1132</v>
      </c>
      <c r="CL47" s="2" t="s">
        <v>4125</v>
      </c>
      <c r="CM47" s="2" t="s">
        <v>1133</v>
      </c>
      <c r="CN47" s="2" t="s">
        <v>1134</v>
      </c>
      <c r="CO47" s="2" t="s">
        <v>24</v>
      </c>
      <c r="CP47" s="2"/>
      <c r="CQ47" s="2">
        <v>144</v>
      </c>
      <c r="CR47" s="2" t="s">
        <v>3827</v>
      </c>
      <c r="CS47" s="2">
        <v>2020</v>
      </c>
      <c r="CT47" s="2" t="s">
        <v>26</v>
      </c>
      <c r="CU47" s="2" t="s">
        <v>27</v>
      </c>
      <c r="CV47" s="2" t="s">
        <v>1136</v>
      </c>
      <c r="CW47" s="2" t="s">
        <v>1137</v>
      </c>
      <c r="CX47" s="2" t="s">
        <v>24</v>
      </c>
      <c r="CY47" s="2"/>
      <c r="CZ47" s="2">
        <v>120</v>
      </c>
      <c r="DA47" s="2" t="s">
        <v>3827</v>
      </c>
      <c r="DB47" s="2">
        <v>2017</v>
      </c>
      <c r="DC47" s="2" t="s">
        <v>30</v>
      </c>
      <c r="DD47" s="2" t="s">
        <v>27</v>
      </c>
      <c r="DE47" s="2" t="s">
        <v>1138</v>
      </c>
      <c r="DF47" s="2" t="s">
        <v>1139</v>
      </c>
      <c r="DG47" s="2" t="s">
        <v>24</v>
      </c>
      <c r="DH47" s="2"/>
      <c r="DI47" s="2">
        <v>92</v>
      </c>
      <c r="DJ47" s="2" t="s">
        <v>3827</v>
      </c>
      <c r="DK47" s="2">
        <v>2021</v>
      </c>
      <c r="DL47" s="2" t="s">
        <v>30</v>
      </c>
      <c r="DM47" s="2" t="s">
        <v>27</v>
      </c>
      <c r="DN47" s="2" t="s">
        <v>33</v>
      </c>
      <c r="DO47" s="2" t="s">
        <v>1140</v>
      </c>
      <c r="DP47" s="2"/>
      <c r="DQ47" s="2" t="s">
        <v>1141</v>
      </c>
      <c r="DR47" s="2" t="s">
        <v>1142</v>
      </c>
      <c r="DS47" s="2">
        <v>1</v>
      </c>
      <c r="DT47" s="2" t="s">
        <v>1143</v>
      </c>
      <c r="DU47" s="2" t="s">
        <v>1144</v>
      </c>
      <c r="DV47" s="2" t="s">
        <v>39</v>
      </c>
      <c r="DW47" s="2">
        <v>33716</v>
      </c>
      <c r="DX47" s="2" t="s">
        <v>1145</v>
      </c>
      <c r="DY47" s="2"/>
      <c r="DZ47" s="2" t="s">
        <v>1146</v>
      </c>
      <c r="EA47" s="2" t="s">
        <v>1142</v>
      </c>
      <c r="EB47" s="2" t="s">
        <v>1136</v>
      </c>
      <c r="EC47" s="2" t="s">
        <v>1137</v>
      </c>
      <c r="ED47" s="2" t="s">
        <v>44</v>
      </c>
      <c r="EE47" s="2">
        <v>120</v>
      </c>
      <c r="EF47" s="2" t="s">
        <v>3828</v>
      </c>
      <c r="EG47" s="2">
        <v>6</v>
      </c>
      <c r="EH47" s="2" t="s">
        <v>46</v>
      </c>
      <c r="EI47" s="2" t="s">
        <v>47</v>
      </c>
      <c r="EJ47" s="2" t="s">
        <v>1148</v>
      </c>
      <c r="EK47" s="2" t="s">
        <v>333</v>
      </c>
      <c r="EL47" s="2" t="s">
        <v>44</v>
      </c>
      <c r="EM47" s="2">
        <v>88</v>
      </c>
      <c r="EN47" s="2" t="s">
        <v>3828</v>
      </c>
      <c r="EO47" s="2">
        <v>8</v>
      </c>
      <c r="EP47" s="2" t="s">
        <v>46</v>
      </c>
      <c r="EQ47" s="2" t="s">
        <v>47</v>
      </c>
      <c r="ER47" s="2" t="s">
        <v>1149</v>
      </c>
      <c r="ES47" s="2"/>
      <c r="ET47" s="2" t="s">
        <v>247</v>
      </c>
      <c r="EU47" s="2" t="s">
        <v>4124</v>
      </c>
      <c r="EV47" s="2" t="s">
        <v>1143</v>
      </c>
      <c r="EW47" s="2" t="s">
        <v>1144</v>
      </c>
      <c r="EX47" s="2" t="s">
        <v>39</v>
      </c>
      <c r="EY47" s="2">
        <v>33716</v>
      </c>
      <c r="EZ47" s="2" t="s">
        <v>1150</v>
      </c>
      <c r="FA47" s="2"/>
      <c r="FB47" s="2" t="s">
        <v>1151</v>
      </c>
      <c r="FC47" s="2" t="s">
        <v>1024</v>
      </c>
      <c r="FD47" s="2"/>
      <c r="FE47" s="2" t="s">
        <v>1141</v>
      </c>
      <c r="FF47" s="2" t="s">
        <v>1152</v>
      </c>
      <c r="FG47" s="2" t="s">
        <v>1143</v>
      </c>
      <c r="FH47" s="2" t="s">
        <v>1144</v>
      </c>
      <c r="FI47" s="2" t="s">
        <v>39</v>
      </c>
      <c r="FJ47" s="2">
        <v>33716</v>
      </c>
      <c r="FK47" s="2" t="s">
        <v>1153</v>
      </c>
      <c r="FL47" s="2"/>
      <c r="FM47" s="2" t="s">
        <v>1154</v>
      </c>
      <c r="FN47" s="2" t="s">
        <v>4126</v>
      </c>
      <c r="FO47" s="2" t="s">
        <v>63</v>
      </c>
      <c r="FP47" s="2" t="s">
        <v>64</v>
      </c>
      <c r="FQ47" s="2" t="s">
        <v>9</v>
      </c>
      <c r="FR47" s="2" t="s">
        <v>17</v>
      </c>
      <c r="FS47" s="2" t="s">
        <v>17</v>
      </c>
      <c r="FT47" s="2" t="s">
        <v>9</v>
      </c>
      <c r="FU47" s="2"/>
      <c r="FV47" s="2"/>
      <c r="FW47" s="2">
        <v>0</v>
      </c>
      <c r="FX47" s="2">
        <v>0</v>
      </c>
      <c r="FY47" s="4">
        <v>0</v>
      </c>
      <c r="FZ47" s="4">
        <v>0</v>
      </c>
      <c r="GA47" s="2" t="s">
        <v>65</v>
      </c>
      <c r="GB47" s="2"/>
      <c r="GC47" s="2" t="s">
        <v>66</v>
      </c>
      <c r="GD47" s="2" t="s">
        <v>67</v>
      </c>
      <c r="GE47" s="2" t="s">
        <v>1612</v>
      </c>
      <c r="GF47" s="2">
        <v>38</v>
      </c>
      <c r="GG47" s="2">
        <v>38</v>
      </c>
      <c r="GH47" s="2"/>
      <c r="GI47" s="2">
        <v>64</v>
      </c>
      <c r="GJ47" s="2"/>
      <c r="GK47" s="2"/>
      <c r="GL47" s="2"/>
      <c r="GM47" s="2"/>
      <c r="GN47" s="2"/>
      <c r="GO47" s="2"/>
      <c r="GP47" s="2"/>
      <c r="GQ47" s="2">
        <v>102</v>
      </c>
      <c r="GR47" s="2" t="s">
        <v>3332</v>
      </c>
      <c r="GS47" s="2" t="s">
        <v>2686</v>
      </c>
      <c r="GT47" s="2" t="s">
        <v>4127</v>
      </c>
      <c r="GU47" s="2" t="s">
        <v>4128</v>
      </c>
      <c r="GV47" s="2" t="s">
        <v>9</v>
      </c>
      <c r="GW47" s="2">
        <v>25.561019000000002</v>
      </c>
      <c r="GX47" s="2">
        <v>-80.388097999999999</v>
      </c>
      <c r="GY47" s="2" t="s">
        <v>4129</v>
      </c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>
        <v>25.562239999999999</v>
      </c>
      <c r="HO47" s="2">
        <v>-80.386324000000002</v>
      </c>
      <c r="HP47" s="2">
        <v>0.14000000000000001</v>
      </c>
      <c r="HQ47" s="2">
        <v>6</v>
      </c>
      <c r="HR47" s="2"/>
      <c r="HS47" s="2"/>
      <c r="HT47" s="2"/>
      <c r="HU47" s="2"/>
      <c r="HV47" s="2" t="s">
        <v>74</v>
      </c>
      <c r="HW47" s="2" t="s">
        <v>4130</v>
      </c>
      <c r="HX47" s="2">
        <v>1.05</v>
      </c>
      <c r="HY47" s="2">
        <v>2</v>
      </c>
      <c r="HZ47" s="2"/>
      <c r="IA47" s="2"/>
      <c r="IB47" s="2"/>
      <c r="IC47" s="2"/>
      <c r="ID47" s="2" t="s">
        <v>74</v>
      </c>
      <c r="IE47" s="2">
        <v>1.05</v>
      </c>
      <c r="IF47" s="2">
        <v>2</v>
      </c>
      <c r="IG47" s="2" t="s">
        <v>3582</v>
      </c>
      <c r="IH47" s="2">
        <v>0.5</v>
      </c>
      <c r="II47" s="2">
        <v>4</v>
      </c>
      <c r="IJ47" s="2" t="s">
        <v>17</v>
      </c>
      <c r="IK47" s="2"/>
      <c r="IL47" s="2" t="s">
        <v>79</v>
      </c>
      <c r="IM47" s="2" t="s">
        <v>17</v>
      </c>
      <c r="IN47" s="2"/>
      <c r="IO47" s="2" t="s">
        <v>79</v>
      </c>
      <c r="IP47" s="2">
        <v>6</v>
      </c>
      <c r="IQ47" s="2">
        <v>8</v>
      </c>
      <c r="IR47" s="2">
        <v>14</v>
      </c>
      <c r="IS47" s="2" t="s">
        <v>17</v>
      </c>
      <c r="IT47" s="2" t="s">
        <v>17</v>
      </c>
      <c r="IU47" s="2" t="s">
        <v>17</v>
      </c>
      <c r="IV47" s="2" t="s">
        <v>9</v>
      </c>
      <c r="IW47" s="2" t="s">
        <v>9</v>
      </c>
      <c r="IX47" s="2" t="s">
        <v>9</v>
      </c>
      <c r="IY47" s="2">
        <v>14</v>
      </c>
      <c r="IZ47" s="2">
        <v>102</v>
      </c>
      <c r="JA47" s="2" t="s">
        <v>2731</v>
      </c>
      <c r="JB47" s="2"/>
      <c r="JC47" s="2" t="s">
        <v>82</v>
      </c>
      <c r="JD47" s="2"/>
      <c r="JE47" s="2"/>
      <c r="JF47" s="7">
        <v>0</v>
      </c>
      <c r="JG47" s="7"/>
      <c r="JH47" s="7"/>
      <c r="JI47" s="2">
        <v>0</v>
      </c>
      <c r="JJ47" s="7">
        <v>0</v>
      </c>
      <c r="JK47" s="2">
        <v>0</v>
      </c>
      <c r="JL47" s="7">
        <v>0</v>
      </c>
      <c r="JM47" s="2">
        <v>16</v>
      </c>
      <c r="JN47" s="2"/>
      <c r="JO47" s="2"/>
      <c r="JP47" s="2">
        <v>64</v>
      </c>
      <c r="JQ47" s="2"/>
      <c r="JR47" s="2">
        <v>22</v>
      </c>
      <c r="JS47" s="2">
        <v>0</v>
      </c>
      <c r="JT47" s="2">
        <v>0</v>
      </c>
      <c r="JU47" s="2"/>
      <c r="JV47" s="2">
        <v>102</v>
      </c>
      <c r="JW47" s="4">
        <v>1</v>
      </c>
      <c r="JX47" s="2">
        <v>102</v>
      </c>
      <c r="JY47" s="4">
        <v>0.59608000000000005</v>
      </c>
      <c r="JZ47" s="2">
        <v>0</v>
      </c>
      <c r="KA47" s="2"/>
      <c r="KB47" s="2"/>
      <c r="KC47" s="2"/>
      <c r="KD47" s="2"/>
      <c r="KE47" s="2"/>
      <c r="KF47" s="2"/>
      <c r="KG47" s="2"/>
      <c r="KH47" s="2">
        <v>52</v>
      </c>
      <c r="KI47" s="2"/>
      <c r="KJ47" s="2"/>
      <c r="KK47" s="2">
        <v>44</v>
      </c>
      <c r="KL47" s="2">
        <v>6</v>
      </c>
      <c r="KM47" s="2"/>
      <c r="KN47" s="2"/>
      <c r="KO47" s="2"/>
      <c r="KP47" s="2"/>
      <c r="KQ47" s="2" t="s">
        <v>83</v>
      </c>
      <c r="KR47" s="2" t="s">
        <v>73</v>
      </c>
      <c r="KS47" s="2"/>
      <c r="KT47" s="2">
        <v>3</v>
      </c>
      <c r="KU47" s="2" t="s">
        <v>84</v>
      </c>
      <c r="KV47" s="2" t="s">
        <v>85</v>
      </c>
      <c r="KW47" s="2" t="s">
        <v>86</v>
      </c>
      <c r="KX47" s="2" t="s">
        <v>17</v>
      </c>
      <c r="KY47" s="2" t="s">
        <v>17</v>
      </c>
      <c r="KZ47" s="2" t="s">
        <v>17</v>
      </c>
      <c r="LA47" s="2" t="s">
        <v>17</v>
      </c>
      <c r="LB47" s="2" t="s">
        <v>17</v>
      </c>
      <c r="LC47" s="2" t="s">
        <v>17</v>
      </c>
      <c r="LD47" s="2" t="s">
        <v>17</v>
      </c>
      <c r="LE47" s="2" t="s">
        <v>17</v>
      </c>
      <c r="LF47" s="2" t="s">
        <v>17</v>
      </c>
      <c r="LG47" s="2" t="s">
        <v>17</v>
      </c>
      <c r="LH47" s="2" t="s">
        <v>17</v>
      </c>
      <c r="LI47" s="2" t="s">
        <v>17</v>
      </c>
      <c r="LJ47" s="2" t="s">
        <v>87</v>
      </c>
      <c r="LK47" s="2" t="s">
        <v>17</v>
      </c>
      <c r="LL47" s="2" t="s">
        <v>17</v>
      </c>
      <c r="LM47" s="2">
        <v>0</v>
      </c>
      <c r="LN47" s="2" t="s">
        <v>17</v>
      </c>
      <c r="LO47" s="2" t="s">
        <v>9</v>
      </c>
      <c r="LP47" s="2" t="s">
        <v>9</v>
      </c>
      <c r="LQ47" s="2" t="s">
        <v>17</v>
      </c>
      <c r="LR47" s="2" t="s">
        <v>9</v>
      </c>
      <c r="LS47" s="2" t="s">
        <v>17</v>
      </c>
      <c r="LT47" s="2" t="s">
        <v>17</v>
      </c>
      <c r="LU47" s="2" t="s">
        <v>17</v>
      </c>
      <c r="LV47" s="2" t="s">
        <v>17</v>
      </c>
      <c r="LW47" s="2" t="s">
        <v>17</v>
      </c>
      <c r="LX47" s="2" t="s">
        <v>17</v>
      </c>
      <c r="LY47" s="5">
        <v>6500000</v>
      </c>
      <c r="LZ47" s="5">
        <v>0</v>
      </c>
      <c r="MA47" s="5">
        <v>8400000</v>
      </c>
      <c r="MB47" s="5">
        <v>0</v>
      </c>
      <c r="MC47" s="5">
        <v>0</v>
      </c>
      <c r="MD47" s="5">
        <v>0</v>
      </c>
      <c r="ME47" s="5">
        <v>10000000</v>
      </c>
      <c r="MF47" s="5">
        <v>0</v>
      </c>
      <c r="MG47" s="5">
        <v>0</v>
      </c>
      <c r="MH47" s="5">
        <v>0</v>
      </c>
      <c r="MI47" s="5">
        <v>0</v>
      </c>
      <c r="MJ47" s="5">
        <v>0</v>
      </c>
      <c r="MK47" s="5">
        <v>0</v>
      </c>
      <c r="ML47" s="2">
        <v>0</v>
      </c>
      <c r="MM47" s="5">
        <v>0</v>
      </c>
      <c r="MN47" s="5">
        <v>0</v>
      </c>
      <c r="MO47" s="2">
        <v>0</v>
      </c>
      <c r="MP47" s="2">
        <v>0</v>
      </c>
      <c r="MQ47" s="2">
        <v>0</v>
      </c>
      <c r="MR47" s="5">
        <v>2950000</v>
      </c>
      <c r="MS47" s="5">
        <v>0</v>
      </c>
      <c r="MT47" s="5">
        <v>4600000</v>
      </c>
      <c r="MU47" s="5">
        <v>0</v>
      </c>
      <c r="MV47" s="5">
        <v>0</v>
      </c>
      <c r="MW47" s="5">
        <v>0</v>
      </c>
      <c r="MX47" s="5">
        <v>0</v>
      </c>
      <c r="MY47" s="5">
        <v>2500000</v>
      </c>
      <c r="MZ47" s="5">
        <v>0</v>
      </c>
      <c r="NA47" s="5">
        <v>5000000</v>
      </c>
      <c r="NB47" s="5">
        <v>0</v>
      </c>
      <c r="NC47" s="5">
        <v>0</v>
      </c>
      <c r="ND47" s="5">
        <v>0</v>
      </c>
      <c r="NE47" s="5">
        <v>0</v>
      </c>
      <c r="NF47" s="5">
        <v>0</v>
      </c>
      <c r="NG47" s="5">
        <v>3458400</v>
      </c>
      <c r="NH47" s="5">
        <v>3458400</v>
      </c>
      <c r="NI47" s="5">
        <v>3458400</v>
      </c>
      <c r="NJ47" s="5"/>
      <c r="NK47" s="5">
        <v>0</v>
      </c>
      <c r="NL47" s="2" t="s">
        <v>17</v>
      </c>
      <c r="NM47" s="2" t="s">
        <v>17</v>
      </c>
      <c r="NN47" s="2"/>
      <c r="NO47" s="2" t="s">
        <v>17</v>
      </c>
      <c r="NP47" s="2"/>
      <c r="NQ47" s="2"/>
      <c r="NR47" s="2" t="s">
        <v>17</v>
      </c>
      <c r="NS47" s="2"/>
      <c r="NT47" s="2" t="s">
        <v>17</v>
      </c>
      <c r="NU47" s="2"/>
      <c r="NV47" s="2"/>
      <c r="NW47" s="2"/>
      <c r="NX47" s="2" t="s">
        <v>9</v>
      </c>
      <c r="NY47" s="2" t="s">
        <v>88</v>
      </c>
      <c r="NZ47" s="2">
        <v>104</v>
      </c>
      <c r="OA47" s="2" t="s">
        <v>3400</v>
      </c>
      <c r="OB47" s="2" t="s">
        <v>3401</v>
      </c>
      <c r="OC47" s="2" t="s">
        <v>3401</v>
      </c>
      <c r="OD47" s="2" t="s">
        <v>3384</v>
      </c>
      <c r="OE47" s="2" t="s">
        <v>85</v>
      </c>
      <c r="OF47" s="2" t="s">
        <v>17</v>
      </c>
      <c r="OG47" s="2" t="s">
        <v>17</v>
      </c>
      <c r="OH47" s="2"/>
      <c r="OI47" s="2" t="s">
        <v>9</v>
      </c>
      <c r="OJ47" s="2" t="s">
        <v>92</v>
      </c>
      <c r="OK47" s="2" t="s">
        <v>17</v>
      </c>
      <c r="OL47" s="2" t="s">
        <v>17</v>
      </c>
      <c r="OM47" s="2" t="s">
        <v>85</v>
      </c>
      <c r="ON47" s="6">
        <v>0</v>
      </c>
      <c r="OO47" s="6">
        <v>0</v>
      </c>
      <c r="OP47" s="2" t="s">
        <v>93</v>
      </c>
      <c r="OQ47" s="2" t="s">
        <v>93</v>
      </c>
      <c r="OR47" s="6">
        <v>0</v>
      </c>
      <c r="OS47" s="4">
        <v>0</v>
      </c>
      <c r="OT47" s="2" t="s">
        <v>17</v>
      </c>
      <c r="OU47" s="2" t="s">
        <v>17</v>
      </c>
      <c r="OV47" s="2"/>
      <c r="OW47" s="2"/>
      <c r="OX47" s="5">
        <v>23723566</v>
      </c>
      <c r="OY47" s="6">
        <v>232583.98</v>
      </c>
      <c r="OZ47" s="8">
        <v>100000</v>
      </c>
      <c r="PA47" s="8">
        <v>100000</v>
      </c>
      <c r="PB47" s="2"/>
      <c r="PC47" s="2"/>
      <c r="PD47" s="8">
        <v>18502000</v>
      </c>
      <c r="PE47" s="2"/>
      <c r="PF47" s="8">
        <v>18502000</v>
      </c>
      <c r="PG47" s="8">
        <v>1860000</v>
      </c>
      <c r="PH47" s="8">
        <v>390000</v>
      </c>
      <c r="PI47" s="8">
        <v>2250000</v>
      </c>
      <c r="PJ47" s="2"/>
      <c r="PK47" s="2"/>
      <c r="PL47" s="2"/>
      <c r="PM47" s="8">
        <v>20362000</v>
      </c>
      <c r="PN47" s="8">
        <v>490000</v>
      </c>
      <c r="PO47" s="8">
        <v>20852000</v>
      </c>
      <c r="PP47" s="8">
        <v>2919280</v>
      </c>
      <c r="PQ47" s="2"/>
      <c r="PR47" s="8">
        <v>2919280</v>
      </c>
      <c r="PS47" s="6">
        <v>2919280</v>
      </c>
      <c r="PT47" s="8">
        <v>23281280</v>
      </c>
      <c r="PU47" s="8">
        <v>490000</v>
      </c>
      <c r="PV47" s="8">
        <v>23771280</v>
      </c>
      <c r="PW47" s="8">
        <v>1188564</v>
      </c>
      <c r="PX47" s="2"/>
      <c r="PY47" s="8">
        <v>1188564</v>
      </c>
      <c r="PZ47" s="6">
        <v>1188564</v>
      </c>
      <c r="QA47" s="8">
        <v>1260672</v>
      </c>
      <c r="QB47" s="8">
        <v>22498</v>
      </c>
      <c r="QC47" s="8">
        <v>1283170</v>
      </c>
      <c r="QD47" s="8">
        <v>315000</v>
      </c>
      <c r="QE47" s="8">
        <v>210000</v>
      </c>
      <c r="QF47" s="8">
        <v>525000</v>
      </c>
      <c r="QG47" s="8">
        <v>867501</v>
      </c>
      <c r="QH47" s="8">
        <v>169500</v>
      </c>
      <c r="QI47" s="8">
        <v>1037001</v>
      </c>
      <c r="QJ47" s="2"/>
      <c r="QK47" s="8">
        <v>452984</v>
      </c>
      <c r="QL47" s="8">
        <v>452984</v>
      </c>
      <c r="QM47" s="2"/>
      <c r="QN47" s="2">
        <v>0</v>
      </c>
      <c r="QO47" s="2"/>
      <c r="QP47" s="8">
        <v>285600</v>
      </c>
      <c r="QQ47" s="8">
        <v>25000</v>
      </c>
      <c r="QR47" s="8">
        <v>310600</v>
      </c>
      <c r="QS47" s="8">
        <v>2728773</v>
      </c>
      <c r="QT47" s="8">
        <v>879982</v>
      </c>
      <c r="QU47" s="8">
        <v>3608755</v>
      </c>
      <c r="QV47" s="8">
        <v>180437</v>
      </c>
      <c r="QW47" s="2"/>
      <c r="QX47" s="8">
        <v>180437</v>
      </c>
      <c r="QY47" s="6">
        <v>180437.75</v>
      </c>
      <c r="QZ47" s="8">
        <v>1756420</v>
      </c>
      <c r="RA47" s="8">
        <v>994280</v>
      </c>
      <c r="RB47" s="8">
        <v>2750700</v>
      </c>
      <c r="RC47" s="8">
        <v>48750</v>
      </c>
      <c r="RD47" s="8">
        <v>48750</v>
      </c>
      <c r="RE47" s="8">
        <v>21000</v>
      </c>
      <c r="RF47" s="8">
        <v>39000</v>
      </c>
      <c r="RG47" s="8">
        <v>60000</v>
      </c>
      <c r="RH47" s="8">
        <v>1777420</v>
      </c>
      <c r="RI47" s="8">
        <v>1082030</v>
      </c>
      <c r="RJ47" s="8">
        <v>2859450</v>
      </c>
      <c r="RK47" s="8">
        <v>29156474</v>
      </c>
      <c r="RL47" s="8">
        <v>2452012</v>
      </c>
      <c r="RM47" s="8">
        <v>31608486</v>
      </c>
      <c r="RN47" s="2">
        <v>0</v>
      </c>
      <c r="RO47" s="6">
        <v>0</v>
      </c>
      <c r="RP47" s="8">
        <v>5057357</v>
      </c>
      <c r="RQ47" s="2"/>
      <c r="RR47" s="8">
        <v>5057357</v>
      </c>
      <c r="RS47" s="6">
        <v>5057357</v>
      </c>
      <c r="RT47" s="6">
        <v>0</v>
      </c>
      <c r="RU47" s="8">
        <v>5057357</v>
      </c>
      <c r="RV47" s="2"/>
      <c r="RW47" s="8">
        <v>5057357</v>
      </c>
      <c r="RX47" s="6">
        <v>5057357</v>
      </c>
      <c r="RY47" s="8">
        <v>274114</v>
      </c>
      <c r="RZ47" s="8">
        <v>274114</v>
      </c>
      <c r="SA47" s="6">
        <v>357000</v>
      </c>
      <c r="SB47" s="8">
        <v>5280000</v>
      </c>
      <c r="SC47" s="8">
        <v>5280000</v>
      </c>
      <c r="SD47" s="8">
        <v>34213831</v>
      </c>
      <c r="SE47" s="8">
        <v>8006126</v>
      </c>
      <c r="SF47" s="8">
        <v>42219957</v>
      </c>
      <c r="SG47" s="2" t="s">
        <v>4131</v>
      </c>
      <c r="SH47" s="2"/>
      <c r="SI47" s="2" t="s">
        <v>4132</v>
      </c>
      <c r="SJ47" s="2" t="s">
        <v>1567</v>
      </c>
      <c r="SK47" s="8">
        <v>26500000</v>
      </c>
      <c r="SL47" s="2" t="s">
        <v>95</v>
      </c>
      <c r="SM47" s="2"/>
      <c r="SN47" s="2"/>
      <c r="SO47" s="2"/>
      <c r="SP47" s="2"/>
      <c r="SQ47" s="2"/>
      <c r="SR47" s="2"/>
      <c r="SS47" s="2" t="s">
        <v>96</v>
      </c>
      <c r="ST47" s="2" t="s">
        <v>96</v>
      </c>
      <c r="SU47" s="2" t="s">
        <v>96</v>
      </c>
      <c r="SV47" s="2" t="s">
        <v>96</v>
      </c>
      <c r="SW47" s="8">
        <v>12725640</v>
      </c>
      <c r="SX47" s="2"/>
      <c r="SY47" s="2"/>
      <c r="SZ47" s="2"/>
      <c r="TA47" s="2"/>
      <c r="TB47" s="2"/>
      <c r="TC47" s="2"/>
      <c r="TD47" s="8">
        <v>2994317</v>
      </c>
      <c r="TE47" s="8">
        <v>42219957</v>
      </c>
      <c r="TF47" s="2">
        <v>0</v>
      </c>
      <c r="TG47" s="2" t="s">
        <v>9</v>
      </c>
      <c r="TH47" s="8">
        <v>6500000</v>
      </c>
      <c r="TI47" s="2" t="s">
        <v>95</v>
      </c>
      <c r="TJ47" s="2"/>
      <c r="TK47" s="2"/>
      <c r="TL47" s="2"/>
      <c r="TM47" s="2"/>
      <c r="TN47" s="2" t="s">
        <v>96</v>
      </c>
      <c r="TO47" s="2" t="s">
        <v>96</v>
      </c>
      <c r="TP47" s="2" t="s">
        <v>96</v>
      </c>
      <c r="TQ47" s="2" t="s">
        <v>96</v>
      </c>
      <c r="TR47" s="8">
        <v>31814099</v>
      </c>
      <c r="TS47" s="2"/>
      <c r="TT47" s="2"/>
      <c r="TU47" s="2"/>
      <c r="TV47" s="2"/>
      <c r="TW47" s="2"/>
      <c r="TX47" s="2"/>
      <c r="TY47" s="8">
        <v>3905858</v>
      </c>
      <c r="TZ47" s="8">
        <v>42219957</v>
      </c>
      <c r="UA47" s="6">
        <v>6500000</v>
      </c>
      <c r="UB47" s="2">
        <v>0</v>
      </c>
      <c r="UC47" s="2" t="s">
        <v>9</v>
      </c>
      <c r="UD47" s="2">
        <v>102</v>
      </c>
      <c r="UE47" s="5">
        <v>278824</v>
      </c>
      <c r="UF47" s="6">
        <v>371764.71</v>
      </c>
      <c r="UG47" s="6">
        <v>371764.71</v>
      </c>
      <c r="UH47" s="6">
        <v>394070.59</v>
      </c>
      <c r="UI47" s="6">
        <v>40195200</v>
      </c>
      <c r="UJ47" s="6">
        <v>6431232</v>
      </c>
      <c r="UK47" s="2" t="s">
        <v>97</v>
      </c>
      <c r="UL47" s="6">
        <v>6431232</v>
      </c>
      <c r="UM47" s="6">
        <v>46626432</v>
      </c>
      <c r="UN47" s="6">
        <v>36565843</v>
      </c>
      <c r="UO47" s="4">
        <v>0.99990000000000001</v>
      </c>
      <c r="UP47" s="2" t="s">
        <v>9</v>
      </c>
      <c r="UQ47" s="6">
        <v>0</v>
      </c>
      <c r="UR47" s="6">
        <v>0</v>
      </c>
      <c r="US47" s="6">
        <v>769540</v>
      </c>
      <c r="UT47" s="6">
        <v>769540</v>
      </c>
      <c r="UU47" s="6">
        <v>0</v>
      </c>
      <c r="UV47" s="6">
        <v>769540</v>
      </c>
      <c r="UW47" s="6">
        <v>0</v>
      </c>
      <c r="UX47" s="6">
        <v>769540</v>
      </c>
      <c r="UY47" s="2" t="s">
        <v>3332</v>
      </c>
      <c r="UZ47" s="2" t="s">
        <v>3288</v>
      </c>
      <c r="VA47" s="2" t="s">
        <v>17</v>
      </c>
      <c r="VB47" s="2" t="s">
        <v>17</v>
      </c>
      <c r="VC47" s="2" t="s">
        <v>17</v>
      </c>
      <c r="VD47" s="2" t="s">
        <v>17</v>
      </c>
      <c r="VE47" s="2" t="s">
        <v>17</v>
      </c>
      <c r="VF47" s="2" t="s">
        <v>17</v>
      </c>
      <c r="VG47" s="2" t="s">
        <v>4133</v>
      </c>
      <c r="VH47" s="2"/>
      <c r="VI47" s="388" t="s">
        <v>1132</v>
      </c>
      <c r="VJ47" s="2" t="s">
        <v>98</v>
      </c>
      <c r="VK47" s="2" t="s">
        <v>1168</v>
      </c>
      <c r="VL47" s="23">
        <f t="shared" si="21"/>
        <v>158</v>
      </c>
      <c r="VM47" s="17">
        <f t="shared" si="22"/>
        <v>1.5490196078431373</v>
      </c>
      <c r="VN47" s="17" t="str">
        <f t="shared" si="2"/>
        <v>NC-MR-F</v>
      </c>
      <c r="VO47" s="17" t="str">
        <f t="shared" si="14"/>
        <v>NC-MR-F-ESS</v>
      </c>
      <c r="VP47" s="12">
        <v>9</v>
      </c>
      <c r="VQ47" s="57">
        <v>1</v>
      </c>
      <c r="VR47" s="57">
        <f t="shared" si="3"/>
        <v>1</v>
      </c>
      <c r="VS47" s="14">
        <f t="shared" si="4"/>
        <v>1</v>
      </c>
      <c r="VT47" s="12">
        <f t="shared" si="5"/>
        <v>0.91249411764705879</v>
      </c>
      <c r="VU47" s="29">
        <f t="shared" si="6"/>
        <v>28401926.908235293</v>
      </c>
      <c r="VV47" s="29">
        <f t="shared" si="23"/>
        <v>278450.26</v>
      </c>
      <c r="VW47" s="12" t="str">
        <f t="shared" si="15"/>
        <v>B</v>
      </c>
      <c r="VX47" s="12" t="str">
        <f t="shared" si="24"/>
        <v>NC-MR-ESS</v>
      </c>
      <c r="VY47" s="352">
        <f t="shared" si="16"/>
        <v>5</v>
      </c>
      <c r="WA47" s="12">
        <f t="shared" si="17"/>
        <v>0</v>
      </c>
      <c r="WB47" s="12">
        <f t="shared" si="18"/>
        <v>0</v>
      </c>
      <c r="WC47" s="12">
        <f t="shared" si="18"/>
        <v>0</v>
      </c>
      <c r="WD47" s="12">
        <f t="shared" si="18"/>
        <v>0</v>
      </c>
      <c r="WE47" s="12">
        <f t="shared" si="19"/>
        <v>1</v>
      </c>
      <c r="WF47" s="12">
        <f t="shared" si="25"/>
        <v>1</v>
      </c>
      <c r="WG47" s="12">
        <f t="shared" si="26"/>
        <v>1</v>
      </c>
      <c r="WH47" s="12">
        <f t="shared" si="27"/>
        <v>0</v>
      </c>
      <c r="WI47" s="22">
        <f t="shared" si="28"/>
        <v>3</v>
      </c>
      <c r="WJ47" s="2"/>
      <c r="WK47" s="444" t="str">
        <f t="shared" si="20"/>
        <v>NC-MR-ESS-BBN-BRN-NPH-F</v>
      </c>
      <c r="WL47" s="444"/>
      <c r="WM47" s="444"/>
    </row>
    <row r="48" spans="1:611" x14ac:dyDescent="0.25">
      <c r="A48" s="2">
        <v>9681</v>
      </c>
      <c r="B48" s="2" t="s">
        <v>4134</v>
      </c>
      <c r="C48" s="2" t="s">
        <v>3305</v>
      </c>
      <c r="D48" s="3">
        <v>45159</v>
      </c>
      <c r="E48" s="2" t="s">
        <v>9</v>
      </c>
      <c r="F48" s="2">
        <v>3</v>
      </c>
      <c r="G48" s="2" t="s">
        <v>9</v>
      </c>
      <c r="H48" s="2">
        <v>3</v>
      </c>
      <c r="I48" s="2" t="s">
        <v>9</v>
      </c>
      <c r="J48" s="2">
        <v>3</v>
      </c>
      <c r="K48" s="2" t="s">
        <v>9</v>
      </c>
      <c r="L48" s="2">
        <v>3</v>
      </c>
      <c r="M48" s="2" t="s">
        <v>10</v>
      </c>
      <c r="N48" s="2">
        <v>0</v>
      </c>
      <c r="O48" s="2" t="s">
        <v>10</v>
      </c>
      <c r="P48" s="2">
        <v>0</v>
      </c>
      <c r="Q48" s="2" t="s">
        <v>11</v>
      </c>
      <c r="R48" s="2">
        <v>0</v>
      </c>
      <c r="S48" s="2" t="s">
        <v>9</v>
      </c>
      <c r="T48" s="2">
        <v>2</v>
      </c>
      <c r="U48" s="2" t="s">
        <v>9</v>
      </c>
      <c r="V48" s="2">
        <v>2</v>
      </c>
      <c r="W48" s="2" t="s">
        <v>9</v>
      </c>
      <c r="X48" s="2">
        <v>2</v>
      </c>
      <c r="Y48" s="2" t="s">
        <v>12</v>
      </c>
      <c r="Z48" s="2" t="s">
        <v>15</v>
      </c>
      <c r="AA48" s="2" t="s">
        <v>15</v>
      </c>
      <c r="AB48" s="2" t="s">
        <v>15</v>
      </c>
      <c r="AC48" s="2" t="s">
        <v>15</v>
      </c>
      <c r="AD48" s="2" t="s">
        <v>15</v>
      </c>
      <c r="AE48" s="2" t="s">
        <v>188</v>
      </c>
      <c r="AF48" s="2">
        <v>0</v>
      </c>
      <c r="AG48" s="2" t="s">
        <v>234</v>
      </c>
      <c r="AH48" s="2" t="s">
        <v>17</v>
      </c>
      <c r="AI48" s="4">
        <v>0.1</v>
      </c>
      <c r="AJ48" s="2" t="s">
        <v>17</v>
      </c>
      <c r="AK48" s="2" t="s">
        <v>9</v>
      </c>
      <c r="AL48" s="2" t="s">
        <v>17</v>
      </c>
      <c r="AM48" s="2" t="s">
        <v>17</v>
      </c>
      <c r="AN48" s="2" t="s">
        <v>17</v>
      </c>
      <c r="AO48" s="2" t="s">
        <v>9</v>
      </c>
      <c r="AP48" s="2" t="s">
        <v>17</v>
      </c>
      <c r="AQ48" s="2" t="s">
        <v>17</v>
      </c>
      <c r="AR48" s="2" t="s">
        <v>17</v>
      </c>
      <c r="AS48" s="2" t="s">
        <v>17</v>
      </c>
      <c r="AT48" s="2">
        <v>5</v>
      </c>
      <c r="AU48" s="5">
        <v>100000</v>
      </c>
      <c r="AV48" s="2" t="s">
        <v>85</v>
      </c>
      <c r="AW48" s="2">
        <v>0</v>
      </c>
      <c r="AX48" s="2">
        <v>9</v>
      </c>
      <c r="AY48" s="2">
        <v>0</v>
      </c>
      <c r="AZ48" s="2">
        <v>18</v>
      </c>
      <c r="BA48" s="2">
        <v>0</v>
      </c>
      <c r="BB48" s="2">
        <v>0</v>
      </c>
      <c r="BC48" s="2">
        <v>1</v>
      </c>
      <c r="BD48" s="2">
        <v>5</v>
      </c>
      <c r="BE48" s="2">
        <v>0</v>
      </c>
      <c r="BF48" s="2">
        <v>1</v>
      </c>
      <c r="BG48" s="2">
        <v>0</v>
      </c>
      <c r="BH48" s="2">
        <v>0</v>
      </c>
      <c r="BI48" s="2">
        <v>13</v>
      </c>
      <c r="BJ48" s="2">
        <v>1</v>
      </c>
      <c r="BK48" s="2">
        <v>0</v>
      </c>
      <c r="BL48" s="2">
        <v>3</v>
      </c>
      <c r="BM48" s="2">
        <v>1</v>
      </c>
      <c r="BN48" s="2">
        <v>10</v>
      </c>
      <c r="BO48" s="2">
        <v>11</v>
      </c>
      <c r="BP48" s="2">
        <v>0</v>
      </c>
      <c r="BQ48" s="2">
        <v>10</v>
      </c>
      <c r="BR48" s="2">
        <v>8.92</v>
      </c>
      <c r="BS48" s="2">
        <v>0</v>
      </c>
      <c r="BT48" s="4">
        <v>0.06</v>
      </c>
      <c r="BU48" s="2" t="s">
        <v>9</v>
      </c>
      <c r="BV48" s="6">
        <v>244035</v>
      </c>
      <c r="BW48" s="2" t="s">
        <v>18</v>
      </c>
      <c r="BX48" s="2" t="s">
        <v>17</v>
      </c>
      <c r="BY48" s="2" t="s">
        <v>17</v>
      </c>
      <c r="BZ48" s="2" t="s">
        <v>17</v>
      </c>
      <c r="CA48" s="2" t="s">
        <v>17</v>
      </c>
      <c r="CB48" s="2" t="s">
        <v>17</v>
      </c>
      <c r="CC48" s="2" t="s">
        <v>17</v>
      </c>
      <c r="CD48" s="2" t="s">
        <v>17</v>
      </c>
      <c r="CE48" s="2" t="s">
        <v>4135</v>
      </c>
      <c r="CF48" s="2" t="s">
        <v>17</v>
      </c>
      <c r="CG48" s="2" t="s">
        <v>4136</v>
      </c>
      <c r="CH48" s="2"/>
      <c r="CI48" s="2"/>
      <c r="CJ48" s="2" t="s">
        <v>9</v>
      </c>
      <c r="CK48" s="2" t="s">
        <v>3353</v>
      </c>
      <c r="CL48" s="2" t="s">
        <v>3354</v>
      </c>
      <c r="CM48" s="2" t="s">
        <v>3355</v>
      </c>
      <c r="CN48" s="2" t="s">
        <v>330</v>
      </c>
      <c r="CO48" s="2" t="s">
        <v>24</v>
      </c>
      <c r="CP48" s="2"/>
      <c r="CQ48" s="2">
        <v>139</v>
      </c>
      <c r="CR48" s="2" t="s">
        <v>3029</v>
      </c>
      <c r="CS48" s="2">
        <v>2018</v>
      </c>
      <c r="CT48" s="2" t="s">
        <v>26</v>
      </c>
      <c r="CU48" s="2" t="s">
        <v>27</v>
      </c>
      <c r="CV48" s="2" t="s">
        <v>3357</v>
      </c>
      <c r="CW48" s="2" t="s">
        <v>330</v>
      </c>
      <c r="CX48" s="2" t="s">
        <v>24</v>
      </c>
      <c r="CY48" s="2"/>
      <c r="CZ48" s="2">
        <v>150</v>
      </c>
      <c r="DA48" s="2" t="s">
        <v>3029</v>
      </c>
      <c r="DB48" s="2">
        <v>2018</v>
      </c>
      <c r="DC48" s="2" t="s">
        <v>30</v>
      </c>
      <c r="DD48" s="2" t="s">
        <v>27</v>
      </c>
      <c r="DE48" s="2" t="s">
        <v>3358</v>
      </c>
      <c r="DF48" s="2" t="s">
        <v>330</v>
      </c>
      <c r="DG48" s="2" t="s">
        <v>24</v>
      </c>
      <c r="DH48" s="2"/>
      <c r="DI48" s="2">
        <v>132</v>
      </c>
      <c r="DJ48" s="2" t="s">
        <v>3029</v>
      </c>
      <c r="DK48" s="2">
        <v>2013</v>
      </c>
      <c r="DL48" s="2" t="s">
        <v>30</v>
      </c>
      <c r="DM48" s="2" t="s">
        <v>27</v>
      </c>
      <c r="DN48" s="2" t="s">
        <v>33</v>
      </c>
      <c r="DO48" s="2" t="s">
        <v>656</v>
      </c>
      <c r="DP48" s="2" t="s">
        <v>3359</v>
      </c>
      <c r="DQ48" s="2" t="s">
        <v>3360</v>
      </c>
      <c r="DR48" s="2" t="s">
        <v>3361</v>
      </c>
      <c r="DS48" s="2">
        <v>1</v>
      </c>
      <c r="DT48" s="2" t="s">
        <v>3362</v>
      </c>
      <c r="DU48" s="2" t="s">
        <v>1144</v>
      </c>
      <c r="DV48" s="2" t="s">
        <v>39</v>
      </c>
      <c r="DW48" s="2">
        <v>33701</v>
      </c>
      <c r="DX48" s="2" t="s">
        <v>3363</v>
      </c>
      <c r="DY48" s="2"/>
      <c r="DZ48" s="2" t="s">
        <v>3364</v>
      </c>
      <c r="EA48" s="2" t="s">
        <v>3361</v>
      </c>
      <c r="EB48" s="2" t="s">
        <v>3365</v>
      </c>
      <c r="EC48" s="2" t="s">
        <v>3366</v>
      </c>
      <c r="ED48" s="2" t="s">
        <v>44</v>
      </c>
      <c r="EE48" s="2">
        <v>110</v>
      </c>
      <c r="EF48" s="2" t="s">
        <v>3030</v>
      </c>
      <c r="EG48" s="2">
        <v>2</v>
      </c>
      <c r="EH48" s="2" t="s">
        <v>46</v>
      </c>
      <c r="EI48" s="2" t="s">
        <v>47</v>
      </c>
      <c r="EJ48" s="2" t="s">
        <v>3368</v>
      </c>
      <c r="EK48" s="2" t="s">
        <v>3369</v>
      </c>
      <c r="EL48" s="2" t="s">
        <v>44</v>
      </c>
      <c r="EM48" s="2">
        <v>104</v>
      </c>
      <c r="EN48" s="2" t="s">
        <v>3030</v>
      </c>
      <c r="EO48" s="2">
        <v>4</v>
      </c>
      <c r="EP48" s="2" t="s">
        <v>46</v>
      </c>
      <c r="EQ48" s="2" t="s">
        <v>47</v>
      </c>
      <c r="ER48" s="2" t="s">
        <v>3370</v>
      </c>
      <c r="ES48" s="2" t="s">
        <v>951</v>
      </c>
      <c r="ET48" s="2" t="s">
        <v>3371</v>
      </c>
      <c r="EU48" s="2" t="s">
        <v>4135</v>
      </c>
      <c r="EV48" s="2" t="s">
        <v>3372</v>
      </c>
      <c r="EW48" s="2" t="s">
        <v>299</v>
      </c>
      <c r="EX48" s="2" t="s">
        <v>39</v>
      </c>
      <c r="EY48" s="2">
        <v>33147</v>
      </c>
      <c r="EZ48" s="2" t="s">
        <v>3373</v>
      </c>
      <c r="FA48" s="2"/>
      <c r="FB48" s="2" t="s">
        <v>3374</v>
      </c>
      <c r="FC48" s="2" t="s">
        <v>3375</v>
      </c>
      <c r="FD48" s="2" t="s">
        <v>295</v>
      </c>
      <c r="FE48" s="2" t="s">
        <v>3376</v>
      </c>
      <c r="FF48" s="2" t="s">
        <v>4135</v>
      </c>
      <c r="FG48" s="2" t="s">
        <v>3372</v>
      </c>
      <c r="FH48" s="2" t="s">
        <v>299</v>
      </c>
      <c r="FI48" s="2" t="s">
        <v>39</v>
      </c>
      <c r="FJ48" s="2">
        <v>33147</v>
      </c>
      <c r="FK48" s="2" t="s">
        <v>3373</v>
      </c>
      <c r="FL48" s="2"/>
      <c r="FM48" s="2" t="s">
        <v>3377</v>
      </c>
      <c r="FN48" s="2" t="s">
        <v>4137</v>
      </c>
      <c r="FO48" s="2" t="s">
        <v>63</v>
      </c>
      <c r="FP48" s="2" t="s">
        <v>64</v>
      </c>
      <c r="FQ48" s="2" t="s">
        <v>9</v>
      </c>
      <c r="FR48" s="2" t="s">
        <v>17</v>
      </c>
      <c r="FS48" s="2" t="s">
        <v>17</v>
      </c>
      <c r="FT48" s="2" t="s">
        <v>9</v>
      </c>
      <c r="FU48" s="2"/>
      <c r="FV48" s="2"/>
      <c r="FW48" s="2">
        <v>0</v>
      </c>
      <c r="FX48" s="2">
        <v>0</v>
      </c>
      <c r="FY48" s="4">
        <v>0</v>
      </c>
      <c r="FZ48" s="4">
        <v>0</v>
      </c>
      <c r="GA48" s="2" t="s">
        <v>65</v>
      </c>
      <c r="GB48" s="2"/>
      <c r="GC48" s="2" t="s">
        <v>66</v>
      </c>
      <c r="GD48" s="2" t="s">
        <v>67</v>
      </c>
      <c r="GE48" s="2" t="s">
        <v>1612</v>
      </c>
      <c r="GF48" s="2"/>
      <c r="GG48" s="2"/>
      <c r="GH48" s="2"/>
      <c r="GI48" s="2">
        <v>75</v>
      </c>
      <c r="GJ48" s="2"/>
      <c r="GK48" s="2"/>
      <c r="GL48" s="2"/>
      <c r="GM48" s="2"/>
      <c r="GN48" s="2"/>
      <c r="GO48" s="2"/>
      <c r="GP48" s="2"/>
      <c r="GQ48" s="2">
        <v>75</v>
      </c>
      <c r="GR48" s="2" t="s">
        <v>3332</v>
      </c>
      <c r="GS48" s="2" t="s">
        <v>2686</v>
      </c>
      <c r="GT48" s="2" t="s">
        <v>4138</v>
      </c>
      <c r="GU48" s="2" t="s">
        <v>4139</v>
      </c>
      <c r="GV48" s="2" t="s">
        <v>17</v>
      </c>
      <c r="GW48" s="2">
        <v>25.823771000000001</v>
      </c>
      <c r="GX48" s="2">
        <v>-80.239621999999997</v>
      </c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>
        <v>25.822008</v>
      </c>
      <c r="HS48" s="2">
        <v>-80.241258999999999</v>
      </c>
      <c r="HT48" s="2">
        <v>0.16</v>
      </c>
      <c r="HU48" s="2">
        <v>6</v>
      </c>
      <c r="HV48" s="2"/>
      <c r="HW48" s="2"/>
      <c r="HX48" s="2"/>
      <c r="HY48" s="2"/>
      <c r="HZ48" s="2" t="s">
        <v>4119</v>
      </c>
      <c r="IA48" s="2" t="s">
        <v>4140</v>
      </c>
      <c r="IB48" s="2">
        <v>0.16</v>
      </c>
      <c r="IC48" s="2">
        <v>4</v>
      </c>
      <c r="ID48" s="2" t="s">
        <v>224</v>
      </c>
      <c r="IE48" s="2">
        <v>0.45</v>
      </c>
      <c r="IF48" s="2">
        <v>3.5</v>
      </c>
      <c r="IG48" s="2" t="s">
        <v>3819</v>
      </c>
      <c r="IH48" s="2">
        <v>0.35</v>
      </c>
      <c r="II48" s="2">
        <v>4</v>
      </c>
      <c r="IJ48" s="2" t="s">
        <v>9</v>
      </c>
      <c r="IK48" s="2" t="s">
        <v>3820</v>
      </c>
      <c r="IL48" s="2" t="s">
        <v>3414</v>
      </c>
      <c r="IM48" s="2" t="s">
        <v>9</v>
      </c>
      <c r="IN48" s="2" t="s">
        <v>3821</v>
      </c>
      <c r="IO48" s="2" t="s">
        <v>3414</v>
      </c>
      <c r="IP48" s="2">
        <v>6</v>
      </c>
      <c r="IQ48" s="2">
        <v>11.5</v>
      </c>
      <c r="IR48" s="2">
        <v>17.5</v>
      </c>
      <c r="IS48" s="2" t="s">
        <v>17</v>
      </c>
      <c r="IT48" s="2" t="s">
        <v>17</v>
      </c>
      <c r="IU48" s="2" t="s">
        <v>9</v>
      </c>
      <c r="IV48" s="2" t="s">
        <v>9</v>
      </c>
      <c r="IW48" s="2" t="s">
        <v>9</v>
      </c>
      <c r="IX48" s="2" t="s">
        <v>9</v>
      </c>
      <c r="IY48" s="2">
        <v>17.5</v>
      </c>
      <c r="IZ48" s="2">
        <v>75</v>
      </c>
      <c r="JA48" s="2" t="s">
        <v>2731</v>
      </c>
      <c r="JB48" s="2"/>
      <c r="JC48" s="2" t="s">
        <v>173</v>
      </c>
      <c r="JD48" s="7">
        <v>0.1</v>
      </c>
      <c r="JE48" s="7">
        <v>0.9</v>
      </c>
      <c r="JF48" s="7">
        <v>0</v>
      </c>
      <c r="JG48" s="7"/>
      <c r="JH48" s="7"/>
      <c r="JI48" s="2">
        <v>75</v>
      </c>
      <c r="JJ48" s="7">
        <v>1</v>
      </c>
      <c r="JK48" s="2">
        <v>75</v>
      </c>
      <c r="JL48" s="7">
        <v>1</v>
      </c>
      <c r="JM48" s="2"/>
      <c r="JN48" s="2"/>
      <c r="JO48" s="2"/>
      <c r="JP48" s="2"/>
      <c r="JQ48" s="2"/>
      <c r="JR48" s="2"/>
      <c r="JS48" s="2">
        <v>0</v>
      </c>
      <c r="JT48" s="2">
        <v>0</v>
      </c>
      <c r="JU48" s="2"/>
      <c r="JV48" s="2">
        <v>0</v>
      </c>
      <c r="JW48" s="4">
        <v>0</v>
      </c>
      <c r="JX48" s="2">
        <v>0</v>
      </c>
      <c r="JY48" s="4">
        <v>0</v>
      </c>
      <c r="JZ48" s="2">
        <v>0</v>
      </c>
      <c r="KA48" s="2"/>
      <c r="KB48" s="2"/>
      <c r="KC48" s="2"/>
      <c r="KD48" s="2"/>
      <c r="KE48" s="2"/>
      <c r="KF48" s="2"/>
      <c r="KG48" s="2"/>
      <c r="KH48" s="2">
        <v>22</v>
      </c>
      <c r="KI48" s="2"/>
      <c r="KJ48" s="2"/>
      <c r="KK48" s="2">
        <v>46</v>
      </c>
      <c r="KL48" s="2">
        <v>7</v>
      </c>
      <c r="KM48" s="2"/>
      <c r="KN48" s="2"/>
      <c r="KO48" s="2"/>
      <c r="KP48" s="2"/>
      <c r="KQ48" s="2" t="s">
        <v>83</v>
      </c>
      <c r="KR48" s="2" t="s">
        <v>73</v>
      </c>
      <c r="KS48" s="2"/>
      <c r="KT48" s="2">
        <v>1</v>
      </c>
      <c r="KU48" s="2" t="s">
        <v>84</v>
      </c>
      <c r="KV48" s="2" t="s">
        <v>85</v>
      </c>
      <c r="KW48" s="2" t="s">
        <v>86</v>
      </c>
      <c r="KX48" s="2" t="s">
        <v>17</v>
      </c>
      <c r="KY48" s="2" t="s">
        <v>17</v>
      </c>
      <c r="KZ48" s="2" t="s">
        <v>17</v>
      </c>
      <c r="LA48" s="2" t="s">
        <v>17</v>
      </c>
      <c r="LB48" s="2" t="s">
        <v>17</v>
      </c>
      <c r="LC48" s="2" t="s">
        <v>17</v>
      </c>
      <c r="LD48" s="2" t="s">
        <v>17</v>
      </c>
      <c r="LE48" s="2" t="s">
        <v>17</v>
      </c>
      <c r="LF48" s="2" t="s">
        <v>17</v>
      </c>
      <c r="LG48" s="2" t="s">
        <v>17</v>
      </c>
      <c r="LH48" s="2" t="s">
        <v>17</v>
      </c>
      <c r="LI48" s="2" t="s">
        <v>17</v>
      </c>
      <c r="LJ48" s="2" t="s">
        <v>87</v>
      </c>
      <c r="LK48" s="2" t="s">
        <v>17</v>
      </c>
      <c r="LL48" s="2" t="s">
        <v>17</v>
      </c>
      <c r="LM48" s="2">
        <v>0</v>
      </c>
      <c r="LN48" s="2" t="s">
        <v>9</v>
      </c>
      <c r="LO48" s="2" t="s">
        <v>9</v>
      </c>
      <c r="LP48" s="2" t="s">
        <v>17</v>
      </c>
      <c r="LQ48" s="2" t="s">
        <v>17</v>
      </c>
      <c r="LR48" s="2" t="s">
        <v>9</v>
      </c>
      <c r="LS48" s="2" t="s">
        <v>17</v>
      </c>
      <c r="LT48" s="2" t="s">
        <v>17</v>
      </c>
      <c r="LU48" s="2" t="s">
        <v>17</v>
      </c>
      <c r="LV48" s="2" t="s">
        <v>17</v>
      </c>
      <c r="LW48" s="2" t="s">
        <v>17</v>
      </c>
      <c r="LX48" s="2" t="s">
        <v>17</v>
      </c>
      <c r="LY48" s="5">
        <v>6000000</v>
      </c>
      <c r="LZ48" s="5">
        <v>0</v>
      </c>
      <c r="MA48" s="5">
        <v>7500000</v>
      </c>
      <c r="MB48" s="5">
        <v>0</v>
      </c>
      <c r="MC48" s="5">
        <v>0</v>
      </c>
      <c r="MD48" s="5">
        <v>0</v>
      </c>
      <c r="ME48" s="5">
        <v>7875000</v>
      </c>
      <c r="MF48" s="5">
        <v>0</v>
      </c>
      <c r="MG48" s="5">
        <v>0</v>
      </c>
      <c r="MH48" s="5">
        <v>0</v>
      </c>
      <c r="MI48" s="5">
        <v>0</v>
      </c>
      <c r="MJ48" s="5">
        <v>0</v>
      </c>
      <c r="MK48" s="5">
        <v>0</v>
      </c>
      <c r="ML48" s="2">
        <v>0</v>
      </c>
      <c r="MM48" s="5">
        <v>0</v>
      </c>
      <c r="MN48" s="5">
        <v>0</v>
      </c>
      <c r="MO48" s="2">
        <v>0</v>
      </c>
      <c r="MP48" s="2">
        <v>0</v>
      </c>
      <c r="MQ48" s="2">
        <v>0</v>
      </c>
      <c r="MR48" s="5">
        <v>2950000</v>
      </c>
      <c r="MS48" s="5">
        <v>0</v>
      </c>
      <c r="MT48" s="5">
        <v>4600000</v>
      </c>
      <c r="MU48" s="5">
        <v>0</v>
      </c>
      <c r="MV48" s="5">
        <v>0</v>
      </c>
      <c r="MW48" s="5">
        <v>0</v>
      </c>
      <c r="MX48" s="5">
        <v>0</v>
      </c>
      <c r="MY48" s="5">
        <v>2500000</v>
      </c>
      <c r="MZ48" s="5">
        <v>0</v>
      </c>
      <c r="NA48" s="5">
        <v>5000000</v>
      </c>
      <c r="NB48" s="5">
        <v>0</v>
      </c>
      <c r="NC48" s="5">
        <v>0</v>
      </c>
      <c r="ND48" s="5">
        <v>0</v>
      </c>
      <c r="NE48" s="5">
        <v>0</v>
      </c>
      <c r="NF48" s="5">
        <v>0</v>
      </c>
      <c r="NG48" s="5">
        <v>3458400</v>
      </c>
      <c r="NH48" s="5">
        <v>2750000</v>
      </c>
      <c r="NI48" s="5">
        <v>2750000</v>
      </c>
      <c r="NJ48" s="5"/>
      <c r="NK48" s="5">
        <v>0</v>
      </c>
      <c r="NL48" s="2" t="s">
        <v>17</v>
      </c>
      <c r="NM48" s="2" t="s">
        <v>17</v>
      </c>
      <c r="NN48" s="2"/>
      <c r="NO48" s="2" t="s">
        <v>17</v>
      </c>
      <c r="NP48" s="2"/>
      <c r="NQ48" s="2"/>
      <c r="NR48" s="2" t="s">
        <v>17</v>
      </c>
      <c r="NS48" s="2"/>
      <c r="NT48" s="2" t="s">
        <v>9</v>
      </c>
      <c r="NU48" s="2" t="s">
        <v>450</v>
      </c>
      <c r="NV48" s="2">
        <v>18.03</v>
      </c>
      <c r="NW48" s="2" t="s">
        <v>3342</v>
      </c>
      <c r="NX48" s="2" t="s">
        <v>17</v>
      </c>
      <c r="NY48" s="2"/>
      <c r="NZ48" s="2"/>
      <c r="OA48" s="2" t="s">
        <v>118</v>
      </c>
      <c r="OB48" s="2" t="s">
        <v>118</v>
      </c>
      <c r="OC48" s="2" t="s">
        <v>118</v>
      </c>
      <c r="OD48" s="2" t="s">
        <v>3343</v>
      </c>
      <c r="OE48" s="2" t="s">
        <v>3822</v>
      </c>
      <c r="OF48" s="2"/>
      <c r="OG48" s="2" t="s">
        <v>17</v>
      </c>
      <c r="OH48" s="2" t="s">
        <v>119</v>
      </c>
      <c r="OI48" s="2" t="s">
        <v>17</v>
      </c>
      <c r="OJ48" s="2"/>
      <c r="OK48" s="2" t="s">
        <v>17</v>
      </c>
      <c r="OL48" s="2" t="s">
        <v>17</v>
      </c>
      <c r="OM48" s="2" t="s">
        <v>85</v>
      </c>
      <c r="ON48" s="6">
        <v>0</v>
      </c>
      <c r="OO48" s="6">
        <v>0</v>
      </c>
      <c r="OP48" s="2" t="s">
        <v>93</v>
      </c>
      <c r="OQ48" s="2" t="s">
        <v>93</v>
      </c>
      <c r="OR48" s="6">
        <v>0</v>
      </c>
      <c r="OS48" s="4">
        <v>0</v>
      </c>
      <c r="OT48" s="2" t="s">
        <v>17</v>
      </c>
      <c r="OU48" s="2" t="s">
        <v>17</v>
      </c>
      <c r="OV48" s="2"/>
      <c r="OW48" s="2"/>
      <c r="OX48" s="5">
        <v>18302625</v>
      </c>
      <c r="OY48" s="6">
        <v>244035</v>
      </c>
      <c r="OZ48" s="2"/>
      <c r="PA48" s="2"/>
      <c r="PB48" s="2"/>
      <c r="PC48" s="2"/>
      <c r="PD48" s="8">
        <v>16000000</v>
      </c>
      <c r="PE48" s="2"/>
      <c r="PF48" s="8">
        <v>16000000</v>
      </c>
      <c r="PG48" s="2"/>
      <c r="PH48" s="2"/>
      <c r="PI48" s="2"/>
      <c r="PJ48" s="2"/>
      <c r="PK48" s="2"/>
      <c r="PL48" s="2"/>
      <c r="PM48" s="8">
        <v>16000000</v>
      </c>
      <c r="PN48" s="2"/>
      <c r="PO48" s="8">
        <v>16000000</v>
      </c>
      <c r="PP48" s="8">
        <v>2240000</v>
      </c>
      <c r="PQ48" s="2"/>
      <c r="PR48" s="8">
        <v>2240000</v>
      </c>
      <c r="PS48" s="6">
        <v>2240000</v>
      </c>
      <c r="PT48" s="8">
        <v>18240000</v>
      </c>
      <c r="PU48" s="2"/>
      <c r="PV48" s="8">
        <v>18240000</v>
      </c>
      <c r="PW48" s="8">
        <v>912000</v>
      </c>
      <c r="PX48" s="2"/>
      <c r="PY48" s="8">
        <v>912000</v>
      </c>
      <c r="PZ48" s="6">
        <v>912000</v>
      </c>
      <c r="QA48" s="8">
        <v>1093000</v>
      </c>
      <c r="QB48" s="8">
        <v>92210</v>
      </c>
      <c r="QC48" s="8">
        <v>1185210</v>
      </c>
      <c r="QD48" s="8">
        <v>443750</v>
      </c>
      <c r="QE48" s="2"/>
      <c r="QF48" s="8">
        <v>443750</v>
      </c>
      <c r="QG48" s="8">
        <v>652500</v>
      </c>
      <c r="QH48" s="2"/>
      <c r="QI48" s="8">
        <v>652500</v>
      </c>
      <c r="QJ48" s="2"/>
      <c r="QK48" s="8">
        <v>409868</v>
      </c>
      <c r="QL48" s="8">
        <v>409868</v>
      </c>
      <c r="QM48" s="2"/>
      <c r="QN48" s="2"/>
      <c r="QO48" s="2"/>
      <c r="QP48" s="2"/>
      <c r="QQ48" s="8">
        <v>81000</v>
      </c>
      <c r="QR48" s="8">
        <v>81000</v>
      </c>
      <c r="QS48" s="8">
        <v>2189250</v>
      </c>
      <c r="QT48" s="8">
        <v>583078</v>
      </c>
      <c r="QU48" s="8">
        <v>2772328</v>
      </c>
      <c r="QV48" s="8">
        <v>138616</v>
      </c>
      <c r="QW48" s="2"/>
      <c r="QX48" s="8">
        <v>138616</v>
      </c>
      <c r="QY48" s="6">
        <v>138616.4</v>
      </c>
      <c r="QZ48" s="8">
        <v>2797200</v>
      </c>
      <c r="RA48" s="8">
        <v>451396</v>
      </c>
      <c r="RB48" s="8">
        <v>3248596</v>
      </c>
      <c r="RC48" s="2"/>
      <c r="RD48" s="2"/>
      <c r="RE48" s="2"/>
      <c r="RF48" s="2"/>
      <c r="RG48" s="2"/>
      <c r="RH48" s="8">
        <v>2797200</v>
      </c>
      <c r="RI48" s="8">
        <v>451396</v>
      </c>
      <c r="RJ48" s="8">
        <v>3248596</v>
      </c>
      <c r="RK48" s="8">
        <v>24277066</v>
      </c>
      <c r="RL48" s="8">
        <v>1034474</v>
      </c>
      <c r="RM48" s="8">
        <v>25311540</v>
      </c>
      <c r="RN48" s="2">
        <v>0</v>
      </c>
      <c r="RO48" s="6">
        <v>0</v>
      </c>
      <c r="RP48" s="8">
        <v>4049846</v>
      </c>
      <c r="RQ48" s="2"/>
      <c r="RR48" s="8">
        <v>4049846</v>
      </c>
      <c r="RS48" s="6">
        <v>4049846</v>
      </c>
      <c r="RT48" s="6">
        <v>0</v>
      </c>
      <c r="RU48" s="8">
        <v>4049846</v>
      </c>
      <c r="RV48" s="2"/>
      <c r="RW48" s="8">
        <v>4049846</v>
      </c>
      <c r="RX48" s="6">
        <v>4049846</v>
      </c>
      <c r="RY48" s="2"/>
      <c r="RZ48" s="2"/>
      <c r="SA48" s="6">
        <v>262500</v>
      </c>
      <c r="SB48" s="8">
        <v>1500000</v>
      </c>
      <c r="SC48" s="8">
        <v>1500000</v>
      </c>
      <c r="SD48" s="8">
        <v>28326912</v>
      </c>
      <c r="SE48" s="8">
        <v>2534474</v>
      </c>
      <c r="SF48" s="8">
        <v>30861386</v>
      </c>
      <c r="SG48" s="2"/>
      <c r="SH48" s="2"/>
      <c r="SI48" s="2" t="s">
        <v>3385</v>
      </c>
      <c r="SJ48" s="2"/>
      <c r="SK48" s="8">
        <v>18000000</v>
      </c>
      <c r="SL48" s="2" t="s">
        <v>95</v>
      </c>
      <c r="SM48" s="2"/>
      <c r="SN48" s="2"/>
      <c r="SO48" s="2"/>
      <c r="SP48" s="2"/>
      <c r="SQ48" s="2"/>
      <c r="SR48" s="2"/>
      <c r="SS48" s="2" t="s">
        <v>96</v>
      </c>
      <c r="ST48" s="2" t="s">
        <v>96</v>
      </c>
      <c r="SU48" s="2" t="s">
        <v>96</v>
      </c>
      <c r="SV48" s="2" t="s">
        <v>96</v>
      </c>
      <c r="SW48" s="8">
        <v>9406950</v>
      </c>
      <c r="SX48" s="2"/>
      <c r="SY48" s="2"/>
      <c r="SZ48" s="2"/>
      <c r="TA48" s="2"/>
      <c r="TB48" s="2"/>
      <c r="TC48" s="2"/>
      <c r="TD48" s="8">
        <v>3454436</v>
      </c>
      <c r="TE48" s="8">
        <v>30861386</v>
      </c>
      <c r="TF48" s="2">
        <v>0</v>
      </c>
      <c r="TG48" s="2" t="s">
        <v>9</v>
      </c>
      <c r="TH48" s="8">
        <v>3000000</v>
      </c>
      <c r="TI48" s="2" t="s">
        <v>95</v>
      </c>
      <c r="TJ48" s="2"/>
      <c r="TK48" s="2"/>
      <c r="TL48" s="2"/>
      <c r="TM48" s="2"/>
      <c r="TN48" s="2" t="s">
        <v>96</v>
      </c>
      <c r="TO48" s="2" t="s">
        <v>96</v>
      </c>
      <c r="TP48" s="2" t="s">
        <v>96</v>
      </c>
      <c r="TQ48" s="2" t="s">
        <v>96</v>
      </c>
      <c r="TR48" s="8">
        <v>26877000</v>
      </c>
      <c r="TS48" s="2"/>
      <c r="TT48" s="2"/>
      <c r="TU48" s="2"/>
      <c r="TV48" s="2"/>
      <c r="TW48" s="2"/>
      <c r="TX48" s="2"/>
      <c r="TY48" s="8">
        <v>984386</v>
      </c>
      <c r="TZ48" s="8">
        <v>30861386</v>
      </c>
      <c r="UA48" s="6">
        <v>3000000</v>
      </c>
      <c r="UB48" s="2">
        <v>0</v>
      </c>
      <c r="UC48" s="2" t="s">
        <v>9</v>
      </c>
      <c r="UD48" s="2">
        <v>75</v>
      </c>
      <c r="UE48" s="5">
        <v>290000</v>
      </c>
      <c r="UF48" s="6">
        <v>386666.67</v>
      </c>
      <c r="UG48" s="6">
        <v>386666.67</v>
      </c>
      <c r="UH48" s="6">
        <v>409866.67</v>
      </c>
      <c r="UI48" s="6">
        <v>30740000</v>
      </c>
      <c r="UJ48" s="6">
        <v>4918400</v>
      </c>
      <c r="UK48" s="2" t="s">
        <v>97</v>
      </c>
      <c r="UL48" s="6">
        <v>4918400</v>
      </c>
      <c r="UM48" s="6">
        <v>35658400</v>
      </c>
      <c r="UN48" s="6">
        <v>29361386</v>
      </c>
      <c r="UO48" s="4">
        <v>0.99990000000000001</v>
      </c>
      <c r="UP48" s="2" t="s">
        <v>9</v>
      </c>
      <c r="UQ48" s="6">
        <v>0</v>
      </c>
      <c r="UR48" s="6">
        <v>0</v>
      </c>
      <c r="US48" s="6">
        <v>529994.87</v>
      </c>
      <c r="UT48" s="6">
        <v>529994.87</v>
      </c>
      <c r="UU48" s="6">
        <v>0</v>
      </c>
      <c r="UV48" s="6">
        <v>529994.87</v>
      </c>
      <c r="UW48" s="6">
        <v>0</v>
      </c>
      <c r="UX48" s="6">
        <v>529994.87</v>
      </c>
      <c r="UY48" s="2" t="s">
        <v>3387</v>
      </c>
      <c r="UZ48" s="2" t="s">
        <v>3288</v>
      </c>
      <c r="VA48" s="2" t="s">
        <v>17</v>
      </c>
      <c r="VB48" s="2" t="s">
        <v>17</v>
      </c>
      <c r="VC48" s="2" t="s">
        <v>17</v>
      </c>
      <c r="VD48" s="2" t="s">
        <v>17</v>
      </c>
      <c r="VE48" s="2" t="s">
        <v>17</v>
      </c>
      <c r="VF48" s="2" t="s">
        <v>17</v>
      </c>
      <c r="VG48" s="2" t="s">
        <v>4141</v>
      </c>
      <c r="VH48" s="2"/>
      <c r="VI48" s="388" t="s">
        <v>3353</v>
      </c>
      <c r="VJ48" s="2" t="s">
        <v>98</v>
      </c>
      <c r="VK48" s="2" t="s">
        <v>1606</v>
      </c>
      <c r="VL48" s="23">
        <f t="shared" si="21"/>
        <v>135</v>
      </c>
      <c r="VM48" s="17">
        <f t="shared" si="22"/>
        <v>1.8</v>
      </c>
      <c r="VN48" s="17" t="str">
        <f t="shared" si="2"/>
        <v>NC-MR-F</v>
      </c>
      <c r="VO48" s="17" t="str">
        <f t="shared" si="14"/>
        <v>NC-MR-F-ESS</v>
      </c>
      <c r="VP48" s="12">
        <v>9</v>
      </c>
      <c r="VQ48" s="57">
        <v>1</v>
      </c>
      <c r="VR48" s="57">
        <f t="shared" si="3"/>
        <v>1</v>
      </c>
      <c r="VS48" s="14">
        <f t="shared" si="4"/>
        <v>1</v>
      </c>
      <c r="VT48" s="12">
        <f t="shared" si="5"/>
        <v>0.90210000000000001</v>
      </c>
      <c r="VU48" s="29">
        <f t="shared" si="6"/>
        <v>22326975</v>
      </c>
      <c r="VV48" s="29">
        <f t="shared" si="23"/>
        <v>297693</v>
      </c>
      <c r="VW48" s="12" t="str">
        <f t="shared" si="15"/>
        <v>B</v>
      </c>
      <c r="VX48" s="12" t="str">
        <f t="shared" si="24"/>
        <v>NC-MR-ESS</v>
      </c>
      <c r="VY48" s="352">
        <f t="shared" si="16"/>
        <v>5</v>
      </c>
      <c r="WA48" s="12">
        <f t="shared" si="17"/>
        <v>0</v>
      </c>
      <c r="WB48" s="12">
        <f t="shared" si="18"/>
        <v>0</v>
      </c>
      <c r="WC48" s="12">
        <f t="shared" si="18"/>
        <v>0</v>
      </c>
      <c r="WD48" s="12">
        <f t="shared" si="18"/>
        <v>0</v>
      </c>
      <c r="WE48" s="12">
        <f t="shared" si="19"/>
        <v>1</v>
      </c>
      <c r="WF48" s="12">
        <f t="shared" si="25"/>
        <v>0</v>
      </c>
      <c r="WG48" s="12">
        <f t="shared" si="26"/>
        <v>1</v>
      </c>
      <c r="WH48" s="12">
        <f t="shared" si="27"/>
        <v>0</v>
      </c>
      <c r="WI48" s="22">
        <f t="shared" si="28"/>
        <v>2</v>
      </c>
      <c r="WJ48" s="2"/>
      <c r="WK48" s="444" t="str">
        <f t="shared" si="20"/>
        <v>NC-MR-ESS-BBN-BRN-NPH-F</v>
      </c>
      <c r="WL48" s="444"/>
      <c r="WM48" s="444"/>
    </row>
    <row r="49" spans="1:609" x14ac:dyDescent="0.25">
      <c r="A49" s="172"/>
      <c r="B49" s="172"/>
      <c r="C49" s="172"/>
      <c r="D49" s="173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4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5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4"/>
      <c r="BU49" s="172"/>
      <c r="BV49" s="176"/>
      <c r="BW49" s="172"/>
      <c r="BX49" s="172"/>
      <c r="BY49" s="172"/>
      <c r="BZ49" s="172"/>
      <c r="CA49" s="172"/>
      <c r="CB49" s="172"/>
      <c r="CC49" s="172"/>
      <c r="CD49" s="172"/>
      <c r="CE49" s="172"/>
      <c r="CF49" s="2" t="s">
        <v>17</v>
      </c>
      <c r="CG49" s="2" t="s">
        <v>4144</v>
      </c>
      <c r="CH49" s="2"/>
      <c r="CI49" s="2"/>
      <c r="CJ49" s="2" t="s">
        <v>9</v>
      </c>
      <c r="CK49" s="2" t="s">
        <v>3937</v>
      </c>
      <c r="CL49" s="2" t="s">
        <v>4144</v>
      </c>
      <c r="CM49" s="2" t="s">
        <v>3938</v>
      </c>
      <c r="CN49" s="2" t="s">
        <v>2705</v>
      </c>
      <c r="CO49" s="2" t="s">
        <v>24</v>
      </c>
      <c r="CP49" s="2"/>
      <c r="CQ49" s="2">
        <v>120</v>
      </c>
      <c r="CR49" s="2" t="s">
        <v>3893</v>
      </c>
      <c r="CS49" s="2">
        <v>2019</v>
      </c>
      <c r="CT49" s="2" t="s">
        <v>26</v>
      </c>
      <c r="CU49" s="2" t="s">
        <v>27</v>
      </c>
      <c r="CV49" s="2" t="s">
        <v>3939</v>
      </c>
      <c r="CW49" s="2" t="s">
        <v>2705</v>
      </c>
      <c r="CX49" s="2" t="s">
        <v>24</v>
      </c>
      <c r="CY49" s="2"/>
      <c r="CZ49" s="2">
        <v>180</v>
      </c>
      <c r="DA49" s="2" t="s">
        <v>3893</v>
      </c>
      <c r="DB49" s="2">
        <v>2022</v>
      </c>
      <c r="DC49" s="2" t="s">
        <v>30</v>
      </c>
      <c r="DD49" s="2" t="s">
        <v>27</v>
      </c>
      <c r="DE49" s="2" t="s">
        <v>3940</v>
      </c>
      <c r="DF49" s="2" t="s">
        <v>3148</v>
      </c>
      <c r="DG49" s="2" t="s">
        <v>24</v>
      </c>
      <c r="DH49" s="2"/>
      <c r="DI49" s="2">
        <v>128</v>
      </c>
      <c r="DJ49" s="2" t="s">
        <v>3893</v>
      </c>
      <c r="DK49" s="2">
        <v>2019</v>
      </c>
      <c r="DL49" s="2" t="s">
        <v>30</v>
      </c>
      <c r="DM49" s="2" t="s">
        <v>27</v>
      </c>
      <c r="DN49" s="18" t="s">
        <v>1657</v>
      </c>
      <c r="DO49" s="2" t="s">
        <v>738</v>
      </c>
      <c r="DP49" s="2"/>
      <c r="DQ49" s="2" t="s">
        <v>3941</v>
      </c>
      <c r="DR49" s="2" t="s">
        <v>3942</v>
      </c>
      <c r="DS49" s="2">
        <v>1</v>
      </c>
      <c r="DT49" s="2" t="s">
        <v>3943</v>
      </c>
      <c r="DU49" s="2" t="s">
        <v>3944</v>
      </c>
      <c r="DV49" s="2" t="s">
        <v>39</v>
      </c>
      <c r="DW49" s="2">
        <v>33156</v>
      </c>
      <c r="DX49" s="2" t="s">
        <v>3945</v>
      </c>
      <c r="DY49" s="2"/>
      <c r="DZ49" s="2" t="s">
        <v>3946</v>
      </c>
      <c r="EA49" s="2" t="s">
        <v>3942</v>
      </c>
      <c r="EB49" s="2" t="s">
        <v>3938</v>
      </c>
      <c r="EC49" s="2" t="s">
        <v>2705</v>
      </c>
      <c r="ED49" s="2" t="s">
        <v>44</v>
      </c>
      <c r="EE49" s="2">
        <v>120</v>
      </c>
      <c r="EF49" s="2" t="s">
        <v>3894</v>
      </c>
      <c r="EG49" s="2">
        <v>4</v>
      </c>
      <c r="EH49" s="2" t="s">
        <v>46</v>
      </c>
      <c r="EI49" s="2" t="s">
        <v>47</v>
      </c>
      <c r="EJ49" s="2" t="s">
        <v>3940</v>
      </c>
      <c r="EK49" s="2" t="s">
        <v>3148</v>
      </c>
      <c r="EL49" s="2" t="s">
        <v>44</v>
      </c>
      <c r="EM49" s="2">
        <v>128</v>
      </c>
      <c r="EN49" s="2" t="s">
        <v>3894</v>
      </c>
      <c r="EO49" s="2">
        <v>4</v>
      </c>
      <c r="EP49" s="2" t="s">
        <v>46</v>
      </c>
      <c r="EQ49" s="2" t="s">
        <v>47</v>
      </c>
      <c r="ER49" s="2" t="s">
        <v>3947</v>
      </c>
      <c r="ES49" s="2"/>
      <c r="ET49" s="2" t="s">
        <v>3948</v>
      </c>
      <c r="EU49" s="2" t="s">
        <v>3949</v>
      </c>
      <c r="EV49" s="2" t="s">
        <v>3950</v>
      </c>
      <c r="EW49" s="2" t="s">
        <v>299</v>
      </c>
      <c r="EX49" s="2" t="s">
        <v>39</v>
      </c>
      <c r="EY49" s="2">
        <v>33136</v>
      </c>
      <c r="EZ49" s="2" t="s">
        <v>3951</v>
      </c>
      <c r="FA49" s="2"/>
      <c r="FB49" s="2" t="s">
        <v>3952</v>
      </c>
      <c r="FC49" s="2" t="s">
        <v>3953</v>
      </c>
      <c r="FD49" s="2"/>
      <c r="FE49" s="2" t="s">
        <v>3954</v>
      </c>
      <c r="FF49" s="2" t="s">
        <v>3955</v>
      </c>
      <c r="FG49" s="2" t="s">
        <v>3950</v>
      </c>
      <c r="FH49" s="2" t="s">
        <v>299</v>
      </c>
      <c r="FI49" s="2" t="s">
        <v>39</v>
      </c>
      <c r="FJ49" s="2">
        <v>33136</v>
      </c>
      <c r="FK49" s="2" t="s">
        <v>3956</v>
      </c>
      <c r="FL49" s="2"/>
      <c r="FM49" s="2" t="s">
        <v>3957</v>
      </c>
      <c r="FN49" s="172"/>
      <c r="FO49" s="172"/>
      <c r="FP49" s="172"/>
      <c r="FQ49" s="172"/>
      <c r="FR49" s="172"/>
      <c r="FS49" s="172"/>
      <c r="FT49" s="172"/>
      <c r="FU49" s="172"/>
      <c r="FV49" s="172"/>
      <c r="FW49" s="172"/>
      <c r="FX49" s="172"/>
      <c r="FY49" s="174"/>
      <c r="FZ49" s="174"/>
      <c r="GA49" s="172"/>
      <c r="GB49" s="172"/>
      <c r="GC49" s="172"/>
      <c r="GD49" s="172"/>
      <c r="GE49" s="172"/>
      <c r="GF49" s="172"/>
      <c r="GG49" s="172"/>
      <c r="GH49" s="172"/>
      <c r="GI49" s="172"/>
      <c r="GJ49" s="172"/>
      <c r="GK49" s="172"/>
      <c r="GL49" s="172"/>
      <c r="GM49" s="172"/>
      <c r="GN49" s="172"/>
      <c r="GO49" s="172"/>
      <c r="GP49" s="172"/>
      <c r="GQ49" s="172"/>
      <c r="GR49" s="172"/>
      <c r="GS49" s="172"/>
      <c r="GT49" s="172"/>
      <c r="GU49" s="172"/>
      <c r="GV49" s="172"/>
      <c r="GW49" s="172"/>
      <c r="GX49" s="172"/>
      <c r="GY49" s="172"/>
      <c r="GZ49" s="172"/>
      <c r="HA49" s="172"/>
      <c r="HB49" s="172"/>
      <c r="HC49" s="172"/>
      <c r="HD49" s="172"/>
      <c r="HE49" s="172"/>
      <c r="HF49" s="172"/>
      <c r="HG49" s="172"/>
      <c r="HH49" s="172"/>
      <c r="HI49" s="172"/>
      <c r="HJ49" s="172"/>
      <c r="HK49" s="172"/>
      <c r="HL49" s="172"/>
      <c r="HM49" s="172"/>
      <c r="HN49" s="172"/>
      <c r="HO49" s="172"/>
      <c r="HP49" s="172"/>
      <c r="HQ49" s="172"/>
      <c r="HR49" s="172"/>
      <c r="HS49" s="172"/>
      <c r="HT49" s="172"/>
      <c r="HU49" s="172"/>
      <c r="HV49" s="172"/>
      <c r="HW49" s="172"/>
      <c r="HX49" s="172"/>
      <c r="HY49" s="172"/>
      <c r="HZ49" s="172"/>
      <c r="IA49" s="172"/>
      <c r="IB49" s="172"/>
      <c r="IC49" s="172"/>
      <c r="ID49" s="172"/>
      <c r="IE49" s="172"/>
      <c r="IF49" s="172"/>
      <c r="IG49" s="172"/>
      <c r="IH49" s="172"/>
      <c r="II49" s="172"/>
      <c r="IJ49" s="172"/>
      <c r="IK49" s="172"/>
      <c r="IL49" s="172"/>
      <c r="IM49" s="172"/>
      <c r="IN49" s="172"/>
      <c r="IO49" s="172"/>
      <c r="IP49" s="172"/>
      <c r="IQ49" s="172"/>
      <c r="IR49" s="172"/>
      <c r="IS49" s="172"/>
      <c r="IT49" s="172"/>
      <c r="IU49" s="172"/>
      <c r="IV49" s="172"/>
      <c r="IW49" s="172"/>
      <c r="IX49" s="172"/>
      <c r="IY49" s="172"/>
      <c r="IZ49" s="172"/>
      <c r="JA49" s="172"/>
      <c r="JB49" s="172"/>
      <c r="JC49" s="172"/>
      <c r="JD49" s="172"/>
      <c r="JE49" s="172"/>
      <c r="JF49" s="178"/>
      <c r="JG49" s="178"/>
      <c r="JH49" s="178"/>
      <c r="JI49" s="172"/>
      <c r="JJ49" s="178"/>
      <c r="JK49" s="172"/>
      <c r="JL49" s="178"/>
      <c r="JM49" s="172"/>
      <c r="JN49" s="172"/>
      <c r="JO49" s="172"/>
      <c r="JP49" s="172"/>
      <c r="JQ49" s="172"/>
      <c r="JR49" s="172"/>
      <c r="JS49" s="172"/>
      <c r="JT49" s="172"/>
      <c r="JU49" s="172"/>
      <c r="JV49" s="172"/>
      <c r="JW49" s="174"/>
      <c r="JX49" s="172"/>
      <c r="JY49" s="174"/>
      <c r="JZ49" s="172"/>
      <c r="KA49" s="172"/>
      <c r="KB49" s="172"/>
      <c r="KC49" s="172"/>
      <c r="KD49" s="172"/>
      <c r="KE49" s="172"/>
      <c r="KF49" s="172"/>
      <c r="KG49" s="172"/>
      <c r="KH49" s="172"/>
      <c r="KI49" s="172"/>
      <c r="KJ49" s="172"/>
      <c r="KK49" s="172"/>
      <c r="KL49" s="172"/>
      <c r="KM49" s="172"/>
      <c r="KN49" s="172"/>
      <c r="KO49" s="172"/>
      <c r="KP49" s="172"/>
      <c r="KQ49" s="172"/>
      <c r="KR49" s="172"/>
      <c r="KS49" s="172"/>
      <c r="KT49" s="172"/>
      <c r="KU49" s="172"/>
      <c r="KV49" s="172"/>
      <c r="KW49" s="172"/>
      <c r="KX49" s="172"/>
      <c r="KY49" s="172"/>
      <c r="KZ49" s="172"/>
      <c r="LA49" s="172"/>
      <c r="LB49" s="172"/>
      <c r="LC49" s="172"/>
      <c r="LD49" s="172"/>
      <c r="LE49" s="172"/>
      <c r="LF49" s="172"/>
      <c r="LG49" s="172"/>
      <c r="LH49" s="172"/>
      <c r="LI49" s="172"/>
      <c r="LJ49" s="172"/>
      <c r="LK49" s="172"/>
      <c r="LL49" s="172"/>
      <c r="LM49" s="172"/>
      <c r="LN49" s="172"/>
      <c r="LO49" s="172"/>
      <c r="LP49" s="172"/>
      <c r="LQ49" s="172"/>
      <c r="LR49" s="172"/>
      <c r="LS49" s="172"/>
      <c r="LT49" s="172"/>
      <c r="LU49" s="172"/>
      <c r="LV49" s="172"/>
      <c r="LW49" s="172"/>
      <c r="LX49" s="172"/>
      <c r="LY49" s="175"/>
      <c r="LZ49" s="175"/>
      <c r="MA49" s="175"/>
      <c r="MB49" s="175"/>
      <c r="MC49" s="175"/>
      <c r="MD49" s="175"/>
      <c r="ME49" s="175"/>
      <c r="MF49" s="175"/>
      <c r="MG49" s="175"/>
      <c r="MH49" s="175"/>
      <c r="MI49" s="175"/>
      <c r="MJ49" s="175"/>
      <c r="MK49" s="175"/>
      <c r="ML49" s="172"/>
      <c r="MM49" s="175"/>
      <c r="MN49" s="175"/>
      <c r="MO49" s="172"/>
      <c r="MP49" s="172"/>
      <c r="MQ49" s="172"/>
      <c r="MR49" s="175"/>
      <c r="MS49" s="175"/>
      <c r="MT49" s="175"/>
      <c r="MU49" s="175"/>
      <c r="MV49" s="175"/>
      <c r="MW49" s="175"/>
      <c r="MX49" s="175"/>
      <c r="MY49" s="175"/>
      <c r="MZ49" s="175"/>
      <c r="NA49" s="175"/>
      <c r="NB49" s="175"/>
      <c r="NC49" s="175"/>
      <c r="ND49" s="175"/>
      <c r="NE49" s="175"/>
      <c r="NF49" s="175"/>
      <c r="NG49" s="175"/>
      <c r="NH49" s="175"/>
      <c r="NI49" s="175"/>
      <c r="NJ49" s="175"/>
      <c r="NK49" s="175"/>
      <c r="NL49" s="172"/>
      <c r="NM49" s="172"/>
      <c r="NN49" s="172"/>
      <c r="NO49" s="172"/>
      <c r="NP49" s="172"/>
      <c r="NQ49" s="172"/>
      <c r="NR49" s="172"/>
      <c r="NS49" s="172"/>
      <c r="NT49" s="172"/>
      <c r="NU49" s="172"/>
      <c r="NV49" s="172"/>
      <c r="NW49" s="172"/>
      <c r="NX49" s="172"/>
      <c r="NY49" s="172"/>
      <c r="NZ49" s="172"/>
      <c r="OA49" s="172"/>
      <c r="OB49" s="172"/>
      <c r="OC49" s="172"/>
      <c r="OD49" s="172"/>
      <c r="OE49" s="172"/>
      <c r="OF49" s="172"/>
      <c r="OG49" s="172"/>
      <c r="OH49" s="172"/>
      <c r="OI49" s="172"/>
      <c r="OJ49" s="172"/>
      <c r="OK49" s="172"/>
      <c r="OL49" s="172"/>
      <c r="OM49" s="172"/>
      <c r="ON49" s="176"/>
      <c r="OO49" s="176"/>
      <c r="OP49" s="172"/>
      <c r="OQ49" s="172"/>
      <c r="OR49" s="176"/>
      <c r="OS49" s="174"/>
      <c r="OT49" s="172"/>
      <c r="OU49" s="172"/>
      <c r="OV49" s="172"/>
      <c r="OW49" s="172"/>
      <c r="OX49" s="175"/>
      <c r="OY49" s="176"/>
      <c r="OZ49" s="172"/>
      <c r="PA49" s="172"/>
      <c r="PB49" s="179"/>
      <c r="PC49" s="179"/>
      <c r="PD49" s="179"/>
      <c r="PE49" s="179"/>
      <c r="PF49" s="179"/>
      <c r="PG49" s="179"/>
      <c r="PH49" s="179"/>
      <c r="PI49" s="179"/>
      <c r="PJ49" s="172"/>
      <c r="PK49" s="172"/>
      <c r="PL49" s="172"/>
      <c r="PM49" s="179"/>
      <c r="PN49" s="179"/>
      <c r="PO49" s="179"/>
      <c r="PP49" s="179"/>
      <c r="PQ49" s="172"/>
      <c r="PR49" s="179"/>
      <c r="PS49" s="176"/>
      <c r="PT49" s="179"/>
      <c r="PU49" s="179"/>
      <c r="PV49" s="179"/>
      <c r="PW49" s="179"/>
      <c r="PX49" s="172"/>
      <c r="PY49" s="179"/>
      <c r="PZ49" s="176"/>
      <c r="QA49" s="179"/>
      <c r="QB49" s="179"/>
      <c r="QC49" s="179"/>
      <c r="QD49" s="179"/>
      <c r="QE49" s="179"/>
      <c r="QF49" s="179"/>
      <c r="QG49" s="179"/>
      <c r="QH49" s="179"/>
      <c r="QI49" s="179"/>
      <c r="QJ49" s="172"/>
      <c r="QK49" s="179"/>
      <c r="QL49" s="179"/>
      <c r="QM49" s="172"/>
      <c r="QN49" s="172"/>
      <c r="QO49" s="172"/>
      <c r="QP49" s="172"/>
      <c r="QQ49" s="172"/>
      <c r="QR49" s="172"/>
      <c r="QS49" s="179"/>
      <c r="QT49" s="179"/>
      <c r="QU49" s="179"/>
      <c r="QV49" s="179"/>
      <c r="QW49" s="179"/>
      <c r="QX49" s="179"/>
      <c r="QY49" s="176"/>
      <c r="QZ49" s="179"/>
      <c r="RA49" s="179"/>
      <c r="RB49" s="179"/>
      <c r="RC49" s="179"/>
      <c r="RD49" s="179"/>
      <c r="RE49" s="172"/>
      <c r="RF49" s="172"/>
      <c r="RG49" s="172"/>
      <c r="RH49" s="179"/>
      <c r="RI49" s="179"/>
      <c r="RJ49" s="179"/>
      <c r="RK49" s="179"/>
      <c r="RL49" s="179"/>
      <c r="RM49" s="179"/>
      <c r="RN49" s="172"/>
      <c r="RO49" s="176"/>
      <c r="RP49" s="179"/>
      <c r="RQ49" s="172"/>
      <c r="RR49" s="179"/>
      <c r="RS49" s="176"/>
      <c r="RT49" s="176"/>
      <c r="RU49" s="179"/>
      <c r="RV49" s="172"/>
      <c r="RW49" s="179"/>
      <c r="RX49" s="176"/>
      <c r="RY49" s="172"/>
      <c r="RZ49" s="172"/>
      <c r="SA49" s="176"/>
      <c r="SB49" s="179"/>
      <c r="SC49" s="179"/>
      <c r="SD49" s="179"/>
      <c r="SE49" s="179"/>
      <c r="SF49" s="179"/>
      <c r="SG49" s="172"/>
      <c r="SH49" s="172"/>
      <c r="SI49" s="172"/>
      <c r="SJ49" s="172"/>
      <c r="SK49" s="179"/>
      <c r="SL49" s="172"/>
      <c r="SM49" s="172"/>
      <c r="SN49" s="172"/>
      <c r="SO49" s="172"/>
      <c r="SP49" s="172"/>
      <c r="SQ49" s="172"/>
      <c r="SR49" s="172"/>
      <c r="SS49" s="172"/>
      <c r="ST49" s="172"/>
      <c r="SU49" s="172"/>
      <c r="SV49" s="172"/>
      <c r="SW49" s="179"/>
      <c r="SX49" s="172"/>
      <c r="SY49" s="172"/>
      <c r="SZ49" s="172"/>
      <c r="TA49" s="172"/>
      <c r="TB49" s="172"/>
      <c r="TC49" s="172"/>
      <c r="TD49" s="179"/>
      <c r="TE49" s="179"/>
      <c r="TF49" s="172"/>
      <c r="TG49" s="172"/>
      <c r="TH49" s="179"/>
      <c r="TI49" s="172"/>
      <c r="TJ49" s="172"/>
      <c r="TK49" s="172"/>
      <c r="TL49" s="172"/>
      <c r="TM49" s="172"/>
      <c r="TN49" s="172"/>
      <c r="TO49" s="172"/>
      <c r="TP49" s="172"/>
      <c r="TQ49" s="172"/>
      <c r="TR49" s="179"/>
      <c r="TS49" s="172"/>
      <c r="TT49" s="172"/>
      <c r="TU49" s="172"/>
      <c r="TV49" s="172"/>
      <c r="TW49" s="172"/>
      <c r="TX49" s="172"/>
      <c r="TY49" s="179"/>
      <c r="TZ49" s="179"/>
      <c r="UA49" s="176"/>
      <c r="UB49" s="172"/>
      <c r="UC49" s="172"/>
      <c r="UD49" s="172"/>
      <c r="UE49" s="175"/>
      <c r="UF49" s="176"/>
      <c r="UG49" s="176"/>
      <c r="UH49" s="176"/>
      <c r="UI49" s="176"/>
      <c r="UJ49" s="176"/>
      <c r="UK49" s="172"/>
      <c r="UL49" s="176"/>
      <c r="UM49" s="176"/>
      <c r="UN49" s="176"/>
      <c r="UO49" s="174"/>
      <c r="UP49" s="172"/>
      <c r="UQ49" s="176"/>
      <c r="UR49" s="176"/>
      <c r="US49" s="176"/>
      <c r="UT49" s="176"/>
      <c r="UU49" s="176"/>
      <c r="UV49" s="176"/>
      <c r="UW49" s="176"/>
      <c r="UX49" s="176"/>
      <c r="UY49" s="172"/>
      <c r="UZ49" s="172"/>
      <c r="VA49" s="172"/>
      <c r="VB49" s="172"/>
      <c r="VC49" s="172"/>
      <c r="VD49" s="172"/>
      <c r="VE49" s="172"/>
      <c r="VF49" s="172"/>
      <c r="VG49" s="172"/>
      <c r="VH49" s="172"/>
      <c r="VI49" s="172"/>
      <c r="VJ49" s="172"/>
      <c r="VK49" s="172"/>
      <c r="VL49" s="180"/>
      <c r="VM49" s="181"/>
      <c r="VN49" s="181"/>
      <c r="VO49" s="181"/>
      <c r="VP49" s="182"/>
      <c r="VQ49" s="183"/>
      <c r="VR49" s="183"/>
      <c r="VS49" s="184"/>
      <c r="VT49" s="182"/>
      <c r="VU49" s="185"/>
      <c r="VV49" s="30"/>
      <c r="VW49" s="54"/>
      <c r="VX49" s="54"/>
      <c r="VY49" s="58"/>
      <c r="WA49" s="182"/>
      <c r="WB49" s="182"/>
      <c r="WC49" s="182"/>
      <c r="WD49" s="182"/>
      <c r="WE49" s="182"/>
      <c r="WF49" s="182"/>
      <c r="WG49" s="182"/>
      <c r="WH49" s="182"/>
      <c r="WI49" s="22">
        <f t="shared" si="28"/>
        <v>0</v>
      </c>
      <c r="WJ49" s="2"/>
      <c r="WK49" s="2"/>
    </row>
    <row r="50" spans="1:609" x14ac:dyDescent="0.25">
      <c r="A50" s="172"/>
      <c r="B50" s="172"/>
      <c r="C50" s="172"/>
      <c r="D50" s="173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4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5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4"/>
      <c r="BU50" s="172"/>
      <c r="BV50" s="176"/>
      <c r="BW50" s="172"/>
      <c r="BX50" s="172"/>
      <c r="BY50" s="172"/>
      <c r="BZ50" s="172"/>
      <c r="CA50" s="172"/>
      <c r="CB50" s="172"/>
      <c r="CC50" s="172"/>
      <c r="CD50" s="172"/>
      <c r="CE50" s="172"/>
      <c r="CF50" s="2" t="s">
        <v>17</v>
      </c>
      <c r="CG50" s="2" t="s">
        <v>4152</v>
      </c>
      <c r="CH50" s="2"/>
      <c r="CI50" s="2"/>
      <c r="CJ50" s="2" t="s">
        <v>9</v>
      </c>
      <c r="CK50" s="2" t="s">
        <v>3937</v>
      </c>
      <c r="CL50" s="2" t="s">
        <v>4152</v>
      </c>
      <c r="CM50" s="2" t="s">
        <v>3938</v>
      </c>
      <c r="CN50" s="2" t="s">
        <v>2705</v>
      </c>
      <c r="CO50" s="2" t="s">
        <v>24</v>
      </c>
      <c r="CP50" s="2"/>
      <c r="CQ50" s="2">
        <v>120</v>
      </c>
      <c r="CR50" s="2" t="s">
        <v>3904</v>
      </c>
      <c r="CS50" s="2">
        <v>2019</v>
      </c>
      <c r="CT50" s="2" t="s">
        <v>26</v>
      </c>
      <c r="CU50" s="2" t="s">
        <v>27</v>
      </c>
      <c r="CV50" s="2" t="s">
        <v>3939</v>
      </c>
      <c r="CW50" s="2" t="s">
        <v>2705</v>
      </c>
      <c r="CX50" s="2" t="s">
        <v>24</v>
      </c>
      <c r="CY50" s="2"/>
      <c r="CZ50" s="2">
        <v>180</v>
      </c>
      <c r="DA50" s="2" t="s">
        <v>3904</v>
      </c>
      <c r="DB50" s="2">
        <v>2022</v>
      </c>
      <c r="DC50" s="2" t="s">
        <v>30</v>
      </c>
      <c r="DD50" s="2" t="s">
        <v>27</v>
      </c>
      <c r="DE50" s="2" t="s">
        <v>3940</v>
      </c>
      <c r="DF50" s="2" t="s">
        <v>3148</v>
      </c>
      <c r="DG50" s="2" t="s">
        <v>24</v>
      </c>
      <c r="DH50" s="2"/>
      <c r="DI50" s="2">
        <v>128</v>
      </c>
      <c r="DJ50" s="2" t="s">
        <v>3904</v>
      </c>
      <c r="DK50" s="2">
        <v>2019</v>
      </c>
      <c r="DL50" s="2" t="s">
        <v>30</v>
      </c>
      <c r="DM50" s="2" t="s">
        <v>27</v>
      </c>
      <c r="DN50" s="18" t="s">
        <v>1657</v>
      </c>
      <c r="DO50" s="2" t="s">
        <v>738</v>
      </c>
      <c r="DP50" s="2"/>
      <c r="DQ50" s="2" t="s">
        <v>3941</v>
      </c>
      <c r="DR50" s="2" t="s">
        <v>3942</v>
      </c>
      <c r="DS50" s="2">
        <v>1</v>
      </c>
      <c r="DT50" s="2" t="s">
        <v>3943</v>
      </c>
      <c r="DU50" s="2" t="s">
        <v>3944</v>
      </c>
      <c r="DV50" s="2" t="s">
        <v>39</v>
      </c>
      <c r="DW50" s="2">
        <v>33156</v>
      </c>
      <c r="DX50" s="2" t="s">
        <v>3945</v>
      </c>
      <c r="DY50" s="2"/>
      <c r="DZ50" s="2" t="s">
        <v>3946</v>
      </c>
      <c r="EA50" s="2" t="s">
        <v>3942</v>
      </c>
      <c r="EB50" s="2" t="s">
        <v>3938</v>
      </c>
      <c r="EC50" s="2" t="s">
        <v>2705</v>
      </c>
      <c r="ED50" s="2" t="s">
        <v>44</v>
      </c>
      <c r="EE50" s="2">
        <v>120</v>
      </c>
      <c r="EF50" s="2" t="s">
        <v>3906</v>
      </c>
      <c r="EG50" s="2">
        <v>4</v>
      </c>
      <c r="EH50" s="2" t="s">
        <v>46</v>
      </c>
      <c r="EI50" s="2" t="s">
        <v>47</v>
      </c>
      <c r="EJ50" s="2" t="s">
        <v>3940</v>
      </c>
      <c r="EK50" s="2" t="s">
        <v>3148</v>
      </c>
      <c r="EL50" s="2" t="s">
        <v>44</v>
      </c>
      <c r="EM50" s="2">
        <v>128</v>
      </c>
      <c r="EN50" s="2" t="s">
        <v>3906</v>
      </c>
      <c r="EO50" s="2">
        <v>4</v>
      </c>
      <c r="EP50" s="2" t="s">
        <v>46</v>
      </c>
      <c r="EQ50" s="2" t="s">
        <v>47</v>
      </c>
      <c r="ER50" s="2" t="s">
        <v>3947</v>
      </c>
      <c r="ES50" s="2"/>
      <c r="ET50" s="2" t="s">
        <v>3948</v>
      </c>
      <c r="EU50" s="2" t="s">
        <v>3949</v>
      </c>
      <c r="EV50" s="2" t="s">
        <v>3950</v>
      </c>
      <c r="EW50" s="2" t="s">
        <v>299</v>
      </c>
      <c r="EX50" s="2" t="s">
        <v>39</v>
      </c>
      <c r="EY50" s="2">
        <v>33136</v>
      </c>
      <c r="EZ50" s="2" t="s">
        <v>3951</v>
      </c>
      <c r="FA50" s="2"/>
      <c r="FB50" s="2" t="s">
        <v>3952</v>
      </c>
      <c r="FC50" s="2" t="s">
        <v>3953</v>
      </c>
      <c r="FD50" s="2"/>
      <c r="FE50" s="2" t="s">
        <v>3954</v>
      </c>
      <c r="FF50" s="2" t="s">
        <v>3955</v>
      </c>
      <c r="FG50" s="2" t="s">
        <v>3950</v>
      </c>
      <c r="FH50" s="2" t="s">
        <v>299</v>
      </c>
      <c r="FI50" s="2" t="s">
        <v>39</v>
      </c>
      <c r="FJ50" s="2">
        <v>33136</v>
      </c>
      <c r="FK50" s="2" t="s">
        <v>3956</v>
      </c>
      <c r="FL50" s="2"/>
      <c r="FM50" s="2" t="s">
        <v>3957</v>
      </c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4"/>
      <c r="FZ50" s="174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  <c r="IP50" s="172"/>
      <c r="IQ50" s="172"/>
      <c r="IR50" s="172"/>
      <c r="IS50" s="172"/>
      <c r="IT50" s="172"/>
      <c r="IU50" s="172"/>
      <c r="IV50" s="172"/>
      <c r="IW50" s="172"/>
      <c r="IX50" s="172"/>
      <c r="IY50" s="172"/>
      <c r="IZ50" s="172"/>
      <c r="JA50" s="172"/>
      <c r="JB50" s="172"/>
      <c r="JC50" s="172"/>
      <c r="JD50" s="172"/>
      <c r="JE50" s="172"/>
      <c r="JF50" s="178"/>
      <c r="JG50" s="178"/>
      <c r="JH50" s="178"/>
      <c r="JI50" s="172"/>
      <c r="JJ50" s="178"/>
      <c r="JK50" s="172"/>
      <c r="JL50" s="178"/>
      <c r="JM50" s="172"/>
      <c r="JN50" s="172"/>
      <c r="JO50" s="172"/>
      <c r="JP50" s="172"/>
      <c r="JQ50" s="172"/>
      <c r="JR50" s="172"/>
      <c r="JS50" s="172"/>
      <c r="JT50" s="172"/>
      <c r="JU50" s="172"/>
      <c r="JV50" s="172"/>
      <c r="JW50" s="174"/>
      <c r="JX50" s="172"/>
      <c r="JY50" s="174"/>
      <c r="JZ50" s="172"/>
      <c r="KA50" s="172"/>
      <c r="KB50" s="172"/>
      <c r="KC50" s="172"/>
      <c r="KD50" s="172"/>
      <c r="KE50" s="172"/>
      <c r="KF50" s="172"/>
      <c r="KG50" s="172"/>
      <c r="KH50" s="172"/>
      <c r="KI50" s="172"/>
      <c r="KJ50" s="172"/>
      <c r="KK50" s="172"/>
      <c r="KL50" s="172"/>
      <c r="KM50" s="172"/>
      <c r="KN50" s="172"/>
      <c r="KO50" s="172"/>
      <c r="KP50" s="172"/>
      <c r="KQ50" s="172"/>
      <c r="KR50" s="172"/>
      <c r="KS50" s="172"/>
      <c r="KT50" s="172"/>
      <c r="KU50" s="172"/>
      <c r="KV50" s="172"/>
      <c r="KW50" s="172"/>
      <c r="KX50" s="172"/>
      <c r="KY50" s="172"/>
      <c r="KZ50" s="172"/>
      <c r="LA50" s="172"/>
      <c r="LB50" s="172"/>
      <c r="LC50" s="172"/>
      <c r="LD50" s="172"/>
      <c r="LE50" s="172"/>
      <c r="LF50" s="172"/>
      <c r="LG50" s="172"/>
      <c r="LH50" s="172"/>
      <c r="LI50" s="172"/>
      <c r="LJ50" s="172"/>
      <c r="LK50" s="172"/>
      <c r="LL50" s="172"/>
      <c r="LM50" s="172"/>
      <c r="LN50" s="172"/>
      <c r="LO50" s="172"/>
      <c r="LP50" s="172"/>
      <c r="LQ50" s="172"/>
      <c r="LR50" s="172"/>
      <c r="LS50" s="172"/>
      <c r="LT50" s="172"/>
      <c r="LU50" s="172"/>
      <c r="LV50" s="172"/>
      <c r="LW50" s="172"/>
      <c r="LX50" s="172"/>
      <c r="LY50" s="175"/>
      <c r="LZ50" s="175"/>
      <c r="MA50" s="175"/>
      <c r="MB50" s="175"/>
      <c r="MC50" s="175"/>
      <c r="MD50" s="175"/>
      <c r="ME50" s="175"/>
      <c r="MF50" s="175"/>
      <c r="MG50" s="175"/>
      <c r="MH50" s="175"/>
      <c r="MI50" s="175"/>
      <c r="MJ50" s="175"/>
      <c r="MK50" s="175"/>
      <c r="ML50" s="172"/>
      <c r="MM50" s="175"/>
      <c r="MN50" s="175"/>
      <c r="MO50" s="172"/>
      <c r="MP50" s="172"/>
      <c r="MQ50" s="172"/>
      <c r="MR50" s="175"/>
      <c r="MS50" s="175"/>
      <c r="MT50" s="175"/>
      <c r="MU50" s="175"/>
      <c r="MV50" s="175"/>
      <c r="MW50" s="175"/>
      <c r="MX50" s="175"/>
      <c r="MY50" s="175"/>
      <c r="MZ50" s="175"/>
      <c r="NA50" s="175"/>
      <c r="NB50" s="175"/>
      <c r="NC50" s="175"/>
      <c r="ND50" s="175"/>
      <c r="NE50" s="175"/>
      <c r="NF50" s="175"/>
      <c r="NG50" s="175"/>
      <c r="NH50" s="175"/>
      <c r="NI50" s="175"/>
      <c r="NJ50" s="175"/>
      <c r="NK50" s="175"/>
      <c r="NL50" s="172"/>
      <c r="NM50" s="172"/>
      <c r="NN50" s="172"/>
      <c r="NO50" s="172"/>
      <c r="NP50" s="172"/>
      <c r="NQ50" s="172"/>
      <c r="NR50" s="172"/>
      <c r="NS50" s="172"/>
      <c r="NT50" s="172"/>
      <c r="NU50" s="172"/>
      <c r="NV50" s="172"/>
      <c r="NW50" s="172"/>
      <c r="NX50" s="172"/>
      <c r="NY50" s="172"/>
      <c r="NZ50" s="172"/>
      <c r="OA50" s="172"/>
      <c r="OB50" s="172"/>
      <c r="OC50" s="172"/>
      <c r="OD50" s="172"/>
      <c r="OE50" s="172"/>
      <c r="OF50" s="172"/>
      <c r="OG50" s="172"/>
      <c r="OH50" s="172"/>
      <c r="OI50" s="172"/>
      <c r="OJ50" s="172"/>
      <c r="OK50" s="172"/>
      <c r="OL50" s="172"/>
      <c r="OM50" s="172"/>
      <c r="ON50" s="176"/>
      <c r="OO50" s="176"/>
      <c r="OP50" s="172"/>
      <c r="OQ50" s="172"/>
      <c r="OR50" s="176"/>
      <c r="OS50" s="174"/>
      <c r="OT50" s="172"/>
      <c r="OU50" s="172"/>
      <c r="OV50" s="172"/>
      <c r="OW50" s="172"/>
      <c r="OX50" s="175"/>
      <c r="OY50" s="176"/>
      <c r="OZ50" s="172"/>
      <c r="PA50" s="172"/>
      <c r="PB50" s="172"/>
      <c r="PC50" s="172"/>
      <c r="PD50" s="179"/>
      <c r="PE50" s="179"/>
      <c r="PF50" s="179"/>
      <c r="PG50" s="179"/>
      <c r="PH50" s="179"/>
      <c r="PI50" s="179"/>
      <c r="PJ50" s="172"/>
      <c r="PK50" s="172"/>
      <c r="PL50" s="172"/>
      <c r="PM50" s="179"/>
      <c r="PN50" s="179"/>
      <c r="PO50" s="179"/>
      <c r="PP50" s="179"/>
      <c r="PQ50" s="172"/>
      <c r="PR50" s="179"/>
      <c r="PS50" s="176"/>
      <c r="PT50" s="179"/>
      <c r="PU50" s="179"/>
      <c r="PV50" s="179"/>
      <c r="PW50" s="179"/>
      <c r="PX50" s="172"/>
      <c r="PY50" s="179"/>
      <c r="PZ50" s="176"/>
      <c r="QA50" s="179"/>
      <c r="QB50" s="179"/>
      <c r="QC50" s="179"/>
      <c r="QD50" s="179"/>
      <c r="QE50" s="179"/>
      <c r="QF50" s="179"/>
      <c r="QG50" s="179"/>
      <c r="QH50" s="179"/>
      <c r="QI50" s="179"/>
      <c r="QJ50" s="172"/>
      <c r="QK50" s="179"/>
      <c r="QL50" s="179"/>
      <c r="QM50" s="172"/>
      <c r="QN50" s="179"/>
      <c r="QO50" s="179"/>
      <c r="QP50" s="172"/>
      <c r="QQ50" s="172"/>
      <c r="QR50" s="172"/>
      <c r="QS50" s="179"/>
      <c r="QT50" s="179"/>
      <c r="QU50" s="179"/>
      <c r="QV50" s="179"/>
      <c r="QW50" s="179"/>
      <c r="QX50" s="179"/>
      <c r="QY50" s="176"/>
      <c r="QZ50" s="179"/>
      <c r="RA50" s="179"/>
      <c r="RB50" s="179"/>
      <c r="RC50" s="179"/>
      <c r="RD50" s="179"/>
      <c r="RE50" s="172"/>
      <c r="RF50" s="172"/>
      <c r="RG50" s="172"/>
      <c r="RH50" s="179"/>
      <c r="RI50" s="179"/>
      <c r="RJ50" s="179"/>
      <c r="RK50" s="179"/>
      <c r="RL50" s="179"/>
      <c r="RM50" s="179"/>
      <c r="RN50" s="172"/>
      <c r="RO50" s="176"/>
      <c r="RP50" s="179"/>
      <c r="RQ50" s="172"/>
      <c r="RR50" s="179"/>
      <c r="RS50" s="176"/>
      <c r="RT50" s="176"/>
      <c r="RU50" s="179"/>
      <c r="RV50" s="172"/>
      <c r="RW50" s="179"/>
      <c r="RX50" s="176"/>
      <c r="RY50" s="172"/>
      <c r="RZ50" s="172"/>
      <c r="SA50" s="176"/>
      <c r="SB50" s="179"/>
      <c r="SC50" s="179"/>
      <c r="SD50" s="179"/>
      <c r="SE50" s="179"/>
      <c r="SF50" s="179"/>
      <c r="SG50" s="172"/>
      <c r="SH50" s="172"/>
      <c r="SI50" s="172"/>
      <c r="SJ50" s="172"/>
      <c r="SK50" s="179"/>
      <c r="SL50" s="172"/>
      <c r="SM50" s="172"/>
      <c r="SN50" s="172"/>
      <c r="SO50" s="172"/>
      <c r="SP50" s="172"/>
      <c r="SQ50" s="172"/>
      <c r="SR50" s="172"/>
      <c r="SS50" s="172"/>
      <c r="ST50" s="172"/>
      <c r="SU50" s="172"/>
      <c r="SV50" s="172"/>
      <c r="SW50" s="179"/>
      <c r="SX50" s="172"/>
      <c r="SY50" s="172"/>
      <c r="SZ50" s="172"/>
      <c r="TA50" s="172"/>
      <c r="TB50" s="172"/>
      <c r="TC50" s="172"/>
      <c r="TD50" s="172"/>
      <c r="TE50" s="179"/>
      <c r="TF50" s="179"/>
      <c r="TG50" s="172"/>
      <c r="TH50" s="179"/>
      <c r="TI50" s="172"/>
      <c r="TJ50" s="172"/>
      <c r="TK50" s="172"/>
      <c r="TL50" s="172"/>
      <c r="TM50" s="172"/>
      <c r="TN50" s="172"/>
      <c r="TO50" s="172"/>
      <c r="TP50" s="172"/>
      <c r="TQ50" s="172"/>
      <c r="TR50" s="179"/>
      <c r="TS50" s="172"/>
      <c r="TT50" s="172"/>
      <c r="TU50" s="172"/>
      <c r="TV50" s="172"/>
      <c r="TW50" s="172"/>
      <c r="TX50" s="172"/>
      <c r="TY50" s="179"/>
      <c r="TZ50" s="179"/>
      <c r="UA50" s="176"/>
      <c r="UB50" s="172"/>
      <c r="UC50" s="172"/>
      <c r="UD50" s="172"/>
      <c r="UE50" s="175"/>
      <c r="UF50" s="176"/>
      <c r="UG50" s="176"/>
      <c r="UH50" s="176"/>
      <c r="UI50" s="176"/>
      <c r="UJ50" s="176"/>
      <c r="UK50" s="172"/>
      <c r="UL50" s="176"/>
      <c r="UM50" s="176"/>
      <c r="UN50" s="176"/>
      <c r="UO50" s="174"/>
      <c r="UP50" s="172"/>
      <c r="UQ50" s="176"/>
      <c r="UR50" s="176"/>
      <c r="US50" s="176"/>
      <c r="UT50" s="176"/>
      <c r="UU50" s="176"/>
      <c r="UV50" s="176"/>
      <c r="UW50" s="176"/>
      <c r="UX50" s="176"/>
      <c r="UY50" s="172"/>
      <c r="UZ50" s="172"/>
      <c r="VA50" s="172"/>
      <c r="VB50" s="172"/>
      <c r="VC50" s="172"/>
      <c r="VD50" s="172"/>
      <c r="VE50" s="172"/>
      <c r="VF50" s="172"/>
      <c r="VG50" s="172"/>
      <c r="VH50" s="172"/>
      <c r="VI50" s="172"/>
      <c r="VJ50" s="172"/>
      <c r="VK50" s="172"/>
      <c r="VL50" s="180"/>
      <c r="VM50" s="181"/>
      <c r="VN50" s="181"/>
      <c r="VO50" s="181"/>
      <c r="VP50" s="182"/>
      <c r="VQ50" s="183"/>
      <c r="VR50" s="183"/>
      <c r="VS50" s="184"/>
      <c r="VT50" s="182"/>
      <c r="VU50" s="185"/>
      <c r="VV50" s="30"/>
      <c r="VW50" s="54"/>
      <c r="VX50" s="54"/>
      <c r="VY50" s="58"/>
      <c r="WA50" s="182"/>
      <c r="WB50" s="182"/>
      <c r="WC50" s="182"/>
      <c r="WD50" s="182"/>
      <c r="WE50" s="182"/>
      <c r="WF50" s="182"/>
      <c r="WG50" s="182"/>
      <c r="WH50" s="182"/>
      <c r="WI50" s="22">
        <f t="shared" si="28"/>
        <v>0</v>
      </c>
      <c r="WJ50" s="2"/>
      <c r="WK50" s="2"/>
    </row>
    <row r="51" spans="1:609" x14ac:dyDescent="0.25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67"/>
      <c r="FU51" s="67"/>
      <c r="FV51" s="67"/>
      <c r="FW51" s="67"/>
      <c r="FX51" s="67"/>
      <c r="FY51" s="67"/>
      <c r="FZ51" s="67"/>
      <c r="GA51" s="67"/>
      <c r="GB51" s="67"/>
      <c r="GC51" s="67"/>
      <c r="GD51" s="67"/>
      <c r="GE51" s="67"/>
      <c r="GF51" s="67"/>
      <c r="GG51" s="67"/>
      <c r="GH51" s="67"/>
      <c r="GI51" s="67"/>
      <c r="GJ51" s="67"/>
      <c r="GK51" s="67"/>
      <c r="GL51" s="67"/>
      <c r="GM51" s="67"/>
      <c r="GN51" s="67"/>
      <c r="GO51" s="67"/>
      <c r="GP51" s="67"/>
      <c r="GQ51" s="67"/>
      <c r="GR51" s="67"/>
      <c r="GS51" s="67"/>
      <c r="GT51" s="67"/>
      <c r="GU51" s="67"/>
      <c r="GV51" s="67"/>
      <c r="GW51" s="67"/>
      <c r="GX51" s="67"/>
      <c r="GY51" s="67"/>
      <c r="GZ51" s="67"/>
      <c r="HA51" s="67"/>
      <c r="HB51" s="67"/>
      <c r="HC51" s="67"/>
      <c r="HD51" s="67"/>
      <c r="HE51" s="67"/>
      <c r="HF51" s="67"/>
      <c r="HG51" s="67"/>
      <c r="HH51" s="67"/>
      <c r="HI51" s="67"/>
      <c r="HJ51" s="67"/>
      <c r="HK51" s="67"/>
      <c r="HL51" s="67"/>
      <c r="HM51" s="67"/>
      <c r="HN51" s="67"/>
      <c r="HO51" s="67"/>
      <c r="HP51" s="67"/>
      <c r="HQ51" s="67"/>
      <c r="HR51" s="67"/>
      <c r="HS51" s="67"/>
      <c r="HT51" s="67"/>
      <c r="HU51" s="67"/>
      <c r="HV51" s="67"/>
      <c r="HW51" s="67"/>
      <c r="HX51" s="67"/>
      <c r="HY51" s="67"/>
      <c r="HZ51" s="67"/>
      <c r="IA51" s="67"/>
      <c r="IB51" s="67"/>
      <c r="IC51" s="67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  <c r="LG51" s="67"/>
      <c r="LH51" s="67"/>
      <c r="LI51" s="67"/>
      <c r="LJ51" s="67"/>
      <c r="LK51" s="67"/>
      <c r="LL51" s="67"/>
      <c r="LM51" s="67"/>
      <c r="LN51" s="67"/>
      <c r="LO51" s="67"/>
      <c r="LP51" s="67"/>
      <c r="LQ51" s="67"/>
      <c r="LR51" s="67"/>
      <c r="LS51" s="67"/>
      <c r="LT51" s="67"/>
      <c r="LU51" s="67"/>
      <c r="LV51" s="67"/>
      <c r="LW51" s="67"/>
      <c r="LX51" s="67"/>
      <c r="LY51" s="67"/>
      <c r="LZ51" s="67"/>
      <c r="MA51" s="67"/>
      <c r="MB51" s="67"/>
      <c r="MC51" s="67"/>
      <c r="MD51" s="67"/>
      <c r="ME51" s="67"/>
      <c r="MF51" s="67"/>
      <c r="MG51" s="67"/>
      <c r="MH51" s="67"/>
      <c r="MI51" s="67"/>
      <c r="MJ51" s="67"/>
      <c r="MK51" s="67"/>
      <c r="ML51" s="67"/>
      <c r="MM51" s="67"/>
      <c r="MN51" s="67"/>
      <c r="MO51" s="67"/>
      <c r="MP51" s="67"/>
      <c r="MQ51" s="67"/>
      <c r="MR51" s="67"/>
      <c r="MS51" s="67"/>
      <c r="MT51" s="67"/>
      <c r="MU51" s="67"/>
      <c r="MV51" s="67"/>
      <c r="MW51" s="67"/>
      <c r="MX51" s="67"/>
      <c r="MY51" s="67"/>
      <c r="MZ51" s="67"/>
      <c r="NA51" s="67"/>
      <c r="NB51" s="67"/>
      <c r="NC51" s="67"/>
      <c r="ND51" s="67"/>
      <c r="NE51" s="67"/>
      <c r="NF51" s="67"/>
      <c r="NG51" s="67"/>
      <c r="NH51" s="67"/>
      <c r="NI51" s="67"/>
      <c r="NJ51" s="67"/>
      <c r="NK51" s="67"/>
      <c r="NL51" s="67"/>
      <c r="NM51" s="67"/>
      <c r="NN51" s="67"/>
      <c r="NO51" s="67"/>
      <c r="NP51" s="67"/>
      <c r="NQ51" s="67"/>
      <c r="NR51" s="67"/>
      <c r="NS51" s="67"/>
      <c r="NT51" s="67"/>
      <c r="NU51" s="67"/>
      <c r="NV51" s="67"/>
      <c r="NW51" s="67"/>
      <c r="NX51" s="67"/>
      <c r="NY51" s="67"/>
      <c r="NZ51" s="67"/>
      <c r="OA51" s="67"/>
      <c r="OB51" s="67"/>
      <c r="OC51" s="67"/>
      <c r="OD51" s="67"/>
      <c r="OE51" s="67"/>
      <c r="OF51" s="67"/>
      <c r="OG51" s="67"/>
      <c r="OH51" s="67"/>
      <c r="OI51" s="67"/>
      <c r="OJ51" s="67"/>
      <c r="OK51" s="67"/>
      <c r="OL51" s="67"/>
      <c r="OM51" s="67"/>
      <c r="ON51" s="67"/>
      <c r="OO51" s="67"/>
      <c r="OP51" s="67"/>
      <c r="OQ51" s="67"/>
      <c r="OR51" s="67"/>
      <c r="OS51" s="67"/>
      <c r="OT51" s="67"/>
      <c r="OU51" s="67"/>
      <c r="OV51" s="67"/>
      <c r="OW51" s="67"/>
      <c r="OX51" s="67"/>
      <c r="OY51" s="67"/>
      <c r="OZ51" s="67"/>
      <c r="PA51" s="67"/>
      <c r="PB51" s="67"/>
      <c r="PC51" s="67"/>
      <c r="PD51" s="67"/>
      <c r="PE51" s="67"/>
      <c r="PF51" s="67"/>
      <c r="PG51" s="67"/>
      <c r="PH51" s="67"/>
      <c r="PI51" s="67"/>
      <c r="PJ51" s="67"/>
      <c r="PK51" s="67"/>
      <c r="PL51" s="67"/>
      <c r="PM51" s="67"/>
      <c r="PN51" s="67"/>
      <c r="PO51" s="67"/>
      <c r="PP51" s="67"/>
      <c r="PQ51" s="67"/>
      <c r="PR51" s="67"/>
      <c r="PS51" s="67"/>
      <c r="PT51" s="67"/>
      <c r="PU51" s="67"/>
      <c r="PV51" s="67"/>
      <c r="PW51" s="67"/>
      <c r="PX51" s="67"/>
      <c r="PY51" s="67"/>
      <c r="PZ51" s="67"/>
      <c r="QA51" s="67"/>
      <c r="QB51" s="67"/>
      <c r="QC51" s="67"/>
      <c r="QD51" s="67"/>
      <c r="QE51" s="67"/>
      <c r="QF51" s="67"/>
      <c r="QG51" s="67"/>
      <c r="QH51" s="67"/>
      <c r="QI51" s="67"/>
      <c r="QJ51" s="67"/>
      <c r="QK51" s="67"/>
      <c r="QL51" s="67"/>
      <c r="QM51" s="67"/>
      <c r="QN51" s="67"/>
      <c r="QO51" s="67"/>
      <c r="QP51" s="67"/>
      <c r="QQ51" s="67"/>
      <c r="QR51" s="67"/>
      <c r="QS51" s="67"/>
      <c r="QT51" s="67"/>
      <c r="QU51" s="67"/>
      <c r="QV51" s="67"/>
      <c r="QW51" s="67"/>
      <c r="QX51" s="67"/>
      <c r="QY51" s="67"/>
      <c r="QZ51" s="67"/>
      <c r="RA51" s="67"/>
      <c r="RB51" s="67"/>
      <c r="RC51" s="67"/>
      <c r="RD51" s="67"/>
      <c r="RE51" s="67"/>
      <c r="RF51" s="67"/>
      <c r="RG51" s="67"/>
      <c r="RH51" s="67"/>
      <c r="RI51" s="67"/>
      <c r="RJ51" s="67"/>
      <c r="RK51" s="67"/>
      <c r="RL51" s="67"/>
      <c r="RM51" s="67"/>
      <c r="RN51" s="67"/>
      <c r="RO51" s="67"/>
      <c r="RP51" s="67"/>
      <c r="RQ51" s="67"/>
      <c r="RR51" s="67"/>
      <c r="RS51" s="67"/>
      <c r="RT51" s="67"/>
      <c r="RU51" s="67"/>
      <c r="RV51" s="67"/>
      <c r="RW51" s="67"/>
      <c r="RX51" s="67"/>
      <c r="RY51" s="67"/>
      <c r="RZ51" s="67"/>
      <c r="SA51" s="67"/>
      <c r="SB51" s="67"/>
      <c r="SC51" s="67"/>
      <c r="SD51" s="67"/>
      <c r="SE51" s="67"/>
      <c r="SF51" s="67"/>
      <c r="SG51" s="67"/>
      <c r="SH51" s="67"/>
      <c r="SI51" s="67"/>
      <c r="SJ51" s="67"/>
      <c r="SK51" s="67"/>
      <c r="SL51" s="67"/>
      <c r="SM51" s="67"/>
      <c r="SN51" s="67"/>
      <c r="SO51" s="67"/>
      <c r="SP51" s="67"/>
      <c r="SQ51" s="67"/>
      <c r="SR51" s="67"/>
      <c r="SS51" s="67"/>
      <c r="ST51" s="67"/>
      <c r="SU51" s="67"/>
      <c r="SV51" s="67"/>
      <c r="SW51" s="67"/>
      <c r="SX51" s="67"/>
      <c r="SY51" s="67"/>
      <c r="SZ51" s="67"/>
      <c r="TA51" s="67"/>
      <c r="TB51" s="67"/>
      <c r="TC51" s="67"/>
      <c r="TD51" s="67"/>
      <c r="TE51" s="67"/>
      <c r="TF51" s="67"/>
      <c r="TG51" s="67"/>
      <c r="TH51" s="67"/>
      <c r="TI51" s="67"/>
      <c r="TJ51" s="67"/>
      <c r="TK51" s="67"/>
      <c r="TL51" s="67"/>
      <c r="TM51" s="67"/>
      <c r="TN51" s="67"/>
      <c r="TO51" s="67"/>
      <c r="TP51" s="67"/>
      <c r="TQ51" s="67"/>
      <c r="TR51" s="67"/>
      <c r="TS51" s="67"/>
      <c r="TT51" s="67"/>
      <c r="TU51" s="67"/>
      <c r="TV51" s="67"/>
      <c r="TW51" s="67"/>
      <c r="TX51" s="67"/>
      <c r="TY51" s="67"/>
      <c r="TZ51" s="67"/>
      <c r="UA51" s="67"/>
      <c r="UB51" s="67"/>
      <c r="UC51" s="67"/>
      <c r="UD51" s="67"/>
      <c r="UE51" s="67"/>
      <c r="UF51" s="67"/>
      <c r="UG51" s="67"/>
      <c r="UH51" s="67"/>
      <c r="UI51" s="67"/>
      <c r="UJ51" s="67"/>
      <c r="UK51" s="67"/>
      <c r="UL51" s="67"/>
      <c r="UM51" s="67"/>
      <c r="UN51" s="67"/>
      <c r="UO51" s="67"/>
      <c r="UP51" s="67"/>
      <c r="UQ51" s="67"/>
      <c r="UR51" s="67"/>
      <c r="US51" s="67"/>
      <c r="UT51" s="67"/>
      <c r="UU51" s="67"/>
      <c r="UV51" s="67"/>
      <c r="UW51" s="67"/>
      <c r="UX51" s="67"/>
      <c r="UY51" s="67"/>
      <c r="UZ51" s="67"/>
      <c r="VA51" s="67"/>
      <c r="VB51" s="67"/>
      <c r="VC51" s="67"/>
      <c r="VD51" s="67"/>
      <c r="VE51" s="67"/>
      <c r="VF51" s="67"/>
      <c r="VG51" s="67"/>
      <c r="VH51" s="67"/>
      <c r="VI51" s="67"/>
      <c r="VJ51" s="67"/>
      <c r="VK51" s="67"/>
      <c r="VL51" s="67"/>
      <c r="VM51" s="67"/>
      <c r="VN51" s="67"/>
      <c r="VO51" s="67"/>
      <c r="VP51" s="67"/>
      <c r="VQ51" s="67"/>
      <c r="VR51" s="67"/>
      <c r="VS51" s="67"/>
      <c r="VT51" s="67"/>
      <c r="VU51" s="67"/>
      <c r="VV51" s="67"/>
      <c r="VW51" s="67"/>
      <c r="VX51" s="67"/>
      <c r="VY51" s="67"/>
      <c r="WA51" s="68"/>
      <c r="WB51" s="68"/>
      <c r="WC51" s="68"/>
      <c r="WD51" s="68"/>
      <c r="WE51" s="68"/>
      <c r="WF51" s="68"/>
      <c r="WG51" s="68"/>
      <c r="WH51" s="68"/>
      <c r="WI51" s="84"/>
      <c r="WJ51" s="2"/>
      <c r="WK51" s="2"/>
    </row>
    <row r="52" spans="1:609" x14ac:dyDescent="0.25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67"/>
      <c r="FU52" s="67"/>
      <c r="FV52" s="67"/>
      <c r="FW52" s="67"/>
      <c r="FX52" s="67"/>
      <c r="FY52" s="67"/>
      <c r="FZ52" s="67"/>
      <c r="GA52" s="67"/>
      <c r="GB52" s="67"/>
      <c r="GC52" s="67"/>
      <c r="GD52" s="67"/>
      <c r="GE52" s="67"/>
      <c r="GF52" s="67"/>
      <c r="GG52" s="67"/>
      <c r="GH52" s="67"/>
      <c r="GI52" s="67"/>
      <c r="GJ52" s="67"/>
      <c r="GK52" s="67"/>
      <c r="GL52" s="67"/>
      <c r="GM52" s="67"/>
      <c r="GN52" s="67"/>
      <c r="GO52" s="67"/>
      <c r="GP52" s="67"/>
      <c r="GQ52" s="67"/>
      <c r="GR52" s="67"/>
      <c r="GS52" s="67"/>
      <c r="GT52" s="67"/>
      <c r="GU52" s="67"/>
      <c r="GV52" s="67"/>
      <c r="GW52" s="67"/>
      <c r="GX52" s="67"/>
      <c r="GY52" s="67"/>
      <c r="GZ52" s="67"/>
      <c r="HA52" s="67"/>
      <c r="HB52" s="67"/>
      <c r="HC52" s="67"/>
      <c r="HD52" s="67"/>
      <c r="HE52" s="67"/>
      <c r="HF52" s="67"/>
      <c r="HG52" s="67"/>
      <c r="HH52" s="67"/>
      <c r="HI52" s="67"/>
      <c r="HJ52" s="67"/>
      <c r="HK52" s="67"/>
      <c r="HL52" s="67"/>
      <c r="HM52" s="67"/>
      <c r="HN52" s="67"/>
      <c r="HO52" s="67"/>
      <c r="HP52" s="67"/>
      <c r="HQ52" s="67"/>
      <c r="HR52" s="67"/>
      <c r="HS52" s="67"/>
      <c r="HT52" s="67"/>
      <c r="HU52" s="67"/>
      <c r="HV52" s="67"/>
      <c r="HW52" s="67"/>
      <c r="HX52" s="67"/>
      <c r="HY52" s="67"/>
      <c r="HZ52" s="67"/>
      <c r="IA52" s="67"/>
      <c r="IB52" s="67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  <c r="JD52" s="67"/>
      <c r="JE52" s="67"/>
      <c r="JF52" s="67"/>
      <c r="JG52" s="67"/>
      <c r="JH52" s="67"/>
      <c r="JI52" s="67"/>
      <c r="JJ52" s="67"/>
      <c r="JK52" s="67"/>
      <c r="JL52" s="67"/>
      <c r="JM52" s="67"/>
      <c r="JN52" s="67"/>
      <c r="JO52" s="67"/>
      <c r="JP52" s="67"/>
      <c r="JQ52" s="67"/>
      <c r="JR52" s="67"/>
      <c r="JS52" s="67"/>
      <c r="JT52" s="67"/>
      <c r="JU52" s="67"/>
      <c r="JV52" s="67"/>
      <c r="JW52" s="67"/>
      <c r="JX52" s="67"/>
      <c r="JY52" s="67"/>
      <c r="JZ52" s="67"/>
      <c r="KA52" s="67"/>
      <c r="KB52" s="67"/>
      <c r="KC52" s="67"/>
      <c r="KD52" s="67"/>
      <c r="KE52" s="67"/>
      <c r="KF52" s="67"/>
      <c r="KG52" s="67"/>
      <c r="KH52" s="67"/>
      <c r="KI52" s="67"/>
      <c r="KJ52" s="67"/>
      <c r="KK52" s="67"/>
      <c r="KL52" s="67"/>
      <c r="KM52" s="67"/>
      <c r="KN52" s="67"/>
      <c r="KO52" s="67"/>
      <c r="KP52" s="67"/>
      <c r="KQ52" s="67"/>
      <c r="KR52" s="67"/>
      <c r="KS52" s="67"/>
      <c r="KT52" s="67"/>
      <c r="KU52" s="67"/>
      <c r="KV52" s="67"/>
      <c r="KW52" s="67"/>
      <c r="KX52" s="67"/>
      <c r="KY52" s="67"/>
      <c r="KZ52" s="67"/>
      <c r="LA52" s="67"/>
      <c r="LB52" s="67"/>
      <c r="LC52" s="67"/>
      <c r="LD52" s="67"/>
      <c r="LE52" s="67"/>
      <c r="LF52" s="67"/>
      <c r="LG52" s="67"/>
      <c r="LH52" s="67"/>
      <c r="LI52" s="67"/>
      <c r="LJ52" s="67"/>
      <c r="LK52" s="67"/>
      <c r="LL52" s="67"/>
      <c r="LM52" s="67"/>
      <c r="LN52" s="67"/>
      <c r="LO52" s="67"/>
      <c r="LP52" s="67"/>
      <c r="LQ52" s="67"/>
      <c r="LR52" s="67"/>
      <c r="LS52" s="67"/>
      <c r="LT52" s="67"/>
      <c r="LU52" s="67"/>
      <c r="LV52" s="67"/>
      <c r="LW52" s="67"/>
      <c r="LX52" s="67"/>
      <c r="LY52" s="67"/>
      <c r="LZ52" s="67"/>
      <c r="MA52" s="67"/>
      <c r="MB52" s="67"/>
      <c r="MC52" s="67"/>
      <c r="MD52" s="67"/>
      <c r="ME52" s="67"/>
      <c r="MF52" s="67"/>
      <c r="MG52" s="67"/>
      <c r="MH52" s="67"/>
      <c r="MI52" s="67"/>
      <c r="MJ52" s="67"/>
      <c r="MK52" s="67"/>
      <c r="ML52" s="67"/>
      <c r="MM52" s="67"/>
      <c r="MN52" s="67"/>
      <c r="MO52" s="67"/>
      <c r="MP52" s="67"/>
      <c r="MQ52" s="67"/>
      <c r="MR52" s="67"/>
      <c r="MS52" s="67"/>
      <c r="MT52" s="67"/>
      <c r="MU52" s="67"/>
      <c r="MV52" s="67"/>
      <c r="MW52" s="67"/>
      <c r="MX52" s="67"/>
      <c r="MY52" s="67"/>
      <c r="MZ52" s="67"/>
      <c r="NA52" s="67"/>
      <c r="NB52" s="67"/>
      <c r="NC52" s="67"/>
      <c r="ND52" s="67"/>
      <c r="NE52" s="67"/>
      <c r="NF52" s="67"/>
      <c r="NG52" s="67"/>
      <c r="NH52" s="67"/>
      <c r="NI52" s="67"/>
      <c r="NJ52" s="67"/>
      <c r="NK52" s="67"/>
      <c r="NL52" s="67"/>
      <c r="NM52" s="67"/>
      <c r="NN52" s="67"/>
      <c r="NO52" s="67"/>
      <c r="NP52" s="67"/>
      <c r="NQ52" s="67"/>
      <c r="NR52" s="67"/>
      <c r="NS52" s="67"/>
      <c r="NT52" s="67"/>
      <c r="NU52" s="67"/>
      <c r="NV52" s="67"/>
      <c r="NW52" s="67"/>
      <c r="NX52" s="67"/>
      <c r="NY52" s="67"/>
      <c r="NZ52" s="67"/>
      <c r="OA52" s="67"/>
      <c r="OB52" s="67"/>
      <c r="OC52" s="67"/>
      <c r="OD52" s="67"/>
      <c r="OE52" s="67"/>
      <c r="OF52" s="67"/>
      <c r="OG52" s="67"/>
      <c r="OH52" s="67"/>
      <c r="OI52" s="67"/>
      <c r="OJ52" s="67"/>
      <c r="OK52" s="67"/>
      <c r="OL52" s="67"/>
      <c r="OM52" s="67"/>
      <c r="ON52" s="67"/>
      <c r="OO52" s="67"/>
      <c r="OP52" s="67"/>
      <c r="OQ52" s="67"/>
      <c r="OR52" s="67"/>
      <c r="OS52" s="67"/>
      <c r="OT52" s="67"/>
      <c r="OU52" s="67"/>
      <c r="OV52" s="67"/>
      <c r="OW52" s="67"/>
      <c r="OX52" s="67"/>
      <c r="OY52" s="67"/>
      <c r="OZ52" s="67"/>
      <c r="PA52" s="67"/>
      <c r="PB52" s="67"/>
      <c r="PC52" s="67"/>
      <c r="PD52" s="67"/>
      <c r="PE52" s="67"/>
      <c r="PF52" s="67"/>
      <c r="PG52" s="67"/>
      <c r="PH52" s="67"/>
      <c r="PI52" s="67"/>
      <c r="PJ52" s="67"/>
      <c r="PK52" s="67"/>
      <c r="PL52" s="67"/>
      <c r="PM52" s="67"/>
      <c r="PN52" s="67"/>
      <c r="PO52" s="67"/>
      <c r="PP52" s="67"/>
      <c r="PQ52" s="67"/>
      <c r="PR52" s="67"/>
      <c r="PS52" s="67"/>
      <c r="PT52" s="67"/>
      <c r="PU52" s="67"/>
      <c r="PV52" s="67"/>
      <c r="PW52" s="67"/>
      <c r="PX52" s="67"/>
      <c r="PY52" s="67"/>
      <c r="PZ52" s="67"/>
      <c r="QA52" s="67"/>
      <c r="QB52" s="67"/>
      <c r="QC52" s="67"/>
      <c r="QD52" s="67"/>
      <c r="QE52" s="67"/>
      <c r="QF52" s="67"/>
      <c r="QG52" s="67"/>
      <c r="QH52" s="67"/>
      <c r="QI52" s="67"/>
      <c r="QJ52" s="67"/>
      <c r="QK52" s="67"/>
      <c r="QL52" s="67"/>
      <c r="QM52" s="67"/>
      <c r="QN52" s="67"/>
      <c r="QO52" s="67"/>
      <c r="QP52" s="67"/>
      <c r="QQ52" s="67"/>
      <c r="QR52" s="67"/>
      <c r="QS52" s="67"/>
      <c r="QT52" s="67"/>
      <c r="QU52" s="67"/>
      <c r="QV52" s="67"/>
      <c r="QW52" s="67"/>
      <c r="QX52" s="67"/>
      <c r="QY52" s="67"/>
      <c r="QZ52" s="67"/>
      <c r="RA52" s="67"/>
      <c r="RB52" s="67"/>
      <c r="RC52" s="67"/>
      <c r="RD52" s="67"/>
      <c r="RE52" s="67"/>
      <c r="RF52" s="67"/>
      <c r="RG52" s="67"/>
      <c r="RH52" s="67"/>
      <c r="RI52" s="67"/>
      <c r="RJ52" s="67"/>
      <c r="RK52" s="67"/>
      <c r="RL52" s="67"/>
      <c r="RM52" s="67"/>
      <c r="RN52" s="67"/>
      <c r="RO52" s="67"/>
      <c r="RP52" s="67"/>
      <c r="RQ52" s="67"/>
      <c r="RR52" s="67"/>
      <c r="RS52" s="67"/>
      <c r="RT52" s="67"/>
      <c r="RU52" s="67"/>
      <c r="RV52" s="67"/>
      <c r="RW52" s="67"/>
      <c r="RX52" s="67"/>
      <c r="RY52" s="67"/>
      <c r="RZ52" s="67"/>
      <c r="SA52" s="67"/>
      <c r="SB52" s="67"/>
      <c r="SC52" s="67"/>
      <c r="SD52" s="67"/>
      <c r="SE52" s="67"/>
      <c r="SF52" s="67"/>
      <c r="SG52" s="67"/>
      <c r="SH52" s="67"/>
      <c r="SI52" s="67"/>
      <c r="SJ52" s="67"/>
      <c r="SK52" s="67"/>
      <c r="SL52" s="67"/>
      <c r="SM52" s="67"/>
      <c r="SN52" s="67"/>
      <c r="SO52" s="67"/>
      <c r="SP52" s="67"/>
      <c r="SQ52" s="67"/>
      <c r="SR52" s="67"/>
      <c r="SS52" s="67"/>
      <c r="ST52" s="67"/>
      <c r="SU52" s="67"/>
      <c r="SV52" s="67"/>
      <c r="SW52" s="67"/>
      <c r="SX52" s="67"/>
      <c r="SY52" s="67"/>
      <c r="SZ52" s="67"/>
      <c r="TA52" s="67"/>
      <c r="TB52" s="67"/>
      <c r="TC52" s="67"/>
      <c r="TD52" s="67"/>
      <c r="TE52" s="67"/>
      <c r="TF52" s="67"/>
      <c r="TG52" s="67"/>
      <c r="TH52" s="67"/>
      <c r="TI52" s="67"/>
      <c r="TJ52" s="67"/>
      <c r="TK52" s="67"/>
      <c r="TL52" s="67"/>
      <c r="TM52" s="67"/>
      <c r="TN52" s="67"/>
      <c r="TO52" s="67"/>
      <c r="TP52" s="67"/>
      <c r="TQ52" s="67"/>
      <c r="TR52" s="67"/>
      <c r="TS52" s="67"/>
      <c r="TT52" s="67"/>
      <c r="TU52" s="67"/>
      <c r="TV52" s="67"/>
      <c r="TW52" s="67"/>
      <c r="TX52" s="67"/>
      <c r="TY52" s="67"/>
      <c r="TZ52" s="67"/>
      <c r="UA52" s="67"/>
      <c r="UB52" s="67"/>
      <c r="UC52" s="67"/>
      <c r="UD52" s="67"/>
      <c r="UE52" s="67"/>
      <c r="UF52" s="67"/>
      <c r="UG52" s="67"/>
      <c r="UH52" s="67"/>
      <c r="UI52" s="67"/>
      <c r="UJ52" s="67"/>
      <c r="UK52" s="67"/>
      <c r="UL52" s="67"/>
      <c r="UM52" s="67"/>
      <c r="UN52" s="67"/>
      <c r="UO52" s="67"/>
      <c r="UP52" s="67"/>
      <c r="UQ52" s="67"/>
      <c r="UR52" s="67"/>
      <c r="US52" s="67"/>
      <c r="UT52" s="67"/>
      <c r="UU52" s="67"/>
      <c r="UV52" s="67"/>
      <c r="UW52" s="67"/>
      <c r="UX52" s="67"/>
      <c r="UY52" s="67"/>
      <c r="UZ52" s="67"/>
      <c r="VA52" s="67"/>
      <c r="VB52" s="67"/>
      <c r="VC52" s="67"/>
      <c r="VD52" s="67"/>
      <c r="VE52" s="67"/>
      <c r="VF52" s="67"/>
      <c r="VG52" s="67"/>
      <c r="VH52" s="67"/>
      <c r="VI52" s="67"/>
      <c r="VJ52" s="67"/>
      <c r="VK52" s="67"/>
      <c r="VL52" s="67"/>
      <c r="VM52" s="67"/>
      <c r="VN52" s="67"/>
      <c r="VO52" s="67"/>
      <c r="VP52" s="67"/>
      <c r="VQ52" s="67"/>
      <c r="VR52" s="67"/>
      <c r="VS52" s="67"/>
      <c r="VT52" s="67"/>
      <c r="VU52" s="67"/>
      <c r="VV52" s="67"/>
      <c r="VW52" s="67"/>
      <c r="VX52" s="67"/>
      <c r="VY52" s="67"/>
      <c r="WA52" s="68"/>
      <c r="WB52" s="68"/>
      <c r="WC52" s="68"/>
      <c r="WD52" s="68"/>
      <c r="WE52" s="68"/>
      <c r="WF52" s="68"/>
      <c r="WG52" s="68"/>
      <c r="WH52" s="68"/>
      <c r="WI52" s="84"/>
      <c r="WJ52" s="2"/>
      <c r="WK52" s="2"/>
    </row>
    <row r="53" spans="1:609" x14ac:dyDescent="0.25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  <c r="EO53" s="67"/>
      <c r="EP53" s="67"/>
      <c r="EQ53" s="67"/>
      <c r="ER53" s="67"/>
      <c r="ES53" s="67"/>
      <c r="ET53" s="67"/>
      <c r="EU53" s="67"/>
      <c r="EV53" s="67"/>
      <c r="EW53" s="67"/>
      <c r="EX53" s="67"/>
      <c r="EY53" s="67"/>
      <c r="EZ53" s="67"/>
      <c r="FA53" s="67"/>
      <c r="FB53" s="67"/>
      <c r="FC53" s="67"/>
      <c r="FD53" s="67"/>
      <c r="FE53" s="67"/>
      <c r="FF53" s="67"/>
      <c r="FG53" s="67"/>
      <c r="FH53" s="67"/>
      <c r="FI53" s="67"/>
      <c r="FJ53" s="67"/>
      <c r="FK53" s="67"/>
      <c r="FL53" s="67"/>
      <c r="FM53" s="67"/>
      <c r="FN53" s="67"/>
      <c r="FO53" s="67"/>
      <c r="FP53" s="67"/>
      <c r="FQ53" s="67"/>
      <c r="FR53" s="67"/>
      <c r="FS53" s="67"/>
      <c r="FT53" s="67"/>
      <c r="FU53" s="67"/>
      <c r="FV53" s="67"/>
      <c r="FW53" s="67"/>
      <c r="FX53" s="67"/>
      <c r="FY53" s="67"/>
      <c r="FZ53" s="67"/>
      <c r="GA53" s="67"/>
      <c r="GB53" s="67"/>
      <c r="GC53" s="67"/>
      <c r="GD53" s="67"/>
      <c r="GE53" s="67"/>
      <c r="GF53" s="67"/>
      <c r="GG53" s="67"/>
      <c r="GH53" s="67"/>
      <c r="GI53" s="67"/>
      <c r="GJ53" s="67"/>
      <c r="GK53" s="67"/>
      <c r="GL53" s="67"/>
      <c r="GM53" s="67"/>
      <c r="GN53" s="67"/>
      <c r="GO53" s="67"/>
      <c r="GP53" s="67"/>
      <c r="GQ53" s="67"/>
      <c r="GR53" s="67"/>
      <c r="GS53" s="67"/>
      <c r="GT53" s="67"/>
      <c r="GU53" s="67"/>
      <c r="GV53" s="67"/>
      <c r="GW53" s="67"/>
      <c r="GX53" s="67"/>
      <c r="GY53" s="67"/>
      <c r="GZ53" s="67"/>
      <c r="HA53" s="67"/>
      <c r="HB53" s="67"/>
      <c r="HC53" s="67"/>
      <c r="HD53" s="67"/>
      <c r="HE53" s="67"/>
      <c r="HF53" s="67"/>
      <c r="HG53" s="67"/>
      <c r="HH53" s="67"/>
      <c r="HI53" s="67"/>
      <c r="HJ53" s="67"/>
      <c r="HK53" s="67"/>
      <c r="HL53" s="67"/>
      <c r="HM53" s="67"/>
      <c r="HN53" s="67"/>
      <c r="HO53" s="67"/>
      <c r="HP53" s="67"/>
      <c r="HQ53" s="67"/>
      <c r="HR53" s="67"/>
      <c r="HS53" s="67"/>
      <c r="HT53" s="67"/>
      <c r="HU53" s="67"/>
      <c r="HV53" s="67"/>
      <c r="HW53" s="67"/>
      <c r="HX53" s="67"/>
      <c r="HY53" s="67"/>
      <c r="HZ53" s="67"/>
      <c r="IA53" s="67"/>
      <c r="IB53" s="67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  <c r="LG53" s="67"/>
      <c r="LH53" s="67"/>
      <c r="LI53" s="67"/>
      <c r="LJ53" s="67"/>
      <c r="LK53" s="67"/>
      <c r="LL53" s="67"/>
      <c r="LM53" s="67"/>
      <c r="LN53" s="67"/>
      <c r="LO53" s="67"/>
      <c r="LP53" s="67"/>
      <c r="LQ53" s="67"/>
      <c r="LR53" s="67"/>
      <c r="LS53" s="67"/>
      <c r="LT53" s="67"/>
      <c r="LU53" s="67"/>
      <c r="LV53" s="67"/>
      <c r="LW53" s="67"/>
      <c r="LX53" s="67"/>
      <c r="LY53" s="67"/>
      <c r="LZ53" s="67"/>
      <c r="MA53" s="67"/>
      <c r="MB53" s="67"/>
      <c r="MC53" s="67"/>
      <c r="MD53" s="67"/>
      <c r="ME53" s="67"/>
      <c r="MF53" s="67"/>
      <c r="MG53" s="67"/>
      <c r="MH53" s="67"/>
      <c r="MI53" s="67"/>
      <c r="MJ53" s="67"/>
      <c r="MK53" s="67"/>
      <c r="ML53" s="67"/>
      <c r="MM53" s="67"/>
      <c r="MN53" s="67"/>
      <c r="MO53" s="67"/>
      <c r="MP53" s="67"/>
      <c r="MQ53" s="67"/>
      <c r="MR53" s="67"/>
      <c r="MS53" s="67"/>
      <c r="MT53" s="67"/>
      <c r="MU53" s="67"/>
      <c r="MV53" s="67"/>
      <c r="MW53" s="67"/>
      <c r="MX53" s="67"/>
      <c r="MY53" s="67"/>
      <c r="MZ53" s="67"/>
      <c r="NA53" s="67"/>
      <c r="NB53" s="67"/>
      <c r="NC53" s="67"/>
      <c r="ND53" s="67"/>
      <c r="NE53" s="67"/>
      <c r="NF53" s="67"/>
      <c r="NG53" s="67"/>
      <c r="NH53" s="67"/>
      <c r="NI53" s="67"/>
      <c r="NJ53" s="67"/>
      <c r="NK53" s="67"/>
      <c r="NL53" s="67"/>
      <c r="NM53" s="67"/>
      <c r="NN53" s="67"/>
      <c r="NO53" s="67"/>
      <c r="NP53" s="67"/>
      <c r="NQ53" s="67"/>
      <c r="NR53" s="67"/>
      <c r="NS53" s="67"/>
      <c r="NT53" s="67"/>
      <c r="NU53" s="67"/>
      <c r="NV53" s="67"/>
      <c r="NW53" s="67"/>
      <c r="NX53" s="67"/>
      <c r="NY53" s="67"/>
      <c r="NZ53" s="67"/>
      <c r="OA53" s="67"/>
      <c r="OB53" s="67"/>
      <c r="OC53" s="67"/>
      <c r="OD53" s="67"/>
      <c r="OE53" s="67"/>
      <c r="OF53" s="67"/>
      <c r="OG53" s="67"/>
      <c r="OH53" s="67"/>
      <c r="OI53" s="67"/>
      <c r="OJ53" s="67"/>
      <c r="OK53" s="67"/>
      <c r="OL53" s="67"/>
      <c r="OM53" s="67"/>
      <c r="ON53" s="67"/>
      <c r="OO53" s="67"/>
      <c r="OP53" s="67"/>
      <c r="OQ53" s="67"/>
      <c r="OR53" s="67"/>
      <c r="OS53" s="67"/>
      <c r="OT53" s="67"/>
      <c r="OU53" s="67"/>
      <c r="OV53" s="67"/>
      <c r="OW53" s="67"/>
      <c r="OX53" s="67"/>
      <c r="OY53" s="67"/>
      <c r="OZ53" s="67"/>
      <c r="PA53" s="67"/>
      <c r="PB53" s="67"/>
      <c r="PC53" s="67"/>
      <c r="PD53" s="67"/>
      <c r="PE53" s="67"/>
      <c r="PF53" s="67"/>
      <c r="PG53" s="67"/>
      <c r="PH53" s="67"/>
      <c r="PI53" s="67"/>
      <c r="PJ53" s="67"/>
      <c r="PK53" s="67"/>
      <c r="PL53" s="67"/>
      <c r="PM53" s="67"/>
      <c r="PN53" s="67"/>
      <c r="PO53" s="67"/>
      <c r="PP53" s="67"/>
      <c r="PQ53" s="67"/>
      <c r="PR53" s="67"/>
      <c r="PS53" s="67"/>
      <c r="PT53" s="67"/>
      <c r="PU53" s="67"/>
      <c r="PV53" s="67"/>
      <c r="PW53" s="67"/>
      <c r="PX53" s="67"/>
      <c r="PY53" s="67"/>
      <c r="PZ53" s="67"/>
      <c r="QA53" s="67"/>
      <c r="QB53" s="67"/>
      <c r="QC53" s="67"/>
      <c r="QD53" s="67"/>
      <c r="QE53" s="67"/>
      <c r="QF53" s="67"/>
      <c r="QG53" s="67"/>
      <c r="QH53" s="67"/>
      <c r="QI53" s="67"/>
      <c r="QJ53" s="67"/>
      <c r="QK53" s="67"/>
      <c r="QL53" s="67"/>
      <c r="QM53" s="67"/>
      <c r="QN53" s="67"/>
      <c r="QO53" s="67"/>
      <c r="QP53" s="67"/>
      <c r="QQ53" s="67"/>
      <c r="QR53" s="67"/>
      <c r="QS53" s="67"/>
      <c r="QT53" s="67"/>
      <c r="QU53" s="67"/>
      <c r="QV53" s="67"/>
      <c r="QW53" s="67"/>
      <c r="QX53" s="67"/>
      <c r="QY53" s="67"/>
      <c r="QZ53" s="67"/>
      <c r="RA53" s="67"/>
      <c r="RB53" s="67"/>
      <c r="RC53" s="67"/>
      <c r="RD53" s="67"/>
      <c r="RE53" s="67"/>
      <c r="RF53" s="67"/>
      <c r="RG53" s="67"/>
      <c r="RH53" s="67"/>
      <c r="RI53" s="67"/>
      <c r="RJ53" s="67"/>
      <c r="RK53" s="67"/>
      <c r="RL53" s="67"/>
      <c r="RM53" s="67"/>
      <c r="RN53" s="67"/>
      <c r="RO53" s="67"/>
      <c r="RP53" s="67"/>
      <c r="RQ53" s="67"/>
      <c r="RR53" s="67"/>
      <c r="RS53" s="67"/>
      <c r="RT53" s="67"/>
      <c r="RU53" s="67"/>
      <c r="RV53" s="67"/>
      <c r="RW53" s="67"/>
      <c r="RX53" s="67"/>
      <c r="RY53" s="67"/>
      <c r="RZ53" s="67"/>
      <c r="SA53" s="67"/>
      <c r="SB53" s="67"/>
      <c r="SC53" s="67"/>
      <c r="SD53" s="67"/>
      <c r="SE53" s="67"/>
      <c r="SF53" s="67"/>
      <c r="SG53" s="67"/>
      <c r="SH53" s="67"/>
      <c r="SI53" s="67"/>
      <c r="SJ53" s="67"/>
      <c r="SK53" s="67"/>
      <c r="SL53" s="67"/>
      <c r="SM53" s="67"/>
      <c r="SN53" s="67"/>
      <c r="SO53" s="67"/>
      <c r="SP53" s="67"/>
      <c r="SQ53" s="67"/>
      <c r="SR53" s="67"/>
      <c r="SS53" s="67"/>
      <c r="ST53" s="67"/>
      <c r="SU53" s="67"/>
      <c r="SV53" s="67"/>
      <c r="SW53" s="67"/>
      <c r="SX53" s="67"/>
      <c r="SY53" s="67"/>
      <c r="SZ53" s="67"/>
      <c r="TA53" s="67"/>
      <c r="TB53" s="67"/>
      <c r="TC53" s="67"/>
      <c r="TD53" s="67"/>
      <c r="TE53" s="67"/>
      <c r="TF53" s="67"/>
      <c r="TG53" s="67"/>
      <c r="TH53" s="67"/>
      <c r="TI53" s="67"/>
      <c r="TJ53" s="67"/>
      <c r="TK53" s="67"/>
      <c r="TL53" s="67"/>
      <c r="TM53" s="67"/>
      <c r="TN53" s="67"/>
      <c r="TO53" s="67"/>
      <c r="TP53" s="67"/>
      <c r="TQ53" s="67"/>
      <c r="TR53" s="67"/>
      <c r="TS53" s="67"/>
      <c r="TT53" s="67"/>
      <c r="TU53" s="67"/>
      <c r="TV53" s="67"/>
      <c r="TW53" s="67"/>
      <c r="TX53" s="67"/>
      <c r="TY53" s="67"/>
      <c r="TZ53" s="67"/>
      <c r="UA53" s="67"/>
      <c r="UB53" s="67"/>
      <c r="UC53" s="67"/>
      <c r="UD53" s="67"/>
      <c r="UE53" s="67"/>
      <c r="UF53" s="67"/>
      <c r="UG53" s="67"/>
      <c r="UH53" s="67"/>
      <c r="UI53" s="67"/>
      <c r="UJ53" s="67"/>
      <c r="UK53" s="67"/>
      <c r="UL53" s="67"/>
      <c r="UM53" s="67"/>
      <c r="UN53" s="67"/>
      <c r="UO53" s="67"/>
      <c r="UP53" s="67"/>
      <c r="UQ53" s="67"/>
      <c r="UR53" s="67"/>
      <c r="US53" s="67"/>
      <c r="UT53" s="67"/>
      <c r="UU53" s="67"/>
      <c r="UV53" s="67"/>
      <c r="UW53" s="67"/>
      <c r="UX53" s="67"/>
      <c r="UY53" s="67"/>
      <c r="UZ53" s="67"/>
      <c r="VA53" s="67"/>
      <c r="VB53" s="67"/>
      <c r="VC53" s="67"/>
      <c r="VD53" s="67"/>
      <c r="VE53" s="67"/>
      <c r="VF53" s="67"/>
      <c r="VG53" s="67"/>
      <c r="VH53" s="67"/>
      <c r="VI53" s="67"/>
      <c r="VJ53" s="67"/>
      <c r="VK53" s="67"/>
      <c r="VL53" s="67"/>
      <c r="VM53" s="67"/>
      <c r="VN53" s="67"/>
      <c r="VO53" s="67"/>
      <c r="VP53" s="67"/>
      <c r="VQ53" s="67"/>
      <c r="VR53" s="67"/>
      <c r="VS53" s="67"/>
      <c r="VT53" s="67"/>
      <c r="VU53" s="67"/>
      <c r="VV53" s="67"/>
      <c r="VW53" s="67"/>
      <c r="VX53" s="67"/>
      <c r="VY53" s="67"/>
      <c r="WA53" s="68"/>
      <c r="WB53" s="68"/>
      <c r="WC53" s="68"/>
      <c r="WD53" s="68"/>
      <c r="WE53" s="68"/>
      <c r="WF53" s="68"/>
      <c r="WG53" s="68"/>
      <c r="WH53" s="68"/>
      <c r="WI53" s="84"/>
      <c r="WJ53" s="2"/>
      <c r="WK53" s="2"/>
    </row>
    <row r="54" spans="1:609" x14ac:dyDescent="0.25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67"/>
      <c r="GH54" s="67"/>
      <c r="GI54" s="67"/>
      <c r="GJ54" s="67"/>
      <c r="GK54" s="67"/>
      <c r="GL54" s="67"/>
      <c r="GM54" s="67"/>
      <c r="GN54" s="67"/>
      <c r="GO54" s="67"/>
      <c r="GP54" s="67"/>
      <c r="GQ54" s="67"/>
      <c r="GR54" s="67"/>
      <c r="GS54" s="67"/>
      <c r="GT54" s="67"/>
      <c r="GU54" s="67"/>
      <c r="GV54" s="67"/>
      <c r="GW54" s="67"/>
      <c r="GX54" s="67"/>
      <c r="GY54" s="67"/>
      <c r="GZ54" s="67"/>
      <c r="HA54" s="67"/>
      <c r="HB54" s="67"/>
      <c r="HC54" s="67"/>
      <c r="HD54" s="67"/>
      <c r="HE54" s="67"/>
      <c r="HF54" s="67"/>
      <c r="HG54" s="67"/>
      <c r="HH54" s="67"/>
      <c r="HI54" s="67"/>
      <c r="HJ54" s="67"/>
      <c r="HK54" s="67"/>
      <c r="HL54" s="67"/>
      <c r="HM54" s="67"/>
      <c r="HN54" s="67"/>
      <c r="HO54" s="67"/>
      <c r="HP54" s="67"/>
      <c r="HQ54" s="67"/>
      <c r="HR54" s="67"/>
      <c r="HS54" s="67"/>
      <c r="HT54" s="67"/>
      <c r="HU54" s="67"/>
      <c r="HV54" s="67"/>
      <c r="HW54" s="67"/>
      <c r="HX54" s="67"/>
      <c r="HY54" s="67"/>
      <c r="HZ54" s="67"/>
      <c r="IA54" s="67"/>
      <c r="IB54" s="67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  <c r="LG54" s="67"/>
      <c r="LH54" s="67"/>
      <c r="LI54" s="67"/>
      <c r="LJ54" s="67"/>
      <c r="LK54" s="67"/>
      <c r="LL54" s="67"/>
      <c r="LM54" s="67"/>
      <c r="LN54" s="67"/>
      <c r="LO54" s="67"/>
      <c r="LP54" s="67"/>
      <c r="LQ54" s="67"/>
      <c r="LR54" s="67"/>
      <c r="LS54" s="67"/>
      <c r="LT54" s="67"/>
      <c r="LU54" s="67"/>
      <c r="LV54" s="67"/>
      <c r="LW54" s="67"/>
      <c r="LX54" s="67"/>
      <c r="LY54" s="67"/>
      <c r="LZ54" s="67"/>
      <c r="MA54" s="67"/>
      <c r="MB54" s="67"/>
      <c r="MC54" s="67"/>
      <c r="MD54" s="67"/>
      <c r="ME54" s="67"/>
      <c r="MF54" s="67"/>
      <c r="MG54" s="67"/>
      <c r="MH54" s="67"/>
      <c r="MI54" s="67"/>
      <c r="MJ54" s="67"/>
      <c r="MK54" s="67"/>
      <c r="ML54" s="67"/>
      <c r="MM54" s="67"/>
      <c r="MN54" s="67"/>
      <c r="MO54" s="67"/>
      <c r="MP54" s="67"/>
      <c r="MQ54" s="67"/>
      <c r="MR54" s="67"/>
      <c r="MS54" s="67"/>
      <c r="MT54" s="67"/>
      <c r="MU54" s="67"/>
      <c r="MV54" s="67"/>
      <c r="MW54" s="67"/>
      <c r="MX54" s="67"/>
      <c r="MY54" s="67"/>
      <c r="MZ54" s="67"/>
      <c r="NA54" s="67"/>
      <c r="NB54" s="67"/>
      <c r="NC54" s="67"/>
      <c r="ND54" s="67"/>
      <c r="NE54" s="67"/>
      <c r="NF54" s="67"/>
      <c r="NG54" s="67"/>
      <c r="NH54" s="67"/>
      <c r="NI54" s="67"/>
      <c r="NJ54" s="67"/>
      <c r="NK54" s="67"/>
      <c r="NL54" s="67"/>
      <c r="NM54" s="67"/>
      <c r="NN54" s="67"/>
      <c r="NO54" s="67"/>
      <c r="NP54" s="67"/>
      <c r="NQ54" s="67"/>
      <c r="NR54" s="67"/>
      <c r="NS54" s="67"/>
      <c r="NT54" s="67"/>
      <c r="NU54" s="67"/>
      <c r="NV54" s="67"/>
      <c r="NW54" s="67"/>
      <c r="NX54" s="67"/>
      <c r="NY54" s="67"/>
      <c r="NZ54" s="67"/>
      <c r="OA54" s="67"/>
      <c r="OB54" s="67"/>
      <c r="OC54" s="67"/>
      <c r="OD54" s="67"/>
      <c r="OE54" s="67"/>
      <c r="OF54" s="67"/>
      <c r="OG54" s="67"/>
      <c r="OH54" s="67"/>
      <c r="OI54" s="67"/>
      <c r="OJ54" s="67"/>
      <c r="OK54" s="67"/>
      <c r="OL54" s="67"/>
      <c r="OM54" s="67"/>
      <c r="ON54" s="67"/>
      <c r="OO54" s="67"/>
      <c r="OP54" s="67"/>
      <c r="OQ54" s="67"/>
      <c r="OR54" s="67"/>
      <c r="OS54" s="67"/>
      <c r="OT54" s="67"/>
      <c r="OU54" s="67"/>
      <c r="OV54" s="67"/>
      <c r="OW54" s="67"/>
      <c r="OX54" s="67"/>
      <c r="OY54" s="67"/>
      <c r="OZ54" s="67"/>
      <c r="PA54" s="67"/>
      <c r="PB54" s="67"/>
      <c r="PC54" s="67"/>
      <c r="PD54" s="67"/>
      <c r="PE54" s="67"/>
      <c r="PF54" s="67"/>
      <c r="PG54" s="67"/>
      <c r="PH54" s="67"/>
      <c r="PI54" s="67"/>
      <c r="PJ54" s="67"/>
      <c r="PK54" s="67"/>
      <c r="PL54" s="67"/>
      <c r="PM54" s="67"/>
      <c r="PN54" s="67"/>
      <c r="PO54" s="67"/>
      <c r="PP54" s="67"/>
      <c r="PQ54" s="67"/>
      <c r="PR54" s="67"/>
      <c r="PS54" s="67"/>
      <c r="PT54" s="67"/>
      <c r="PU54" s="67"/>
      <c r="PV54" s="67"/>
      <c r="PW54" s="67"/>
      <c r="PX54" s="67"/>
      <c r="PY54" s="67"/>
      <c r="PZ54" s="67"/>
      <c r="QA54" s="67"/>
      <c r="QB54" s="67"/>
      <c r="QC54" s="67"/>
      <c r="QD54" s="67"/>
      <c r="QE54" s="67"/>
      <c r="QF54" s="67"/>
      <c r="QG54" s="67"/>
      <c r="QH54" s="67"/>
      <c r="QI54" s="67"/>
      <c r="QJ54" s="67"/>
      <c r="QK54" s="67"/>
      <c r="QL54" s="67"/>
      <c r="QM54" s="67"/>
      <c r="QN54" s="67"/>
      <c r="QO54" s="67"/>
      <c r="QP54" s="67"/>
      <c r="QQ54" s="67"/>
      <c r="QR54" s="67"/>
      <c r="QS54" s="67"/>
      <c r="QT54" s="67"/>
      <c r="QU54" s="67"/>
      <c r="QV54" s="67"/>
      <c r="QW54" s="67"/>
      <c r="QX54" s="67"/>
      <c r="QY54" s="67"/>
      <c r="QZ54" s="67"/>
      <c r="RA54" s="67"/>
      <c r="RB54" s="67"/>
      <c r="RC54" s="67"/>
      <c r="RD54" s="67"/>
      <c r="RE54" s="67"/>
      <c r="RF54" s="67"/>
      <c r="RG54" s="67"/>
      <c r="RH54" s="67"/>
      <c r="RI54" s="67"/>
      <c r="RJ54" s="67"/>
      <c r="RK54" s="67"/>
      <c r="RL54" s="67"/>
      <c r="RM54" s="67"/>
      <c r="RN54" s="67"/>
      <c r="RO54" s="67"/>
      <c r="RP54" s="67"/>
      <c r="RQ54" s="67"/>
      <c r="RR54" s="67"/>
      <c r="RS54" s="67"/>
      <c r="RT54" s="67"/>
      <c r="RU54" s="67"/>
      <c r="RV54" s="67"/>
      <c r="RW54" s="67"/>
      <c r="RX54" s="67"/>
      <c r="RY54" s="67"/>
      <c r="RZ54" s="67"/>
      <c r="SA54" s="67"/>
      <c r="SB54" s="67"/>
      <c r="SC54" s="67"/>
      <c r="SD54" s="67"/>
      <c r="SE54" s="67"/>
      <c r="SF54" s="67"/>
      <c r="SG54" s="67"/>
      <c r="SH54" s="67"/>
      <c r="SI54" s="67"/>
      <c r="SJ54" s="67"/>
      <c r="SK54" s="67"/>
      <c r="SL54" s="67"/>
      <c r="SM54" s="67"/>
      <c r="SN54" s="67"/>
      <c r="SO54" s="67"/>
      <c r="SP54" s="67"/>
      <c r="SQ54" s="67"/>
      <c r="SR54" s="67"/>
      <c r="SS54" s="67"/>
      <c r="ST54" s="67"/>
      <c r="SU54" s="67"/>
      <c r="SV54" s="67"/>
      <c r="SW54" s="67"/>
      <c r="SX54" s="67"/>
      <c r="SY54" s="67"/>
      <c r="SZ54" s="67"/>
      <c r="TA54" s="67"/>
      <c r="TB54" s="67"/>
      <c r="TC54" s="67"/>
      <c r="TD54" s="67"/>
      <c r="TE54" s="67"/>
      <c r="TF54" s="67"/>
      <c r="TG54" s="67"/>
      <c r="TH54" s="67"/>
      <c r="TI54" s="67"/>
      <c r="TJ54" s="67"/>
      <c r="TK54" s="67"/>
      <c r="TL54" s="67"/>
      <c r="TM54" s="67"/>
      <c r="TN54" s="67"/>
      <c r="TO54" s="67"/>
      <c r="TP54" s="67"/>
      <c r="TQ54" s="67"/>
      <c r="TR54" s="67"/>
      <c r="TS54" s="67"/>
      <c r="TT54" s="67"/>
      <c r="TU54" s="67"/>
      <c r="TV54" s="67"/>
      <c r="TW54" s="67"/>
      <c r="TX54" s="67"/>
      <c r="TY54" s="67"/>
      <c r="TZ54" s="67"/>
      <c r="UA54" s="67"/>
      <c r="UB54" s="67"/>
      <c r="UC54" s="67"/>
      <c r="UD54" s="67"/>
      <c r="UE54" s="67"/>
      <c r="UF54" s="67"/>
      <c r="UG54" s="67"/>
      <c r="UH54" s="67"/>
      <c r="UI54" s="67"/>
      <c r="UJ54" s="67"/>
      <c r="UK54" s="67"/>
      <c r="UL54" s="67"/>
      <c r="UM54" s="67"/>
      <c r="UN54" s="67"/>
      <c r="UO54" s="67"/>
      <c r="UP54" s="67"/>
      <c r="UQ54" s="67"/>
      <c r="UR54" s="67"/>
      <c r="US54" s="67"/>
      <c r="UT54" s="67"/>
      <c r="UU54" s="67"/>
      <c r="UV54" s="67"/>
      <c r="UW54" s="67"/>
      <c r="UX54" s="67"/>
      <c r="UY54" s="67"/>
      <c r="UZ54" s="67"/>
      <c r="VA54" s="67"/>
      <c r="VB54" s="67"/>
      <c r="VC54" s="67"/>
      <c r="VD54" s="67"/>
      <c r="VE54" s="67"/>
      <c r="VF54" s="67"/>
      <c r="VG54" s="67"/>
      <c r="VH54" s="67"/>
      <c r="VI54" s="67"/>
      <c r="VJ54" s="67"/>
      <c r="VK54" s="67"/>
      <c r="VL54" s="67"/>
      <c r="VM54" s="67"/>
      <c r="VN54" s="67"/>
      <c r="VO54" s="67"/>
      <c r="VP54" s="67"/>
      <c r="VQ54" s="67"/>
      <c r="VR54" s="67"/>
      <c r="VS54" s="67"/>
      <c r="VT54" s="67"/>
      <c r="VU54" s="67"/>
      <c r="VV54" s="67"/>
      <c r="VW54" s="67"/>
      <c r="VX54" s="67"/>
      <c r="VY54" s="67"/>
      <c r="WA54" s="68"/>
      <c r="WB54" s="68"/>
      <c r="WC54" s="68"/>
      <c r="WD54" s="68"/>
      <c r="WE54" s="68"/>
      <c r="WF54" s="68"/>
      <c r="WG54" s="68"/>
      <c r="WH54" s="68"/>
      <c r="WI54" s="84"/>
      <c r="WJ54" s="2"/>
      <c r="WK54" s="2"/>
    </row>
    <row r="55" spans="1:609" x14ac:dyDescent="0.25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  <c r="EO55" s="67"/>
      <c r="EP55" s="67"/>
      <c r="EQ55" s="67"/>
      <c r="ER55" s="67"/>
      <c r="ES55" s="67"/>
      <c r="ET55" s="67"/>
      <c r="EU55" s="67"/>
      <c r="EV55" s="67"/>
      <c r="EW55" s="67"/>
      <c r="EX55" s="67"/>
      <c r="EY55" s="67"/>
      <c r="EZ55" s="67"/>
      <c r="FA55" s="67"/>
      <c r="FB55" s="67"/>
      <c r="FC55" s="67"/>
      <c r="FD55" s="67"/>
      <c r="FE55" s="67"/>
      <c r="FF55" s="67"/>
      <c r="FG55" s="67"/>
      <c r="FH55" s="67"/>
      <c r="FI55" s="67"/>
      <c r="FJ55" s="67"/>
      <c r="FK55" s="67"/>
      <c r="FL55" s="67"/>
      <c r="FM55" s="67"/>
      <c r="FN55" s="67"/>
      <c r="FO55" s="67"/>
      <c r="FP55" s="67"/>
      <c r="FQ55" s="67"/>
      <c r="FR55" s="67"/>
      <c r="FS55" s="67"/>
      <c r="FT55" s="67"/>
      <c r="FU55" s="67"/>
      <c r="FV55" s="67"/>
      <c r="FW55" s="67"/>
      <c r="FX55" s="67"/>
      <c r="FY55" s="67"/>
      <c r="FZ55" s="67"/>
      <c r="GA55" s="67"/>
      <c r="GB55" s="67"/>
      <c r="GC55" s="67"/>
      <c r="GD55" s="67"/>
      <c r="GE55" s="67"/>
      <c r="GF55" s="67"/>
      <c r="GG55" s="67"/>
      <c r="GH55" s="67"/>
      <c r="GI55" s="67"/>
      <c r="GJ55" s="67"/>
      <c r="GK55" s="67"/>
      <c r="GL55" s="67"/>
      <c r="GM55" s="67"/>
      <c r="GN55" s="67"/>
      <c r="GO55" s="67"/>
      <c r="GP55" s="67"/>
      <c r="GQ55" s="67"/>
      <c r="GR55" s="67"/>
      <c r="GS55" s="67"/>
      <c r="GT55" s="67"/>
      <c r="GU55" s="67"/>
      <c r="GV55" s="67"/>
      <c r="GW55" s="67"/>
      <c r="GX55" s="67"/>
      <c r="GY55" s="67"/>
      <c r="GZ55" s="67"/>
      <c r="HA55" s="67"/>
      <c r="HB55" s="67"/>
      <c r="HC55" s="67"/>
      <c r="HD55" s="67"/>
      <c r="HE55" s="67"/>
      <c r="HF55" s="67"/>
      <c r="HG55" s="67"/>
      <c r="HH55" s="67"/>
      <c r="HI55" s="67"/>
      <c r="HJ55" s="67"/>
      <c r="HK55" s="67"/>
      <c r="HL55" s="67"/>
      <c r="HM55" s="67"/>
      <c r="HN55" s="67"/>
      <c r="HO55" s="67"/>
      <c r="HP55" s="67"/>
      <c r="HQ55" s="67"/>
      <c r="HR55" s="67"/>
      <c r="HS55" s="67"/>
      <c r="HT55" s="67"/>
      <c r="HU55" s="67"/>
      <c r="HV55" s="67"/>
      <c r="HW55" s="67"/>
      <c r="HX55" s="67"/>
      <c r="HY55" s="67"/>
      <c r="HZ55" s="67"/>
      <c r="IA55" s="67"/>
      <c r="IB55" s="67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  <c r="LG55" s="67"/>
      <c r="LH55" s="67"/>
      <c r="LI55" s="67"/>
      <c r="LJ55" s="67"/>
      <c r="LK55" s="67"/>
      <c r="LL55" s="67"/>
      <c r="LM55" s="67"/>
      <c r="LN55" s="67"/>
      <c r="LO55" s="67"/>
      <c r="LP55" s="67"/>
      <c r="LQ55" s="67"/>
      <c r="LR55" s="67"/>
      <c r="LS55" s="67"/>
      <c r="LT55" s="67"/>
      <c r="LU55" s="67"/>
      <c r="LV55" s="67"/>
      <c r="LW55" s="67"/>
      <c r="LX55" s="67"/>
      <c r="LY55" s="67"/>
      <c r="LZ55" s="67"/>
      <c r="MA55" s="67"/>
      <c r="MB55" s="67"/>
      <c r="MC55" s="67"/>
      <c r="MD55" s="67"/>
      <c r="ME55" s="67"/>
      <c r="MF55" s="67"/>
      <c r="MG55" s="67"/>
      <c r="MH55" s="67"/>
      <c r="MI55" s="67"/>
      <c r="MJ55" s="67"/>
      <c r="MK55" s="67"/>
      <c r="ML55" s="67"/>
      <c r="MM55" s="67"/>
      <c r="MN55" s="67"/>
      <c r="MO55" s="67"/>
      <c r="MP55" s="67"/>
      <c r="MQ55" s="67"/>
      <c r="MR55" s="67"/>
      <c r="MS55" s="67"/>
      <c r="MT55" s="67"/>
      <c r="MU55" s="67"/>
      <c r="MV55" s="67"/>
      <c r="MW55" s="67"/>
      <c r="MX55" s="67"/>
      <c r="MY55" s="67"/>
      <c r="MZ55" s="67"/>
      <c r="NA55" s="67"/>
      <c r="NB55" s="67"/>
      <c r="NC55" s="67"/>
      <c r="ND55" s="67"/>
      <c r="NE55" s="67"/>
      <c r="NF55" s="67"/>
      <c r="NG55" s="67"/>
      <c r="NH55" s="67"/>
      <c r="NI55" s="67"/>
      <c r="NJ55" s="67"/>
      <c r="NK55" s="67"/>
      <c r="NL55" s="67"/>
      <c r="NM55" s="67"/>
      <c r="NN55" s="67"/>
      <c r="NO55" s="67"/>
      <c r="NP55" s="67"/>
      <c r="NQ55" s="67"/>
      <c r="NR55" s="67"/>
      <c r="NS55" s="67"/>
      <c r="NT55" s="67"/>
      <c r="NU55" s="67"/>
      <c r="NV55" s="67"/>
      <c r="NW55" s="67"/>
      <c r="NX55" s="67"/>
      <c r="NY55" s="67"/>
      <c r="NZ55" s="67"/>
      <c r="OA55" s="67"/>
      <c r="OB55" s="67"/>
      <c r="OC55" s="67"/>
      <c r="OD55" s="67"/>
      <c r="OE55" s="67"/>
      <c r="OF55" s="67"/>
      <c r="OG55" s="67"/>
      <c r="OH55" s="67"/>
      <c r="OI55" s="67"/>
      <c r="OJ55" s="67"/>
      <c r="OK55" s="67"/>
      <c r="OL55" s="67"/>
      <c r="OM55" s="67"/>
      <c r="ON55" s="67"/>
      <c r="OO55" s="67"/>
      <c r="OP55" s="67"/>
      <c r="OQ55" s="67"/>
      <c r="OR55" s="67"/>
      <c r="OS55" s="67"/>
      <c r="OT55" s="67"/>
      <c r="OU55" s="67"/>
      <c r="OV55" s="67"/>
      <c r="OW55" s="67"/>
      <c r="OX55" s="67"/>
      <c r="OY55" s="67"/>
      <c r="OZ55" s="67"/>
      <c r="PA55" s="67"/>
      <c r="PB55" s="67"/>
      <c r="PC55" s="67"/>
      <c r="PD55" s="67"/>
      <c r="PE55" s="67"/>
      <c r="PF55" s="67"/>
      <c r="PG55" s="67"/>
      <c r="PH55" s="67"/>
      <c r="PI55" s="67"/>
      <c r="PJ55" s="67"/>
      <c r="PK55" s="67"/>
      <c r="PL55" s="67"/>
      <c r="PM55" s="67"/>
      <c r="PN55" s="67"/>
      <c r="PO55" s="67"/>
      <c r="PP55" s="67"/>
      <c r="PQ55" s="67"/>
      <c r="PR55" s="67"/>
      <c r="PS55" s="67"/>
      <c r="PT55" s="67"/>
      <c r="PU55" s="67"/>
      <c r="PV55" s="67"/>
      <c r="PW55" s="67"/>
      <c r="PX55" s="67"/>
      <c r="PY55" s="67"/>
      <c r="PZ55" s="67"/>
      <c r="QA55" s="67"/>
      <c r="QB55" s="67"/>
      <c r="QC55" s="67"/>
      <c r="QD55" s="67"/>
      <c r="QE55" s="67"/>
      <c r="QF55" s="67"/>
      <c r="QG55" s="67"/>
      <c r="QH55" s="67"/>
      <c r="QI55" s="67"/>
      <c r="QJ55" s="67"/>
      <c r="QK55" s="67"/>
      <c r="QL55" s="67"/>
      <c r="QM55" s="67"/>
      <c r="QN55" s="67"/>
      <c r="QO55" s="67"/>
      <c r="QP55" s="67"/>
      <c r="QQ55" s="67"/>
      <c r="QR55" s="67"/>
      <c r="QS55" s="67"/>
      <c r="QT55" s="67"/>
      <c r="QU55" s="67"/>
      <c r="QV55" s="67"/>
      <c r="QW55" s="67"/>
      <c r="QX55" s="67"/>
      <c r="QY55" s="67"/>
      <c r="QZ55" s="67"/>
      <c r="RA55" s="67"/>
      <c r="RB55" s="67"/>
      <c r="RC55" s="67"/>
      <c r="RD55" s="67"/>
      <c r="RE55" s="67"/>
      <c r="RF55" s="67"/>
      <c r="RG55" s="67"/>
      <c r="RH55" s="67"/>
      <c r="RI55" s="67"/>
      <c r="RJ55" s="67"/>
      <c r="RK55" s="67"/>
      <c r="RL55" s="67"/>
      <c r="RM55" s="67"/>
      <c r="RN55" s="67"/>
      <c r="RO55" s="67"/>
      <c r="RP55" s="67"/>
      <c r="RQ55" s="67"/>
      <c r="RR55" s="67"/>
      <c r="RS55" s="67"/>
      <c r="RT55" s="67"/>
      <c r="RU55" s="67"/>
      <c r="RV55" s="67"/>
      <c r="RW55" s="67"/>
      <c r="RX55" s="67"/>
      <c r="RY55" s="67"/>
      <c r="RZ55" s="67"/>
      <c r="SA55" s="67"/>
      <c r="SB55" s="67"/>
      <c r="SC55" s="67"/>
      <c r="SD55" s="67"/>
      <c r="SE55" s="67"/>
      <c r="SF55" s="67"/>
      <c r="SG55" s="67"/>
      <c r="SH55" s="67"/>
      <c r="SI55" s="67"/>
      <c r="SJ55" s="67"/>
      <c r="SK55" s="67"/>
      <c r="SL55" s="67"/>
      <c r="SM55" s="67"/>
      <c r="SN55" s="67"/>
      <c r="SO55" s="67"/>
      <c r="SP55" s="67"/>
      <c r="SQ55" s="67"/>
      <c r="SR55" s="67"/>
      <c r="SS55" s="67"/>
      <c r="ST55" s="67"/>
      <c r="SU55" s="67"/>
      <c r="SV55" s="67"/>
      <c r="SW55" s="67"/>
      <c r="SX55" s="67"/>
      <c r="SY55" s="67"/>
      <c r="SZ55" s="67"/>
      <c r="TA55" s="67"/>
      <c r="TB55" s="67"/>
      <c r="TC55" s="67"/>
      <c r="TD55" s="67"/>
      <c r="TE55" s="67"/>
      <c r="TF55" s="67"/>
      <c r="TG55" s="67"/>
      <c r="TH55" s="67"/>
      <c r="TI55" s="67"/>
      <c r="TJ55" s="67"/>
      <c r="TK55" s="67"/>
      <c r="TL55" s="67"/>
      <c r="TM55" s="67"/>
      <c r="TN55" s="67"/>
      <c r="TO55" s="67"/>
      <c r="TP55" s="67"/>
      <c r="TQ55" s="67"/>
      <c r="TR55" s="67"/>
      <c r="TS55" s="67"/>
      <c r="TT55" s="67"/>
      <c r="TU55" s="67"/>
      <c r="TV55" s="67"/>
      <c r="TW55" s="67"/>
      <c r="TX55" s="67"/>
      <c r="TY55" s="67"/>
      <c r="TZ55" s="67"/>
      <c r="UA55" s="67"/>
      <c r="UB55" s="67"/>
      <c r="UC55" s="67"/>
      <c r="UD55" s="67"/>
      <c r="UE55" s="67"/>
      <c r="UF55" s="67"/>
      <c r="UG55" s="67"/>
      <c r="UH55" s="67"/>
      <c r="UI55" s="67"/>
      <c r="UJ55" s="67"/>
      <c r="UK55" s="67"/>
      <c r="UL55" s="67"/>
      <c r="UM55" s="67"/>
      <c r="UN55" s="67"/>
      <c r="UO55" s="67"/>
      <c r="UP55" s="67"/>
      <c r="UQ55" s="67"/>
      <c r="UR55" s="67"/>
      <c r="US55" s="67"/>
      <c r="UT55" s="67"/>
      <c r="UU55" s="67"/>
      <c r="UV55" s="67"/>
      <c r="UW55" s="67"/>
      <c r="UX55" s="67"/>
      <c r="UY55" s="67"/>
      <c r="UZ55" s="67"/>
      <c r="VA55" s="67"/>
      <c r="VB55" s="67"/>
      <c r="VC55" s="67"/>
      <c r="VD55" s="67"/>
      <c r="VE55" s="67"/>
      <c r="VF55" s="67"/>
      <c r="VG55" s="67"/>
      <c r="VH55" s="67"/>
      <c r="VI55" s="67"/>
      <c r="VJ55" s="67"/>
      <c r="VK55" s="67"/>
      <c r="VL55" s="67"/>
      <c r="VM55" s="67"/>
      <c r="VN55" s="67"/>
      <c r="VO55" s="67"/>
      <c r="VP55" s="67"/>
      <c r="VQ55" s="67"/>
      <c r="VR55" s="67"/>
      <c r="VS55" s="67"/>
      <c r="VT55" s="67"/>
      <c r="VU55" s="67"/>
      <c r="VV55" s="67"/>
      <c r="VW55" s="67"/>
      <c r="VX55" s="67"/>
      <c r="VY55" s="67"/>
      <c r="WA55" s="68"/>
      <c r="WB55" s="68"/>
      <c r="WC55" s="68"/>
      <c r="WD55" s="68"/>
      <c r="WE55" s="68"/>
      <c r="WF55" s="68"/>
      <c r="WG55" s="68"/>
      <c r="WH55" s="68"/>
      <c r="WI55" s="84"/>
      <c r="WJ55" s="2"/>
      <c r="WK55" s="2"/>
    </row>
    <row r="56" spans="1:609" x14ac:dyDescent="0.25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7"/>
      <c r="MF56" s="67"/>
      <c r="MG56" s="67"/>
      <c r="MH56" s="67"/>
      <c r="MI56" s="67"/>
      <c r="MJ56" s="67"/>
      <c r="MK56" s="67"/>
      <c r="ML56" s="67"/>
      <c r="MM56" s="67"/>
      <c r="MN56" s="67"/>
      <c r="MO56" s="67"/>
      <c r="MP56" s="67"/>
      <c r="MQ56" s="67"/>
      <c r="MR56" s="67"/>
      <c r="MS56" s="67"/>
      <c r="MT56" s="67"/>
      <c r="MU56" s="67"/>
      <c r="MV56" s="67"/>
      <c r="MW56" s="67"/>
      <c r="MX56" s="67"/>
      <c r="MY56" s="67"/>
      <c r="MZ56" s="67"/>
      <c r="NA56" s="67"/>
      <c r="NB56" s="67"/>
      <c r="NC56" s="67"/>
      <c r="ND56" s="67"/>
      <c r="NE56" s="67"/>
      <c r="NF56" s="67"/>
      <c r="NG56" s="67"/>
      <c r="NH56" s="67"/>
      <c r="NI56" s="67"/>
      <c r="NJ56" s="67"/>
      <c r="NK56" s="67"/>
      <c r="NL56" s="67"/>
      <c r="NM56" s="67"/>
      <c r="NN56" s="67"/>
      <c r="NO56" s="67"/>
      <c r="NP56" s="67"/>
      <c r="NQ56" s="67"/>
      <c r="NR56" s="67"/>
      <c r="NS56" s="67"/>
      <c r="NT56" s="67"/>
      <c r="NU56" s="67"/>
      <c r="NV56" s="67"/>
      <c r="NW56" s="67"/>
      <c r="NX56" s="67"/>
      <c r="NY56" s="67"/>
      <c r="NZ56" s="67"/>
      <c r="OA56" s="67"/>
      <c r="OB56" s="67"/>
      <c r="OC56" s="67"/>
      <c r="OD56" s="67"/>
      <c r="OE56" s="67"/>
      <c r="OF56" s="67"/>
      <c r="OG56" s="67"/>
      <c r="OH56" s="67"/>
      <c r="OI56" s="67"/>
      <c r="OJ56" s="67"/>
      <c r="OK56" s="67"/>
      <c r="OL56" s="67"/>
      <c r="OM56" s="67"/>
      <c r="ON56" s="67"/>
      <c r="OO56" s="67"/>
      <c r="OP56" s="67"/>
      <c r="OQ56" s="67"/>
      <c r="OR56" s="67"/>
      <c r="OS56" s="67"/>
      <c r="OT56" s="67"/>
      <c r="OU56" s="67"/>
      <c r="OV56" s="67"/>
      <c r="OW56" s="67"/>
      <c r="OX56" s="67"/>
      <c r="OY56" s="67"/>
      <c r="OZ56" s="67"/>
      <c r="PA56" s="67"/>
      <c r="PB56" s="67"/>
      <c r="PC56" s="67"/>
      <c r="PD56" s="67"/>
      <c r="PE56" s="67"/>
      <c r="PF56" s="67"/>
      <c r="PG56" s="67"/>
      <c r="PH56" s="67"/>
      <c r="PI56" s="67"/>
      <c r="PJ56" s="67"/>
      <c r="PK56" s="67"/>
      <c r="PL56" s="67"/>
      <c r="PM56" s="67"/>
      <c r="PN56" s="67"/>
      <c r="PO56" s="67"/>
      <c r="PP56" s="67"/>
      <c r="PQ56" s="67"/>
      <c r="PR56" s="67"/>
      <c r="PS56" s="67"/>
      <c r="PT56" s="67"/>
      <c r="PU56" s="67"/>
      <c r="PV56" s="67"/>
      <c r="PW56" s="67"/>
      <c r="PX56" s="67"/>
      <c r="PY56" s="67"/>
      <c r="PZ56" s="67"/>
      <c r="QA56" s="67"/>
      <c r="QB56" s="67"/>
      <c r="QC56" s="67"/>
      <c r="QD56" s="67"/>
      <c r="QE56" s="67"/>
      <c r="QF56" s="67"/>
      <c r="QG56" s="67"/>
      <c r="QH56" s="67"/>
      <c r="QI56" s="67"/>
      <c r="QJ56" s="67"/>
      <c r="QK56" s="67"/>
      <c r="QL56" s="67"/>
      <c r="QM56" s="67"/>
      <c r="QN56" s="67"/>
      <c r="QO56" s="67"/>
      <c r="QP56" s="67"/>
      <c r="QQ56" s="67"/>
      <c r="QR56" s="67"/>
      <c r="QS56" s="67"/>
      <c r="QT56" s="67"/>
      <c r="QU56" s="67"/>
      <c r="QV56" s="67"/>
      <c r="QW56" s="67"/>
      <c r="QX56" s="67"/>
      <c r="QY56" s="67"/>
      <c r="QZ56" s="67"/>
      <c r="RA56" s="67"/>
      <c r="RB56" s="67"/>
      <c r="RC56" s="67"/>
      <c r="RD56" s="67"/>
      <c r="RE56" s="67"/>
      <c r="RF56" s="67"/>
      <c r="RG56" s="67"/>
      <c r="RH56" s="67"/>
      <c r="RI56" s="67"/>
      <c r="RJ56" s="67"/>
      <c r="RK56" s="67"/>
      <c r="RL56" s="67"/>
      <c r="RM56" s="67"/>
      <c r="RN56" s="67"/>
      <c r="RO56" s="67"/>
      <c r="RP56" s="67"/>
      <c r="RQ56" s="67"/>
      <c r="RR56" s="67"/>
      <c r="RS56" s="67"/>
      <c r="RT56" s="67"/>
      <c r="RU56" s="67"/>
      <c r="RV56" s="67"/>
      <c r="RW56" s="67"/>
      <c r="RX56" s="67"/>
      <c r="RY56" s="67"/>
      <c r="RZ56" s="67"/>
      <c r="SA56" s="67"/>
      <c r="SB56" s="67"/>
      <c r="SC56" s="67"/>
      <c r="SD56" s="67"/>
      <c r="SE56" s="67"/>
      <c r="SF56" s="67"/>
      <c r="SG56" s="67"/>
      <c r="SH56" s="67"/>
      <c r="SI56" s="67"/>
      <c r="SJ56" s="67"/>
      <c r="SK56" s="67"/>
      <c r="SL56" s="67"/>
      <c r="SM56" s="67"/>
      <c r="SN56" s="67"/>
      <c r="SO56" s="67"/>
      <c r="SP56" s="67"/>
      <c r="SQ56" s="67"/>
      <c r="SR56" s="67"/>
      <c r="SS56" s="67"/>
      <c r="ST56" s="67"/>
      <c r="SU56" s="67"/>
      <c r="SV56" s="67"/>
      <c r="SW56" s="67"/>
      <c r="SX56" s="67"/>
      <c r="SY56" s="67"/>
      <c r="SZ56" s="67"/>
      <c r="TA56" s="67"/>
      <c r="TB56" s="67"/>
      <c r="TC56" s="67"/>
      <c r="TD56" s="67"/>
      <c r="TE56" s="67"/>
      <c r="TF56" s="67"/>
      <c r="TG56" s="67"/>
      <c r="TH56" s="67"/>
      <c r="TI56" s="67"/>
      <c r="TJ56" s="67"/>
      <c r="TK56" s="67"/>
      <c r="TL56" s="67"/>
      <c r="TM56" s="67"/>
      <c r="TN56" s="67"/>
      <c r="TO56" s="67"/>
      <c r="TP56" s="67"/>
      <c r="TQ56" s="67"/>
      <c r="TR56" s="67"/>
      <c r="TS56" s="67"/>
      <c r="TT56" s="67"/>
      <c r="TU56" s="67"/>
      <c r="TV56" s="67"/>
      <c r="TW56" s="67"/>
      <c r="TX56" s="67"/>
      <c r="TY56" s="67"/>
      <c r="TZ56" s="67"/>
      <c r="UA56" s="67"/>
      <c r="UB56" s="67"/>
      <c r="UC56" s="67"/>
      <c r="UD56" s="67"/>
      <c r="UE56" s="67"/>
      <c r="UF56" s="67"/>
      <c r="UG56" s="67"/>
      <c r="UH56" s="67"/>
      <c r="UI56" s="67"/>
      <c r="UJ56" s="67"/>
      <c r="UK56" s="67"/>
      <c r="UL56" s="67"/>
      <c r="UM56" s="67"/>
      <c r="UN56" s="67"/>
      <c r="UO56" s="67"/>
      <c r="UP56" s="67"/>
      <c r="UQ56" s="67"/>
      <c r="UR56" s="67"/>
      <c r="US56" s="67"/>
      <c r="UT56" s="67"/>
      <c r="UU56" s="67"/>
      <c r="UV56" s="67"/>
      <c r="UW56" s="67"/>
      <c r="UX56" s="67"/>
      <c r="UY56" s="67"/>
      <c r="UZ56" s="67"/>
      <c r="VA56" s="67"/>
      <c r="VB56" s="67"/>
      <c r="VC56" s="67"/>
      <c r="VD56" s="67"/>
      <c r="VE56" s="67"/>
      <c r="VF56" s="67"/>
      <c r="VG56" s="67"/>
      <c r="VH56" s="67"/>
      <c r="VI56" s="67"/>
      <c r="VJ56" s="67"/>
      <c r="VK56" s="67"/>
      <c r="VL56" s="67"/>
      <c r="VM56" s="67"/>
      <c r="VN56" s="67"/>
      <c r="VO56" s="67"/>
      <c r="VP56" s="67"/>
      <c r="VQ56" s="67"/>
      <c r="VR56" s="67"/>
      <c r="VS56" s="67"/>
      <c r="VT56" s="67"/>
      <c r="VU56" s="67"/>
      <c r="VV56" s="67"/>
      <c r="VW56" s="67"/>
      <c r="VX56" s="67"/>
      <c r="VY56" s="67"/>
      <c r="WA56" s="68"/>
      <c r="WB56" s="68"/>
      <c r="WC56" s="68"/>
      <c r="WD56" s="68"/>
      <c r="WE56" s="68"/>
      <c r="WF56" s="68"/>
      <c r="WG56" s="68"/>
      <c r="WH56" s="68"/>
      <c r="WI56" s="84"/>
      <c r="WJ56" s="2"/>
      <c r="WK56" s="2"/>
    </row>
    <row r="57" spans="1:609" x14ac:dyDescent="0.25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  <c r="EO57" s="67"/>
      <c r="EP57" s="67"/>
      <c r="EQ57" s="67"/>
      <c r="ER57" s="67"/>
      <c r="ES57" s="67"/>
      <c r="ET57" s="67"/>
      <c r="EU57" s="67"/>
      <c r="EV57" s="67"/>
      <c r="EW57" s="67"/>
      <c r="EX57" s="67"/>
      <c r="EY57" s="67"/>
      <c r="EZ57" s="67"/>
      <c r="FA57" s="67"/>
      <c r="FB57" s="67"/>
      <c r="FC57" s="67"/>
      <c r="FD57" s="67"/>
      <c r="FE57" s="67"/>
      <c r="FF57" s="67"/>
      <c r="FG57" s="67"/>
      <c r="FH57" s="67"/>
      <c r="FI57" s="67"/>
      <c r="FJ57" s="67"/>
      <c r="FK57" s="67"/>
      <c r="FL57" s="67"/>
      <c r="FM57" s="67"/>
      <c r="FN57" s="67"/>
      <c r="FO57" s="67"/>
      <c r="FP57" s="67"/>
      <c r="FQ57" s="67"/>
      <c r="FR57" s="67"/>
      <c r="FS57" s="67"/>
      <c r="FT57" s="67"/>
      <c r="FU57" s="67"/>
      <c r="FV57" s="67"/>
      <c r="FW57" s="67"/>
      <c r="FX57" s="67"/>
      <c r="FY57" s="67"/>
      <c r="FZ57" s="67"/>
      <c r="GA57" s="67"/>
      <c r="GB57" s="67"/>
      <c r="GC57" s="67"/>
      <c r="GD57" s="67"/>
      <c r="GE57" s="67"/>
      <c r="GF57" s="67"/>
      <c r="GG57" s="67"/>
      <c r="GH57" s="67"/>
      <c r="GI57" s="67"/>
      <c r="GJ57" s="67"/>
      <c r="GK57" s="67"/>
      <c r="GL57" s="67"/>
      <c r="GM57" s="67"/>
      <c r="GN57" s="67"/>
      <c r="GO57" s="67"/>
      <c r="GP57" s="67"/>
      <c r="GQ57" s="67"/>
      <c r="GR57" s="67"/>
      <c r="GS57" s="67"/>
      <c r="GT57" s="67"/>
      <c r="GU57" s="67"/>
      <c r="GV57" s="67"/>
      <c r="GW57" s="67"/>
      <c r="GX57" s="67"/>
      <c r="GY57" s="67"/>
      <c r="GZ57" s="67"/>
      <c r="HA57" s="67"/>
      <c r="HB57" s="67"/>
      <c r="HC57" s="67"/>
      <c r="HD57" s="67"/>
      <c r="HE57" s="67"/>
      <c r="HF57" s="67"/>
      <c r="HG57" s="67"/>
      <c r="HH57" s="67"/>
      <c r="HI57" s="67"/>
      <c r="HJ57" s="67"/>
      <c r="HK57" s="67"/>
      <c r="HL57" s="67"/>
      <c r="HM57" s="67"/>
      <c r="HN57" s="67"/>
      <c r="HO57" s="67"/>
      <c r="HP57" s="67"/>
      <c r="HQ57" s="67"/>
      <c r="HR57" s="67"/>
      <c r="HS57" s="67"/>
      <c r="HT57" s="67"/>
      <c r="HU57" s="67"/>
      <c r="HV57" s="67"/>
      <c r="HW57" s="67"/>
      <c r="HX57" s="67"/>
      <c r="HY57" s="67"/>
      <c r="HZ57" s="67"/>
      <c r="IA57" s="67"/>
      <c r="IB57" s="67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  <c r="LG57" s="67"/>
      <c r="LH57" s="67"/>
      <c r="LI57" s="67"/>
      <c r="LJ57" s="67"/>
      <c r="LK57" s="67"/>
      <c r="LL57" s="67"/>
      <c r="LM57" s="67"/>
      <c r="LN57" s="67"/>
      <c r="LO57" s="67"/>
      <c r="LP57" s="67"/>
      <c r="LQ57" s="67"/>
      <c r="LR57" s="67"/>
      <c r="LS57" s="67"/>
      <c r="LT57" s="67"/>
      <c r="LU57" s="67"/>
      <c r="LV57" s="67"/>
      <c r="LW57" s="67"/>
      <c r="LX57" s="67"/>
      <c r="LY57" s="67"/>
      <c r="LZ57" s="67"/>
      <c r="MA57" s="67"/>
      <c r="MB57" s="67"/>
      <c r="MC57" s="67"/>
      <c r="MD57" s="67"/>
      <c r="ME57" s="67"/>
      <c r="MF57" s="67"/>
      <c r="MG57" s="67"/>
      <c r="MH57" s="67"/>
      <c r="MI57" s="67"/>
      <c r="MJ57" s="67"/>
      <c r="MK57" s="67"/>
      <c r="ML57" s="67"/>
      <c r="MM57" s="67"/>
      <c r="MN57" s="67"/>
      <c r="MO57" s="67"/>
      <c r="MP57" s="67"/>
      <c r="MQ57" s="67"/>
      <c r="MR57" s="67"/>
      <c r="MS57" s="67"/>
      <c r="MT57" s="67"/>
      <c r="MU57" s="67"/>
      <c r="MV57" s="67"/>
      <c r="MW57" s="67"/>
      <c r="MX57" s="67"/>
      <c r="MY57" s="67"/>
      <c r="MZ57" s="67"/>
      <c r="NA57" s="67"/>
      <c r="NB57" s="67"/>
      <c r="NC57" s="67"/>
      <c r="ND57" s="67"/>
      <c r="NE57" s="67"/>
      <c r="NF57" s="67"/>
      <c r="NG57" s="67"/>
      <c r="NH57" s="67"/>
      <c r="NI57" s="67"/>
      <c r="NJ57" s="67"/>
      <c r="NK57" s="67"/>
      <c r="NL57" s="67"/>
      <c r="NM57" s="67"/>
      <c r="NN57" s="67"/>
      <c r="NO57" s="67"/>
      <c r="NP57" s="67"/>
      <c r="NQ57" s="67"/>
      <c r="NR57" s="67"/>
      <c r="NS57" s="67"/>
      <c r="NT57" s="67"/>
      <c r="NU57" s="67"/>
      <c r="NV57" s="67"/>
      <c r="NW57" s="67"/>
      <c r="NX57" s="67"/>
      <c r="NY57" s="67"/>
      <c r="NZ57" s="67"/>
      <c r="OA57" s="67"/>
      <c r="OB57" s="67"/>
      <c r="OC57" s="67"/>
      <c r="OD57" s="67"/>
      <c r="OE57" s="67"/>
      <c r="OF57" s="67"/>
      <c r="OG57" s="67"/>
      <c r="OH57" s="67"/>
      <c r="OI57" s="67"/>
      <c r="OJ57" s="67"/>
      <c r="OK57" s="67"/>
      <c r="OL57" s="67"/>
      <c r="OM57" s="67"/>
      <c r="ON57" s="67"/>
      <c r="OO57" s="67"/>
      <c r="OP57" s="67"/>
      <c r="OQ57" s="67"/>
      <c r="OR57" s="67"/>
      <c r="OS57" s="67"/>
      <c r="OT57" s="67"/>
      <c r="OU57" s="67"/>
      <c r="OV57" s="67"/>
      <c r="OW57" s="67"/>
      <c r="OX57" s="67"/>
      <c r="OY57" s="67"/>
      <c r="OZ57" s="67"/>
      <c r="PA57" s="67"/>
      <c r="PB57" s="67"/>
      <c r="PC57" s="67"/>
      <c r="PD57" s="67"/>
      <c r="PE57" s="67"/>
      <c r="PF57" s="67"/>
      <c r="PG57" s="67"/>
      <c r="PH57" s="67"/>
      <c r="PI57" s="67"/>
      <c r="PJ57" s="67"/>
      <c r="PK57" s="67"/>
      <c r="PL57" s="67"/>
      <c r="PM57" s="67"/>
      <c r="PN57" s="67"/>
      <c r="PO57" s="67"/>
      <c r="PP57" s="67"/>
      <c r="PQ57" s="67"/>
      <c r="PR57" s="67"/>
      <c r="PS57" s="67"/>
      <c r="PT57" s="67"/>
      <c r="PU57" s="67"/>
      <c r="PV57" s="67"/>
      <c r="PW57" s="67"/>
      <c r="PX57" s="67"/>
      <c r="PY57" s="67"/>
      <c r="PZ57" s="67"/>
      <c r="QA57" s="67"/>
      <c r="QB57" s="67"/>
      <c r="QC57" s="67"/>
      <c r="QD57" s="67"/>
      <c r="QE57" s="67"/>
      <c r="QF57" s="67"/>
      <c r="QG57" s="67"/>
      <c r="QH57" s="67"/>
      <c r="QI57" s="67"/>
      <c r="QJ57" s="67"/>
      <c r="QK57" s="67"/>
      <c r="QL57" s="67"/>
      <c r="QM57" s="67"/>
      <c r="QN57" s="67"/>
      <c r="QO57" s="67"/>
      <c r="QP57" s="67"/>
      <c r="QQ57" s="67"/>
      <c r="QR57" s="67"/>
      <c r="QS57" s="67"/>
      <c r="QT57" s="67"/>
      <c r="QU57" s="67"/>
      <c r="QV57" s="67"/>
      <c r="QW57" s="67"/>
      <c r="QX57" s="67"/>
      <c r="QY57" s="67"/>
      <c r="QZ57" s="67"/>
      <c r="RA57" s="67"/>
      <c r="RB57" s="67"/>
      <c r="RC57" s="67"/>
      <c r="RD57" s="67"/>
      <c r="RE57" s="67"/>
      <c r="RF57" s="67"/>
      <c r="RG57" s="67"/>
      <c r="RH57" s="67"/>
      <c r="RI57" s="67"/>
      <c r="RJ57" s="67"/>
      <c r="RK57" s="67"/>
      <c r="RL57" s="67"/>
      <c r="RM57" s="67"/>
      <c r="RN57" s="67"/>
      <c r="RO57" s="67"/>
      <c r="RP57" s="67"/>
      <c r="RQ57" s="67"/>
      <c r="RR57" s="67"/>
      <c r="RS57" s="67"/>
      <c r="RT57" s="67"/>
      <c r="RU57" s="67"/>
      <c r="RV57" s="67"/>
      <c r="RW57" s="67"/>
      <c r="RX57" s="67"/>
      <c r="RY57" s="67"/>
      <c r="RZ57" s="67"/>
      <c r="SA57" s="67"/>
      <c r="SB57" s="67"/>
      <c r="SC57" s="67"/>
      <c r="SD57" s="67"/>
      <c r="SE57" s="67"/>
      <c r="SF57" s="67"/>
      <c r="SG57" s="67"/>
      <c r="SH57" s="67"/>
      <c r="SI57" s="67"/>
      <c r="SJ57" s="67"/>
      <c r="SK57" s="67"/>
      <c r="SL57" s="67"/>
      <c r="SM57" s="67"/>
      <c r="SN57" s="67"/>
      <c r="SO57" s="67"/>
      <c r="SP57" s="67"/>
      <c r="SQ57" s="67"/>
      <c r="SR57" s="67"/>
      <c r="SS57" s="67"/>
      <c r="ST57" s="67"/>
      <c r="SU57" s="67"/>
      <c r="SV57" s="67"/>
      <c r="SW57" s="67"/>
      <c r="SX57" s="67"/>
      <c r="SY57" s="67"/>
      <c r="SZ57" s="67"/>
      <c r="TA57" s="67"/>
      <c r="TB57" s="67"/>
      <c r="TC57" s="67"/>
      <c r="TD57" s="67"/>
      <c r="TE57" s="67"/>
      <c r="TF57" s="67"/>
      <c r="TG57" s="67"/>
      <c r="TH57" s="67"/>
      <c r="TI57" s="67"/>
      <c r="TJ57" s="67"/>
      <c r="TK57" s="67"/>
      <c r="TL57" s="67"/>
      <c r="TM57" s="67"/>
      <c r="TN57" s="67"/>
      <c r="TO57" s="67"/>
      <c r="TP57" s="67"/>
      <c r="TQ57" s="67"/>
      <c r="TR57" s="67"/>
      <c r="TS57" s="67"/>
      <c r="TT57" s="67"/>
      <c r="TU57" s="67"/>
      <c r="TV57" s="67"/>
      <c r="TW57" s="67"/>
      <c r="TX57" s="67"/>
      <c r="TY57" s="67"/>
      <c r="TZ57" s="67"/>
      <c r="UA57" s="67"/>
      <c r="UB57" s="67"/>
      <c r="UC57" s="67"/>
      <c r="UD57" s="67"/>
      <c r="UE57" s="67"/>
      <c r="UF57" s="67"/>
      <c r="UG57" s="67"/>
      <c r="UH57" s="67"/>
      <c r="UI57" s="67"/>
      <c r="UJ57" s="67"/>
      <c r="UK57" s="67"/>
      <c r="UL57" s="67"/>
      <c r="UM57" s="67"/>
      <c r="UN57" s="67"/>
      <c r="UO57" s="67"/>
      <c r="UP57" s="67"/>
      <c r="UQ57" s="67"/>
      <c r="UR57" s="67"/>
      <c r="US57" s="67"/>
      <c r="UT57" s="67"/>
      <c r="UU57" s="67"/>
      <c r="UV57" s="67"/>
      <c r="UW57" s="67"/>
      <c r="UX57" s="67"/>
      <c r="UY57" s="67"/>
      <c r="UZ57" s="67"/>
      <c r="VA57" s="67"/>
      <c r="VB57" s="67"/>
      <c r="VC57" s="67"/>
      <c r="VD57" s="67"/>
      <c r="VE57" s="67"/>
      <c r="VF57" s="67"/>
      <c r="VG57" s="67"/>
      <c r="VH57" s="67"/>
      <c r="VI57" s="67"/>
      <c r="VJ57" s="67"/>
      <c r="VK57" s="67"/>
      <c r="VL57" s="67"/>
      <c r="VM57" s="67"/>
      <c r="VN57" s="67"/>
      <c r="VO57" s="67"/>
      <c r="VP57" s="67"/>
      <c r="VQ57" s="67"/>
      <c r="VR57" s="67"/>
      <c r="VS57" s="67"/>
      <c r="VT57" s="67"/>
      <c r="VU57" s="67"/>
      <c r="VV57" s="67"/>
      <c r="VW57" s="67"/>
      <c r="VX57" s="67"/>
      <c r="VY57" s="67"/>
      <c r="WA57" s="68"/>
      <c r="WB57" s="68"/>
      <c r="WC57" s="68"/>
      <c r="WD57" s="68"/>
      <c r="WE57" s="68"/>
      <c r="WF57" s="68"/>
      <c r="WG57" s="68"/>
      <c r="WH57" s="68"/>
      <c r="WI57" s="84"/>
      <c r="WJ57" s="2"/>
      <c r="WK57" s="2"/>
    </row>
    <row r="58" spans="1:609" x14ac:dyDescent="0.25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  <c r="DK58" s="67"/>
      <c r="DL58" s="67"/>
      <c r="DM58" s="67"/>
      <c r="DN58" s="67"/>
      <c r="DO58" s="67"/>
      <c r="DP58" s="67"/>
      <c r="DQ58" s="67"/>
      <c r="DR58" s="67"/>
      <c r="DS58" s="67"/>
      <c r="DT58" s="67"/>
      <c r="DU58" s="67"/>
      <c r="DV58" s="67"/>
      <c r="DW58" s="67"/>
      <c r="DX58" s="67"/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  <c r="JI58" s="67"/>
      <c r="JJ58" s="67"/>
      <c r="JK58" s="67"/>
      <c r="JL58" s="67"/>
      <c r="JM58" s="67"/>
      <c r="JN58" s="67"/>
      <c r="JO58" s="67"/>
      <c r="JP58" s="67"/>
      <c r="JQ58" s="67"/>
      <c r="JR58" s="67"/>
      <c r="JS58" s="67"/>
      <c r="JT58" s="67"/>
      <c r="JU58" s="67"/>
      <c r="JV58" s="67"/>
      <c r="JW58" s="67"/>
      <c r="JX58" s="67"/>
      <c r="JY58" s="67"/>
      <c r="JZ58" s="67"/>
      <c r="KA58" s="67"/>
      <c r="KB58" s="67"/>
      <c r="KC58" s="67"/>
      <c r="KD58" s="67"/>
      <c r="KE58" s="67"/>
      <c r="KF58" s="67"/>
      <c r="KG58" s="67"/>
      <c r="KH58" s="67"/>
      <c r="KI58" s="67"/>
      <c r="KJ58" s="67"/>
      <c r="KK58" s="67"/>
      <c r="KL58" s="67"/>
      <c r="KM58" s="67"/>
      <c r="KN58" s="67"/>
      <c r="KO58" s="67"/>
      <c r="KP58" s="67"/>
      <c r="KQ58" s="67"/>
      <c r="KR58" s="67"/>
      <c r="KS58" s="67"/>
      <c r="KT58" s="67"/>
      <c r="KU58" s="67"/>
      <c r="KV58" s="67"/>
      <c r="KW58" s="67"/>
      <c r="KX58" s="67"/>
      <c r="KY58" s="67"/>
      <c r="KZ58" s="67"/>
      <c r="LA58" s="67"/>
      <c r="LB58" s="67"/>
      <c r="LC58" s="67"/>
      <c r="LD58" s="67"/>
      <c r="LE58" s="67"/>
      <c r="LF58" s="67"/>
      <c r="LG58" s="67"/>
      <c r="LH58" s="67"/>
      <c r="LI58" s="67"/>
      <c r="LJ58" s="67"/>
      <c r="LK58" s="67"/>
      <c r="LL58" s="67"/>
      <c r="LM58" s="67"/>
      <c r="LN58" s="67"/>
      <c r="LO58" s="67"/>
      <c r="LP58" s="67"/>
      <c r="LQ58" s="67"/>
      <c r="LR58" s="67"/>
      <c r="LS58" s="67"/>
      <c r="LT58" s="67"/>
      <c r="LU58" s="67"/>
      <c r="LV58" s="67"/>
      <c r="LW58" s="67"/>
      <c r="LX58" s="67"/>
      <c r="LY58" s="67"/>
      <c r="LZ58" s="67"/>
      <c r="MA58" s="67"/>
      <c r="MB58" s="67"/>
      <c r="MC58" s="67"/>
      <c r="MD58" s="67"/>
      <c r="ME58" s="67"/>
      <c r="MF58" s="67"/>
      <c r="MG58" s="67"/>
      <c r="MH58" s="67"/>
      <c r="MI58" s="67"/>
      <c r="MJ58" s="67"/>
      <c r="MK58" s="67"/>
      <c r="ML58" s="67"/>
      <c r="MM58" s="67"/>
      <c r="MN58" s="67"/>
      <c r="MO58" s="67"/>
      <c r="MP58" s="67"/>
      <c r="MQ58" s="67"/>
      <c r="MR58" s="67"/>
      <c r="MS58" s="67"/>
      <c r="MT58" s="67"/>
      <c r="MU58" s="67"/>
      <c r="MV58" s="67"/>
      <c r="MW58" s="67"/>
      <c r="MX58" s="67"/>
      <c r="MY58" s="67"/>
      <c r="MZ58" s="67"/>
      <c r="NA58" s="67"/>
      <c r="NB58" s="67"/>
      <c r="NC58" s="67"/>
      <c r="ND58" s="67"/>
      <c r="NE58" s="67"/>
      <c r="NF58" s="67"/>
      <c r="NG58" s="67"/>
      <c r="NH58" s="67"/>
      <c r="NI58" s="67"/>
      <c r="NJ58" s="67"/>
      <c r="NK58" s="67"/>
      <c r="NL58" s="67"/>
      <c r="NM58" s="67"/>
      <c r="NN58" s="67"/>
      <c r="NO58" s="67"/>
      <c r="NP58" s="67"/>
      <c r="NQ58" s="67"/>
      <c r="NR58" s="67"/>
      <c r="NS58" s="67"/>
      <c r="NT58" s="67"/>
      <c r="NU58" s="67"/>
      <c r="NV58" s="67"/>
      <c r="NW58" s="67"/>
      <c r="NX58" s="67"/>
      <c r="NY58" s="67"/>
      <c r="NZ58" s="67"/>
      <c r="OA58" s="67"/>
      <c r="OB58" s="67"/>
      <c r="OC58" s="67"/>
      <c r="OD58" s="67"/>
      <c r="OE58" s="67"/>
      <c r="OF58" s="67"/>
      <c r="OG58" s="67"/>
      <c r="OH58" s="67"/>
      <c r="OI58" s="67"/>
      <c r="OJ58" s="67"/>
      <c r="OK58" s="67"/>
      <c r="OL58" s="67"/>
      <c r="OM58" s="67"/>
      <c r="ON58" s="67"/>
      <c r="OO58" s="67"/>
      <c r="OP58" s="67"/>
      <c r="OQ58" s="67"/>
      <c r="OR58" s="67"/>
      <c r="OS58" s="67"/>
      <c r="OT58" s="67"/>
      <c r="OU58" s="67"/>
      <c r="OV58" s="67"/>
      <c r="OW58" s="67"/>
      <c r="OX58" s="67"/>
      <c r="OY58" s="67"/>
      <c r="OZ58" s="67"/>
      <c r="PA58" s="67"/>
      <c r="PB58" s="67"/>
      <c r="PC58" s="67"/>
      <c r="PD58" s="67"/>
      <c r="PE58" s="67"/>
      <c r="PF58" s="67"/>
      <c r="PG58" s="67"/>
      <c r="PH58" s="67"/>
      <c r="PI58" s="67"/>
      <c r="PJ58" s="67"/>
      <c r="PK58" s="67"/>
      <c r="PL58" s="67"/>
      <c r="PM58" s="67"/>
      <c r="PN58" s="67"/>
      <c r="PO58" s="67"/>
      <c r="PP58" s="67"/>
      <c r="PQ58" s="67"/>
      <c r="PR58" s="67"/>
      <c r="PS58" s="67"/>
      <c r="PT58" s="67"/>
      <c r="PU58" s="67"/>
      <c r="PV58" s="67"/>
      <c r="PW58" s="67"/>
      <c r="PX58" s="67"/>
      <c r="PY58" s="67"/>
      <c r="PZ58" s="67"/>
      <c r="QA58" s="67"/>
      <c r="QB58" s="67"/>
      <c r="QC58" s="67"/>
      <c r="QD58" s="67"/>
      <c r="QE58" s="67"/>
      <c r="QF58" s="67"/>
      <c r="QG58" s="67"/>
      <c r="QH58" s="67"/>
      <c r="QI58" s="67"/>
      <c r="QJ58" s="67"/>
      <c r="QK58" s="67"/>
      <c r="QL58" s="67"/>
      <c r="QM58" s="67"/>
      <c r="QN58" s="67"/>
      <c r="QO58" s="67"/>
      <c r="QP58" s="67"/>
      <c r="QQ58" s="67"/>
      <c r="QR58" s="67"/>
      <c r="QS58" s="67"/>
      <c r="QT58" s="67"/>
      <c r="QU58" s="67"/>
      <c r="QV58" s="67"/>
      <c r="QW58" s="67"/>
      <c r="QX58" s="67"/>
      <c r="QY58" s="67"/>
      <c r="QZ58" s="67"/>
      <c r="RA58" s="67"/>
      <c r="RB58" s="67"/>
      <c r="RC58" s="67"/>
      <c r="RD58" s="67"/>
      <c r="RE58" s="67"/>
      <c r="RF58" s="67"/>
      <c r="RG58" s="67"/>
      <c r="RH58" s="67"/>
      <c r="RI58" s="67"/>
      <c r="RJ58" s="67"/>
      <c r="RK58" s="67"/>
      <c r="RL58" s="67"/>
      <c r="RM58" s="67"/>
      <c r="RN58" s="67"/>
      <c r="RO58" s="67"/>
      <c r="RP58" s="67"/>
      <c r="RQ58" s="67"/>
      <c r="RR58" s="67"/>
      <c r="RS58" s="67"/>
      <c r="RT58" s="67"/>
      <c r="RU58" s="67"/>
      <c r="RV58" s="67"/>
      <c r="RW58" s="67"/>
      <c r="RX58" s="67"/>
      <c r="RY58" s="67"/>
      <c r="RZ58" s="67"/>
      <c r="SA58" s="67"/>
      <c r="SB58" s="67"/>
      <c r="SC58" s="67"/>
      <c r="SD58" s="67"/>
      <c r="SE58" s="67"/>
      <c r="SF58" s="67"/>
      <c r="SG58" s="67"/>
      <c r="SH58" s="67"/>
      <c r="SI58" s="67"/>
      <c r="SJ58" s="67"/>
      <c r="SK58" s="67"/>
      <c r="SL58" s="67"/>
      <c r="SM58" s="67"/>
      <c r="SN58" s="67"/>
      <c r="SO58" s="67"/>
      <c r="SP58" s="67"/>
      <c r="SQ58" s="67"/>
      <c r="SR58" s="67"/>
      <c r="SS58" s="67"/>
      <c r="ST58" s="67"/>
      <c r="SU58" s="67"/>
      <c r="SV58" s="67"/>
      <c r="SW58" s="67"/>
      <c r="SX58" s="67"/>
      <c r="SY58" s="67"/>
      <c r="SZ58" s="67"/>
      <c r="TA58" s="67"/>
      <c r="TB58" s="67"/>
      <c r="TC58" s="67"/>
      <c r="TD58" s="67"/>
      <c r="TE58" s="67"/>
      <c r="TF58" s="67"/>
      <c r="TG58" s="67"/>
      <c r="TH58" s="67"/>
      <c r="TI58" s="67"/>
      <c r="TJ58" s="67"/>
      <c r="TK58" s="67"/>
      <c r="TL58" s="67"/>
      <c r="TM58" s="67"/>
      <c r="TN58" s="67"/>
      <c r="TO58" s="67"/>
      <c r="TP58" s="67"/>
      <c r="TQ58" s="67"/>
      <c r="TR58" s="67"/>
      <c r="TS58" s="67"/>
      <c r="TT58" s="67"/>
      <c r="TU58" s="67"/>
      <c r="TV58" s="67"/>
      <c r="TW58" s="67"/>
      <c r="TX58" s="67"/>
      <c r="TY58" s="67"/>
      <c r="TZ58" s="67"/>
      <c r="UA58" s="67"/>
      <c r="UB58" s="67"/>
      <c r="UC58" s="67"/>
      <c r="UD58" s="67"/>
      <c r="UE58" s="67"/>
      <c r="UF58" s="67"/>
      <c r="UG58" s="67"/>
      <c r="UH58" s="67"/>
      <c r="UI58" s="67"/>
      <c r="UJ58" s="67"/>
      <c r="UK58" s="67"/>
      <c r="UL58" s="67"/>
      <c r="UM58" s="67"/>
      <c r="UN58" s="67"/>
      <c r="UO58" s="67"/>
      <c r="UP58" s="67"/>
      <c r="UQ58" s="67"/>
      <c r="UR58" s="67"/>
      <c r="US58" s="67"/>
      <c r="UT58" s="67"/>
      <c r="UU58" s="67"/>
      <c r="UV58" s="67"/>
      <c r="UW58" s="67"/>
      <c r="UX58" s="67"/>
      <c r="UY58" s="67"/>
      <c r="UZ58" s="67"/>
      <c r="VA58" s="67"/>
      <c r="VB58" s="67"/>
      <c r="VC58" s="67"/>
      <c r="VD58" s="67"/>
      <c r="VE58" s="67"/>
      <c r="VF58" s="67"/>
      <c r="VG58" s="67"/>
      <c r="VH58" s="67"/>
      <c r="VI58" s="67"/>
      <c r="VJ58" s="67"/>
      <c r="VK58" s="67"/>
      <c r="VL58" s="67"/>
      <c r="VM58" s="67"/>
      <c r="VN58" s="67"/>
      <c r="VO58" s="67"/>
      <c r="VP58" s="67"/>
      <c r="VQ58" s="67"/>
      <c r="VR58" s="67"/>
      <c r="VS58" s="67"/>
      <c r="VT58" s="67"/>
      <c r="VU58" s="67"/>
      <c r="VV58" s="67"/>
      <c r="VW58" s="67"/>
      <c r="VX58" s="67"/>
      <c r="VY58" s="67"/>
      <c r="WA58" s="68"/>
      <c r="WB58" s="68"/>
      <c r="WC58" s="68"/>
      <c r="WD58" s="68"/>
      <c r="WE58" s="68"/>
      <c r="WF58" s="68"/>
      <c r="WG58" s="68"/>
      <c r="WH58" s="68"/>
      <c r="WI58" s="84"/>
      <c r="WJ58" s="2"/>
      <c r="WK58" s="2"/>
    </row>
    <row r="59" spans="1:609" x14ac:dyDescent="0.25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  <c r="LG59" s="67"/>
      <c r="LH59" s="67"/>
      <c r="LI59" s="67"/>
      <c r="LJ59" s="67"/>
      <c r="LK59" s="67"/>
      <c r="LL59" s="67"/>
      <c r="LM59" s="67"/>
      <c r="LN59" s="67"/>
      <c r="LO59" s="67"/>
      <c r="LP59" s="67"/>
      <c r="LQ59" s="67"/>
      <c r="LR59" s="67"/>
      <c r="LS59" s="67"/>
      <c r="LT59" s="67"/>
      <c r="LU59" s="67"/>
      <c r="LV59" s="67"/>
      <c r="LW59" s="67"/>
      <c r="LX59" s="67"/>
      <c r="LY59" s="67"/>
      <c r="LZ59" s="67"/>
      <c r="MA59" s="67"/>
      <c r="MB59" s="67"/>
      <c r="MC59" s="67"/>
      <c r="MD59" s="67"/>
      <c r="ME59" s="67"/>
      <c r="MF59" s="67"/>
      <c r="MG59" s="67"/>
      <c r="MH59" s="67"/>
      <c r="MI59" s="67"/>
      <c r="MJ59" s="67"/>
      <c r="MK59" s="67"/>
      <c r="ML59" s="67"/>
      <c r="MM59" s="67"/>
      <c r="MN59" s="67"/>
      <c r="MO59" s="67"/>
      <c r="MP59" s="67"/>
      <c r="MQ59" s="67"/>
      <c r="MR59" s="67"/>
      <c r="MS59" s="67"/>
      <c r="MT59" s="67"/>
      <c r="MU59" s="67"/>
      <c r="MV59" s="67"/>
      <c r="MW59" s="67"/>
      <c r="MX59" s="67"/>
      <c r="MY59" s="67"/>
      <c r="MZ59" s="67"/>
      <c r="NA59" s="67"/>
      <c r="NB59" s="67"/>
      <c r="NC59" s="67"/>
      <c r="ND59" s="67"/>
      <c r="NE59" s="67"/>
      <c r="NF59" s="67"/>
      <c r="NG59" s="67"/>
      <c r="NH59" s="67"/>
      <c r="NI59" s="67"/>
      <c r="NJ59" s="67"/>
      <c r="NK59" s="67"/>
      <c r="NL59" s="67"/>
      <c r="NM59" s="67"/>
      <c r="NN59" s="67"/>
      <c r="NO59" s="67"/>
      <c r="NP59" s="67"/>
      <c r="NQ59" s="67"/>
      <c r="NR59" s="67"/>
      <c r="NS59" s="67"/>
      <c r="NT59" s="67"/>
      <c r="NU59" s="67"/>
      <c r="NV59" s="67"/>
      <c r="NW59" s="67"/>
      <c r="NX59" s="67"/>
      <c r="NY59" s="67"/>
      <c r="NZ59" s="67"/>
      <c r="OA59" s="67"/>
      <c r="OB59" s="67"/>
      <c r="OC59" s="67"/>
      <c r="OD59" s="67"/>
      <c r="OE59" s="67"/>
      <c r="OF59" s="67"/>
      <c r="OG59" s="67"/>
      <c r="OH59" s="67"/>
      <c r="OI59" s="67"/>
      <c r="OJ59" s="67"/>
      <c r="OK59" s="67"/>
      <c r="OL59" s="67"/>
      <c r="OM59" s="67"/>
      <c r="ON59" s="67"/>
      <c r="OO59" s="67"/>
      <c r="OP59" s="67"/>
      <c r="OQ59" s="67"/>
      <c r="OR59" s="67"/>
      <c r="OS59" s="67"/>
      <c r="OT59" s="67"/>
      <c r="OU59" s="67"/>
      <c r="OV59" s="67"/>
      <c r="OW59" s="67"/>
      <c r="OX59" s="67"/>
      <c r="OY59" s="67"/>
      <c r="OZ59" s="67"/>
      <c r="PA59" s="67"/>
      <c r="PB59" s="67"/>
      <c r="PC59" s="67"/>
      <c r="PD59" s="67"/>
      <c r="PE59" s="67"/>
      <c r="PF59" s="67"/>
      <c r="PG59" s="67"/>
      <c r="PH59" s="67"/>
      <c r="PI59" s="67"/>
      <c r="PJ59" s="67"/>
      <c r="PK59" s="67"/>
      <c r="PL59" s="67"/>
      <c r="PM59" s="67"/>
      <c r="PN59" s="67"/>
      <c r="PO59" s="67"/>
      <c r="PP59" s="67"/>
      <c r="PQ59" s="67"/>
      <c r="PR59" s="67"/>
      <c r="PS59" s="67"/>
      <c r="PT59" s="67"/>
      <c r="PU59" s="67"/>
      <c r="PV59" s="67"/>
      <c r="PW59" s="67"/>
      <c r="PX59" s="67"/>
      <c r="PY59" s="67"/>
      <c r="PZ59" s="67"/>
      <c r="QA59" s="67"/>
      <c r="QB59" s="67"/>
      <c r="QC59" s="67"/>
      <c r="QD59" s="67"/>
      <c r="QE59" s="67"/>
      <c r="QF59" s="67"/>
      <c r="QG59" s="67"/>
      <c r="QH59" s="67"/>
      <c r="QI59" s="67"/>
      <c r="QJ59" s="67"/>
      <c r="QK59" s="67"/>
      <c r="QL59" s="67"/>
      <c r="QM59" s="67"/>
      <c r="QN59" s="67"/>
      <c r="QO59" s="67"/>
      <c r="QP59" s="67"/>
      <c r="QQ59" s="67"/>
      <c r="QR59" s="67"/>
      <c r="QS59" s="67"/>
      <c r="QT59" s="67"/>
      <c r="QU59" s="67"/>
      <c r="QV59" s="67"/>
      <c r="QW59" s="67"/>
      <c r="QX59" s="67"/>
      <c r="QY59" s="67"/>
      <c r="QZ59" s="67"/>
      <c r="RA59" s="67"/>
      <c r="RB59" s="67"/>
      <c r="RC59" s="67"/>
      <c r="RD59" s="67"/>
      <c r="RE59" s="67"/>
      <c r="RF59" s="67"/>
      <c r="RG59" s="67"/>
      <c r="RH59" s="67"/>
      <c r="RI59" s="67"/>
      <c r="RJ59" s="67"/>
      <c r="RK59" s="67"/>
      <c r="RL59" s="67"/>
      <c r="RM59" s="67"/>
      <c r="RN59" s="67"/>
      <c r="RO59" s="67"/>
      <c r="RP59" s="67"/>
      <c r="RQ59" s="67"/>
      <c r="RR59" s="67"/>
      <c r="RS59" s="67"/>
      <c r="RT59" s="67"/>
      <c r="RU59" s="67"/>
      <c r="RV59" s="67"/>
      <c r="RW59" s="67"/>
      <c r="RX59" s="67"/>
      <c r="RY59" s="67"/>
      <c r="RZ59" s="67"/>
      <c r="SA59" s="67"/>
      <c r="SB59" s="67"/>
      <c r="SC59" s="67"/>
      <c r="SD59" s="67"/>
      <c r="SE59" s="67"/>
      <c r="SF59" s="67"/>
      <c r="SG59" s="67"/>
      <c r="SH59" s="67"/>
      <c r="SI59" s="67"/>
      <c r="SJ59" s="67"/>
      <c r="SK59" s="67"/>
      <c r="SL59" s="67"/>
      <c r="SM59" s="67"/>
      <c r="SN59" s="67"/>
      <c r="SO59" s="67"/>
      <c r="SP59" s="67"/>
      <c r="SQ59" s="67"/>
      <c r="SR59" s="67"/>
      <c r="SS59" s="67"/>
      <c r="ST59" s="67"/>
      <c r="SU59" s="67"/>
      <c r="SV59" s="67"/>
      <c r="SW59" s="67"/>
      <c r="SX59" s="67"/>
      <c r="SY59" s="67"/>
      <c r="SZ59" s="67"/>
      <c r="TA59" s="67"/>
      <c r="TB59" s="67"/>
      <c r="TC59" s="67"/>
      <c r="TD59" s="67"/>
      <c r="TE59" s="67"/>
      <c r="TF59" s="67"/>
      <c r="TG59" s="67"/>
      <c r="TH59" s="67"/>
      <c r="TI59" s="67"/>
      <c r="TJ59" s="67"/>
      <c r="TK59" s="67"/>
      <c r="TL59" s="67"/>
      <c r="TM59" s="67"/>
      <c r="TN59" s="67"/>
      <c r="TO59" s="67"/>
      <c r="TP59" s="67"/>
      <c r="TQ59" s="67"/>
      <c r="TR59" s="67"/>
      <c r="TS59" s="67"/>
      <c r="TT59" s="67"/>
      <c r="TU59" s="67"/>
      <c r="TV59" s="67"/>
      <c r="TW59" s="67"/>
      <c r="TX59" s="67"/>
      <c r="TY59" s="67"/>
      <c r="TZ59" s="67"/>
      <c r="UA59" s="67"/>
      <c r="UB59" s="67"/>
      <c r="UC59" s="67"/>
      <c r="UD59" s="67"/>
      <c r="UE59" s="67"/>
      <c r="UF59" s="67"/>
      <c r="UG59" s="67"/>
      <c r="UH59" s="67"/>
      <c r="UI59" s="67"/>
      <c r="UJ59" s="67"/>
      <c r="UK59" s="67"/>
      <c r="UL59" s="67"/>
      <c r="UM59" s="67"/>
      <c r="UN59" s="67"/>
      <c r="UO59" s="67"/>
      <c r="UP59" s="67"/>
      <c r="UQ59" s="67"/>
      <c r="UR59" s="67"/>
      <c r="US59" s="67"/>
      <c r="UT59" s="67"/>
      <c r="UU59" s="67"/>
      <c r="UV59" s="67"/>
      <c r="UW59" s="67"/>
      <c r="UX59" s="67"/>
      <c r="UY59" s="67"/>
      <c r="UZ59" s="67"/>
      <c r="VA59" s="67"/>
      <c r="VB59" s="67"/>
      <c r="VC59" s="67"/>
      <c r="VD59" s="67"/>
      <c r="VE59" s="67"/>
      <c r="VF59" s="67"/>
      <c r="VG59" s="67"/>
      <c r="VH59" s="67"/>
      <c r="VI59" s="67"/>
      <c r="VJ59" s="67"/>
      <c r="VK59" s="67"/>
      <c r="VL59" s="67"/>
      <c r="VM59" s="67"/>
      <c r="VN59" s="67"/>
      <c r="VO59" s="67"/>
      <c r="VP59" s="67"/>
      <c r="VQ59" s="67"/>
      <c r="VR59" s="67"/>
      <c r="VS59" s="67"/>
      <c r="VT59" s="67"/>
      <c r="VU59" s="67"/>
      <c r="VV59" s="67"/>
      <c r="VW59" s="67"/>
      <c r="VX59" s="67"/>
      <c r="VY59" s="67"/>
      <c r="WA59" s="68"/>
      <c r="WB59" s="68"/>
      <c r="WC59" s="68"/>
      <c r="WD59" s="68"/>
      <c r="WE59" s="68"/>
      <c r="WF59" s="68"/>
      <c r="WG59" s="68"/>
      <c r="WH59" s="68"/>
      <c r="WI59" s="84"/>
      <c r="WJ59" s="2"/>
      <c r="WK59" s="2"/>
    </row>
    <row r="60" spans="1:609" x14ac:dyDescent="0.25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  <c r="JI60" s="67"/>
      <c r="JJ60" s="67"/>
      <c r="JK60" s="67"/>
      <c r="JL60" s="67"/>
      <c r="JM60" s="67"/>
      <c r="JN60" s="67"/>
      <c r="JO60" s="67"/>
      <c r="JP60" s="67"/>
      <c r="JQ60" s="67"/>
      <c r="JR60" s="67"/>
      <c r="JS60" s="67"/>
      <c r="JT60" s="67"/>
      <c r="JU60" s="67"/>
      <c r="JV60" s="67"/>
      <c r="JW60" s="67"/>
      <c r="JX60" s="67"/>
      <c r="JY60" s="67"/>
      <c r="JZ60" s="67"/>
      <c r="KA60" s="67"/>
      <c r="KB60" s="67"/>
      <c r="KC60" s="67"/>
      <c r="KD60" s="67"/>
      <c r="KE60" s="67"/>
      <c r="KF60" s="67"/>
      <c r="KG60" s="67"/>
      <c r="KH60" s="67"/>
      <c r="KI60" s="67"/>
      <c r="KJ60" s="67"/>
      <c r="KK60" s="67"/>
      <c r="KL60" s="67"/>
      <c r="KM60" s="67"/>
      <c r="KN60" s="67"/>
      <c r="KO60" s="67"/>
      <c r="KP60" s="67"/>
      <c r="KQ60" s="67"/>
      <c r="KR60" s="67"/>
      <c r="KS60" s="67"/>
      <c r="KT60" s="67"/>
      <c r="KU60" s="67"/>
      <c r="KV60" s="67"/>
      <c r="KW60" s="67"/>
      <c r="KX60" s="67"/>
      <c r="KY60" s="67"/>
      <c r="KZ60" s="67"/>
      <c r="LA60" s="67"/>
      <c r="LB60" s="67"/>
      <c r="LC60" s="67"/>
      <c r="LD60" s="67"/>
      <c r="LE60" s="67"/>
      <c r="LF60" s="67"/>
      <c r="LG60" s="67"/>
      <c r="LH60" s="67"/>
      <c r="LI60" s="67"/>
      <c r="LJ60" s="67"/>
      <c r="LK60" s="67"/>
      <c r="LL60" s="67"/>
      <c r="LM60" s="67"/>
      <c r="LN60" s="67"/>
      <c r="LO60" s="67"/>
      <c r="LP60" s="67"/>
      <c r="LQ60" s="67"/>
      <c r="LR60" s="67"/>
      <c r="LS60" s="67"/>
      <c r="LT60" s="67"/>
      <c r="LU60" s="67"/>
      <c r="LV60" s="67"/>
      <c r="LW60" s="67"/>
      <c r="LX60" s="67"/>
      <c r="LY60" s="67"/>
      <c r="LZ60" s="67"/>
      <c r="MA60" s="67"/>
      <c r="MB60" s="67"/>
      <c r="MC60" s="67"/>
      <c r="MD60" s="67"/>
      <c r="ME60" s="67"/>
      <c r="MF60" s="67"/>
      <c r="MG60" s="67"/>
      <c r="MH60" s="67"/>
      <c r="MI60" s="67"/>
      <c r="MJ60" s="67"/>
      <c r="MK60" s="67"/>
      <c r="ML60" s="67"/>
      <c r="MM60" s="67"/>
      <c r="MN60" s="67"/>
      <c r="MO60" s="67"/>
      <c r="MP60" s="67"/>
      <c r="MQ60" s="67"/>
      <c r="MR60" s="67"/>
      <c r="MS60" s="67"/>
      <c r="MT60" s="67"/>
      <c r="MU60" s="67"/>
      <c r="MV60" s="67"/>
      <c r="MW60" s="67"/>
      <c r="MX60" s="67"/>
      <c r="MY60" s="67"/>
      <c r="MZ60" s="67"/>
      <c r="NA60" s="67"/>
      <c r="NB60" s="67"/>
      <c r="NC60" s="67"/>
      <c r="ND60" s="67"/>
      <c r="NE60" s="67"/>
      <c r="NF60" s="67"/>
      <c r="NG60" s="67"/>
      <c r="NH60" s="67"/>
      <c r="NI60" s="67"/>
      <c r="NJ60" s="67"/>
      <c r="NK60" s="67"/>
      <c r="NL60" s="67"/>
      <c r="NM60" s="67"/>
      <c r="NN60" s="67"/>
      <c r="NO60" s="67"/>
      <c r="NP60" s="67"/>
      <c r="NQ60" s="67"/>
      <c r="NR60" s="67"/>
      <c r="NS60" s="67"/>
      <c r="NT60" s="67"/>
      <c r="NU60" s="67"/>
      <c r="NV60" s="67"/>
      <c r="NW60" s="67"/>
      <c r="NX60" s="67"/>
      <c r="NY60" s="67"/>
      <c r="NZ60" s="67"/>
      <c r="OA60" s="67"/>
      <c r="OB60" s="67"/>
      <c r="OC60" s="67"/>
      <c r="OD60" s="67"/>
      <c r="OE60" s="67"/>
      <c r="OF60" s="67"/>
      <c r="OG60" s="67"/>
      <c r="OH60" s="67"/>
      <c r="OI60" s="67"/>
      <c r="OJ60" s="67"/>
      <c r="OK60" s="67"/>
      <c r="OL60" s="67"/>
      <c r="OM60" s="67"/>
      <c r="ON60" s="67"/>
      <c r="OO60" s="67"/>
      <c r="OP60" s="67"/>
      <c r="OQ60" s="67"/>
      <c r="OR60" s="67"/>
      <c r="OS60" s="67"/>
      <c r="OT60" s="67"/>
      <c r="OU60" s="67"/>
      <c r="OV60" s="67"/>
      <c r="OW60" s="67"/>
      <c r="OX60" s="67"/>
      <c r="OY60" s="67"/>
      <c r="OZ60" s="67"/>
      <c r="PA60" s="67"/>
      <c r="PB60" s="67"/>
      <c r="PC60" s="67"/>
      <c r="PD60" s="67"/>
      <c r="PE60" s="67"/>
      <c r="PF60" s="67"/>
      <c r="PG60" s="67"/>
      <c r="PH60" s="67"/>
      <c r="PI60" s="67"/>
      <c r="PJ60" s="67"/>
      <c r="PK60" s="67"/>
      <c r="PL60" s="67"/>
      <c r="PM60" s="67"/>
      <c r="PN60" s="67"/>
      <c r="PO60" s="67"/>
      <c r="PP60" s="67"/>
      <c r="PQ60" s="67"/>
      <c r="PR60" s="67"/>
      <c r="PS60" s="67"/>
      <c r="PT60" s="67"/>
      <c r="PU60" s="67"/>
      <c r="PV60" s="67"/>
      <c r="PW60" s="67"/>
      <c r="PX60" s="67"/>
      <c r="PY60" s="67"/>
      <c r="PZ60" s="67"/>
      <c r="QA60" s="67"/>
      <c r="QB60" s="67"/>
      <c r="QC60" s="67"/>
      <c r="QD60" s="67"/>
      <c r="QE60" s="67"/>
      <c r="QF60" s="67"/>
      <c r="QG60" s="67"/>
      <c r="QH60" s="67"/>
      <c r="QI60" s="67"/>
      <c r="QJ60" s="67"/>
      <c r="QK60" s="67"/>
      <c r="QL60" s="67"/>
      <c r="QM60" s="67"/>
      <c r="QN60" s="67"/>
      <c r="QO60" s="67"/>
      <c r="QP60" s="67"/>
      <c r="QQ60" s="67"/>
      <c r="QR60" s="67"/>
      <c r="QS60" s="67"/>
      <c r="QT60" s="67"/>
      <c r="QU60" s="67"/>
      <c r="QV60" s="67"/>
      <c r="QW60" s="67"/>
      <c r="QX60" s="67"/>
      <c r="QY60" s="67"/>
      <c r="QZ60" s="67"/>
      <c r="RA60" s="67"/>
      <c r="RB60" s="67"/>
      <c r="RC60" s="67"/>
      <c r="RD60" s="67"/>
      <c r="RE60" s="67"/>
      <c r="RF60" s="67"/>
      <c r="RG60" s="67"/>
      <c r="RH60" s="67"/>
      <c r="RI60" s="67"/>
      <c r="RJ60" s="67"/>
      <c r="RK60" s="67"/>
      <c r="RL60" s="67"/>
      <c r="RM60" s="67"/>
      <c r="RN60" s="67"/>
      <c r="RO60" s="67"/>
      <c r="RP60" s="67"/>
      <c r="RQ60" s="67"/>
      <c r="RR60" s="67"/>
      <c r="RS60" s="67"/>
      <c r="RT60" s="67"/>
      <c r="RU60" s="67"/>
      <c r="RV60" s="67"/>
      <c r="RW60" s="67"/>
      <c r="RX60" s="67"/>
      <c r="RY60" s="67"/>
      <c r="RZ60" s="67"/>
      <c r="SA60" s="67"/>
      <c r="SB60" s="67"/>
      <c r="SC60" s="67"/>
      <c r="SD60" s="67"/>
      <c r="SE60" s="67"/>
      <c r="SF60" s="67"/>
      <c r="SG60" s="67"/>
      <c r="SH60" s="67"/>
      <c r="SI60" s="67"/>
      <c r="SJ60" s="67"/>
      <c r="SK60" s="67"/>
      <c r="SL60" s="67"/>
      <c r="SM60" s="67"/>
      <c r="SN60" s="67"/>
      <c r="SO60" s="67"/>
      <c r="SP60" s="67"/>
      <c r="SQ60" s="67"/>
      <c r="SR60" s="67"/>
      <c r="SS60" s="67"/>
      <c r="ST60" s="67"/>
      <c r="SU60" s="67"/>
      <c r="SV60" s="67"/>
      <c r="SW60" s="67"/>
      <c r="SX60" s="67"/>
      <c r="SY60" s="67"/>
      <c r="SZ60" s="67"/>
      <c r="TA60" s="67"/>
      <c r="TB60" s="67"/>
      <c r="TC60" s="67"/>
      <c r="TD60" s="67"/>
      <c r="TE60" s="67"/>
      <c r="TF60" s="67"/>
      <c r="TG60" s="67"/>
      <c r="TH60" s="67"/>
      <c r="TI60" s="67"/>
      <c r="TJ60" s="67"/>
      <c r="TK60" s="67"/>
      <c r="TL60" s="67"/>
      <c r="TM60" s="67"/>
      <c r="TN60" s="67"/>
      <c r="TO60" s="67"/>
      <c r="TP60" s="67"/>
      <c r="TQ60" s="67"/>
      <c r="TR60" s="67"/>
      <c r="TS60" s="67"/>
      <c r="TT60" s="67"/>
      <c r="TU60" s="67"/>
      <c r="TV60" s="67"/>
      <c r="TW60" s="67"/>
      <c r="TX60" s="67"/>
      <c r="TY60" s="67"/>
      <c r="TZ60" s="67"/>
      <c r="UA60" s="67"/>
      <c r="UB60" s="67"/>
      <c r="UC60" s="67"/>
      <c r="UD60" s="67"/>
      <c r="UE60" s="67"/>
      <c r="UF60" s="67"/>
      <c r="UG60" s="67"/>
      <c r="UH60" s="67"/>
      <c r="UI60" s="67"/>
      <c r="UJ60" s="67"/>
      <c r="UK60" s="67"/>
      <c r="UL60" s="67"/>
      <c r="UM60" s="67"/>
      <c r="UN60" s="67"/>
      <c r="UO60" s="67"/>
      <c r="UP60" s="67"/>
      <c r="UQ60" s="67"/>
      <c r="UR60" s="67"/>
      <c r="US60" s="67"/>
      <c r="UT60" s="67"/>
      <c r="UU60" s="67"/>
      <c r="UV60" s="67"/>
      <c r="UW60" s="67"/>
      <c r="UX60" s="67"/>
      <c r="UY60" s="67"/>
      <c r="UZ60" s="67"/>
      <c r="VA60" s="67"/>
      <c r="VB60" s="67"/>
      <c r="VC60" s="67"/>
      <c r="VD60" s="67"/>
      <c r="VE60" s="67"/>
      <c r="VF60" s="67"/>
      <c r="VG60" s="67"/>
      <c r="VH60" s="67"/>
      <c r="VI60" s="67"/>
      <c r="VJ60" s="67"/>
      <c r="VK60" s="67"/>
      <c r="VL60" s="67"/>
      <c r="VM60" s="67"/>
      <c r="VN60" s="67"/>
      <c r="VO60" s="67"/>
      <c r="VP60" s="67"/>
      <c r="VQ60" s="67"/>
      <c r="VR60" s="67"/>
      <c r="VS60" s="67"/>
      <c r="VT60" s="67"/>
      <c r="VU60" s="67"/>
      <c r="VV60" s="67"/>
      <c r="VW60" s="67"/>
      <c r="VX60" s="67"/>
      <c r="VY60" s="67"/>
      <c r="WA60" s="68"/>
      <c r="WB60" s="68"/>
      <c r="WC60" s="68"/>
      <c r="WD60" s="68"/>
      <c r="WE60" s="68"/>
      <c r="WF60" s="68"/>
      <c r="WG60" s="68"/>
      <c r="WH60" s="68"/>
      <c r="WI60" s="84"/>
      <c r="WJ60" s="2"/>
      <c r="WK60" s="2"/>
    </row>
    <row r="61" spans="1:609" x14ac:dyDescent="0.25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  <c r="LG61" s="67"/>
      <c r="LH61" s="67"/>
      <c r="LI61" s="67"/>
      <c r="LJ61" s="67"/>
      <c r="LK61" s="67"/>
      <c r="LL61" s="67"/>
      <c r="LM61" s="67"/>
      <c r="LN61" s="67"/>
      <c r="LO61" s="67"/>
      <c r="LP61" s="67"/>
      <c r="LQ61" s="67"/>
      <c r="LR61" s="67"/>
      <c r="LS61" s="67"/>
      <c r="LT61" s="67"/>
      <c r="LU61" s="67"/>
      <c r="LV61" s="67"/>
      <c r="LW61" s="67"/>
      <c r="LX61" s="67"/>
      <c r="LY61" s="67"/>
      <c r="LZ61" s="67"/>
      <c r="MA61" s="67"/>
      <c r="MB61" s="67"/>
      <c r="MC61" s="67"/>
      <c r="MD61" s="67"/>
      <c r="ME61" s="67"/>
      <c r="MF61" s="67"/>
      <c r="MG61" s="67"/>
      <c r="MH61" s="67"/>
      <c r="MI61" s="67"/>
      <c r="MJ61" s="67"/>
      <c r="MK61" s="67"/>
      <c r="ML61" s="67"/>
      <c r="MM61" s="67"/>
      <c r="MN61" s="67"/>
      <c r="MO61" s="67"/>
      <c r="MP61" s="67"/>
      <c r="MQ61" s="67"/>
      <c r="MR61" s="67"/>
      <c r="MS61" s="67"/>
      <c r="MT61" s="67"/>
      <c r="MU61" s="67"/>
      <c r="MV61" s="67"/>
      <c r="MW61" s="67"/>
      <c r="MX61" s="67"/>
      <c r="MY61" s="67"/>
      <c r="MZ61" s="67"/>
      <c r="NA61" s="67"/>
      <c r="NB61" s="67"/>
      <c r="NC61" s="67"/>
      <c r="ND61" s="67"/>
      <c r="NE61" s="67"/>
      <c r="NF61" s="67"/>
      <c r="NG61" s="67"/>
      <c r="NH61" s="67"/>
      <c r="NI61" s="67"/>
      <c r="NJ61" s="67"/>
      <c r="NK61" s="67"/>
      <c r="NL61" s="67"/>
      <c r="NM61" s="67"/>
      <c r="NN61" s="67"/>
      <c r="NO61" s="67"/>
      <c r="NP61" s="67"/>
      <c r="NQ61" s="67"/>
      <c r="NR61" s="67"/>
      <c r="NS61" s="67"/>
      <c r="NT61" s="67"/>
      <c r="NU61" s="67"/>
      <c r="NV61" s="67"/>
      <c r="NW61" s="67"/>
      <c r="NX61" s="67"/>
      <c r="NY61" s="67"/>
      <c r="NZ61" s="67"/>
      <c r="OA61" s="67"/>
      <c r="OB61" s="67"/>
      <c r="OC61" s="67"/>
      <c r="OD61" s="67"/>
      <c r="OE61" s="67"/>
      <c r="OF61" s="67"/>
      <c r="OG61" s="67"/>
      <c r="OH61" s="67"/>
      <c r="OI61" s="67"/>
      <c r="OJ61" s="67"/>
      <c r="OK61" s="67"/>
      <c r="OL61" s="67"/>
      <c r="OM61" s="67"/>
      <c r="ON61" s="67"/>
      <c r="OO61" s="67"/>
      <c r="OP61" s="67"/>
      <c r="OQ61" s="67"/>
      <c r="OR61" s="67"/>
      <c r="OS61" s="67"/>
      <c r="OT61" s="67"/>
      <c r="OU61" s="67"/>
      <c r="OV61" s="67"/>
      <c r="OW61" s="67"/>
      <c r="OX61" s="67"/>
      <c r="OY61" s="67"/>
      <c r="OZ61" s="67"/>
      <c r="PA61" s="67"/>
      <c r="PB61" s="67"/>
      <c r="PC61" s="67"/>
      <c r="PD61" s="67"/>
      <c r="PE61" s="67"/>
      <c r="PF61" s="67"/>
      <c r="PG61" s="67"/>
      <c r="PH61" s="67"/>
      <c r="PI61" s="67"/>
      <c r="PJ61" s="67"/>
      <c r="PK61" s="67"/>
      <c r="PL61" s="67"/>
      <c r="PM61" s="67"/>
      <c r="PN61" s="67"/>
      <c r="PO61" s="67"/>
      <c r="PP61" s="67"/>
      <c r="PQ61" s="67"/>
      <c r="PR61" s="67"/>
      <c r="PS61" s="67"/>
      <c r="PT61" s="67"/>
      <c r="PU61" s="67"/>
      <c r="PV61" s="67"/>
      <c r="PW61" s="67"/>
      <c r="PX61" s="67"/>
      <c r="PY61" s="67"/>
      <c r="PZ61" s="67"/>
      <c r="QA61" s="67"/>
      <c r="QB61" s="67"/>
      <c r="QC61" s="67"/>
      <c r="QD61" s="67"/>
      <c r="QE61" s="67"/>
      <c r="QF61" s="67"/>
      <c r="QG61" s="67"/>
      <c r="QH61" s="67"/>
      <c r="QI61" s="67"/>
      <c r="QJ61" s="67"/>
      <c r="QK61" s="67"/>
      <c r="QL61" s="67"/>
      <c r="QM61" s="67"/>
      <c r="QN61" s="67"/>
      <c r="QO61" s="67"/>
      <c r="QP61" s="67"/>
      <c r="QQ61" s="67"/>
      <c r="QR61" s="67"/>
      <c r="QS61" s="67"/>
      <c r="QT61" s="67"/>
      <c r="QU61" s="67"/>
      <c r="QV61" s="67"/>
      <c r="QW61" s="67"/>
      <c r="QX61" s="67"/>
      <c r="QY61" s="67"/>
      <c r="QZ61" s="67"/>
      <c r="RA61" s="67"/>
      <c r="RB61" s="67"/>
      <c r="RC61" s="67"/>
      <c r="RD61" s="67"/>
      <c r="RE61" s="67"/>
      <c r="RF61" s="67"/>
      <c r="RG61" s="67"/>
      <c r="RH61" s="67"/>
      <c r="RI61" s="67"/>
      <c r="RJ61" s="67"/>
      <c r="RK61" s="67"/>
      <c r="RL61" s="67"/>
      <c r="RM61" s="67"/>
      <c r="RN61" s="67"/>
      <c r="RO61" s="67"/>
      <c r="RP61" s="67"/>
      <c r="RQ61" s="67"/>
      <c r="RR61" s="67"/>
      <c r="RS61" s="67"/>
      <c r="RT61" s="67"/>
      <c r="RU61" s="67"/>
      <c r="RV61" s="67"/>
      <c r="RW61" s="67"/>
      <c r="RX61" s="67"/>
      <c r="RY61" s="67"/>
      <c r="RZ61" s="67"/>
      <c r="SA61" s="67"/>
      <c r="SB61" s="67"/>
      <c r="SC61" s="67"/>
      <c r="SD61" s="67"/>
      <c r="SE61" s="67"/>
      <c r="SF61" s="67"/>
      <c r="SG61" s="67"/>
      <c r="SH61" s="67"/>
      <c r="SI61" s="67"/>
      <c r="SJ61" s="67"/>
      <c r="SK61" s="67"/>
      <c r="SL61" s="67"/>
      <c r="SM61" s="67"/>
      <c r="SN61" s="67"/>
      <c r="SO61" s="67"/>
      <c r="SP61" s="67"/>
      <c r="SQ61" s="67"/>
      <c r="SR61" s="67"/>
      <c r="SS61" s="67"/>
      <c r="ST61" s="67"/>
      <c r="SU61" s="67"/>
      <c r="SV61" s="67"/>
      <c r="SW61" s="67"/>
      <c r="SX61" s="67"/>
      <c r="SY61" s="67"/>
      <c r="SZ61" s="67"/>
      <c r="TA61" s="67"/>
      <c r="TB61" s="67"/>
      <c r="TC61" s="67"/>
      <c r="TD61" s="67"/>
      <c r="TE61" s="67"/>
      <c r="TF61" s="67"/>
      <c r="TG61" s="67"/>
      <c r="TH61" s="67"/>
      <c r="TI61" s="67"/>
      <c r="TJ61" s="67"/>
      <c r="TK61" s="67"/>
      <c r="TL61" s="67"/>
      <c r="TM61" s="67"/>
      <c r="TN61" s="67"/>
      <c r="TO61" s="67"/>
      <c r="TP61" s="67"/>
      <c r="TQ61" s="67"/>
      <c r="TR61" s="67"/>
      <c r="TS61" s="67"/>
      <c r="TT61" s="67"/>
      <c r="TU61" s="67"/>
      <c r="TV61" s="67"/>
      <c r="TW61" s="67"/>
      <c r="TX61" s="67"/>
      <c r="TY61" s="67"/>
      <c r="TZ61" s="67"/>
      <c r="UA61" s="67"/>
      <c r="UB61" s="67"/>
      <c r="UC61" s="67"/>
      <c r="UD61" s="67"/>
      <c r="UE61" s="67"/>
      <c r="UF61" s="67"/>
      <c r="UG61" s="67"/>
      <c r="UH61" s="67"/>
      <c r="UI61" s="67"/>
      <c r="UJ61" s="67"/>
      <c r="UK61" s="67"/>
      <c r="UL61" s="67"/>
      <c r="UM61" s="67"/>
      <c r="UN61" s="67"/>
      <c r="UO61" s="67"/>
      <c r="UP61" s="67"/>
      <c r="UQ61" s="67"/>
      <c r="UR61" s="67"/>
      <c r="US61" s="67"/>
      <c r="UT61" s="67"/>
      <c r="UU61" s="67"/>
      <c r="UV61" s="67"/>
      <c r="UW61" s="67"/>
      <c r="UX61" s="67"/>
      <c r="UY61" s="67"/>
      <c r="UZ61" s="67"/>
      <c r="VA61" s="67"/>
      <c r="VB61" s="67"/>
      <c r="VC61" s="67"/>
      <c r="VD61" s="67"/>
      <c r="VE61" s="67"/>
      <c r="VF61" s="67"/>
      <c r="VG61" s="67"/>
      <c r="VH61" s="67"/>
      <c r="VI61" s="67"/>
      <c r="VJ61" s="67"/>
      <c r="VK61" s="67"/>
      <c r="VL61" s="67"/>
      <c r="VM61" s="67"/>
      <c r="VN61" s="67"/>
      <c r="VO61" s="67"/>
      <c r="VP61" s="67"/>
      <c r="VQ61" s="67"/>
      <c r="VR61" s="67"/>
      <c r="VS61" s="67"/>
      <c r="VT61" s="67"/>
      <c r="VU61" s="67"/>
      <c r="VV61" s="67"/>
      <c r="VW61" s="67"/>
      <c r="VX61" s="67"/>
      <c r="VY61" s="67"/>
      <c r="WA61" s="68"/>
      <c r="WB61" s="68"/>
      <c r="WC61" s="68"/>
      <c r="WD61" s="68"/>
      <c r="WE61" s="68"/>
      <c r="WF61" s="68"/>
      <c r="WG61" s="68"/>
      <c r="WH61" s="68"/>
      <c r="WI61" s="84"/>
      <c r="WJ61" s="2"/>
      <c r="WK61" s="2"/>
    </row>
    <row r="62" spans="1:609" x14ac:dyDescent="0.25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CZ62" s="67"/>
      <c r="DA62" s="67"/>
      <c r="DB62" s="67"/>
      <c r="DC62" s="67"/>
      <c r="DD62" s="67"/>
      <c r="DE62" s="67"/>
      <c r="DF62" s="67"/>
      <c r="DG62" s="67"/>
      <c r="DH62" s="67"/>
      <c r="DI62" s="67"/>
      <c r="DJ62" s="67"/>
      <c r="DK62" s="67"/>
      <c r="DL62" s="67"/>
      <c r="DM62" s="67"/>
      <c r="DN62" s="67"/>
      <c r="DO62" s="67"/>
      <c r="DP62" s="67"/>
      <c r="DQ62" s="67"/>
      <c r="DR62" s="67"/>
      <c r="DS62" s="67"/>
      <c r="DT62" s="67"/>
      <c r="DU62" s="67"/>
      <c r="DV62" s="67"/>
      <c r="DW62" s="67"/>
      <c r="DX62" s="67"/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  <c r="JI62" s="67"/>
      <c r="JJ62" s="67"/>
      <c r="JK62" s="67"/>
      <c r="JL62" s="67"/>
      <c r="JM62" s="67"/>
      <c r="JN62" s="67"/>
      <c r="JO62" s="67"/>
      <c r="JP62" s="67"/>
      <c r="JQ62" s="67"/>
      <c r="JR62" s="67"/>
      <c r="JS62" s="67"/>
      <c r="JT62" s="67"/>
      <c r="JU62" s="67"/>
      <c r="JV62" s="67"/>
      <c r="JW62" s="67"/>
      <c r="JX62" s="67"/>
      <c r="JY62" s="67"/>
      <c r="JZ62" s="67"/>
      <c r="KA62" s="67"/>
      <c r="KB62" s="67"/>
      <c r="KC62" s="67"/>
      <c r="KD62" s="67"/>
      <c r="KE62" s="67"/>
      <c r="KF62" s="67"/>
      <c r="KG62" s="67"/>
      <c r="KH62" s="67"/>
      <c r="KI62" s="67"/>
      <c r="KJ62" s="67"/>
      <c r="KK62" s="67"/>
      <c r="KL62" s="67"/>
      <c r="KM62" s="67"/>
      <c r="KN62" s="67"/>
      <c r="KO62" s="67"/>
      <c r="KP62" s="67"/>
      <c r="KQ62" s="67"/>
      <c r="KR62" s="67"/>
      <c r="KS62" s="67"/>
      <c r="KT62" s="67"/>
      <c r="KU62" s="67"/>
      <c r="KV62" s="67"/>
      <c r="KW62" s="67"/>
      <c r="KX62" s="67"/>
      <c r="KY62" s="67"/>
      <c r="KZ62" s="67"/>
      <c r="LA62" s="67"/>
      <c r="LB62" s="67"/>
      <c r="LC62" s="67"/>
      <c r="LD62" s="67"/>
      <c r="LE62" s="67"/>
      <c r="LF62" s="67"/>
      <c r="LG62" s="67"/>
      <c r="LH62" s="67"/>
      <c r="LI62" s="67"/>
      <c r="LJ62" s="67"/>
      <c r="LK62" s="67"/>
      <c r="LL62" s="67"/>
      <c r="LM62" s="67"/>
      <c r="LN62" s="67"/>
      <c r="LO62" s="67"/>
      <c r="LP62" s="67"/>
      <c r="LQ62" s="67"/>
      <c r="LR62" s="67"/>
      <c r="LS62" s="67"/>
      <c r="LT62" s="67"/>
      <c r="LU62" s="67"/>
      <c r="LV62" s="67"/>
      <c r="LW62" s="67"/>
      <c r="LX62" s="67"/>
      <c r="LY62" s="67"/>
      <c r="LZ62" s="67"/>
      <c r="MA62" s="67"/>
      <c r="MB62" s="67"/>
      <c r="MC62" s="67"/>
      <c r="MD62" s="67"/>
      <c r="ME62" s="67"/>
      <c r="MF62" s="67"/>
      <c r="MG62" s="67"/>
      <c r="MH62" s="67"/>
      <c r="MI62" s="67"/>
      <c r="MJ62" s="67"/>
      <c r="MK62" s="67"/>
      <c r="ML62" s="67"/>
      <c r="MM62" s="67"/>
      <c r="MN62" s="67"/>
      <c r="MO62" s="67"/>
      <c r="MP62" s="67"/>
      <c r="MQ62" s="67"/>
      <c r="MR62" s="67"/>
      <c r="MS62" s="67"/>
      <c r="MT62" s="67"/>
      <c r="MU62" s="67"/>
      <c r="MV62" s="67"/>
      <c r="MW62" s="67"/>
      <c r="MX62" s="67"/>
      <c r="MY62" s="67"/>
      <c r="MZ62" s="67"/>
      <c r="NA62" s="67"/>
      <c r="NB62" s="67"/>
      <c r="NC62" s="67"/>
      <c r="ND62" s="67"/>
      <c r="NE62" s="67"/>
      <c r="NF62" s="67"/>
      <c r="NG62" s="67"/>
      <c r="NH62" s="67"/>
      <c r="NI62" s="67"/>
      <c r="NJ62" s="67"/>
      <c r="NK62" s="67"/>
      <c r="NL62" s="67"/>
      <c r="NM62" s="67"/>
      <c r="NN62" s="67"/>
      <c r="NO62" s="67"/>
      <c r="NP62" s="67"/>
      <c r="NQ62" s="67"/>
      <c r="NR62" s="67"/>
      <c r="NS62" s="67"/>
      <c r="NT62" s="67"/>
      <c r="NU62" s="67"/>
      <c r="NV62" s="67"/>
      <c r="NW62" s="67"/>
      <c r="NX62" s="67"/>
      <c r="NY62" s="67"/>
      <c r="NZ62" s="67"/>
      <c r="OA62" s="67"/>
      <c r="OB62" s="67"/>
      <c r="OC62" s="67"/>
      <c r="OD62" s="67"/>
      <c r="OE62" s="67"/>
      <c r="OF62" s="67"/>
      <c r="OG62" s="67"/>
      <c r="OH62" s="67"/>
      <c r="OI62" s="67"/>
      <c r="OJ62" s="67"/>
      <c r="OK62" s="67"/>
      <c r="OL62" s="67"/>
      <c r="OM62" s="67"/>
      <c r="ON62" s="67"/>
      <c r="OO62" s="67"/>
      <c r="OP62" s="67"/>
      <c r="OQ62" s="67"/>
      <c r="OR62" s="67"/>
      <c r="OS62" s="67"/>
      <c r="OT62" s="67"/>
      <c r="OU62" s="67"/>
      <c r="OV62" s="67"/>
      <c r="OW62" s="67"/>
      <c r="OX62" s="67"/>
      <c r="OY62" s="67"/>
      <c r="OZ62" s="67"/>
      <c r="PA62" s="67"/>
      <c r="PB62" s="67"/>
      <c r="PC62" s="67"/>
      <c r="PD62" s="67"/>
      <c r="PE62" s="67"/>
      <c r="PF62" s="67"/>
      <c r="PG62" s="67"/>
      <c r="PH62" s="67"/>
      <c r="PI62" s="67"/>
      <c r="PJ62" s="67"/>
      <c r="PK62" s="67"/>
      <c r="PL62" s="67"/>
      <c r="PM62" s="67"/>
      <c r="PN62" s="67"/>
      <c r="PO62" s="67"/>
      <c r="PP62" s="67"/>
      <c r="PQ62" s="67"/>
      <c r="PR62" s="67"/>
      <c r="PS62" s="67"/>
      <c r="PT62" s="67"/>
      <c r="PU62" s="67"/>
      <c r="PV62" s="67"/>
      <c r="PW62" s="67"/>
      <c r="PX62" s="67"/>
      <c r="PY62" s="67"/>
      <c r="PZ62" s="67"/>
      <c r="QA62" s="67"/>
      <c r="QB62" s="67"/>
      <c r="QC62" s="67"/>
      <c r="QD62" s="67"/>
      <c r="QE62" s="67"/>
      <c r="QF62" s="67"/>
      <c r="QG62" s="67"/>
      <c r="QH62" s="67"/>
      <c r="QI62" s="67"/>
      <c r="QJ62" s="67"/>
      <c r="QK62" s="67"/>
      <c r="QL62" s="67"/>
      <c r="QM62" s="67"/>
      <c r="QN62" s="67"/>
      <c r="QO62" s="67"/>
      <c r="QP62" s="67"/>
      <c r="QQ62" s="67"/>
      <c r="QR62" s="67"/>
      <c r="QS62" s="67"/>
      <c r="QT62" s="67"/>
      <c r="QU62" s="67"/>
      <c r="QV62" s="67"/>
      <c r="QW62" s="67"/>
      <c r="QX62" s="67"/>
      <c r="QY62" s="67"/>
      <c r="QZ62" s="67"/>
      <c r="RA62" s="67"/>
      <c r="RB62" s="67"/>
      <c r="RC62" s="67"/>
      <c r="RD62" s="67"/>
      <c r="RE62" s="67"/>
      <c r="RF62" s="67"/>
      <c r="RG62" s="67"/>
      <c r="RH62" s="67"/>
      <c r="RI62" s="67"/>
      <c r="RJ62" s="67"/>
      <c r="RK62" s="67"/>
      <c r="RL62" s="67"/>
      <c r="RM62" s="67"/>
      <c r="RN62" s="67"/>
      <c r="RO62" s="67"/>
      <c r="RP62" s="67"/>
      <c r="RQ62" s="67"/>
      <c r="RR62" s="67"/>
      <c r="RS62" s="67"/>
      <c r="RT62" s="67"/>
      <c r="RU62" s="67"/>
      <c r="RV62" s="67"/>
      <c r="RW62" s="67"/>
      <c r="RX62" s="67"/>
      <c r="RY62" s="67"/>
      <c r="RZ62" s="67"/>
      <c r="SA62" s="67"/>
      <c r="SB62" s="67"/>
      <c r="SC62" s="67"/>
      <c r="SD62" s="67"/>
      <c r="SE62" s="67"/>
      <c r="SF62" s="67"/>
      <c r="SG62" s="67"/>
      <c r="SH62" s="67"/>
      <c r="SI62" s="67"/>
      <c r="SJ62" s="67"/>
      <c r="SK62" s="67"/>
      <c r="SL62" s="67"/>
      <c r="SM62" s="67"/>
      <c r="SN62" s="67"/>
      <c r="SO62" s="67"/>
      <c r="SP62" s="67"/>
      <c r="SQ62" s="67"/>
      <c r="SR62" s="67"/>
      <c r="SS62" s="67"/>
      <c r="ST62" s="67"/>
      <c r="SU62" s="67"/>
      <c r="SV62" s="67"/>
      <c r="SW62" s="67"/>
      <c r="SX62" s="67"/>
      <c r="SY62" s="67"/>
      <c r="SZ62" s="67"/>
      <c r="TA62" s="67"/>
      <c r="TB62" s="67"/>
      <c r="TC62" s="67"/>
      <c r="TD62" s="67"/>
      <c r="TE62" s="67"/>
      <c r="TF62" s="67"/>
      <c r="TG62" s="67"/>
      <c r="TH62" s="67"/>
      <c r="TI62" s="67"/>
      <c r="TJ62" s="67"/>
      <c r="TK62" s="67"/>
      <c r="TL62" s="67"/>
      <c r="TM62" s="67"/>
      <c r="TN62" s="67"/>
      <c r="TO62" s="67"/>
      <c r="TP62" s="67"/>
      <c r="TQ62" s="67"/>
      <c r="TR62" s="67"/>
      <c r="TS62" s="67"/>
      <c r="TT62" s="67"/>
      <c r="TU62" s="67"/>
      <c r="TV62" s="67"/>
      <c r="TW62" s="67"/>
      <c r="TX62" s="67"/>
      <c r="TY62" s="67"/>
      <c r="TZ62" s="67"/>
      <c r="UA62" s="67"/>
      <c r="UB62" s="67"/>
      <c r="UC62" s="67"/>
      <c r="UD62" s="67"/>
      <c r="UE62" s="67"/>
      <c r="UF62" s="67"/>
      <c r="UG62" s="67"/>
      <c r="UH62" s="67"/>
      <c r="UI62" s="67"/>
      <c r="UJ62" s="67"/>
      <c r="UK62" s="67"/>
      <c r="UL62" s="67"/>
      <c r="UM62" s="67"/>
      <c r="UN62" s="67"/>
      <c r="UO62" s="67"/>
      <c r="UP62" s="67"/>
      <c r="UQ62" s="67"/>
      <c r="UR62" s="67"/>
      <c r="US62" s="67"/>
      <c r="UT62" s="67"/>
      <c r="UU62" s="67"/>
      <c r="UV62" s="67"/>
      <c r="UW62" s="67"/>
      <c r="UX62" s="67"/>
      <c r="UY62" s="67"/>
      <c r="UZ62" s="67"/>
      <c r="VA62" s="67"/>
      <c r="VB62" s="67"/>
      <c r="VC62" s="67"/>
      <c r="VD62" s="67"/>
      <c r="VE62" s="67"/>
      <c r="VF62" s="67"/>
      <c r="VG62" s="67"/>
      <c r="VH62" s="67"/>
      <c r="VI62" s="67"/>
      <c r="VJ62" s="67"/>
      <c r="VK62" s="67"/>
      <c r="VL62" s="67"/>
      <c r="VM62" s="67"/>
      <c r="VN62" s="67"/>
      <c r="VO62" s="67"/>
      <c r="VP62" s="67"/>
      <c r="VQ62" s="67"/>
      <c r="VR62" s="67"/>
      <c r="VS62" s="67"/>
      <c r="VT62" s="67"/>
      <c r="VU62" s="67"/>
      <c r="VV62" s="67"/>
      <c r="VW62" s="67"/>
      <c r="VX62" s="67"/>
      <c r="VY62" s="67"/>
      <c r="WA62" s="68"/>
      <c r="WB62" s="68"/>
      <c r="WC62" s="68"/>
      <c r="WD62" s="68"/>
      <c r="WE62" s="68"/>
      <c r="WF62" s="68"/>
      <c r="WG62" s="68"/>
      <c r="WH62" s="68"/>
      <c r="WI62" s="84"/>
      <c r="WJ62" s="2"/>
      <c r="WK62" s="2"/>
    </row>
    <row r="63" spans="1:609" x14ac:dyDescent="0.25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  <c r="LG63" s="67"/>
      <c r="LH63" s="67"/>
      <c r="LI63" s="67"/>
      <c r="LJ63" s="67"/>
      <c r="LK63" s="67"/>
      <c r="LL63" s="67"/>
      <c r="LM63" s="67"/>
      <c r="LN63" s="67"/>
      <c r="LO63" s="67"/>
      <c r="LP63" s="67"/>
      <c r="LQ63" s="67"/>
      <c r="LR63" s="67"/>
      <c r="LS63" s="67"/>
      <c r="LT63" s="67"/>
      <c r="LU63" s="67"/>
      <c r="LV63" s="67"/>
      <c r="LW63" s="67"/>
      <c r="LX63" s="67"/>
      <c r="LY63" s="67"/>
      <c r="LZ63" s="67"/>
      <c r="MA63" s="67"/>
      <c r="MB63" s="67"/>
      <c r="MC63" s="67"/>
      <c r="MD63" s="67"/>
      <c r="ME63" s="67"/>
      <c r="MF63" s="67"/>
      <c r="MG63" s="67"/>
      <c r="MH63" s="67"/>
      <c r="MI63" s="67"/>
      <c r="MJ63" s="67"/>
      <c r="MK63" s="67"/>
      <c r="ML63" s="67"/>
      <c r="MM63" s="67"/>
      <c r="MN63" s="67"/>
      <c r="MO63" s="67"/>
      <c r="MP63" s="67"/>
      <c r="MQ63" s="67"/>
      <c r="MR63" s="67"/>
      <c r="MS63" s="67"/>
      <c r="MT63" s="67"/>
      <c r="MU63" s="67"/>
      <c r="MV63" s="67"/>
      <c r="MW63" s="67"/>
      <c r="MX63" s="67"/>
      <c r="MY63" s="67"/>
      <c r="MZ63" s="67"/>
      <c r="NA63" s="67"/>
      <c r="NB63" s="67"/>
      <c r="NC63" s="67"/>
      <c r="ND63" s="67"/>
      <c r="NE63" s="67"/>
      <c r="NF63" s="67"/>
      <c r="NG63" s="67"/>
      <c r="NH63" s="67"/>
      <c r="NI63" s="67"/>
      <c r="NJ63" s="67"/>
      <c r="NK63" s="67"/>
      <c r="NL63" s="67"/>
      <c r="NM63" s="67"/>
      <c r="NN63" s="67"/>
      <c r="NO63" s="67"/>
      <c r="NP63" s="67"/>
      <c r="NQ63" s="67"/>
      <c r="NR63" s="67"/>
      <c r="NS63" s="67"/>
      <c r="NT63" s="67"/>
      <c r="NU63" s="67"/>
      <c r="NV63" s="67"/>
      <c r="NW63" s="67"/>
      <c r="NX63" s="67"/>
      <c r="NY63" s="67"/>
      <c r="NZ63" s="67"/>
      <c r="OA63" s="67"/>
      <c r="OB63" s="67"/>
      <c r="OC63" s="67"/>
      <c r="OD63" s="67"/>
      <c r="OE63" s="67"/>
      <c r="OF63" s="67"/>
      <c r="OG63" s="67"/>
      <c r="OH63" s="67"/>
      <c r="OI63" s="67"/>
      <c r="OJ63" s="67"/>
      <c r="OK63" s="67"/>
      <c r="OL63" s="67"/>
      <c r="OM63" s="67"/>
      <c r="ON63" s="67"/>
      <c r="OO63" s="67"/>
      <c r="OP63" s="67"/>
      <c r="OQ63" s="67"/>
      <c r="OR63" s="67"/>
      <c r="OS63" s="67"/>
      <c r="OT63" s="67"/>
      <c r="OU63" s="67"/>
      <c r="OV63" s="67"/>
      <c r="OW63" s="67"/>
      <c r="OX63" s="67"/>
      <c r="OY63" s="67"/>
      <c r="OZ63" s="67"/>
      <c r="PA63" s="67"/>
      <c r="PB63" s="67"/>
      <c r="PC63" s="67"/>
      <c r="PD63" s="67"/>
      <c r="PE63" s="67"/>
      <c r="PF63" s="67"/>
      <c r="PG63" s="67"/>
      <c r="PH63" s="67"/>
      <c r="PI63" s="67"/>
      <c r="PJ63" s="67"/>
      <c r="PK63" s="67"/>
      <c r="PL63" s="67"/>
      <c r="PM63" s="67"/>
      <c r="PN63" s="67"/>
      <c r="PO63" s="67"/>
      <c r="PP63" s="67"/>
      <c r="PQ63" s="67"/>
      <c r="PR63" s="67"/>
      <c r="PS63" s="67"/>
      <c r="PT63" s="67"/>
      <c r="PU63" s="67"/>
      <c r="PV63" s="67"/>
      <c r="PW63" s="67"/>
      <c r="PX63" s="67"/>
      <c r="PY63" s="67"/>
      <c r="PZ63" s="67"/>
      <c r="QA63" s="67"/>
      <c r="QB63" s="67"/>
      <c r="QC63" s="67"/>
      <c r="QD63" s="67"/>
      <c r="QE63" s="67"/>
      <c r="QF63" s="67"/>
      <c r="QG63" s="67"/>
      <c r="QH63" s="67"/>
      <c r="QI63" s="67"/>
      <c r="QJ63" s="67"/>
      <c r="QK63" s="67"/>
      <c r="QL63" s="67"/>
      <c r="QM63" s="67"/>
      <c r="QN63" s="67"/>
      <c r="QO63" s="67"/>
      <c r="QP63" s="67"/>
      <c r="QQ63" s="67"/>
      <c r="QR63" s="67"/>
      <c r="QS63" s="67"/>
      <c r="QT63" s="67"/>
      <c r="QU63" s="67"/>
      <c r="QV63" s="67"/>
      <c r="QW63" s="67"/>
      <c r="QX63" s="67"/>
      <c r="QY63" s="67"/>
      <c r="QZ63" s="67"/>
      <c r="RA63" s="67"/>
      <c r="RB63" s="67"/>
      <c r="RC63" s="67"/>
      <c r="RD63" s="67"/>
      <c r="RE63" s="67"/>
      <c r="RF63" s="67"/>
      <c r="RG63" s="67"/>
      <c r="RH63" s="67"/>
      <c r="RI63" s="67"/>
      <c r="RJ63" s="67"/>
      <c r="RK63" s="67"/>
      <c r="RL63" s="67"/>
      <c r="RM63" s="67"/>
      <c r="RN63" s="67"/>
      <c r="RO63" s="67"/>
      <c r="RP63" s="67"/>
      <c r="RQ63" s="67"/>
      <c r="RR63" s="67"/>
      <c r="RS63" s="67"/>
      <c r="RT63" s="67"/>
      <c r="RU63" s="67"/>
      <c r="RV63" s="67"/>
      <c r="RW63" s="67"/>
      <c r="RX63" s="67"/>
      <c r="RY63" s="67"/>
      <c r="RZ63" s="67"/>
      <c r="SA63" s="67"/>
      <c r="SB63" s="67"/>
      <c r="SC63" s="67"/>
      <c r="SD63" s="67"/>
      <c r="SE63" s="67"/>
      <c r="SF63" s="67"/>
      <c r="SG63" s="67"/>
      <c r="SH63" s="67"/>
      <c r="SI63" s="67"/>
      <c r="SJ63" s="67"/>
      <c r="SK63" s="67"/>
      <c r="SL63" s="67"/>
      <c r="SM63" s="67"/>
      <c r="SN63" s="67"/>
      <c r="SO63" s="67"/>
      <c r="SP63" s="67"/>
      <c r="SQ63" s="67"/>
      <c r="SR63" s="67"/>
      <c r="SS63" s="67"/>
      <c r="ST63" s="67"/>
      <c r="SU63" s="67"/>
      <c r="SV63" s="67"/>
      <c r="SW63" s="67"/>
      <c r="SX63" s="67"/>
      <c r="SY63" s="67"/>
      <c r="SZ63" s="67"/>
      <c r="TA63" s="67"/>
      <c r="TB63" s="67"/>
      <c r="TC63" s="67"/>
      <c r="TD63" s="67"/>
      <c r="TE63" s="67"/>
      <c r="TF63" s="67"/>
      <c r="TG63" s="67"/>
      <c r="TH63" s="67"/>
      <c r="TI63" s="67"/>
      <c r="TJ63" s="67"/>
      <c r="TK63" s="67"/>
      <c r="TL63" s="67"/>
      <c r="TM63" s="67"/>
      <c r="TN63" s="67"/>
      <c r="TO63" s="67"/>
      <c r="TP63" s="67"/>
      <c r="TQ63" s="67"/>
      <c r="TR63" s="67"/>
      <c r="TS63" s="67"/>
      <c r="TT63" s="67"/>
      <c r="TU63" s="67"/>
      <c r="TV63" s="67"/>
      <c r="TW63" s="67"/>
      <c r="TX63" s="67"/>
      <c r="TY63" s="67"/>
      <c r="TZ63" s="67"/>
      <c r="UA63" s="67"/>
      <c r="UB63" s="67"/>
      <c r="UC63" s="67"/>
      <c r="UD63" s="67"/>
      <c r="UE63" s="67"/>
      <c r="UF63" s="67"/>
      <c r="UG63" s="67"/>
      <c r="UH63" s="67"/>
      <c r="UI63" s="67"/>
      <c r="UJ63" s="67"/>
      <c r="UK63" s="67"/>
      <c r="UL63" s="67"/>
      <c r="UM63" s="67"/>
      <c r="UN63" s="67"/>
      <c r="UO63" s="67"/>
      <c r="UP63" s="67"/>
      <c r="UQ63" s="67"/>
      <c r="UR63" s="67"/>
      <c r="US63" s="67"/>
      <c r="UT63" s="67"/>
      <c r="UU63" s="67"/>
      <c r="UV63" s="67"/>
      <c r="UW63" s="67"/>
      <c r="UX63" s="67"/>
      <c r="UY63" s="67"/>
      <c r="UZ63" s="67"/>
      <c r="VA63" s="67"/>
      <c r="VB63" s="67"/>
      <c r="VC63" s="67"/>
      <c r="VD63" s="67"/>
      <c r="VE63" s="67"/>
      <c r="VF63" s="67"/>
      <c r="VG63" s="67"/>
      <c r="VH63" s="67"/>
      <c r="VI63" s="67"/>
      <c r="VJ63" s="67"/>
      <c r="VK63" s="67"/>
      <c r="VL63" s="67"/>
      <c r="VM63" s="67"/>
      <c r="VN63" s="67"/>
      <c r="VO63" s="67"/>
      <c r="VP63" s="67"/>
      <c r="VQ63" s="67"/>
      <c r="VR63" s="67"/>
      <c r="VS63" s="67"/>
      <c r="VT63" s="67"/>
      <c r="VU63" s="67"/>
      <c r="VV63" s="67"/>
      <c r="VW63" s="67"/>
      <c r="VX63" s="67"/>
      <c r="VY63" s="67"/>
      <c r="WA63" s="68"/>
      <c r="WB63" s="68"/>
      <c r="WC63" s="68"/>
      <c r="WD63" s="68"/>
      <c r="WE63" s="68"/>
      <c r="WF63" s="68"/>
      <c r="WG63" s="68"/>
      <c r="WH63" s="68"/>
      <c r="WI63" s="84"/>
      <c r="WJ63" s="2"/>
      <c r="WK63" s="2"/>
    </row>
    <row r="64" spans="1:609" x14ac:dyDescent="0.25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  <c r="LG64" s="67"/>
      <c r="LH64" s="67"/>
      <c r="LI64" s="67"/>
      <c r="LJ64" s="67"/>
      <c r="LK64" s="67"/>
      <c r="LL64" s="67"/>
      <c r="LM64" s="67"/>
      <c r="LN64" s="67"/>
      <c r="LO64" s="67"/>
      <c r="LP64" s="67"/>
      <c r="LQ64" s="67"/>
      <c r="LR64" s="67"/>
      <c r="LS64" s="67"/>
      <c r="LT64" s="67"/>
      <c r="LU64" s="67"/>
      <c r="LV64" s="67"/>
      <c r="LW64" s="67"/>
      <c r="LX64" s="67"/>
      <c r="LY64" s="67"/>
      <c r="LZ64" s="67"/>
      <c r="MA64" s="67"/>
      <c r="MB64" s="67"/>
      <c r="MC64" s="67"/>
      <c r="MD64" s="67"/>
      <c r="ME64" s="67"/>
      <c r="MF64" s="67"/>
      <c r="MG64" s="67"/>
      <c r="MH64" s="67"/>
      <c r="MI64" s="67"/>
      <c r="MJ64" s="67"/>
      <c r="MK64" s="67"/>
      <c r="ML64" s="67"/>
      <c r="MM64" s="67"/>
      <c r="MN64" s="67"/>
      <c r="MO64" s="67"/>
      <c r="MP64" s="67"/>
      <c r="MQ64" s="67"/>
      <c r="MR64" s="67"/>
      <c r="MS64" s="67"/>
      <c r="MT64" s="67"/>
      <c r="MU64" s="67"/>
      <c r="MV64" s="67"/>
      <c r="MW64" s="67"/>
      <c r="MX64" s="67"/>
      <c r="MY64" s="67"/>
      <c r="MZ64" s="67"/>
      <c r="NA64" s="67"/>
      <c r="NB64" s="67"/>
      <c r="NC64" s="67"/>
      <c r="ND64" s="67"/>
      <c r="NE64" s="67"/>
      <c r="NF64" s="67"/>
      <c r="NG64" s="67"/>
      <c r="NH64" s="67"/>
      <c r="NI64" s="67"/>
      <c r="NJ64" s="67"/>
      <c r="NK64" s="67"/>
      <c r="NL64" s="67"/>
      <c r="NM64" s="67"/>
      <c r="NN64" s="67"/>
      <c r="NO64" s="67"/>
      <c r="NP64" s="67"/>
      <c r="NQ64" s="67"/>
      <c r="NR64" s="67"/>
      <c r="NS64" s="67"/>
      <c r="NT64" s="67"/>
      <c r="NU64" s="67"/>
      <c r="NV64" s="67"/>
      <c r="NW64" s="67"/>
      <c r="NX64" s="67"/>
      <c r="NY64" s="67"/>
      <c r="NZ64" s="67"/>
      <c r="OA64" s="67"/>
      <c r="OB64" s="67"/>
      <c r="OC64" s="67"/>
      <c r="OD64" s="67"/>
      <c r="OE64" s="67"/>
      <c r="OF64" s="67"/>
      <c r="OG64" s="67"/>
      <c r="OH64" s="67"/>
      <c r="OI64" s="67"/>
      <c r="OJ64" s="67"/>
      <c r="OK64" s="67"/>
      <c r="OL64" s="67"/>
      <c r="OM64" s="67"/>
      <c r="ON64" s="67"/>
      <c r="OO64" s="67"/>
      <c r="OP64" s="67"/>
      <c r="OQ64" s="67"/>
      <c r="OR64" s="67"/>
      <c r="OS64" s="67"/>
      <c r="OT64" s="67"/>
      <c r="OU64" s="67"/>
      <c r="OV64" s="67"/>
      <c r="OW64" s="67"/>
      <c r="OX64" s="67"/>
      <c r="OY64" s="67"/>
      <c r="OZ64" s="67"/>
      <c r="PA64" s="67"/>
      <c r="PB64" s="67"/>
      <c r="PC64" s="67"/>
      <c r="PD64" s="67"/>
      <c r="PE64" s="67"/>
      <c r="PF64" s="67"/>
      <c r="PG64" s="67"/>
      <c r="PH64" s="67"/>
      <c r="PI64" s="67"/>
      <c r="PJ64" s="67"/>
      <c r="PK64" s="67"/>
      <c r="PL64" s="67"/>
      <c r="PM64" s="67"/>
      <c r="PN64" s="67"/>
      <c r="PO64" s="67"/>
      <c r="PP64" s="67"/>
      <c r="PQ64" s="67"/>
      <c r="PR64" s="67"/>
      <c r="PS64" s="67"/>
      <c r="PT64" s="67"/>
      <c r="PU64" s="67"/>
      <c r="PV64" s="67"/>
      <c r="PW64" s="67"/>
      <c r="PX64" s="67"/>
      <c r="PY64" s="67"/>
      <c r="PZ64" s="67"/>
      <c r="QA64" s="67"/>
      <c r="QB64" s="67"/>
      <c r="QC64" s="67"/>
      <c r="QD64" s="67"/>
      <c r="QE64" s="67"/>
      <c r="QF64" s="67"/>
      <c r="QG64" s="67"/>
      <c r="QH64" s="67"/>
      <c r="QI64" s="67"/>
      <c r="QJ64" s="67"/>
      <c r="QK64" s="67"/>
      <c r="QL64" s="67"/>
      <c r="QM64" s="67"/>
      <c r="QN64" s="67"/>
      <c r="QO64" s="67"/>
      <c r="QP64" s="67"/>
      <c r="QQ64" s="67"/>
      <c r="QR64" s="67"/>
      <c r="QS64" s="67"/>
      <c r="QT64" s="67"/>
      <c r="QU64" s="67"/>
      <c r="QV64" s="67"/>
      <c r="QW64" s="67"/>
      <c r="QX64" s="67"/>
      <c r="QY64" s="67"/>
      <c r="QZ64" s="67"/>
      <c r="RA64" s="67"/>
      <c r="RB64" s="67"/>
      <c r="RC64" s="67"/>
      <c r="RD64" s="67"/>
      <c r="RE64" s="67"/>
      <c r="RF64" s="67"/>
      <c r="RG64" s="67"/>
      <c r="RH64" s="67"/>
      <c r="RI64" s="67"/>
      <c r="RJ64" s="67"/>
      <c r="RK64" s="67"/>
      <c r="RL64" s="67"/>
      <c r="RM64" s="67"/>
      <c r="RN64" s="67"/>
      <c r="RO64" s="67"/>
      <c r="RP64" s="67"/>
      <c r="RQ64" s="67"/>
      <c r="RR64" s="67"/>
      <c r="RS64" s="67"/>
      <c r="RT64" s="67"/>
      <c r="RU64" s="67"/>
      <c r="RV64" s="67"/>
      <c r="RW64" s="67"/>
      <c r="RX64" s="67"/>
      <c r="RY64" s="67"/>
      <c r="RZ64" s="67"/>
      <c r="SA64" s="67"/>
      <c r="SB64" s="67"/>
      <c r="SC64" s="67"/>
      <c r="SD64" s="67"/>
      <c r="SE64" s="67"/>
      <c r="SF64" s="67"/>
      <c r="SG64" s="67"/>
      <c r="SH64" s="67"/>
      <c r="SI64" s="67"/>
      <c r="SJ64" s="67"/>
      <c r="SK64" s="67"/>
      <c r="SL64" s="67"/>
      <c r="SM64" s="67"/>
      <c r="SN64" s="67"/>
      <c r="SO64" s="67"/>
      <c r="SP64" s="67"/>
      <c r="SQ64" s="67"/>
      <c r="SR64" s="67"/>
      <c r="SS64" s="67"/>
      <c r="ST64" s="67"/>
      <c r="SU64" s="67"/>
      <c r="SV64" s="67"/>
      <c r="SW64" s="67"/>
      <c r="SX64" s="67"/>
      <c r="SY64" s="67"/>
      <c r="SZ64" s="67"/>
      <c r="TA64" s="67"/>
      <c r="TB64" s="67"/>
      <c r="TC64" s="67"/>
      <c r="TD64" s="67"/>
      <c r="TE64" s="67"/>
      <c r="TF64" s="67"/>
      <c r="TG64" s="67"/>
      <c r="TH64" s="67"/>
      <c r="TI64" s="67"/>
      <c r="TJ64" s="67"/>
      <c r="TK64" s="67"/>
      <c r="TL64" s="67"/>
      <c r="TM64" s="67"/>
      <c r="TN64" s="67"/>
      <c r="TO64" s="67"/>
      <c r="TP64" s="67"/>
      <c r="TQ64" s="67"/>
      <c r="TR64" s="67"/>
      <c r="TS64" s="67"/>
      <c r="TT64" s="67"/>
      <c r="TU64" s="67"/>
      <c r="TV64" s="67"/>
      <c r="TW64" s="67"/>
      <c r="TX64" s="67"/>
      <c r="TY64" s="67"/>
      <c r="TZ64" s="67"/>
      <c r="UA64" s="67"/>
      <c r="UB64" s="67"/>
      <c r="UC64" s="67"/>
      <c r="UD64" s="67"/>
      <c r="UE64" s="67"/>
      <c r="UF64" s="67"/>
      <c r="UG64" s="67"/>
      <c r="UH64" s="67"/>
      <c r="UI64" s="67"/>
      <c r="UJ64" s="67"/>
      <c r="UK64" s="67"/>
      <c r="UL64" s="67"/>
      <c r="UM64" s="67"/>
      <c r="UN64" s="67"/>
      <c r="UO64" s="67"/>
      <c r="UP64" s="67"/>
      <c r="UQ64" s="67"/>
      <c r="UR64" s="67"/>
      <c r="US64" s="67"/>
      <c r="UT64" s="67"/>
      <c r="UU64" s="67"/>
      <c r="UV64" s="67"/>
      <c r="UW64" s="67"/>
      <c r="UX64" s="67"/>
      <c r="UY64" s="67"/>
      <c r="UZ64" s="67"/>
      <c r="VA64" s="67"/>
      <c r="VB64" s="67"/>
      <c r="VC64" s="67"/>
      <c r="VD64" s="67"/>
      <c r="VE64" s="67"/>
      <c r="VF64" s="67"/>
      <c r="VG64" s="67"/>
      <c r="VH64" s="67"/>
      <c r="VI64" s="67"/>
      <c r="VJ64" s="67"/>
      <c r="VK64" s="67"/>
      <c r="VL64" s="67"/>
      <c r="VM64" s="67"/>
      <c r="VN64" s="67"/>
      <c r="VO64" s="67"/>
      <c r="VP64" s="67"/>
      <c r="VQ64" s="67"/>
      <c r="VR64" s="67"/>
      <c r="VS64" s="67"/>
      <c r="VT64" s="67"/>
      <c r="VU64" s="67"/>
      <c r="VV64" s="67"/>
      <c r="VW64" s="67"/>
      <c r="VX64" s="67"/>
      <c r="VY64" s="67"/>
      <c r="WA64" s="68"/>
      <c r="WB64" s="68"/>
      <c r="WC64" s="68"/>
      <c r="WD64" s="68"/>
      <c r="WE64" s="68"/>
      <c r="WF64" s="68"/>
      <c r="WG64" s="68"/>
      <c r="WH64" s="68"/>
      <c r="WI64" s="84"/>
      <c r="WJ64" s="2"/>
      <c r="WK64" s="2"/>
    </row>
    <row r="65" spans="1:613" x14ac:dyDescent="0.25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  <c r="LH65" s="67"/>
      <c r="LI65" s="67"/>
      <c r="LJ65" s="67"/>
      <c r="LK65" s="67"/>
      <c r="LL65" s="67"/>
      <c r="LM65" s="67"/>
      <c r="LN65" s="67"/>
      <c r="LO65" s="67"/>
      <c r="LP65" s="67"/>
      <c r="LQ65" s="67"/>
      <c r="LR65" s="67"/>
      <c r="LS65" s="67"/>
      <c r="LT65" s="67"/>
      <c r="LU65" s="67"/>
      <c r="LV65" s="67"/>
      <c r="LW65" s="67"/>
      <c r="LX65" s="67"/>
      <c r="LY65" s="67"/>
      <c r="LZ65" s="67"/>
      <c r="MA65" s="67"/>
      <c r="MB65" s="67"/>
      <c r="MC65" s="67"/>
      <c r="MD65" s="67"/>
      <c r="ME65" s="67"/>
      <c r="MF65" s="67"/>
      <c r="MG65" s="67"/>
      <c r="MH65" s="67"/>
      <c r="MI65" s="67"/>
      <c r="MJ65" s="67"/>
      <c r="MK65" s="67"/>
      <c r="ML65" s="67"/>
      <c r="MM65" s="67"/>
      <c r="MN65" s="67"/>
      <c r="MO65" s="67"/>
      <c r="MP65" s="67"/>
      <c r="MQ65" s="67"/>
      <c r="MR65" s="67"/>
      <c r="MS65" s="67"/>
      <c r="MT65" s="67"/>
      <c r="MU65" s="67"/>
      <c r="MV65" s="67"/>
      <c r="MW65" s="67"/>
      <c r="MX65" s="67"/>
      <c r="MY65" s="67"/>
      <c r="MZ65" s="67"/>
      <c r="NA65" s="67"/>
      <c r="NB65" s="67"/>
      <c r="NC65" s="67"/>
      <c r="ND65" s="67"/>
      <c r="NE65" s="67"/>
      <c r="NF65" s="67"/>
      <c r="NG65" s="67"/>
      <c r="NH65" s="67"/>
      <c r="NI65" s="67"/>
      <c r="NJ65" s="67"/>
      <c r="NK65" s="67"/>
      <c r="NL65" s="67"/>
      <c r="NM65" s="67"/>
      <c r="NN65" s="67"/>
      <c r="NO65" s="67"/>
      <c r="NP65" s="67"/>
      <c r="NQ65" s="67"/>
      <c r="NR65" s="67"/>
      <c r="NS65" s="67"/>
      <c r="NT65" s="67"/>
      <c r="NU65" s="67"/>
      <c r="NV65" s="67"/>
      <c r="NW65" s="67"/>
      <c r="NX65" s="67"/>
      <c r="NY65" s="67"/>
      <c r="NZ65" s="67"/>
      <c r="OA65" s="67"/>
      <c r="OB65" s="67"/>
      <c r="OC65" s="67"/>
      <c r="OD65" s="67"/>
      <c r="OE65" s="67"/>
      <c r="OF65" s="67"/>
      <c r="OG65" s="67"/>
      <c r="OH65" s="67"/>
      <c r="OI65" s="67"/>
      <c r="OJ65" s="67"/>
      <c r="OK65" s="67"/>
      <c r="OL65" s="67"/>
      <c r="OM65" s="67"/>
      <c r="ON65" s="67"/>
      <c r="OO65" s="67"/>
      <c r="OP65" s="67"/>
      <c r="OQ65" s="67"/>
      <c r="OR65" s="67"/>
      <c r="OS65" s="67"/>
      <c r="OT65" s="67"/>
      <c r="OU65" s="67"/>
      <c r="OV65" s="67"/>
      <c r="OW65" s="67"/>
      <c r="OX65" s="67"/>
      <c r="OY65" s="67"/>
      <c r="OZ65" s="67"/>
      <c r="PA65" s="67"/>
      <c r="PB65" s="67"/>
      <c r="PC65" s="67"/>
      <c r="PD65" s="67"/>
      <c r="PE65" s="67"/>
      <c r="PF65" s="67"/>
      <c r="PG65" s="67"/>
      <c r="PH65" s="67"/>
      <c r="PI65" s="67"/>
      <c r="PJ65" s="67"/>
      <c r="PK65" s="67"/>
      <c r="PL65" s="67"/>
      <c r="PM65" s="67"/>
      <c r="PN65" s="67"/>
      <c r="PO65" s="67"/>
      <c r="PP65" s="67"/>
      <c r="PQ65" s="67"/>
      <c r="PR65" s="67"/>
      <c r="PS65" s="67"/>
      <c r="PT65" s="67"/>
      <c r="PU65" s="67"/>
      <c r="PV65" s="67"/>
      <c r="PW65" s="67"/>
      <c r="PX65" s="67"/>
      <c r="PY65" s="67"/>
      <c r="PZ65" s="67"/>
      <c r="QA65" s="67"/>
      <c r="QB65" s="67"/>
      <c r="QC65" s="67"/>
      <c r="QD65" s="67"/>
      <c r="QE65" s="67"/>
      <c r="QF65" s="67"/>
      <c r="QG65" s="67"/>
      <c r="QH65" s="67"/>
      <c r="QI65" s="67"/>
      <c r="QJ65" s="67"/>
      <c r="QK65" s="67"/>
      <c r="QL65" s="67"/>
      <c r="QM65" s="67"/>
      <c r="QN65" s="67"/>
      <c r="QO65" s="67"/>
      <c r="QP65" s="67"/>
      <c r="QQ65" s="67"/>
      <c r="QR65" s="67"/>
      <c r="QS65" s="67"/>
      <c r="QT65" s="67"/>
      <c r="QU65" s="67"/>
      <c r="QV65" s="67"/>
      <c r="QW65" s="67"/>
      <c r="QX65" s="67"/>
      <c r="QY65" s="67"/>
      <c r="QZ65" s="67"/>
      <c r="RA65" s="67"/>
      <c r="RB65" s="67"/>
      <c r="RC65" s="67"/>
      <c r="RD65" s="67"/>
      <c r="RE65" s="67"/>
      <c r="RF65" s="67"/>
      <c r="RG65" s="67"/>
      <c r="RH65" s="67"/>
      <c r="RI65" s="67"/>
      <c r="RJ65" s="67"/>
      <c r="RK65" s="67"/>
      <c r="RL65" s="67"/>
      <c r="RM65" s="67"/>
      <c r="RN65" s="67"/>
      <c r="RO65" s="67"/>
      <c r="RP65" s="67"/>
      <c r="RQ65" s="67"/>
      <c r="RR65" s="67"/>
      <c r="RS65" s="67"/>
      <c r="RT65" s="67"/>
      <c r="RU65" s="67"/>
      <c r="RV65" s="67"/>
      <c r="RW65" s="67"/>
      <c r="RX65" s="67"/>
      <c r="RY65" s="67"/>
      <c r="RZ65" s="67"/>
      <c r="SA65" s="67"/>
      <c r="SB65" s="67"/>
      <c r="SC65" s="67"/>
      <c r="SD65" s="67"/>
      <c r="SE65" s="67"/>
      <c r="SF65" s="67"/>
      <c r="SG65" s="67"/>
      <c r="SH65" s="67"/>
      <c r="SI65" s="67"/>
      <c r="SJ65" s="67"/>
      <c r="SK65" s="67"/>
      <c r="SL65" s="67"/>
      <c r="SM65" s="67"/>
      <c r="SN65" s="67"/>
      <c r="SO65" s="67"/>
      <c r="SP65" s="67"/>
      <c r="SQ65" s="67"/>
      <c r="SR65" s="67"/>
      <c r="SS65" s="67"/>
      <c r="ST65" s="67"/>
      <c r="SU65" s="67"/>
      <c r="SV65" s="67"/>
      <c r="SW65" s="67"/>
      <c r="SX65" s="67"/>
      <c r="SY65" s="67"/>
      <c r="SZ65" s="67"/>
      <c r="TA65" s="67"/>
      <c r="TB65" s="67"/>
      <c r="TC65" s="67"/>
      <c r="TD65" s="67"/>
      <c r="TE65" s="67"/>
      <c r="TF65" s="67"/>
      <c r="TG65" s="67"/>
      <c r="TH65" s="67"/>
      <c r="TI65" s="67"/>
      <c r="TJ65" s="67"/>
      <c r="TK65" s="67"/>
      <c r="TL65" s="67"/>
      <c r="TM65" s="67"/>
      <c r="TN65" s="67"/>
      <c r="TO65" s="67"/>
      <c r="TP65" s="67"/>
      <c r="TQ65" s="67"/>
      <c r="TR65" s="67"/>
      <c r="TS65" s="67"/>
      <c r="TT65" s="67"/>
      <c r="TU65" s="67"/>
      <c r="TV65" s="67"/>
      <c r="TW65" s="67"/>
      <c r="TX65" s="67"/>
      <c r="TY65" s="67"/>
      <c r="TZ65" s="67"/>
      <c r="UA65" s="67"/>
      <c r="UB65" s="67"/>
      <c r="UC65" s="67"/>
      <c r="UD65" s="67"/>
      <c r="UE65" s="67"/>
      <c r="UF65" s="67"/>
      <c r="UG65" s="67"/>
      <c r="UH65" s="67"/>
      <c r="UI65" s="67"/>
      <c r="UJ65" s="67"/>
      <c r="UK65" s="67"/>
      <c r="UL65" s="67"/>
      <c r="UM65" s="67"/>
      <c r="UN65" s="67"/>
      <c r="UO65" s="67"/>
      <c r="UP65" s="67"/>
      <c r="UQ65" s="67"/>
      <c r="UR65" s="67"/>
      <c r="US65" s="67"/>
      <c r="UT65" s="67"/>
      <c r="UU65" s="67"/>
      <c r="UV65" s="67"/>
      <c r="UW65" s="67"/>
      <c r="UX65" s="67"/>
      <c r="UY65" s="67"/>
      <c r="UZ65" s="67"/>
      <c r="VA65" s="67"/>
      <c r="VB65" s="67"/>
      <c r="VC65" s="67"/>
      <c r="VD65" s="67"/>
      <c r="VE65" s="67"/>
      <c r="VF65" s="67"/>
      <c r="VG65" s="67"/>
      <c r="VH65" s="67"/>
      <c r="VI65" s="67"/>
      <c r="VJ65" s="67"/>
      <c r="VK65" s="67"/>
      <c r="VL65" s="67"/>
      <c r="VM65" s="67"/>
      <c r="VN65" s="67"/>
      <c r="VO65" s="67"/>
      <c r="VP65" s="67"/>
      <c r="VQ65" s="67"/>
      <c r="VR65" s="67"/>
      <c r="VS65" s="67"/>
      <c r="VT65" s="67"/>
      <c r="VU65" s="67"/>
      <c r="VV65" s="67"/>
      <c r="VW65" s="67"/>
      <c r="VX65" s="67"/>
      <c r="VY65" s="67"/>
      <c r="WA65" s="68"/>
      <c r="WB65" s="68"/>
      <c r="WC65" s="68"/>
      <c r="WD65" s="68"/>
      <c r="WE65" s="68"/>
      <c r="WF65" s="68"/>
      <c r="WG65" s="68"/>
      <c r="WH65" s="68"/>
      <c r="WI65" s="84"/>
      <c r="WJ65" s="2"/>
      <c r="WK65" s="2"/>
    </row>
    <row r="66" spans="1:613" x14ac:dyDescent="0.25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  <c r="LG66" s="67"/>
      <c r="LH66" s="67"/>
      <c r="LI66" s="67"/>
      <c r="LJ66" s="67"/>
      <c r="LK66" s="67"/>
      <c r="LL66" s="67"/>
      <c r="LM66" s="67"/>
      <c r="LN66" s="67"/>
      <c r="LO66" s="67"/>
      <c r="LP66" s="67"/>
      <c r="LQ66" s="67"/>
      <c r="LR66" s="67"/>
      <c r="LS66" s="67"/>
      <c r="LT66" s="67"/>
      <c r="LU66" s="67"/>
      <c r="LV66" s="67"/>
      <c r="LW66" s="67"/>
      <c r="LX66" s="67"/>
      <c r="LY66" s="67"/>
      <c r="LZ66" s="67"/>
      <c r="MA66" s="67"/>
      <c r="MB66" s="67"/>
      <c r="MC66" s="67"/>
      <c r="MD66" s="67"/>
      <c r="ME66" s="67"/>
      <c r="MF66" s="67"/>
      <c r="MG66" s="67"/>
      <c r="MH66" s="67"/>
      <c r="MI66" s="67"/>
      <c r="MJ66" s="67"/>
      <c r="MK66" s="67"/>
      <c r="ML66" s="67"/>
      <c r="MM66" s="67"/>
      <c r="MN66" s="67"/>
      <c r="MO66" s="67"/>
      <c r="MP66" s="67"/>
      <c r="MQ66" s="67"/>
      <c r="MR66" s="67"/>
      <c r="MS66" s="67"/>
      <c r="MT66" s="67"/>
      <c r="MU66" s="67"/>
      <c r="MV66" s="67"/>
      <c r="MW66" s="67"/>
      <c r="MX66" s="67"/>
      <c r="MY66" s="67"/>
      <c r="MZ66" s="67"/>
      <c r="NA66" s="67"/>
      <c r="NB66" s="67"/>
      <c r="NC66" s="67"/>
      <c r="ND66" s="67"/>
      <c r="NE66" s="67"/>
      <c r="NF66" s="67"/>
      <c r="NG66" s="67"/>
      <c r="NH66" s="67"/>
      <c r="NI66" s="67"/>
      <c r="NJ66" s="67"/>
      <c r="NK66" s="67"/>
      <c r="NL66" s="67"/>
      <c r="NM66" s="67"/>
      <c r="NN66" s="67"/>
      <c r="NO66" s="67"/>
      <c r="NP66" s="67"/>
      <c r="NQ66" s="67"/>
      <c r="NR66" s="67"/>
      <c r="NS66" s="67"/>
      <c r="NT66" s="67"/>
      <c r="NU66" s="67"/>
      <c r="NV66" s="67"/>
      <c r="NW66" s="67"/>
      <c r="NX66" s="67"/>
      <c r="NY66" s="67"/>
      <c r="NZ66" s="67"/>
      <c r="OA66" s="67"/>
      <c r="OB66" s="67"/>
      <c r="OC66" s="67"/>
      <c r="OD66" s="67"/>
      <c r="OE66" s="67"/>
      <c r="OF66" s="67"/>
      <c r="OG66" s="67"/>
      <c r="OH66" s="67"/>
      <c r="OI66" s="67"/>
      <c r="OJ66" s="67"/>
      <c r="OK66" s="67"/>
      <c r="OL66" s="67"/>
      <c r="OM66" s="67"/>
      <c r="ON66" s="67"/>
      <c r="OO66" s="67"/>
      <c r="OP66" s="67"/>
      <c r="OQ66" s="67"/>
      <c r="OR66" s="67"/>
      <c r="OS66" s="67"/>
      <c r="OT66" s="67"/>
      <c r="OU66" s="67"/>
      <c r="OV66" s="67"/>
      <c r="OW66" s="67"/>
      <c r="OX66" s="67"/>
      <c r="OY66" s="67"/>
      <c r="OZ66" s="67"/>
      <c r="PA66" s="67"/>
      <c r="PB66" s="67"/>
      <c r="PC66" s="67"/>
      <c r="PD66" s="67"/>
      <c r="PE66" s="67"/>
      <c r="PF66" s="67"/>
      <c r="PG66" s="67"/>
      <c r="PH66" s="67"/>
      <c r="PI66" s="67"/>
      <c r="PJ66" s="67"/>
      <c r="PK66" s="67"/>
      <c r="PL66" s="67"/>
      <c r="PM66" s="67"/>
      <c r="PN66" s="67"/>
      <c r="PO66" s="67"/>
      <c r="PP66" s="67"/>
      <c r="PQ66" s="67"/>
      <c r="PR66" s="67"/>
      <c r="PS66" s="67"/>
      <c r="PT66" s="67"/>
      <c r="PU66" s="67"/>
      <c r="PV66" s="67"/>
      <c r="PW66" s="67"/>
      <c r="PX66" s="67"/>
      <c r="PY66" s="67"/>
      <c r="PZ66" s="67"/>
      <c r="QA66" s="67"/>
      <c r="QB66" s="67"/>
      <c r="QC66" s="67"/>
      <c r="QD66" s="67"/>
      <c r="QE66" s="67"/>
      <c r="QF66" s="67"/>
      <c r="QG66" s="67"/>
      <c r="QH66" s="67"/>
      <c r="QI66" s="67"/>
      <c r="QJ66" s="67"/>
      <c r="QK66" s="67"/>
      <c r="QL66" s="67"/>
      <c r="QM66" s="67"/>
      <c r="QN66" s="67"/>
      <c r="QO66" s="67"/>
      <c r="QP66" s="67"/>
      <c r="QQ66" s="67"/>
      <c r="QR66" s="67"/>
      <c r="QS66" s="67"/>
      <c r="QT66" s="67"/>
      <c r="QU66" s="67"/>
      <c r="QV66" s="67"/>
      <c r="QW66" s="67"/>
      <c r="QX66" s="67"/>
      <c r="QY66" s="67"/>
      <c r="QZ66" s="67"/>
      <c r="RA66" s="67"/>
      <c r="RB66" s="67"/>
      <c r="RC66" s="67"/>
      <c r="RD66" s="67"/>
      <c r="RE66" s="67"/>
      <c r="RF66" s="67"/>
      <c r="RG66" s="67"/>
      <c r="RH66" s="67"/>
      <c r="RI66" s="67"/>
      <c r="RJ66" s="67"/>
      <c r="RK66" s="67"/>
      <c r="RL66" s="67"/>
      <c r="RM66" s="67"/>
      <c r="RN66" s="67"/>
      <c r="RO66" s="67"/>
      <c r="RP66" s="67"/>
      <c r="RQ66" s="67"/>
      <c r="RR66" s="67"/>
      <c r="RS66" s="67"/>
      <c r="RT66" s="67"/>
      <c r="RU66" s="67"/>
      <c r="RV66" s="67"/>
      <c r="RW66" s="67"/>
      <c r="RX66" s="67"/>
      <c r="RY66" s="67"/>
      <c r="RZ66" s="67"/>
      <c r="SA66" s="67"/>
      <c r="SB66" s="67"/>
      <c r="SC66" s="67"/>
      <c r="SD66" s="67"/>
      <c r="SE66" s="67"/>
      <c r="SF66" s="67"/>
      <c r="SG66" s="67"/>
      <c r="SH66" s="67"/>
      <c r="SI66" s="67"/>
      <c r="SJ66" s="67"/>
      <c r="SK66" s="67"/>
      <c r="SL66" s="67"/>
      <c r="SM66" s="67"/>
      <c r="SN66" s="67"/>
      <c r="SO66" s="67"/>
      <c r="SP66" s="67"/>
      <c r="SQ66" s="67"/>
      <c r="SR66" s="67"/>
      <c r="SS66" s="67"/>
      <c r="ST66" s="67"/>
      <c r="SU66" s="67"/>
      <c r="SV66" s="67"/>
      <c r="SW66" s="67"/>
      <c r="SX66" s="67"/>
      <c r="SY66" s="67"/>
      <c r="SZ66" s="67"/>
      <c r="TA66" s="67"/>
      <c r="TB66" s="67"/>
      <c r="TC66" s="67"/>
      <c r="TD66" s="67"/>
      <c r="TE66" s="67"/>
      <c r="TF66" s="67"/>
      <c r="TG66" s="67"/>
      <c r="TH66" s="67"/>
      <c r="TI66" s="67"/>
      <c r="TJ66" s="67"/>
      <c r="TK66" s="67"/>
      <c r="TL66" s="67"/>
      <c r="TM66" s="67"/>
      <c r="TN66" s="67"/>
      <c r="TO66" s="67"/>
      <c r="TP66" s="67"/>
      <c r="TQ66" s="67"/>
      <c r="TR66" s="67"/>
      <c r="TS66" s="67"/>
      <c r="TT66" s="67"/>
      <c r="TU66" s="67"/>
      <c r="TV66" s="67"/>
      <c r="TW66" s="67"/>
      <c r="TX66" s="67"/>
      <c r="TY66" s="67"/>
      <c r="TZ66" s="67"/>
      <c r="UA66" s="67"/>
      <c r="UB66" s="67"/>
      <c r="UC66" s="67"/>
      <c r="UD66" s="67"/>
      <c r="UE66" s="67"/>
      <c r="UF66" s="67"/>
      <c r="UG66" s="67"/>
      <c r="UH66" s="67"/>
      <c r="UI66" s="67"/>
      <c r="UJ66" s="67"/>
      <c r="UK66" s="67"/>
      <c r="UL66" s="67"/>
      <c r="UM66" s="67"/>
      <c r="UN66" s="67"/>
      <c r="UO66" s="67"/>
      <c r="UP66" s="67"/>
      <c r="UQ66" s="67"/>
      <c r="UR66" s="67"/>
      <c r="US66" s="67"/>
      <c r="UT66" s="67"/>
      <c r="UU66" s="67"/>
      <c r="UV66" s="67"/>
      <c r="UW66" s="67"/>
      <c r="UX66" s="67"/>
      <c r="UY66" s="67"/>
      <c r="UZ66" s="67"/>
      <c r="VA66" s="67"/>
      <c r="VB66" s="67"/>
      <c r="VC66" s="67"/>
      <c r="VD66" s="67"/>
      <c r="VE66" s="67"/>
      <c r="VF66" s="67"/>
      <c r="VG66" s="67"/>
      <c r="VH66" s="67"/>
      <c r="VI66" s="67"/>
      <c r="VJ66" s="67"/>
      <c r="VK66" s="67"/>
      <c r="VL66" s="67"/>
      <c r="VM66" s="67"/>
      <c r="VN66" s="67"/>
      <c r="VO66" s="67"/>
      <c r="VP66" s="67"/>
      <c r="VQ66" s="67"/>
      <c r="VR66" s="67"/>
      <c r="VS66" s="67"/>
      <c r="VT66" s="67"/>
      <c r="VU66" s="67"/>
      <c r="VV66" s="67"/>
      <c r="VW66" s="67"/>
      <c r="VX66" s="67"/>
      <c r="VY66" s="67"/>
      <c r="WA66" s="68"/>
      <c r="WB66" s="68"/>
      <c r="WC66" s="68"/>
      <c r="WD66" s="68"/>
      <c r="WE66" s="68"/>
      <c r="WF66" s="68"/>
      <c r="WG66" s="68"/>
      <c r="WH66" s="68"/>
      <c r="WI66" s="84"/>
      <c r="WJ66" s="2"/>
      <c r="WK66" s="2"/>
    </row>
    <row r="67" spans="1:613" x14ac:dyDescent="0.25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7"/>
      <c r="DC67" s="67"/>
      <c r="DD67" s="67"/>
      <c r="DE67" s="67"/>
      <c r="DF67" s="67"/>
      <c r="DG67" s="67"/>
      <c r="DH67" s="67"/>
      <c r="DI67" s="67"/>
      <c r="DJ67" s="67"/>
      <c r="DK67" s="67"/>
      <c r="DL67" s="67"/>
      <c r="DM67" s="67"/>
      <c r="DN67" s="67"/>
      <c r="DO67" s="67"/>
      <c r="DP67" s="67"/>
      <c r="DQ67" s="67"/>
      <c r="DR67" s="67"/>
      <c r="DS67" s="67"/>
      <c r="DT67" s="67"/>
      <c r="DU67" s="67"/>
      <c r="DV67" s="67"/>
      <c r="DW67" s="67"/>
      <c r="DX67" s="67"/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  <c r="JI67" s="67"/>
      <c r="JJ67" s="67"/>
      <c r="JK67" s="67"/>
      <c r="JL67" s="67"/>
      <c r="JM67" s="67"/>
      <c r="JN67" s="67"/>
      <c r="JO67" s="67"/>
      <c r="JP67" s="67"/>
      <c r="JQ67" s="67"/>
      <c r="JR67" s="67"/>
      <c r="JS67" s="67"/>
      <c r="JT67" s="67"/>
      <c r="JU67" s="67"/>
      <c r="JV67" s="67"/>
      <c r="JW67" s="67"/>
      <c r="JX67" s="67"/>
      <c r="JY67" s="67"/>
      <c r="JZ67" s="67"/>
      <c r="KA67" s="67"/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67"/>
      <c r="KZ67" s="67"/>
      <c r="LA67" s="67"/>
      <c r="LB67" s="67"/>
      <c r="LC67" s="67"/>
      <c r="LD67" s="67"/>
      <c r="LE67" s="67"/>
      <c r="LF67" s="67"/>
      <c r="LG67" s="67"/>
      <c r="LH67" s="67"/>
      <c r="LI67" s="67"/>
      <c r="LJ67" s="67"/>
      <c r="LK67" s="67"/>
      <c r="LL67" s="67"/>
      <c r="LM67" s="67"/>
      <c r="LN67" s="67"/>
      <c r="LO67" s="67"/>
      <c r="LP67" s="67"/>
      <c r="LQ67" s="67"/>
      <c r="LR67" s="67"/>
      <c r="LS67" s="67"/>
      <c r="LT67" s="67"/>
      <c r="LU67" s="67"/>
      <c r="LV67" s="67"/>
      <c r="LW67" s="67"/>
      <c r="LX67" s="67"/>
      <c r="LY67" s="67"/>
      <c r="LZ67" s="67"/>
      <c r="MA67" s="67"/>
      <c r="MB67" s="67"/>
      <c r="MC67" s="67"/>
      <c r="MD67" s="67"/>
      <c r="ME67" s="67"/>
      <c r="MF67" s="67"/>
      <c r="MG67" s="67"/>
      <c r="MH67" s="67"/>
      <c r="MI67" s="67"/>
      <c r="MJ67" s="67"/>
      <c r="MK67" s="67"/>
      <c r="ML67" s="67"/>
      <c r="MM67" s="67"/>
      <c r="MN67" s="67"/>
      <c r="MO67" s="67"/>
      <c r="MP67" s="67"/>
      <c r="MQ67" s="67"/>
      <c r="MR67" s="67"/>
      <c r="MS67" s="67"/>
      <c r="MT67" s="67"/>
      <c r="MU67" s="67"/>
      <c r="MV67" s="67"/>
      <c r="MW67" s="67"/>
      <c r="MX67" s="67"/>
      <c r="MY67" s="67"/>
      <c r="MZ67" s="67"/>
      <c r="NA67" s="67"/>
      <c r="NB67" s="67"/>
      <c r="NC67" s="67"/>
      <c r="ND67" s="67"/>
      <c r="NE67" s="67"/>
      <c r="NF67" s="67"/>
      <c r="NG67" s="67"/>
      <c r="NH67" s="67"/>
      <c r="NI67" s="67"/>
      <c r="NJ67" s="67"/>
      <c r="NK67" s="67"/>
      <c r="NL67" s="67"/>
      <c r="NM67" s="67"/>
      <c r="NN67" s="67"/>
      <c r="NO67" s="67"/>
      <c r="NP67" s="67"/>
      <c r="NQ67" s="67"/>
      <c r="NR67" s="67"/>
      <c r="NS67" s="67"/>
      <c r="NT67" s="67"/>
      <c r="NU67" s="67"/>
      <c r="NV67" s="67"/>
      <c r="NW67" s="67"/>
      <c r="NX67" s="67"/>
      <c r="NY67" s="67"/>
      <c r="NZ67" s="67"/>
      <c r="OA67" s="67"/>
      <c r="OB67" s="67"/>
      <c r="OC67" s="67"/>
      <c r="OD67" s="67"/>
      <c r="OE67" s="67"/>
      <c r="OF67" s="67"/>
      <c r="OG67" s="67"/>
      <c r="OH67" s="67"/>
      <c r="OI67" s="67"/>
      <c r="OJ67" s="67"/>
      <c r="OK67" s="67"/>
      <c r="OL67" s="67"/>
      <c r="OM67" s="67"/>
      <c r="ON67" s="67"/>
      <c r="OO67" s="67"/>
      <c r="OP67" s="67"/>
      <c r="OQ67" s="67"/>
      <c r="OR67" s="67"/>
      <c r="OS67" s="67"/>
      <c r="OT67" s="67"/>
      <c r="OU67" s="67"/>
      <c r="OV67" s="67"/>
      <c r="OW67" s="67"/>
      <c r="OX67" s="67"/>
      <c r="OY67" s="67"/>
      <c r="OZ67" s="67"/>
      <c r="PA67" s="67"/>
      <c r="PB67" s="67"/>
      <c r="PC67" s="67"/>
      <c r="PD67" s="67"/>
      <c r="PE67" s="67"/>
      <c r="PF67" s="67"/>
      <c r="PG67" s="67"/>
      <c r="PH67" s="67"/>
      <c r="PI67" s="67"/>
      <c r="PJ67" s="67"/>
      <c r="PK67" s="67"/>
      <c r="PL67" s="67"/>
      <c r="PM67" s="67"/>
      <c r="PN67" s="67"/>
      <c r="PO67" s="67"/>
      <c r="PP67" s="67"/>
      <c r="PQ67" s="67"/>
      <c r="PR67" s="67"/>
      <c r="PS67" s="67"/>
      <c r="PT67" s="67"/>
      <c r="PU67" s="67"/>
      <c r="PV67" s="67"/>
      <c r="PW67" s="67"/>
      <c r="PX67" s="67"/>
      <c r="PY67" s="67"/>
      <c r="PZ67" s="67"/>
      <c r="QA67" s="67"/>
      <c r="QB67" s="67"/>
      <c r="QC67" s="67"/>
      <c r="QD67" s="67"/>
      <c r="QE67" s="67"/>
      <c r="QF67" s="67"/>
      <c r="QG67" s="67"/>
      <c r="QH67" s="67"/>
      <c r="QI67" s="67"/>
      <c r="QJ67" s="67"/>
      <c r="QK67" s="67"/>
      <c r="QL67" s="67"/>
      <c r="QM67" s="67"/>
      <c r="QN67" s="67"/>
      <c r="QO67" s="67"/>
      <c r="QP67" s="67"/>
      <c r="QQ67" s="67"/>
      <c r="QR67" s="67"/>
      <c r="QS67" s="67"/>
      <c r="QT67" s="67"/>
      <c r="QU67" s="67"/>
      <c r="QV67" s="67"/>
      <c r="QW67" s="67"/>
      <c r="QX67" s="67"/>
      <c r="QY67" s="67"/>
      <c r="QZ67" s="67"/>
      <c r="RA67" s="67"/>
      <c r="RB67" s="67"/>
      <c r="RC67" s="67"/>
      <c r="RD67" s="67"/>
      <c r="RE67" s="67"/>
      <c r="RF67" s="67"/>
      <c r="RG67" s="67"/>
      <c r="RH67" s="67"/>
      <c r="RI67" s="67"/>
      <c r="RJ67" s="67"/>
      <c r="RK67" s="67"/>
      <c r="RL67" s="67"/>
      <c r="RM67" s="67"/>
      <c r="RN67" s="67"/>
      <c r="RO67" s="67"/>
      <c r="RP67" s="67"/>
      <c r="RQ67" s="67"/>
      <c r="RR67" s="67"/>
      <c r="RS67" s="67"/>
      <c r="RT67" s="67"/>
      <c r="RU67" s="67"/>
      <c r="RV67" s="67"/>
      <c r="RW67" s="67"/>
      <c r="RX67" s="67"/>
      <c r="RY67" s="67"/>
      <c r="RZ67" s="67"/>
      <c r="SA67" s="67"/>
      <c r="SB67" s="67"/>
      <c r="SC67" s="67"/>
      <c r="SD67" s="67"/>
      <c r="SE67" s="67"/>
      <c r="SF67" s="67"/>
      <c r="SG67" s="67"/>
      <c r="SH67" s="67"/>
      <c r="SI67" s="67"/>
      <c r="SJ67" s="67"/>
      <c r="SK67" s="67"/>
      <c r="SL67" s="67"/>
      <c r="SM67" s="67"/>
      <c r="SN67" s="67"/>
      <c r="SO67" s="67"/>
      <c r="SP67" s="67"/>
      <c r="SQ67" s="67"/>
      <c r="SR67" s="67"/>
      <c r="SS67" s="67"/>
      <c r="ST67" s="67"/>
      <c r="SU67" s="67"/>
      <c r="SV67" s="67"/>
      <c r="SW67" s="67"/>
      <c r="SX67" s="67"/>
      <c r="SY67" s="67"/>
      <c r="SZ67" s="67"/>
      <c r="TA67" s="67"/>
      <c r="TB67" s="67"/>
      <c r="TC67" s="67"/>
      <c r="TD67" s="67"/>
      <c r="TE67" s="67"/>
      <c r="TF67" s="67"/>
      <c r="TG67" s="67"/>
      <c r="TH67" s="67"/>
      <c r="TI67" s="67"/>
      <c r="TJ67" s="67"/>
      <c r="TK67" s="67"/>
      <c r="TL67" s="67"/>
      <c r="TM67" s="67"/>
      <c r="TN67" s="67"/>
      <c r="TO67" s="67"/>
      <c r="TP67" s="67"/>
      <c r="TQ67" s="67"/>
      <c r="TR67" s="67"/>
      <c r="TS67" s="67"/>
      <c r="TT67" s="67"/>
      <c r="TU67" s="67"/>
      <c r="TV67" s="67"/>
      <c r="TW67" s="67"/>
      <c r="TX67" s="67"/>
      <c r="TY67" s="67"/>
      <c r="TZ67" s="67"/>
      <c r="UA67" s="67"/>
      <c r="UB67" s="67"/>
      <c r="UC67" s="67"/>
      <c r="UD67" s="67"/>
      <c r="UE67" s="67"/>
      <c r="UF67" s="67"/>
      <c r="UG67" s="67"/>
      <c r="UH67" s="67"/>
      <c r="UI67" s="67"/>
      <c r="UJ67" s="67"/>
      <c r="UK67" s="67"/>
      <c r="UL67" s="67"/>
      <c r="UM67" s="67"/>
      <c r="UN67" s="67"/>
      <c r="UO67" s="67"/>
      <c r="UP67" s="67"/>
      <c r="UQ67" s="67"/>
      <c r="UR67" s="67"/>
      <c r="US67" s="67"/>
      <c r="UT67" s="67"/>
      <c r="UU67" s="67"/>
      <c r="UV67" s="67"/>
      <c r="UW67" s="67"/>
      <c r="UX67" s="67"/>
      <c r="UY67" s="67"/>
      <c r="UZ67" s="67"/>
      <c r="VA67" s="67"/>
      <c r="VB67" s="67"/>
      <c r="VC67" s="67"/>
      <c r="VD67" s="67"/>
      <c r="VE67" s="67"/>
      <c r="VF67" s="67"/>
      <c r="VG67" s="67"/>
      <c r="VH67" s="67"/>
      <c r="VI67" s="67"/>
      <c r="VJ67" s="67"/>
      <c r="VK67" s="67"/>
      <c r="VL67" s="67"/>
      <c r="VM67" s="67"/>
      <c r="VN67" s="67"/>
      <c r="VO67" s="67"/>
      <c r="VP67" s="67"/>
      <c r="VQ67" s="67"/>
      <c r="VR67" s="67"/>
      <c r="VS67" s="67"/>
      <c r="VT67" s="67"/>
      <c r="VU67" s="67"/>
      <c r="VV67" s="67"/>
      <c r="VW67" s="67"/>
      <c r="VX67" s="67"/>
      <c r="VY67" s="67"/>
      <c r="WA67" s="68"/>
      <c r="WB67" s="68"/>
      <c r="WC67" s="68"/>
      <c r="WD67" s="68"/>
      <c r="WE67" s="68"/>
      <c r="WF67" s="68"/>
      <c r="WG67" s="68"/>
      <c r="WH67" s="68"/>
      <c r="WI67" s="84"/>
      <c r="WJ67" s="2"/>
      <c r="WK67" s="2"/>
    </row>
    <row r="68" spans="1:613" x14ac:dyDescent="0.25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  <c r="DQ68" s="67"/>
      <c r="DR68" s="67"/>
      <c r="DS68" s="67"/>
      <c r="DT68" s="67"/>
      <c r="DU68" s="67"/>
      <c r="DV68" s="67"/>
      <c r="DW68" s="67"/>
      <c r="DX68" s="67"/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  <c r="LG68" s="67"/>
      <c r="LH68" s="67"/>
      <c r="LI68" s="67"/>
      <c r="LJ68" s="67"/>
      <c r="LK68" s="67"/>
      <c r="LL68" s="67"/>
      <c r="LM68" s="67"/>
      <c r="LN68" s="67"/>
      <c r="LO68" s="67"/>
      <c r="LP68" s="67"/>
      <c r="LQ68" s="67"/>
      <c r="LR68" s="67"/>
      <c r="LS68" s="67"/>
      <c r="LT68" s="67"/>
      <c r="LU68" s="67"/>
      <c r="LV68" s="67"/>
      <c r="LW68" s="67"/>
      <c r="LX68" s="67"/>
      <c r="LY68" s="67"/>
      <c r="LZ68" s="67"/>
      <c r="MA68" s="67"/>
      <c r="MB68" s="67"/>
      <c r="MC68" s="67"/>
      <c r="MD68" s="67"/>
      <c r="ME68" s="67"/>
      <c r="MF68" s="67"/>
      <c r="MG68" s="67"/>
      <c r="MH68" s="67"/>
      <c r="MI68" s="67"/>
      <c r="MJ68" s="67"/>
      <c r="MK68" s="67"/>
      <c r="ML68" s="67"/>
      <c r="MM68" s="67"/>
      <c r="MN68" s="67"/>
      <c r="MO68" s="67"/>
      <c r="MP68" s="67"/>
      <c r="MQ68" s="67"/>
      <c r="MR68" s="67"/>
      <c r="MS68" s="67"/>
      <c r="MT68" s="67"/>
      <c r="MU68" s="67"/>
      <c r="MV68" s="67"/>
      <c r="MW68" s="67"/>
      <c r="MX68" s="67"/>
      <c r="MY68" s="67"/>
      <c r="MZ68" s="67"/>
      <c r="NA68" s="67"/>
      <c r="NB68" s="67"/>
      <c r="NC68" s="67"/>
      <c r="ND68" s="67"/>
      <c r="NE68" s="67"/>
      <c r="NF68" s="67"/>
      <c r="NG68" s="67"/>
      <c r="NH68" s="67"/>
      <c r="NI68" s="67"/>
      <c r="NJ68" s="67"/>
      <c r="NK68" s="67"/>
      <c r="NL68" s="67"/>
      <c r="NM68" s="67"/>
      <c r="NN68" s="67"/>
      <c r="NO68" s="67"/>
      <c r="NP68" s="67"/>
      <c r="NQ68" s="67"/>
      <c r="NR68" s="67"/>
      <c r="NS68" s="67"/>
      <c r="NT68" s="67"/>
      <c r="NU68" s="67"/>
      <c r="NV68" s="67"/>
      <c r="NW68" s="67"/>
      <c r="NX68" s="67"/>
      <c r="NY68" s="67"/>
      <c r="NZ68" s="67"/>
      <c r="OA68" s="67"/>
      <c r="OB68" s="67"/>
      <c r="OC68" s="67"/>
      <c r="OD68" s="67"/>
      <c r="OE68" s="67"/>
      <c r="OF68" s="67"/>
      <c r="OG68" s="67"/>
      <c r="OH68" s="67"/>
      <c r="OI68" s="67"/>
      <c r="OJ68" s="67"/>
      <c r="OK68" s="67"/>
      <c r="OL68" s="67"/>
      <c r="OM68" s="67"/>
      <c r="ON68" s="67"/>
      <c r="OO68" s="67"/>
      <c r="OP68" s="67"/>
      <c r="OQ68" s="67"/>
      <c r="OR68" s="67"/>
      <c r="OS68" s="67"/>
      <c r="OT68" s="67"/>
      <c r="OU68" s="67"/>
      <c r="OV68" s="67"/>
      <c r="OW68" s="67"/>
      <c r="OX68" s="67"/>
      <c r="OY68" s="67"/>
      <c r="OZ68" s="67"/>
      <c r="PA68" s="67"/>
      <c r="PB68" s="67"/>
      <c r="PC68" s="67"/>
      <c r="PD68" s="67"/>
      <c r="PE68" s="67"/>
      <c r="PF68" s="67"/>
      <c r="PG68" s="67"/>
      <c r="PH68" s="67"/>
      <c r="PI68" s="67"/>
      <c r="PJ68" s="67"/>
      <c r="PK68" s="67"/>
      <c r="PL68" s="67"/>
      <c r="PM68" s="67"/>
      <c r="PN68" s="67"/>
      <c r="PO68" s="67"/>
      <c r="PP68" s="67"/>
      <c r="PQ68" s="67"/>
      <c r="PR68" s="67"/>
      <c r="PS68" s="67"/>
      <c r="PT68" s="67"/>
      <c r="PU68" s="67"/>
      <c r="PV68" s="67"/>
      <c r="PW68" s="67"/>
      <c r="PX68" s="67"/>
      <c r="PY68" s="67"/>
      <c r="PZ68" s="67"/>
      <c r="QA68" s="67"/>
      <c r="QB68" s="67"/>
      <c r="QC68" s="67"/>
      <c r="QD68" s="67"/>
      <c r="QE68" s="67"/>
      <c r="QF68" s="67"/>
      <c r="QG68" s="67"/>
      <c r="QH68" s="67"/>
      <c r="QI68" s="67"/>
      <c r="QJ68" s="67"/>
      <c r="QK68" s="67"/>
      <c r="QL68" s="67"/>
      <c r="QM68" s="67"/>
      <c r="QN68" s="67"/>
      <c r="QO68" s="67"/>
      <c r="QP68" s="67"/>
      <c r="QQ68" s="67"/>
      <c r="QR68" s="67"/>
      <c r="QS68" s="67"/>
      <c r="QT68" s="67"/>
      <c r="QU68" s="67"/>
      <c r="QV68" s="67"/>
      <c r="QW68" s="67"/>
      <c r="QX68" s="67"/>
      <c r="QY68" s="67"/>
      <c r="QZ68" s="67"/>
      <c r="RA68" s="67"/>
      <c r="RB68" s="67"/>
      <c r="RC68" s="67"/>
      <c r="RD68" s="67"/>
      <c r="RE68" s="67"/>
      <c r="RF68" s="67"/>
      <c r="RG68" s="67"/>
      <c r="RH68" s="67"/>
      <c r="RI68" s="67"/>
      <c r="RJ68" s="67"/>
      <c r="RK68" s="67"/>
      <c r="RL68" s="67"/>
      <c r="RM68" s="67"/>
      <c r="RN68" s="67"/>
      <c r="RO68" s="67"/>
      <c r="RP68" s="67"/>
      <c r="RQ68" s="67"/>
      <c r="RR68" s="67"/>
      <c r="RS68" s="67"/>
      <c r="RT68" s="67"/>
      <c r="RU68" s="67"/>
      <c r="RV68" s="67"/>
      <c r="RW68" s="67"/>
      <c r="RX68" s="67"/>
      <c r="RY68" s="67"/>
      <c r="RZ68" s="67"/>
      <c r="SA68" s="67"/>
      <c r="SB68" s="67"/>
      <c r="SC68" s="67"/>
      <c r="SD68" s="67"/>
      <c r="SE68" s="67"/>
      <c r="SF68" s="67"/>
      <c r="SG68" s="67"/>
      <c r="SH68" s="67"/>
      <c r="SI68" s="67"/>
      <c r="SJ68" s="67"/>
      <c r="SK68" s="67"/>
      <c r="SL68" s="67"/>
      <c r="SM68" s="67"/>
      <c r="SN68" s="67"/>
      <c r="SO68" s="67"/>
      <c r="SP68" s="67"/>
      <c r="SQ68" s="67"/>
      <c r="SR68" s="67"/>
      <c r="SS68" s="67"/>
      <c r="ST68" s="67"/>
      <c r="SU68" s="67"/>
      <c r="SV68" s="67"/>
      <c r="SW68" s="67"/>
      <c r="SX68" s="67"/>
      <c r="SY68" s="67"/>
      <c r="SZ68" s="67"/>
      <c r="TA68" s="67"/>
      <c r="TB68" s="67"/>
      <c r="TC68" s="67"/>
      <c r="TD68" s="67"/>
      <c r="TE68" s="67"/>
      <c r="TF68" s="67"/>
      <c r="TG68" s="67"/>
      <c r="TH68" s="67"/>
      <c r="TI68" s="67"/>
      <c r="TJ68" s="67"/>
      <c r="TK68" s="67"/>
      <c r="TL68" s="67"/>
      <c r="TM68" s="67"/>
      <c r="TN68" s="67"/>
      <c r="TO68" s="67"/>
      <c r="TP68" s="67"/>
      <c r="TQ68" s="67"/>
      <c r="TR68" s="67"/>
      <c r="TS68" s="67"/>
      <c r="TT68" s="67"/>
      <c r="TU68" s="67"/>
      <c r="TV68" s="67"/>
      <c r="TW68" s="67"/>
      <c r="TX68" s="67"/>
      <c r="TY68" s="67"/>
      <c r="TZ68" s="67"/>
      <c r="UA68" s="67"/>
      <c r="UB68" s="67"/>
      <c r="UC68" s="67"/>
      <c r="UD68" s="67"/>
      <c r="UE68" s="67"/>
      <c r="UF68" s="67"/>
      <c r="UG68" s="67"/>
      <c r="UH68" s="67"/>
      <c r="UI68" s="67"/>
      <c r="UJ68" s="67"/>
      <c r="UK68" s="67"/>
      <c r="UL68" s="67"/>
      <c r="UM68" s="67"/>
      <c r="UN68" s="67"/>
      <c r="UO68" s="67"/>
      <c r="UP68" s="67"/>
      <c r="UQ68" s="67"/>
      <c r="UR68" s="67"/>
      <c r="US68" s="67"/>
      <c r="UT68" s="67"/>
      <c r="UU68" s="67"/>
      <c r="UV68" s="67"/>
      <c r="UW68" s="67"/>
      <c r="UX68" s="67"/>
      <c r="UY68" s="67"/>
      <c r="UZ68" s="67"/>
      <c r="VA68" s="67"/>
      <c r="VB68" s="67"/>
      <c r="VC68" s="67"/>
      <c r="VD68" s="67"/>
      <c r="VE68" s="67"/>
      <c r="VF68" s="67"/>
      <c r="VG68" s="67"/>
      <c r="VH68" s="67"/>
      <c r="VI68" s="67"/>
      <c r="VJ68" s="67"/>
      <c r="VK68" s="67"/>
      <c r="VL68" s="67"/>
      <c r="VM68" s="67"/>
      <c r="VN68" s="67"/>
      <c r="VO68" s="67"/>
      <c r="VP68" s="67"/>
      <c r="VQ68" s="67"/>
      <c r="VR68" s="67"/>
      <c r="VS68" s="67"/>
      <c r="VT68" s="67"/>
      <c r="VU68" s="67"/>
      <c r="VV68" s="67"/>
      <c r="VW68" s="67"/>
      <c r="VX68" s="67"/>
      <c r="VY68" s="67"/>
      <c r="WA68" s="68"/>
      <c r="WB68" s="68"/>
      <c r="WC68" s="68"/>
      <c r="WD68" s="68"/>
      <c r="WE68" s="68"/>
      <c r="WF68" s="68"/>
      <c r="WG68" s="68"/>
      <c r="WH68" s="68"/>
      <c r="WI68" s="84"/>
      <c r="WJ68" s="2"/>
      <c r="WK68" s="2"/>
    </row>
    <row r="69" spans="1:613" x14ac:dyDescent="0.25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  <c r="DX69" s="67"/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  <c r="LG69" s="67"/>
      <c r="LH69" s="67"/>
      <c r="LI69" s="67"/>
      <c r="LJ69" s="67"/>
      <c r="LK69" s="67"/>
      <c r="LL69" s="67"/>
      <c r="LM69" s="67"/>
      <c r="LN69" s="67"/>
      <c r="LO69" s="67"/>
      <c r="LP69" s="67"/>
      <c r="LQ69" s="67"/>
      <c r="LR69" s="67"/>
      <c r="LS69" s="67"/>
      <c r="LT69" s="67"/>
      <c r="LU69" s="67"/>
      <c r="LV69" s="67"/>
      <c r="LW69" s="67"/>
      <c r="LX69" s="67"/>
      <c r="LY69" s="67"/>
      <c r="LZ69" s="67"/>
      <c r="MA69" s="67"/>
      <c r="MB69" s="67"/>
      <c r="MC69" s="67"/>
      <c r="MD69" s="67"/>
      <c r="ME69" s="67"/>
      <c r="MF69" s="67"/>
      <c r="MG69" s="67"/>
      <c r="MH69" s="67"/>
      <c r="MI69" s="67"/>
      <c r="MJ69" s="67"/>
      <c r="MK69" s="67"/>
      <c r="ML69" s="67"/>
      <c r="MM69" s="67"/>
      <c r="MN69" s="67"/>
      <c r="MO69" s="67"/>
      <c r="MP69" s="67"/>
      <c r="MQ69" s="67"/>
      <c r="MR69" s="67"/>
      <c r="MS69" s="67"/>
      <c r="MT69" s="67"/>
      <c r="MU69" s="67"/>
      <c r="MV69" s="67"/>
      <c r="MW69" s="67"/>
      <c r="MX69" s="67"/>
      <c r="MY69" s="67"/>
      <c r="MZ69" s="67"/>
      <c r="NA69" s="67"/>
      <c r="NB69" s="67"/>
      <c r="NC69" s="67"/>
      <c r="ND69" s="67"/>
      <c r="NE69" s="67"/>
      <c r="NF69" s="67"/>
      <c r="NG69" s="67"/>
      <c r="NH69" s="67"/>
      <c r="NI69" s="67"/>
      <c r="NJ69" s="67"/>
      <c r="NK69" s="67"/>
      <c r="NL69" s="67"/>
      <c r="NM69" s="67"/>
      <c r="NN69" s="67"/>
      <c r="NO69" s="67"/>
      <c r="NP69" s="67"/>
      <c r="NQ69" s="67"/>
      <c r="NR69" s="67"/>
      <c r="NS69" s="67"/>
      <c r="NT69" s="67"/>
      <c r="NU69" s="67"/>
      <c r="NV69" s="67"/>
      <c r="NW69" s="67"/>
      <c r="NX69" s="67"/>
      <c r="NY69" s="67"/>
      <c r="NZ69" s="67"/>
      <c r="OA69" s="67"/>
      <c r="OB69" s="67"/>
      <c r="OC69" s="67"/>
      <c r="OD69" s="67"/>
      <c r="OE69" s="67"/>
      <c r="OF69" s="67"/>
      <c r="OG69" s="67"/>
      <c r="OH69" s="67"/>
      <c r="OI69" s="67"/>
      <c r="OJ69" s="67"/>
      <c r="OK69" s="67"/>
      <c r="OL69" s="67"/>
      <c r="OM69" s="67"/>
      <c r="ON69" s="67"/>
      <c r="OO69" s="67"/>
      <c r="OP69" s="67"/>
      <c r="OQ69" s="67"/>
      <c r="OR69" s="67"/>
      <c r="OS69" s="67"/>
      <c r="OT69" s="67"/>
      <c r="OU69" s="67"/>
      <c r="OV69" s="67"/>
      <c r="OW69" s="67"/>
      <c r="OX69" s="67"/>
      <c r="OY69" s="67"/>
      <c r="OZ69" s="67"/>
      <c r="PA69" s="67"/>
      <c r="PB69" s="67"/>
      <c r="PC69" s="67"/>
      <c r="PD69" s="67"/>
      <c r="PE69" s="67"/>
      <c r="PF69" s="67"/>
      <c r="PG69" s="67"/>
      <c r="PH69" s="67"/>
      <c r="PI69" s="67"/>
      <c r="PJ69" s="67"/>
      <c r="PK69" s="67"/>
      <c r="PL69" s="67"/>
      <c r="PM69" s="67"/>
      <c r="PN69" s="67"/>
      <c r="PO69" s="67"/>
      <c r="PP69" s="67"/>
      <c r="PQ69" s="67"/>
      <c r="PR69" s="67"/>
      <c r="PS69" s="67"/>
      <c r="PT69" s="67"/>
      <c r="PU69" s="67"/>
      <c r="PV69" s="67"/>
      <c r="PW69" s="67"/>
      <c r="PX69" s="67"/>
      <c r="PY69" s="67"/>
      <c r="PZ69" s="67"/>
      <c r="QA69" s="67"/>
      <c r="QB69" s="67"/>
      <c r="QC69" s="67"/>
      <c r="QD69" s="67"/>
      <c r="QE69" s="67"/>
      <c r="QF69" s="67"/>
      <c r="QG69" s="67"/>
      <c r="QH69" s="67"/>
      <c r="QI69" s="67"/>
      <c r="QJ69" s="67"/>
      <c r="QK69" s="67"/>
      <c r="QL69" s="67"/>
      <c r="QM69" s="67"/>
      <c r="QN69" s="67"/>
      <c r="QO69" s="67"/>
      <c r="QP69" s="67"/>
      <c r="QQ69" s="67"/>
      <c r="QR69" s="67"/>
      <c r="QS69" s="67"/>
      <c r="QT69" s="67"/>
      <c r="QU69" s="67"/>
      <c r="QV69" s="67"/>
      <c r="QW69" s="67"/>
      <c r="QX69" s="67"/>
      <c r="QY69" s="67"/>
      <c r="QZ69" s="67"/>
      <c r="RA69" s="67"/>
      <c r="RB69" s="67"/>
      <c r="RC69" s="67"/>
      <c r="RD69" s="67"/>
      <c r="RE69" s="67"/>
      <c r="RF69" s="67"/>
      <c r="RG69" s="67"/>
      <c r="RH69" s="67"/>
      <c r="RI69" s="67"/>
      <c r="RJ69" s="67"/>
      <c r="RK69" s="67"/>
      <c r="RL69" s="67"/>
      <c r="RM69" s="67"/>
      <c r="RN69" s="67"/>
      <c r="RO69" s="67"/>
      <c r="RP69" s="67"/>
      <c r="RQ69" s="67"/>
      <c r="RR69" s="67"/>
      <c r="RS69" s="67"/>
      <c r="RT69" s="67"/>
      <c r="RU69" s="67"/>
      <c r="RV69" s="67"/>
      <c r="RW69" s="67"/>
      <c r="RX69" s="67"/>
      <c r="RY69" s="67"/>
      <c r="RZ69" s="67"/>
      <c r="SA69" s="67"/>
      <c r="SB69" s="67"/>
      <c r="SC69" s="67"/>
      <c r="SD69" s="67"/>
      <c r="SE69" s="67"/>
      <c r="SF69" s="67"/>
      <c r="SG69" s="67"/>
      <c r="SH69" s="67"/>
      <c r="SI69" s="67"/>
      <c r="SJ69" s="67"/>
      <c r="SK69" s="67"/>
      <c r="SL69" s="67"/>
      <c r="SM69" s="67"/>
      <c r="SN69" s="67"/>
      <c r="SO69" s="67"/>
      <c r="SP69" s="67"/>
      <c r="SQ69" s="67"/>
      <c r="SR69" s="67"/>
      <c r="SS69" s="67"/>
      <c r="ST69" s="67"/>
      <c r="SU69" s="67"/>
      <c r="SV69" s="67"/>
      <c r="SW69" s="67"/>
      <c r="SX69" s="67"/>
      <c r="SY69" s="67"/>
      <c r="SZ69" s="67"/>
      <c r="TA69" s="67"/>
      <c r="TB69" s="67"/>
      <c r="TC69" s="67"/>
      <c r="TD69" s="67"/>
      <c r="TE69" s="67"/>
      <c r="TF69" s="67"/>
      <c r="TG69" s="67"/>
      <c r="TH69" s="67"/>
      <c r="TI69" s="67"/>
      <c r="TJ69" s="67"/>
      <c r="TK69" s="67"/>
      <c r="TL69" s="67"/>
      <c r="TM69" s="67"/>
      <c r="TN69" s="67"/>
      <c r="TO69" s="67"/>
      <c r="TP69" s="67"/>
      <c r="TQ69" s="67"/>
      <c r="TR69" s="67"/>
      <c r="TS69" s="67"/>
      <c r="TT69" s="67"/>
      <c r="TU69" s="67"/>
      <c r="TV69" s="67"/>
      <c r="TW69" s="67"/>
      <c r="TX69" s="67"/>
      <c r="TY69" s="67"/>
      <c r="TZ69" s="67"/>
      <c r="UA69" s="67"/>
      <c r="UB69" s="67"/>
      <c r="UC69" s="67"/>
      <c r="UD69" s="67"/>
      <c r="UE69" s="67"/>
      <c r="UF69" s="67"/>
      <c r="UG69" s="67"/>
      <c r="UH69" s="67"/>
      <c r="UI69" s="67"/>
      <c r="UJ69" s="67"/>
      <c r="UK69" s="67"/>
      <c r="UL69" s="67"/>
      <c r="UM69" s="67"/>
      <c r="UN69" s="67"/>
      <c r="UO69" s="67"/>
      <c r="UP69" s="67"/>
      <c r="UQ69" s="67"/>
      <c r="UR69" s="67"/>
      <c r="US69" s="67"/>
      <c r="UT69" s="67"/>
      <c r="UU69" s="67"/>
      <c r="UV69" s="67"/>
      <c r="UW69" s="67"/>
      <c r="UX69" s="67"/>
      <c r="UY69" s="67"/>
      <c r="UZ69" s="67"/>
      <c r="VA69" s="67"/>
      <c r="VB69" s="67"/>
      <c r="VC69" s="67"/>
      <c r="VD69" s="67"/>
      <c r="VE69" s="67"/>
      <c r="VF69" s="67"/>
      <c r="VG69" s="67"/>
      <c r="VH69" s="67"/>
      <c r="VI69" s="67"/>
      <c r="VJ69" s="67"/>
      <c r="VK69" s="67"/>
      <c r="VL69" s="67"/>
      <c r="VM69" s="67"/>
      <c r="VN69" s="67"/>
      <c r="VO69" s="67"/>
      <c r="VP69" s="67"/>
      <c r="VQ69" s="67"/>
      <c r="VR69" s="67"/>
      <c r="VS69" s="67"/>
      <c r="VT69" s="67"/>
      <c r="VU69" s="67"/>
      <c r="VV69" s="67"/>
      <c r="VW69" s="67"/>
      <c r="VX69" s="67"/>
      <c r="VY69" s="67"/>
      <c r="WA69" s="68"/>
      <c r="WB69" s="68"/>
      <c r="WC69" s="68"/>
      <c r="WD69" s="68"/>
      <c r="WE69" s="68"/>
      <c r="WF69" s="68"/>
      <c r="WG69" s="68"/>
      <c r="WH69" s="68"/>
      <c r="WI69" s="84"/>
      <c r="WN69" s="2" t="s">
        <v>4945</v>
      </c>
      <c r="WO69" s="12">
        <f>SUM(WI2:WI72)</f>
        <v>133</v>
      </c>
    </row>
    <row r="70" spans="1:613" x14ac:dyDescent="0.25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  <c r="CT70" s="67"/>
      <c r="CU70" s="67"/>
      <c r="CV70" s="67"/>
      <c r="CW70" s="67"/>
      <c r="CX70" s="67"/>
      <c r="CY70" s="67"/>
      <c r="CZ70" s="67"/>
      <c r="DA70" s="67"/>
      <c r="DB70" s="67"/>
      <c r="DC70" s="67"/>
      <c r="DD70" s="67"/>
      <c r="DE70" s="67"/>
      <c r="DF70" s="67"/>
      <c r="DG70" s="67"/>
      <c r="DH70" s="67"/>
      <c r="DI70" s="67"/>
      <c r="DJ70" s="67"/>
      <c r="DK70" s="67"/>
      <c r="DL70" s="67"/>
      <c r="DM70" s="67"/>
      <c r="DN70" s="67"/>
      <c r="DO70" s="67"/>
      <c r="DP70" s="67"/>
      <c r="DQ70" s="67"/>
      <c r="DR70" s="67"/>
      <c r="DS70" s="67"/>
      <c r="DT70" s="67"/>
      <c r="DU70" s="67"/>
      <c r="DV70" s="67"/>
      <c r="DW70" s="67"/>
      <c r="DX70" s="67"/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  <c r="LG70" s="67"/>
      <c r="LH70" s="67"/>
      <c r="LI70" s="67"/>
      <c r="LJ70" s="67"/>
      <c r="LK70" s="67"/>
      <c r="LL70" s="67"/>
      <c r="LM70" s="67"/>
      <c r="LN70" s="67"/>
      <c r="LO70" s="67"/>
      <c r="LP70" s="67"/>
      <c r="LQ70" s="67"/>
      <c r="LR70" s="67"/>
      <c r="LS70" s="67"/>
      <c r="LT70" s="67"/>
      <c r="LU70" s="67"/>
      <c r="LV70" s="67"/>
      <c r="LW70" s="67"/>
      <c r="LX70" s="67"/>
      <c r="LY70" s="67"/>
      <c r="LZ70" s="67"/>
      <c r="MA70" s="67"/>
      <c r="MB70" s="67"/>
      <c r="MC70" s="67"/>
      <c r="MD70" s="67"/>
      <c r="ME70" s="67"/>
      <c r="MF70" s="67"/>
      <c r="MG70" s="67"/>
      <c r="MH70" s="67"/>
      <c r="MI70" s="67"/>
      <c r="MJ70" s="67"/>
      <c r="MK70" s="67"/>
      <c r="ML70" s="67"/>
      <c r="MM70" s="67"/>
      <c r="MN70" s="67"/>
      <c r="MO70" s="67"/>
      <c r="MP70" s="67"/>
      <c r="MQ70" s="67"/>
      <c r="MR70" s="67"/>
      <c r="MS70" s="67"/>
      <c r="MT70" s="67"/>
      <c r="MU70" s="67"/>
      <c r="MV70" s="67"/>
      <c r="MW70" s="67"/>
      <c r="MX70" s="67"/>
      <c r="MY70" s="67"/>
      <c r="MZ70" s="67"/>
      <c r="NA70" s="67"/>
      <c r="NB70" s="67"/>
      <c r="NC70" s="67"/>
      <c r="ND70" s="67"/>
      <c r="NE70" s="67"/>
      <c r="NF70" s="67"/>
      <c r="NG70" s="67"/>
      <c r="NH70" s="67"/>
      <c r="NI70" s="67"/>
      <c r="NJ70" s="67"/>
      <c r="NK70" s="67"/>
      <c r="NL70" s="67"/>
      <c r="NM70" s="67"/>
      <c r="NN70" s="67"/>
      <c r="NO70" s="67"/>
      <c r="NP70" s="67"/>
      <c r="NQ70" s="67"/>
      <c r="NR70" s="67"/>
      <c r="NS70" s="67"/>
      <c r="NT70" s="67"/>
      <c r="NU70" s="67"/>
      <c r="NV70" s="67"/>
      <c r="NW70" s="67"/>
      <c r="NX70" s="67"/>
      <c r="NY70" s="67"/>
      <c r="NZ70" s="67"/>
      <c r="OA70" s="67"/>
      <c r="OB70" s="67"/>
      <c r="OC70" s="67"/>
      <c r="OD70" s="67"/>
      <c r="OE70" s="67"/>
      <c r="OF70" s="67"/>
      <c r="OG70" s="67"/>
      <c r="OH70" s="67"/>
      <c r="OI70" s="67"/>
      <c r="OJ70" s="67"/>
      <c r="OK70" s="67"/>
      <c r="OL70" s="67"/>
      <c r="OM70" s="67"/>
      <c r="ON70" s="67"/>
      <c r="OO70" s="67"/>
      <c r="OP70" s="67"/>
      <c r="OQ70" s="67"/>
      <c r="OR70" s="67"/>
      <c r="OS70" s="67"/>
      <c r="OT70" s="67"/>
      <c r="OU70" s="67"/>
      <c r="OV70" s="67"/>
      <c r="OW70" s="67"/>
      <c r="OX70" s="67"/>
      <c r="OY70" s="67"/>
      <c r="OZ70" s="67"/>
      <c r="PA70" s="67"/>
      <c r="PB70" s="67"/>
      <c r="PC70" s="67"/>
      <c r="PD70" s="67"/>
      <c r="PE70" s="67"/>
      <c r="PF70" s="67"/>
      <c r="PG70" s="67"/>
      <c r="PH70" s="67"/>
      <c r="PI70" s="67"/>
      <c r="PJ70" s="67"/>
      <c r="PK70" s="67"/>
      <c r="PL70" s="67"/>
      <c r="PM70" s="67"/>
      <c r="PN70" s="67"/>
      <c r="PO70" s="67"/>
      <c r="PP70" s="67"/>
      <c r="PQ70" s="67"/>
      <c r="PR70" s="67"/>
      <c r="PS70" s="67"/>
      <c r="PT70" s="67"/>
      <c r="PU70" s="67"/>
      <c r="PV70" s="67"/>
      <c r="PW70" s="67"/>
      <c r="PX70" s="67"/>
      <c r="PY70" s="67"/>
      <c r="PZ70" s="67"/>
      <c r="QA70" s="67"/>
      <c r="QB70" s="67"/>
      <c r="QC70" s="67"/>
      <c r="QD70" s="67"/>
      <c r="QE70" s="67"/>
      <c r="QF70" s="67"/>
      <c r="QG70" s="67"/>
      <c r="QH70" s="67"/>
      <c r="QI70" s="67"/>
      <c r="QJ70" s="67"/>
      <c r="QK70" s="67"/>
      <c r="QL70" s="67"/>
      <c r="QM70" s="67"/>
      <c r="QN70" s="67"/>
      <c r="QO70" s="67"/>
      <c r="QP70" s="67"/>
      <c r="QQ70" s="67"/>
      <c r="QR70" s="67"/>
      <c r="QS70" s="67"/>
      <c r="QT70" s="67"/>
      <c r="QU70" s="67"/>
      <c r="QV70" s="67"/>
      <c r="QW70" s="67"/>
      <c r="QX70" s="67"/>
      <c r="QY70" s="67"/>
      <c r="QZ70" s="67"/>
      <c r="RA70" s="67"/>
      <c r="RB70" s="67"/>
      <c r="RC70" s="67"/>
      <c r="RD70" s="67"/>
      <c r="RE70" s="67"/>
      <c r="RF70" s="67"/>
      <c r="RG70" s="67"/>
      <c r="RH70" s="67"/>
      <c r="RI70" s="67"/>
      <c r="RJ70" s="67"/>
      <c r="RK70" s="67"/>
      <c r="RL70" s="67"/>
      <c r="RM70" s="67"/>
      <c r="RN70" s="67"/>
      <c r="RO70" s="67"/>
      <c r="RP70" s="67"/>
      <c r="RQ70" s="67"/>
      <c r="RR70" s="67"/>
      <c r="RS70" s="67"/>
      <c r="RT70" s="67"/>
      <c r="RU70" s="67"/>
      <c r="RV70" s="67"/>
      <c r="RW70" s="67"/>
      <c r="RX70" s="67"/>
      <c r="RY70" s="67"/>
      <c r="RZ70" s="67"/>
      <c r="SA70" s="67"/>
      <c r="SB70" s="67"/>
      <c r="SC70" s="67"/>
      <c r="SD70" s="67"/>
      <c r="SE70" s="67"/>
      <c r="SF70" s="67"/>
      <c r="SG70" s="67"/>
      <c r="SH70" s="67"/>
      <c r="SI70" s="67"/>
      <c r="SJ70" s="67"/>
      <c r="SK70" s="67"/>
      <c r="SL70" s="67"/>
      <c r="SM70" s="67"/>
      <c r="SN70" s="67"/>
      <c r="SO70" s="67"/>
      <c r="SP70" s="67"/>
      <c r="SQ70" s="67"/>
      <c r="SR70" s="67"/>
      <c r="SS70" s="67"/>
      <c r="ST70" s="67"/>
      <c r="SU70" s="67"/>
      <c r="SV70" s="67"/>
      <c r="SW70" s="67"/>
      <c r="SX70" s="67"/>
      <c r="SY70" s="67"/>
      <c r="SZ70" s="67"/>
      <c r="TA70" s="67"/>
      <c r="TB70" s="67"/>
      <c r="TC70" s="67"/>
      <c r="TD70" s="67"/>
      <c r="TE70" s="67"/>
      <c r="TF70" s="67"/>
      <c r="TG70" s="67"/>
      <c r="TH70" s="67"/>
      <c r="TI70" s="67"/>
      <c r="TJ70" s="67"/>
      <c r="TK70" s="67"/>
      <c r="TL70" s="67"/>
      <c r="TM70" s="67"/>
      <c r="TN70" s="67"/>
      <c r="TO70" s="67"/>
      <c r="TP70" s="67"/>
      <c r="TQ70" s="67"/>
      <c r="TR70" s="67"/>
      <c r="TS70" s="67"/>
      <c r="TT70" s="67"/>
      <c r="TU70" s="67"/>
      <c r="TV70" s="67"/>
      <c r="TW70" s="67"/>
      <c r="TX70" s="67"/>
      <c r="TY70" s="67"/>
      <c r="TZ70" s="67"/>
      <c r="UA70" s="67"/>
      <c r="UB70" s="67"/>
      <c r="UC70" s="67"/>
      <c r="UD70" s="67"/>
      <c r="UE70" s="67"/>
      <c r="UF70" s="67"/>
      <c r="UG70" s="67"/>
      <c r="UH70" s="67"/>
      <c r="UI70" s="67"/>
      <c r="UJ70" s="67"/>
      <c r="UK70" s="67"/>
      <c r="UL70" s="67"/>
      <c r="UM70" s="67"/>
      <c r="UN70" s="67"/>
      <c r="UO70" s="67"/>
      <c r="UP70" s="67"/>
      <c r="UQ70" s="67"/>
      <c r="UR70" s="67"/>
      <c r="US70" s="67"/>
      <c r="UT70" s="67"/>
      <c r="UU70" s="67"/>
      <c r="UV70" s="67"/>
      <c r="UW70" s="67"/>
      <c r="UX70" s="67"/>
      <c r="UY70" s="67"/>
      <c r="UZ70" s="67"/>
      <c r="VA70" s="67"/>
      <c r="VB70" s="67"/>
      <c r="VC70" s="67"/>
      <c r="VD70" s="67"/>
      <c r="VE70" s="67"/>
      <c r="VF70" s="67"/>
      <c r="VG70" s="67"/>
      <c r="VH70" s="67"/>
      <c r="VI70" s="67"/>
      <c r="VJ70" s="67"/>
      <c r="VK70" s="67"/>
      <c r="VL70" s="67"/>
      <c r="VM70" s="67"/>
      <c r="VN70" s="67"/>
      <c r="VO70" s="67"/>
      <c r="VP70" s="67"/>
      <c r="VQ70" s="67"/>
      <c r="VR70" s="67"/>
      <c r="VS70" s="67"/>
      <c r="VT70" s="67"/>
      <c r="VU70" s="67"/>
      <c r="VV70" s="67"/>
      <c r="VW70" s="67"/>
      <c r="VX70" s="67"/>
      <c r="VY70" s="67"/>
      <c r="WA70" s="68"/>
      <c r="WB70" s="68"/>
      <c r="WC70" s="68"/>
      <c r="WD70" s="68"/>
      <c r="WE70" s="68"/>
      <c r="WF70" s="68"/>
      <c r="WG70" s="68"/>
      <c r="WH70" s="68"/>
      <c r="WI70" s="84"/>
      <c r="WN70" s="2" t="s">
        <v>5395</v>
      </c>
      <c r="WO70" s="14">
        <f>WO69/VU84</f>
        <v>2.8297872340425534</v>
      </c>
    </row>
    <row r="71" spans="1:613" x14ac:dyDescent="0.25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CZ71" s="67"/>
      <c r="DA71" s="67"/>
      <c r="DB71" s="67"/>
      <c r="DC71" s="67"/>
      <c r="DD71" s="67"/>
      <c r="DE71" s="67"/>
      <c r="DF71" s="67"/>
      <c r="DG71" s="67"/>
      <c r="DH71" s="67"/>
      <c r="DI71" s="67"/>
      <c r="DJ71" s="67"/>
      <c r="DK71" s="67"/>
      <c r="DL71" s="67"/>
      <c r="DM71" s="67"/>
      <c r="DN71" s="67"/>
      <c r="DO71" s="67"/>
      <c r="DP71" s="67"/>
      <c r="DQ71" s="67"/>
      <c r="DR71" s="67"/>
      <c r="DS71" s="67"/>
      <c r="DT71" s="67"/>
      <c r="DU71" s="67"/>
      <c r="DV71" s="67"/>
      <c r="DW71" s="67"/>
      <c r="DX71" s="67"/>
      <c r="DY71" s="67"/>
      <c r="DZ71" s="67"/>
      <c r="EA71" s="67"/>
      <c r="EB71" s="67"/>
      <c r="EC71" s="67"/>
      <c r="ED71" s="67"/>
      <c r="EE71" s="67"/>
      <c r="EF71" s="67"/>
      <c r="EG71" s="67"/>
      <c r="EH71" s="67"/>
      <c r="EI71" s="67"/>
      <c r="EJ71" s="67"/>
      <c r="EK71" s="67"/>
      <c r="EL71" s="67"/>
      <c r="EM71" s="67"/>
      <c r="EN71" s="67"/>
      <c r="EO71" s="67"/>
      <c r="EP71" s="67"/>
      <c r="EQ71" s="67"/>
      <c r="ER71" s="67"/>
      <c r="ES71" s="67"/>
      <c r="ET71" s="67"/>
      <c r="EU71" s="67"/>
      <c r="EV71" s="67"/>
      <c r="EW71" s="67"/>
      <c r="EX71" s="67"/>
      <c r="EY71" s="67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67"/>
      <c r="FU71" s="67"/>
      <c r="FV71" s="67"/>
      <c r="FW71" s="67"/>
      <c r="FX71" s="67"/>
      <c r="FY71" s="67"/>
      <c r="FZ71" s="67"/>
      <c r="GA71" s="67"/>
      <c r="GB71" s="67"/>
      <c r="GC71" s="67"/>
      <c r="GD71" s="67"/>
      <c r="GE71" s="67"/>
      <c r="GF71" s="67"/>
      <c r="GG71" s="67"/>
      <c r="GH71" s="67"/>
      <c r="GI71" s="67"/>
      <c r="GJ71" s="67"/>
      <c r="GK71" s="67"/>
      <c r="GL71" s="67"/>
      <c r="GM71" s="67"/>
      <c r="GN71" s="67"/>
      <c r="GO71" s="67"/>
      <c r="GP71" s="67"/>
      <c r="GQ71" s="67"/>
      <c r="GR71" s="67"/>
      <c r="GS71" s="67"/>
      <c r="GT71" s="67"/>
      <c r="GU71" s="67"/>
      <c r="GV71" s="67"/>
      <c r="GW71" s="67"/>
      <c r="GX71" s="67"/>
      <c r="GY71" s="67"/>
      <c r="GZ71" s="67"/>
      <c r="HA71" s="67"/>
      <c r="HB71" s="67"/>
      <c r="HC71" s="67"/>
      <c r="HD71" s="67"/>
      <c r="HE71" s="67"/>
      <c r="HF71" s="67"/>
      <c r="HG71" s="67"/>
      <c r="HH71" s="67"/>
      <c r="HI71" s="67"/>
      <c r="HJ71" s="67"/>
      <c r="HK71" s="67"/>
      <c r="HL71" s="67"/>
      <c r="HM71" s="67"/>
      <c r="HN71" s="67"/>
      <c r="HO71" s="67"/>
      <c r="HP71" s="67"/>
      <c r="HQ71" s="67"/>
      <c r="HR71" s="67"/>
      <c r="HS71" s="67"/>
      <c r="HT71" s="67"/>
      <c r="HU71" s="67"/>
      <c r="HV71" s="67"/>
      <c r="HW71" s="67"/>
      <c r="HX71" s="67"/>
      <c r="HY71" s="67"/>
      <c r="HZ71" s="67"/>
      <c r="IA71" s="67"/>
      <c r="IB71" s="67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  <c r="LG71" s="67"/>
      <c r="LH71" s="67"/>
      <c r="LI71" s="67"/>
      <c r="LJ71" s="67"/>
      <c r="LK71" s="67"/>
      <c r="LL71" s="67"/>
      <c r="LM71" s="67"/>
      <c r="LN71" s="67"/>
      <c r="LO71" s="67"/>
      <c r="LP71" s="67"/>
      <c r="LQ71" s="67"/>
      <c r="LR71" s="67"/>
      <c r="LS71" s="67"/>
      <c r="LT71" s="67"/>
      <c r="LU71" s="67"/>
      <c r="LV71" s="67"/>
      <c r="LW71" s="67"/>
      <c r="LX71" s="67"/>
      <c r="LY71" s="67"/>
      <c r="LZ71" s="67"/>
      <c r="MA71" s="67"/>
      <c r="MB71" s="67"/>
      <c r="MC71" s="67"/>
      <c r="MD71" s="67"/>
      <c r="ME71" s="67"/>
      <c r="MF71" s="67"/>
      <c r="MG71" s="67"/>
      <c r="MH71" s="67"/>
      <c r="MI71" s="67"/>
      <c r="MJ71" s="67"/>
      <c r="MK71" s="67"/>
      <c r="ML71" s="67"/>
      <c r="MM71" s="67"/>
      <c r="MN71" s="67"/>
      <c r="MO71" s="67"/>
      <c r="MP71" s="67"/>
      <c r="MQ71" s="67"/>
      <c r="MR71" s="67"/>
      <c r="MS71" s="67"/>
      <c r="MT71" s="67"/>
      <c r="MU71" s="67"/>
      <c r="MV71" s="67"/>
      <c r="MW71" s="67"/>
      <c r="MX71" s="67"/>
      <c r="MY71" s="67"/>
      <c r="MZ71" s="67"/>
      <c r="NA71" s="67"/>
      <c r="NB71" s="67"/>
      <c r="NC71" s="67"/>
      <c r="ND71" s="67"/>
      <c r="NE71" s="67"/>
      <c r="NF71" s="67"/>
      <c r="NG71" s="67"/>
      <c r="NH71" s="67"/>
      <c r="NI71" s="67"/>
      <c r="NJ71" s="67"/>
      <c r="NK71" s="67"/>
      <c r="NL71" s="67"/>
      <c r="NM71" s="67"/>
      <c r="NN71" s="67"/>
      <c r="NO71" s="67"/>
      <c r="NP71" s="67"/>
      <c r="NQ71" s="67"/>
      <c r="NR71" s="67"/>
      <c r="NS71" s="67"/>
      <c r="NT71" s="67"/>
      <c r="NU71" s="67"/>
      <c r="NV71" s="67"/>
      <c r="NW71" s="67"/>
      <c r="NX71" s="67"/>
      <c r="NY71" s="67"/>
      <c r="NZ71" s="67"/>
      <c r="OA71" s="67"/>
      <c r="OB71" s="67"/>
      <c r="OC71" s="67"/>
      <c r="OD71" s="67"/>
      <c r="OE71" s="67"/>
      <c r="OF71" s="67"/>
      <c r="OG71" s="67"/>
      <c r="OH71" s="67"/>
      <c r="OI71" s="67"/>
      <c r="OJ71" s="67"/>
      <c r="OK71" s="67"/>
      <c r="OL71" s="67"/>
      <c r="OM71" s="67"/>
      <c r="ON71" s="67"/>
      <c r="OO71" s="67"/>
      <c r="OP71" s="67"/>
      <c r="OQ71" s="67"/>
      <c r="OR71" s="67"/>
      <c r="OS71" s="67"/>
      <c r="OT71" s="67"/>
      <c r="OU71" s="67"/>
      <c r="OV71" s="67"/>
      <c r="OW71" s="67"/>
      <c r="OX71" s="67"/>
      <c r="OY71" s="67"/>
      <c r="OZ71" s="67"/>
      <c r="PA71" s="67"/>
      <c r="PB71" s="67"/>
      <c r="PC71" s="67"/>
      <c r="PD71" s="67"/>
      <c r="PE71" s="67"/>
      <c r="PF71" s="67"/>
      <c r="PG71" s="67"/>
      <c r="PH71" s="67"/>
      <c r="PI71" s="67"/>
      <c r="PJ71" s="67"/>
      <c r="PK71" s="67"/>
      <c r="PL71" s="67"/>
      <c r="PM71" s="67"/>
      <c r="PN71" s="67"/>
      <c r="PO71" s="67"/>
      <c r="PP71" s="67"/>
      <c r="PQ71" s="67"/>
      <c r="PR71" s="67"/>
      <c r="PS71" s="67"/>
      <c r="PT71" s="67"/>
      <c r="PU71" s="67"/>
      <c r="PV71" s="67"/>
      <c r="PW71" s="67"/>
      <c r="PX71" s="67"/>
      <c r="PY71" s="67"/>
      <c r="PZ71" s="67"/>
      <c r="QA71" s="67"/>
      <c r="QB71" s="67"/>
      <c r="QC71" s="67"/>
      <c r="QD71" s="67"/>
      <c r="QE71" s="67"/>
      <c r="QF71" s="67"/>
      <c r="QG71" s="67"/>
      <c r="QH71" s="67"/>
      <c r="QI71" s="67"/>
      <c r="QJ71" s="67"/>
      <c r="QK71" s="67"/>
      <c r="QL71" s="67"/>
      <c r="QM71" s="67"/>
      <c r="QN71" s="67"/>
      <c r="QO71" s="67"/>
      <c r="QP71" s="67"/>
      <c r="QQ71" s="67"/>
      <c r="QR71" s="67"/>
      <c r="QS71" s="67"/>
      <c r="QT71" s="67"/>
      <c r="QU71" s="67"/>
      <c r="QV71" s="67"/>
      <c r="QW71" s="67"/>
      <c r="QX71" s="67"/>
      <c r="QY71" s="67"/>
      <c r="QZ71" s="67"/>
      <c r="RA71" s="67"/>
      <c r="RB71" s="67"/>
      <c r="RC71" s="67"/>
      <c r="RD71" s="67"/>
      <c r="RE71" s="67"/>
      <c r="RF71" s="67"/>
      <c r="RG71" s="67"/>
      <c r="RH71" s="67"/>
      <c r="RI71" s="67"/>
      <c r="RJ71" s="67"/>
      <c r="RK71" s="67"/>
      <c r="RL71" s="67"/>
      <c r="RM71" s="67"/>
      <c r="RN71" s="67"/>
      <c r="RO71" s="67"/>
      <c r="RP71" s="67"/>
      <c r="RQ71" s="67"/>
      <c r="RR71" s="67"/>
      <c r="RS71" s="67"/>
      <c r="RT71" s="67"/>
      <c r="RU71" s="67"/>
      <c r="RV71" s="67"/>
      <c r="RW71" s="67"/>
      <c r="RX71" s="67"/>
      <c r="RY71" s="67"/>
      <c r="RZ71" s="67"/>
      <c r="SA71" s="67"/>
      <c r="SB71" s="67"/>
      <c r="SC71" s="67"/>
      <c r="SD71" s="67"/>
      <c r="SE71" s="67"/>
      <c r="SF71" s="67"/>
      <c r="SG71" s="67"/>
      <c r="SH71" s="67"/>
      <c r="SI71" s="67"/>
      <c r="SJ71" s="67"/>
      <c r="SK71" s="67"/>
      <c r="SL71" s="67"/>
      <c r="SM71" s="67"/>
      <c r="SN71" s="67"/>
      <c r="SO71" s="67"/>
      <c r="SP71" s="67"/>
      <c r="SQ71" s="67"/>
      <c r="SR71" s="67"/>
      <c r="SS71" s="67"/>
      <c r="ST71" s="67"/>
      <c r="SU71" s="67"/>
      <c r="SV71" s="67"/>
      <c r="SW71" s="67"/>
      <c r="SX71" s="67"/>
      <c r="SY71" s="67"/>
      <c r="SZ71" s="67"/>
      <c r="TA71" s="67"/>
      <c r="TB71" s="67"/>
      <c r="TC71" s="67"/>
      <c r="TD71" s="67"/>
      <c r="TE71" s="67"/>
      <c r="TF71" s="67"/>
      <c r="TG71" s="67"/>
      <c r="TH71" s="67"/>
      <c r="TI71" s="67"/>
      <c r="TJ71" s="67"/>
      <c r="TK71" s="67"/>
      <c r="TL71" s="67"/>
      <c r="TM71" s="67"/>
      <c r="TN71" s="67"/>
      <c r="TO71" s="67"/>
      <c r="TP71" s="67"/>
      <c r="TQ71" s="67"/>
      <c r="TR71" s="67"/>
      <c r="TS71" s="67"/>
      <c r="TT71" s="67"/>
      <c r="TU71" s="67"/>
      <c r="TV71" s="67"/>
      <c r="TW71" s="67"/>
      <c r="TX71" s="67"/>
      <c r="TY71" s="67"/>
      <c r="TZ71" s="67"/>
      <c r="UA71" s="67"/>
      <c r="UB71" s="67"/>
      <c r="UC71" s="67"/>
      <c r="UD71" s="67"/>
      <c r="UE71" s="67"/>
      <c r="UF71" s="67"/>
      <c r="UG71" s="67"/>
      <c r="UH71" s="67"/>
      <c r="UI71" s="67"/>
      <c r="UJ71" s="67"/>
      <c r="UK71" s="67"/>
      <c r="UL71" s="67"/>
      <c r="UM71" s="67"/>
      <c r="UN71" s="67"/>
      <c r="UO71" s="67"/>
      <c r="UP71" s="67"/>
      <c r="UQ71" s="67"/>
      <c r="UR71" s="67"/>
      <c r="US71" s="67"/>
      <c r="UT71" s="67"/>
      <c r="UU71" s="67"/>
      <c r="UV71" s="67"/>
      <c r="UW71" s="67"/>
      <c r="UX71" s="67"/>
      <c r="UY71" s="67"/>
      <c r="UZ71" s="67"/>
      <c r="VA71" s="67"/>
      <c r="VB71" s="67"/>
      <c r="VC71" s="67"/>
      <c r="VD71" s="67"/>
      <c r="VE71" s="67"/>
      <c r="VF71" s="67"/>
      <c r="VG71" s="67"/>
      <c r="VH71" s="67"/>
      <c r="VI71" s="67"/>
      <c r="VJ71" s="67"/>
      <c r="VK71" s="67"/>
      <c r="VL71" s="67"/>
      <c r="VM71" s="67"/>
      <c r="VN71" s="67"/>
      <c r="VO71" s="67"/>
      <c r="VP71" s="67"/>
      <c r="VQ71" s="67"/>
      <c r="VR71" s="67"/>
      <c r="VS71" s="67"/>
      <c r="VT71" s="67"/>
      <c r="VU71" s="67"/>
      <c r="VV71" s="67"/>
      <c r="VW71" s="67"/>
      <c r="VX71" s="67"/>
      <c r="VY71" s="67"/>
      <c r="WA71" s="68"/>
      <c r="WB71" s="68"/>
      <c r="WC71" s="68"/>
      <c r="WD71" s="68"/>
      <c r="WE71" s="68"/>
      <c r="WF71" s="68"/>
      <c r="WG71" s="68"/>
      <c r="WH71" s="68"/>
      <c r="WI71" s="84"/>
      <c r="WN71" s="2" t="s">
        <v>5401</v>
      </c>
      <c r="WO71" s="12">
        <f>MAX(WI2:WI72)</f>
        <v>4</v>
      </c>
    </row>
    <row r="72" spans="1:613" x14ac:dyDescent="0.25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  <c r="FT72" s="67"/>
      <c r="FU72" s="67"/>
      <c r="FV72" s="67"/>
      <c r="FW72" s="67"/>
      <c r="FX72" s="67"/>
      <c r="FY72" s="67"/>
      <c r="FZ72" s="67"/>
      <c r="GA72" s="67"/>
      <c r="GB72" s="67"/>
      <c r="GC72" s="67"/>
      <c r="GD72" s="67"/>
      <c r="GE72" s="67"/>
      <c r="GF72" s="67"/>
      <c r="GG72" s="67"/>
      <c r="GH72" s="67"/>
      <c r="GI72" s="67"/>
      <c r="GJ72" s="67"/>
      <c r="GK72" s="67"/>
      <c r="GL72" s="67"/>
      <c r="GM72" s="67"/>
      <c r="GN72" s="67"/>
      <c r="GO72" s="67"/>
      <c r="GP72" s="67"/>
      <c r="GQ72" s="67"/>
      <c r="GR72" s="67"/>
      <c r="GS72" s="67"/>
      <c r="GT72" s="67"/>
      <c r="GU72" s="67"/>
      <c r="GV72" s="67"/>
      <c r="GW72" s="67"/>
      <c r="GX72" s="67"/>
      <c r="GY72" s="67"/>
      <c r="GZ72" s="67"/>
      <c r="HA72" s="67"/>
      <c r="HB72" s="67"/>
      <c r="HC72" s="67"/>
      <c r="HD72" s="67"/>
      <c r="HE72" s="67"/>
      <c r="HF72" s="67"/>
      <c r="HG72" s="67"/>
      <c r="HH72" s="67"/>
      <c r="HI72" s="67"/>
      <c r="HJ72" s="67"/>
      <c r="HK72" s="67"/>
      <c r="HL72" s="67"/>
      <c r="HM72" s="67"/>
      <c r="HN72" s="67"/>
      <c r="HO72" s="67"/>
      <c r="HP72" s="67"/>
      <c r="HQ72" s="67"/>
      <c r="HR72" s="67"/>
      <c r="HS72" s="67"/>
      <c r="HT72" s="67"/>
      <c r="HU72" s="67"/>
      <c r="HV72" s="67"/>
      <c r="HW72" s="67"/>
      <c r="HX72" s="67"/>
      <c r="HY72" s="67"/>
      <c r="HZ72" s="67"/>
      <c r="IA72" s="67"/>
      <c r="IB72" s="67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  <c r="LG72" s="67"/>
      <c r="LH72" s="67"/>
      <c r="LI72" s="67"/>
      <c r="LJ72" s="67"/>
      <c r="LK72" s="67"/>
      <c r="LL72" s="67"/>
      <c r="LM72" s="67"/>
      <c r="LN72" s="67"/>
      <c r="LO72" s="67"/>
      <c r="LP72" s="67"/>
      <c r="LQ72" s="67"/>
      <c r="LR72" s="67"/>
      <c r="LS72" s="67"/>
      <c r="LT72" s="67"/>
      <c r="LU72" s="67"/>
      <c r="LV72" s="67"/>
      <c r="LW72" s="67"/>
      <c r="LX72" s="67"/>
      <c r="LY72" s="67"/>
      <c r="LZ72" s="67"/>
      <c r="MA72" s="67"/>
      <c r="MB72" s="67"/>
      <c r="MC72" s="67"/>
      <c r="MD72" s="67"/>
      <c r="ME72" s="67"/>
      <c r="MF72" s="67"/>
      <c r="MG72" s="67"/>
      <c r="MH72" s="67"/>
      <c r="MI72" s="67"/>
      <c r="MJ72" s="67"/>
      <c r="MK72" s="67"/>
      <c r="ML72" s="67"/>
      <c r="MM72" s="67"/>
      <c r="MN72" s="67"/>
      <c r="MO72" s="67"/>
      <c r="MP72" s="67"/>
      <c r="MQ72" s="67"/>
      <c r="MR72" s="67"/>
      <c r="MS72" s="67"/>
      <c r="MT72" s="67"/>
      <c r="MU72" s="67"/>
      <c r="MV72" s="67"/>
      <c r="MW72" s="67"/>
      <c r="MX72" s="67"/>
      <c r="MY72" s="67"/>
      <c r="MZ72" s="67"/>
      <c r="NA72" s="67"/>
      <c r="NB72" s="67"/>
      <c r="NC72" s="67"/>
      <c r="ND72" s="67"/>
      <c r="NE72" s="67"/>
      <c r="NF72" s="67"/>
      <c r="NG72" s="67"/>
      <c r="NH72" s="67"/>
      <c r="NI72" s="67"/>
      <c r="NJ72" s="67"/>
      <c r="NK72" s="67"/>
      <c r="NL72" s="67"/>
      <c r="NM72" s="67"/>
      <c r="NN72" s="67"/>
      <c r="NO72" s="67"/>
      <c r="NP72" s="67"/>
      <c r="NQ72" s="67"/>
      <c r="NR72" s="67"/>
      <c r="NS72" s="67"/>
      <c r="NT72" s="67"/>
      <c r="NU72" s="67"/>
      <c r="NV72" s="67"/>
      <c r="NW72" s="67"/>
      <c r="NX72" s="67"/>
      <c r="NY72" s="67"/>
      <c r="NZ72" s="67"/>
      <c r="OA72" s="67"/>
      <c r="OB72" s="67"/>
      <c r="OC72" s="67"/>
      <c r="OD72" s="67"/>
      <c r="OE72" s="67"/>
      <c r="OF72" s="67"/>
      <c r="OG72" s="67"/>
      <c r="OH72" s="67"/>
      <c r="OI72" s="67"/>
      <c r="OJ72" s="67"/>
      <c r="OK72" s="67"/>
      <c r="OL72" s="67"/>
      <c r="OM72" s="67"/>
      <c r="ON72" s="67"/>
      <c r="OO72" s="67"/>
      <c r="OP72" s="67"/>
      <c r="OQ72" s="67"/>
      <c r="OR72" s="67"/>
      <c r="OS72" s="67"/>
      <c r="OT72" s="67"/>
      <c r="OU72" s="67"/>
      <c r="OV72" s="67"/>
      <c r="OW72" s="67"/>
      <c r="OX72" s="67"/>
      <c r="OY72" s="67"/>
      <c r="OZ72" s="67"/>
      <c r="PA72" s="67"/>
      <c r="PB72" s="67"/>
      <c r="PC72" s="67"/>
      <c r="PD72" s="67"/>
      <c r="PE72" s="67"/>
      <c r="PF72" s="67"/>
      <c r="PG72" s="67"/>
      <c r="PH72" s="67"/>
      <c r="PI72" s="67"/>
      <c r="PJ72" s="67"/>
      <c r="PK72" s="67"/>
      <c r="PL72" s="67"/>
      <c r="PM72" s="67"/>
      <c r="PN72" s="67"/>
      <c r="PO72" s="67"/>
      <c r="PP72" s="67"/>
      <c r="PQ72" s="67"/>
      <c r="PR72" s="67"/>
      <c r="PS72" s="67"/>
      <c r="PT72" s="67"/>
      <c r="PU72" s="67"/>
      <c r="PV72" s="67"/>
      <c r="PW72" s="67"/>
      <c r="PX72" s="67"/>
      <c r="PY72" s="67"/>
      <c r="PZ72" s="67"/>
      <c r="QA72" s="67"/>
      <c r="QB72" s="67"/>
      <c r="QC72" s="67"/>
      <c r="QD72" s="67"/>
      <c r="QE72" s="67"/>
      <c r="QF72" s="67"/>
      <c r="QG72" s="67"/>
      <c r="QH72" s="67"/>
      <c r="QI72" s="67"/>
      <c r="QJ72" s="67"/>
      <c r="QK72" s="67"/>
      <c r="QL72" s="67"/>
      <c r="QM72" s="67"/>
      <c r="QN72" s="67"/>
      <c r="QO72" s="67"/>
      <c r="QP72" s="67"/>
      <c r="QQ72" s="67"/>
      <c r="QR72" s="67"/>
      <c r="QS72" s="67"/>
      <c r="QT72" s="67"/>
      <c r="QU72" s="67"/>
      <c r="QV72" s="67"/>
      <c r="QW72" s="67"/>
      <c r="QX72" s="67"/>
      <c r="QY72" s="67"/>
      <c r="QZ72" s="67"/>
      <c r="RA72" s="67"/>
      <c r="RB72" s="67"/>
      <c r="RC72" s="67"/>
      <c r="RD72" s="67"/>
      <c r="RE72" s="67"/>
      <c r="RF72" s="67"/>
      <c r="RG72" s="67"/>
      <c r="RH72" s="67"/>
      <c r="RI72" s="67"/>
      <c r="RJ72" s="67"/>
      <c r="RK72" s="67"/>
      <c r="RL72" s="67"/>
      <c r="RM72" s="67"/>
      <c r="RN72" s="67"/>
      <c r="RO72" s="67"/>
      <c r="RP72" s="67"/>
      <c r="RQ72" s="67"/>
      <c r="RR72" s="67"/>
      <c r="RS72" s="67"/>
      <c r="RT72" s="67"/>
      <c r="RU72" s="67"/>
      <c r="RV72" s="67"/>
      <c r="RW72" s="67"/>
      <c r="RX72" s="67"/>
      <c r="RY72" s="67"/>
      <c r="RZ72" s="67"/>
      <c r="SA72" s="67"/>
      <c r="SB72" s="67"/>
      <c r="SC72" s="67"/>
      <c r="SD72" s="67"/>
      <c r="SE72" s="67"/>
      <c r="SF72" s="67"/>
      <c r="SG72" s="67"/>
      <c r="SH72" s="67"/>
      <c r="SI72" s="67"/>
      <c r="SJ72" s="67"/>
      <c r="SK72" s="67"/>
      <c r="SL72" s="67"/>
      <c r="SM72" s="67"/>
      <c r="SN72" s="67"/>
      <c r="SO72" s="67"/>
      <c r="SP72" s="67"/>
      <c r="SQ72" s="67"/>
      <c r="SR72" s="67"/>
      <c r="SS72" s="67"/>
      <c r="ST72" s="67"/>
      <c r="SU72" s="67"/>
      <c r="SV72" s="67"/>
      <c r="SW72" s="67"/>
      <c r="SX72" s="67"/>
      <c r="SY72" s="67"/>
      <c r="SZ72" s="67"/>
      <c r="TA72" s="67"/>
      <c r="TB72" s="67"/>
      <c r="TC72" s="67"/>
      <c r="TD72" s="67"/>
      <c r="TE72" s="67"/>
      <c r="TF72" s="67"/>
      <c r="TG72" s="67"/>
      <c r="TH72" s="67"/>
      <c r="TI72" s="67"/>
      <c r="TJ72" s="67"/>
      <c r="TK72" s="67"/>
      <c r="TL72" s="67"/>
      <c r="TM72" s="67"/>
      <c r="TN72" s="67"/>
      <c r="TO72" s="67"/>
      <c r="TP72" s="67"/>
      <c r="TQ72" s="67"/>
      <c r="TR72" s="67"/>
      <c r="TS72" s="67"/>
      <c r="TT72" s="67"/>
      <c r="TU72" s="67"/>
      <c r="TV72" s="67"/>
      <c r="TW72" s="67"/>
      <c r="TX72" s="67"/>
      <c r="TY72" s="67"/>
      <c r="TZ72" s="67"/>
      <c r="UA72" s="67"/>
      <c r="UB72" s="67"/>
      <c r="UC72" s="67"/>
      <c r="UD72" s="67"/>
      <c r="UE72" s="67"/>
      <c r="UF72" s="67"/>
      <c r="UG72" s="67"/>
      <c r="UH72" s="67"/>
      <c r="UI72" s="67"/>
      <c r="UJ72" s="67"/>
      <c r="UK72" s="67"/>
      <c r="UL72" s="67"/>
      <c r="UM72" s="67"/>
      <c r="UN72" s="67"/>
      <c r="UO72" s="67"/>
      <c r="UP72" s="67"/>
      <c r="UQ72" s="67"/>
      <c r="UR72" s="67"/>
      <c r="US72" s="67"/>
      <c r="UT72" s="67"/>
      <c r="UU72" s="67"/>
      <c r="UV72" s="67"/>
      <c r="UW72" s="67"/>
      <c r="UX72" s="67"/>
      <c r="UY72" s="67"/>
      <c r="UZ72" s="67"/>
      <c r="VA72" s="67"/>
      <c r="VB72" s="67"/>
      <c r="VC72" s="67"/>
      <c r="VD72" s="67"/>
      <c r="VE72" s="67"/>
      <c r="VF72" s="67"/>
      <c r="VG72" s="67"/>
      <c r="VH72" s="67"/>
      <c r="VI72" s="67"/>
      <c r="VJ72" s="67"/>
      <c r="VK72" s="67"/>
      <c r="VL72" s="67"/>
      <c r="VM72" s="67"/>
      <c r="VN72" s="67"/>
      <c r="VO72" s="67"/>
      <c r="VP72" s="67"/>
      <c r="VQ72" s="67"/>
      <c r="VR72" s="67"/>
      <c r="VS72" s="67"/>
      <c r="VT72" s="67"/>
      <c r="VU72" s="67"/>
      <c r="VV72" s="67"/>
      <c r="VW72" s="67"/>
      <c r="VX72" s="67"/>
      <c r="VY72" s="67"/>
      <c r="WA72" s="68"/>
      <c r="WB72" s="68"/>
      <c r="WC72" s="68"/>
      <c r="WD72" s="68"/>
      <c r="WE72" s="68"/>
      <c r="WF72" s="68"/>
      <c r="WG72" s="68"/>
      <c r="WH72" s="68"/>
      <c r="WI72" s="84"/>
      <c r="WN72" s="2" t="s">
        <v>5402</v>
      </c>
      <c r="WO72" s="12">
        <f>MIN(WI2:WI72)</f>
        <v>0</v>
      </c>
    </row>
    <row r="74" spans="1:613" x14ac:dyDescent="0.25">
      <c r="OU74" s="17">
        <v>1</v>
      </c>
      <c r="OX74" t="s">
        <v>5396</v>
      </c>
      <c r="OY74" s="12">
        <f>Elderly_A</f>
        <v>1</v>
      </c>
      <c r="VI74" s="12">
        <v>0.97</v>
      </c>
      <c r="VS74" s="25" t="s">
        <v>2638</v>
      </c>
      <c r="VT74" s="25" t="s">
        <v>2639</v>
      </c>
      <c r="VV74" s="440" t="s">
        <v>5382</v>
      </c>
      <c r="VW74" s="442"/>
      <c r="VY74" s="449" t="s">
        <v>5383</v>
      </c>
      <c r="VZ74" s="447"/>
      <c r="WA74" s="447"/>
      <c r="WB74" s="447"/>
      <c r="WC74" s="448"/>
      <c r="WD74" s="346"/>
      <c r="WE74" s="1" t="s">
        <v>2639</v>
      </c>
      <c r="WF74" s="1" t="s">
        <v>2638</v>
      </c>
      <c r="WG74" s="449" t="s">
        <v>5394</v>
      </c>
      <c r="WH74" s="447"/>
      <c r="WI74" s="447"/>
      <c r="WJ74" s="447"/>
      <c r="WK74" s="448"/>
      <c r="WL74" s="86"/>
    </row>
    <row r="75" spans="1:613" x14ac:dyDescent="0.25">
      <c r="OU75" s="17">
        <v>1.1499999999999999</v>
      </c>
      <c r="OX75" t="s">
        <v>2627</v>
      </c>
      <c r="OY75" s="17">
        <f>Boost_A</f>
        <v>0</v>
      </c>
      <c r="VI75" s="17">
        <v>1.1499999999999999</v>
      </c>
      <c r="VQ75" s="26" t="s">
        <v>2617</v>
      </c>
      <c r="VR75" s="26" t="s">
        <v>2618</v>
      </c>
      <c r="VS75" s="26" t="s">
        <v>2630</v>
      </c>
      <c r="VT75" s="26" t="s">
        <v>2630</v>
      </c>
      <c r="VU75" s="39" t="s">
        <v>4945</v>
      </c>
      <c r="VV75" s="26" t="s">
        <v>381</v>
      </c>
      <c r="VW75" s="26" t="s">
        <v>2629</v>
      </c>
      <c r="VX75" s="26"/>
      <c r="VY75" s="347">
        <v>1</v>
      </c>
      <c r="VZ75" s="347">
        <v>2</v>
      </c>
      <c r="WA75" s="347">
        <v>3</v>
      </c>
      <c r="WB75" s="347">
        <v>4</v>
      </c>
      <c r="WC75" s="347">
        <v>5</v>
      </c>
      <c r="WD75" s="347" t="s">
        <v>4945</v>
      </c>
      <c r="WE75" s="347" t="s">
        <v>4946</v>
      </c>
      <c r="WF75" s="347" t="s">
        <v>4946</v>
      </c>
      <c r="WG75" s="347">
        <v>1</v>
      </c>
      <c r="WH75" s="347">
        <v>2</v>
      </c>
      <c r="WI75" s="347">
        <v>3</v>
      </c>
      <c r="WJ75" s="347">
        <v>4</v>
      </c>
      <c r="WK75" s="347">
        <v>5</v>
      </c>
      <c r="WL75" s="347" t="s">
        <v>4945</v>
      </c>
    </row>
    <row r="76" spans="1:613" x14ac:dyDescent="0.25">
      <c r="OU76" s="17">
        <v>0.88</v>
      </c>
      <c r="OX76" s="13" t="s">
        <v>2617</v>
      </c>
      <c r="OY76" s="17">
        <f>Broward_A</f>
        <v>0.88</v>
      </c>
      <c r="VI76" s="17">
        <v>0.88</v>
      </c>
      <c r="VQ76" s="12">
        <f t="shared" ref="VQ76:VQ83" si="29">COUNTIFS($VX$2:$VX$72,$VX76,$VR$2:$VR$72,"&lt;1")</f>
        <v>0</v>
      </c>
      <c r="VR76" s="12">
        <f t="shared" ref="VR76:VR83" si="30">COUNTIFS($VX$2:$VX$72,$VX76,$VS$2:$VS$72,"&lt;1")</f>
        <v>0</v>
      </c>
      <c r="VS76" s="20">
        <v>0</v>
      </c>
      <c r="VT76" s="21">
        <f t="shared" ref="VT76" si="31">IF(VU76=0,0,VV76/VU76)</f>
        <v>1</v>
      </c>
      <c r="VU76" s="12">
        <f t="shared" ref="VU76:VU78" si="32">VW76+VV76</f>
        <v>1</v>
      </c>
      <c r="VV76" s="12">
        <f t="shared" ref="VV76:VW83" si="33">COUNTIFS($VX$2:$VX$72,$VX76,$VW$2:$VW$72,VV$75)</f>
        <v>1</v>
      </c>
      <c r="VW76" s="12">
        <f t="shared" si="33"/>
        <v>0</v>
      </c>
      <c r="VX76" s="31" t="s">
        <v>4947</v>
      </c>
      <c r="VY76" s="352">
        <f t="shared" ref="VY76:WC83" si="34">COUNTIFS($VX$2:$VX$72,$VX76,$VY$2:$VY$72,VY$75)</f>
        <v>0</v>
      </c>
      <c r="VZ76" s="352">
        <f t="shared" si="34"/>
        <v>0</v>
      </c>
      <c r="WA76" s="352">
        <f t="shared" si="34"/>
        <v>0</v>
      </c>
      <c r="WB76" s="352">
        <f t="shared" si="34"/>
        <v>1</v>
      </c>
      <c r="WC76" s="352">
        <f t="shared" si="34"/>
        <v>0</v>
      </c>
      <c r="WD76" s="352">
        <f t="shared" ref="WD76:WD78" si="35">SUM(VY76:WC76)</f>
        <v>1</v>
      </c>
      <c r="WE76" s="353">
        <f t="shared" ref="WE76:WE84" si="36">IF(WD76=0,0,SUMPRODUCT($VY$75:$WC$75,VY76:WC76)/WD76)</f>
        <v>4</v>
      </c>
      <c r="WF76" s="353">
        <v>5</v>
      </c>
      <c r="WG76" s="352">
        <v>0</v>
      </c>
      <c r="WH76" s="352">
        <v>0</v>
      </c>
      <c r="WI76" s="352">
        <v>0</v>
      </c>
      <c r="WJ76" s="352">
        <v>0</v>
      </c>
      <c r="WK76" s="352">
        <v>1</v>
      </c>
      <c r="WL76" s="352">
        <v>1</v>
      </c>
    </row>
    <row r="77" spans="1:613" x14ac:dyDescent="0.25">
      <c r="OU77" s="17">
        <v>0.93</v>
      </c>
      <c r="OX77" s="13" t="s">
        <v>2618</v>
      </c>
      <c r="OY77" s="17">
        <f>PHA_A</f>
        <v>0.97</v>
      </c>
      <c r="VI77" s="17">
        <v>0.93</v>
      </c>
      <c r="VQ77" s="12">
        <f t="shared" si="29"/>
        <v>0</v>
      </c>
      <c r="VR77" s="12">
        <f t="shared" si="30"/>
        <v>0</v>
      </c>
      <c r="VS77" s="20">
        <v>0</v>
      </c>
      <c r="VT77" s="21">
        <f>IF(VU77=0,0,VV77/VU77)</f>
        <v>0</v>
      </c>
      <c r="VU77" s="12">
        <f t="shared" ref="VU77" si="37">VW77+VV77</f>
        <v>0</v>
      </c>
      <c r="VV77" s="12">
        <f t="shared" si="33"/>
        <v>0</v>
      </c>
      <c r="VW77" s="12">
        <f t="shared" si="33"/>
        <v>0</v>
      </c>
      <c r="VX77" s="31" t="s">
        <v>4948</v>
      </c>
      <c r="VY77" s="352">
        <f t="shared" si="34"/>
        <v>0</v>
      </c>
      <c r="VZ77" s="352">
        <f t="shared" si="34"/>
        <v>0</v>
      </c>
      <c r="WA77" s="352">
        <f t="shared" si="34"/>
        <v>0</v>
      </c>
      <c r="WB77" s="352">
        <f t="shared" si="34"/>
        <v>0</v>
      </c>
      <c r="WC77" s="352">
        <f t="shared" si="34"/>
        <v>0</v>
      </c>
      <c r="WD77" s="352">
        <f t="shared" ref="WD77" si="38">SUM(VY77:WC77)</f>
        <v>0</v>
      </c>
      <c r="WE77" s="353">
        <f t="shared" ref="WE77" si="39">IF(WD77=0,0,SUMPRODUCT($VY$75:$WC$75,VY77:WC77)/WD77)</f>
        <v>0</v>
      </c>
      <c r="WF77" s="353">
        <v>0</v>
      </c>
      <c r="WG77" s="352">
        <v>0</v>
      </c>
      <c r="WH77" s="352">
        <v>0</v>
      </c>
      <c r="WI77" s="352">
        <v>0</v>
      </c>
      <c r="WJ77" s="352">
        <v>0</v>
      </c>
      <c r="WK77" s="352">
        <v>0</v>
      </c>
      <c r="WL77" s="352">
        <v>0</v>
      </c>
    </row>
    <row r="78" spans="1:613" x14ac:dyDescent="0.25">
      <c r="OU78" s="17">
        <v>0.92</v>
      </c>
      <c r="OX78" s="13" t="s">
        <v>2622</v>
      </c>
      <c r="OY78" s="17">
        <f>NC_GA_A</f>
        <v>1</v>
      </c>
      <c r="VI78" s="17">
        <v>0.95</v>
      </c>
      <c r="VQ78" s="12">
        <f t="shared" si="29"/>
        <v>0</v>
      </c>
      <c r="VR78" s="12">
        <f t="shared" si="30"/>
        <v>0</v>
      </c>
      <c r="VS78" s="20">
        <v>0.8</v>
      </c>
      <c r="VT78" s="21">
        <f t="shared" ref="VT78:VT84" si="40">IF(VU78=0,0,VV78/VU78)</f>
        <v>0.8</v>
      </c>
      <c r="VU78" s="12">
        <f t="shared" si="32"/>
        <v>10</v>
      </c>
      <c r="VV78" s="12">
        <f t="shared" si="33"/>
        <v>8</v>
      </c>
      <c r="VW78" s="12">
        <f t="shared" si="33"/>
        <v>2</v>
      </c>
      <c r="VX78" s="31" t="s">
        <v>4949</v>
      </c>
      <c r="VY78" s="352">
        <f t="shared" si="34"/>
        <v>1</v>
      </c>
      <c r="VZ78" s="352">
        <f t="shared" si="34"/>
        <v>4</v>
      </c>
      <c r="WA78" s="352">
        <f t="shared" si="34"/>
        <v>2</v>
      </c>
      <c r="WB78" s="352">
        <f t="shared" si="34"/>
        <v>1</v>
      </c>
      <c r="WC78" s="352">
        <f t="shared" si="34"/>
        <v>2</v>
      </c>
      <c r="WD78" s="352">
        <f t="shared" si="35"/>
        <v>10</v>
      </c>
      <c r="WE78" s="353">
        <f t="shared" si="36"/>
        <v>2.9</v>
      </c>
      <c r="WF78" s="353">
        <v>2.9</v>
      </c>
      <c r="WG78" s="352">
        <v>1</v>
      </c>
      <c r="WH78" s="352">
        <v>4</v>
      </c>
      <c r="WI78" s="352">
        <v>2</v>
      </c>
      <c r="WJ78" s="352">
        <v>1</v>
      </c>
      <c r="WK78" s="352">
        <v>2</v>
      </c>
      <c r="WL78" s="352">
        <v>10</v>
      </c>
    </row>
    <row r="79" spans="1:613" x14ac:dyDescent="0.25">
      <c r="OU79" s="17">
        <v>0.85</v>
      </c>
      <c r="OX79" s="13" t="s">
        <v>2623</v>
      </c>
      <c r="OY79" s="17">
        <f>NC_MR_A</f>
        <v>0.97</v>
      </c>
      <c r="VI79" s="17">
        <v>0.93</v>
      </c>
      <c r="VQ79" s="12">
        <f t="shared" si="29"/>
        <v>0</v>
      </c>
      <c r="VR79" s="12">
        <f t="shared" si="30"/>
        <v>0</v>
      </c>
      <c r="VS79" s="20">
        <v>0</v>
      </c>
      <c r="VT79" s="21">
        <f t="shared" si="40"/>
        <v>0</v>
      </c>
      <c r="VU79" s="12">
        <f t="shared" ref="VU79:VU83" si="41">VW79+VV79</f>
        <v>0</v>
      </c>
      <c r="VV79" s="12">
        <f t="shared" si="33"/>
        <v>0</v>
      </c>
      <c r="VW79" s="12">
        <f t="shared" si="33"/>
        <v>0</v>
      </c>
      <c r="VX79" s="31" t="s">
        <v>4950</v>
      </c>
      <c r="VY79" s="352">
        <f t="shared" si="34"/>
        <v>0</v>
      </c>
      <c r="VZ79" s="352">
        <f t="shared" si="34"/>
        <v>0</v>
      </c>
      <c r="WA79" s="352">
        <f t="shared" si="34"/>
        <v>0</v>
      </c>
      <c r="WB79" s="352">
        <f t="shared" si="34"/>
        <v>0</v>
      </c>
      <c r="WC79" s="352">
        <f t="shared" si="34"/>
        <v>0</v>
      </c>
      <c r="WD79" s="352">
        <f t="shared" ref="WD79:WD83" si="42">SUM(VY79:WC79)</f>
        <v>0</v>
      </c>
      <c r="WE79" s="353">
        <f t="shared" ref="WE79:WE83" si="43">IF(WD79=0,0,SUMPRODUCT($VY$75:$WC$75,VY79:WC79)/WD79)</f>
        <v>0</v>
      </c>
      <c r="WF79" s="353">
        <v>0</v>
      </c>
      <c r="WG79" s="352">
        <v>0</v>
      </c>
      <c r="WH79" s="352">
        <v>0</v>
      </c>
      <c r="WI79" s="352">
        <v>0</v>
      </c>
      <c r="WJ79" s="352">
        <v>0</v>
      </c>
      <c r="WK79" s="352">
        <v>0</v>
      </c>
      <c r="WL79" s="352">
        <v>0</v>
      </c>
    </row>
    <row r="80" spans="1:613" x14ac:dyDescent="0.25">
      <c r="OU80" s="17">
        <v>0.82</v>
      </c>
      <c r="OX80" s="13" t="s">
        <v>2621</v>
      </c>
      <c r="OY80" s="17">
        <f>NC_HR_A</f>
        <v>0.95</v>
      </c>
      <c r="VI80" s="17">
        <v>0.91</v>
      </c>
      <c r="VQ80" s="12">
        <f t="shared" si="29"/>
        <v>0</v>
      </c>
      <c r="VR80" s="12">
        <f t="shared" si="30"/>
        <v>2</v>
      </c>
      <c r="VS80" s="20">
        <v>0.83333333333333337</v>
      </c>
      <c r="VT80" s="21">
        <f t="shared" si="40"/>
        <v>0.80555555555555558</v>
      </c>
      <c r="VU80" s="12">
        <f t="shared" si="41"/>
        <v>36</v>
      </c>
      <c r="VV80" s="12">
        <f t="shared" si="33"/>
        <v>29</v>
      </c>
      <c r="VW80" s="12">
        <f t="shared" si="33"/>
        <v>7</v>
      </c>
      <c r="VX80" s="31" t="s">
        <v>4951</v>
      </c>
      <c r="VY80" s="352">
        <f t="shared" si="34"/>
        <v>5</v>
      </c>
      <c r="VZ80" s="352">
        <f t="shared" si="34"/>
        <v>5</v>
      </c>
      <c r="WA80" s="352">
        <f t="shared" si="34"/>
        <v>7</v>
      </c>
      <c r="WB80" s="352">
        <f t="shared" si="34"/>
        <v>7</v>
      </c>
      <c r="WC80" s="352">
        <f t="shared" si="34"/>
        <v>12</v>
      </c>
      <c r="WD80" s="352">
        <f t="shared" si="42"/>
        <v>36</v>
      </c>
      <c r="WE80" s="353">
        <f t="shared" si="43"/>
        <v>3.4444444444444446</v>
      </c>
      <c r="WF80" s="353">
        <v>3.4166666666666665</v>
      </c>
      <c r="WG80" s="352">
        <v>5</v>
      </c>
      <c r="WH80" s="352">
        <v>5</v>
      </c>
      <c r="WI80" s="352">
        <v>7</v>
      </c>
      <c r="WJ80" s="352">
        <v>8</v>
      </c>
      <c r="WK80" s="352">
        <v>11</v>
      </c>
      <c r="WL80" s="352">
        <v>36</v>
      </c>
    </row>
    <row r="81" spans="411:610" x14ac:dyDescent="0.25">
      <c r="OU81" s="17">
        <v>1</v>
      </c>
      <c r="OX81" s="13" t="s">
        <v>2624</v>
      </c>
      <c r="OY81" s="17" t="e">
        <f>NC_SF_A</f>
        <v>#REF!</v>
      </c>
      <c r="VI81" s="17">
        <v>1</v>
      </c>
      <c r="VQ81" s="70">
        <f t="shared" si="29"/>
        <v>0</v>
      </c>
      <c r="VR81" s="70">
        <f t="shared" si="30"/>
        <v>0</v>
      </c>
      <c r="VS81" s="72">
        <v>0</v>
      </c>
      <c r="VT81" s="71">
        <f t="shared" si="40"/>
        <v>0</v>
      </c>
      <c r="VU81" s="70">
        <f t="shared" si="41"/>
        <v>0</v>
      </c>
      <c r="VV81" s="70">
        <f t="shared" si="33"/>
        <v>0</v>
      </c>
      <c r="VW81" s="70">
        <f t="shared" si="33"/>
        <v>0</v>
      </c>
      <c r="VX81" s="73" t="s">
        <v>5380</v>
      </c>
      <c r="VY81" s="354">
        <f t="shared" si="34"/>
        <v>0</v>
      </c>
      <c r="VZ81" s="354">
        <f t="shared" si="34"/>
        <v>0</v>
      </c>
      <c r="WA81" s="354">
        <f t="shared" si="34"/>
        <v>0</v>
      </c>
      <c r="WB81" s="354">
        <f t="shared" si="34"/>
        <v>0</v>
      </c>
      <c r="WC81" s="354">
        <f t="shared" si="34"/>
        <v>0</v>
      </c>
      <c r="WD81" s="354">
        <f t="shared" si="42"/>
        <v>0</v>
      </c>
      <c r="WE81" s="355">
        <f t="shared" si="43"/>
        <v>0</v>
      </c>
      <c r="WF81" s="355">
        <v>0</v>
      </c>
      <c r="WG81" s="354">
        <v>0</v>
      </c>
      <c r="WH81" s="354">
        <v>0</v>
      </c>
      <c r="WI81" s="354">
        <v>0</v>
      </c>
      <c r="WJ81" s="354">
        <v>0</v>
      </c>
      <c r="WK81" s="354">
        <v>0</v>
      </c>
      <c r="WL81" s="354">
        <v>0</v>
      </c>
    </row>
    <row r="82" spans="411:610" x14ac:dyDescent="0.25">
      <c r="OU82" s="17">
        <v>1</v>
      </c>
      <c r="OX82" s="13" t="s">
        <v>2625</v>
      </c>
      <c r="OY82" s="17">
        <f>NC_OT_A</f>
        <v>1</v>
      </c>
      <c r="VI82" s="17">
        <v>1</v>
      </c>
      <c r="VQ82" s="12">
        <f t="shared" si="29"/>
        <v>0</v>
      </c>
      <c r="VR82" s="12">
        <f t="shared" si="30"/>
        <v>0</v>
      </c>
      <c r="VS82" s="20">
        <v>0</v>
      </c>
      <c r="VT82" s="21">
        <f t="shared" si="40"/>
        <v>0</v>
      </c>
      <c r="VU82" s="12">
        <f t="shared" si="41"/>
        <v>0</v>
      </c>
      <c r="VV82" s="12">
        <f t="shared" si="33"/>
        <v>0</v>
      </c>
      <c r="VW82" s="12">
        <f t="shared" si="33"/>
        <v>0</v>
      </c>
      <c r="VX82" s="31" t="s">
        <v>4952</v>
      </c>
      <c r="VY82" s="352">
        <f t="shared" si="34"/>
        <v>0</v>
      </c>
      <c r="VZ82" s="352">
        <f t="shared" si="34"/>
        <v>0</v>
      </c>
      <c r="WA82" s="352">
        <f t="shared" si="34"/>
        <v>0</v>
      </c>
      <c r="WB82" s="352">
        <f t="shared" si="34"/>
        <v>0</v>
      </c>
      <c r="WC82" s="352">
        <f t="shared" si="34"/>
        <v>0</v>
      </c>
      <c r="WD82" s="352">
        <f t="shared" si="42"/>
        <v>0</v>
      </c>
      <c r="WE82" s="353">
        <f t="shared" si="43"/>
        <v>0</v>
      </c>
      <c r="WF82" s="353">
        <v>0</v>
      </c>
      <c r="WG82" s="352">
        <v>0</v>
      </c>
      <c r="WH82" s="352">
        <v>0</v>
      </c>
      <c r="WI82" s="352">
        <v>0</v>
      </c>
      <c r="WJ82" s="352">
        <v>0</v>
      </c>
      <c r="WK82" s="352">
        <v>0</v>
      </c>
      <c r="WL82" s="352">
        <v>0</v>
      </c>
    </row>
    <row r="83" spans="411:610" x14ac:dyDescent="0.25">
      <c r="OU83" s="17">
        <v>0.87</v>
      </c>
      <c r="OX83" s="13" t="s">
        <v>2628</v>
      </c>
      <c r="OY83" s="17">
        <f>ESSC_A</f>
        <v>0.93</v>
      </c>
      <c r="VI83" s="17">
        <v>0.88</v>
      </c>
      <c r="VQ83" s="12">
        <f t="shared" si="29"/>
        <v>0</v>
      </c>
      <c r="VR83" s="12">
        <f t="shared" si="30"/>
        <v>0</v>
      </c>
      <c r="VS83" s="20">
        <v>0</v>
      </c>
      <c r="VT83" s="42">
        <f t="shared" si="40"/>
        <v>0</v>
      </c>
      <c r="VU83" s="12">
        <f t="shared" si="41"/>
        <v>0</v>
      </c>
      <c r="VV83" s="12">
        <f t="shared" si="33"/>
        <v>0</v>
      </c>
      <c r="VW83" s="12">
        <f t="shared" si="33"/>
        <v>0</v>
      </c>
      <c r="VX83" s="31" t="s">
        <v>4953</v>
      </c>
      <c r="VY83" s="352">
        <f t="shared" si="34"/>
        <v>0</v>
      </c>
      <c r="VZ83" s="352">
        <f t="shared" si="34"/>
        <v>0</v>
      </c>
      <c r="WA83" s="352">
        <f t="shared" si="34"/>
        <v>0</v>
      </c>
      <c r="WB83" s="352">
        <f t="shared" si="34"/>
        <v>0</v>
      </c>
      <c r="WC83" s="352">
        <f t="shared" si="34"/>
        <v>0</v>
      </c>
      <c r="WD83" s="352">
        <f t="shared" si="42"/>
        <v>0</v>
      </c>
      <c r="WE83" s="353">
        <f t="shared" si="43"/>
        <v>0</v>
      </c>
      <c r="WF83" s="353">
        <v>0</v>
      </c>
      <c r="WG83" s="352">
        <v>0</v>
      </c>
      <c r="WH83" s="352">
        <v>0</v>
      </c>
      <c r="WI83" s="352">
        <v>0</v>
      </c>
      <c r="WJ83" s="352">
        <v>0</v>
      </c>
      <c r="WK83" s="352">
        <v>0</v>
      </c>
      <c r="WL83" s="352">
        <v>0</v>
      </c>
    </row>
    <row r="84" spans="411:610" x14ac:dyDescent="0.25">
      <c r="VQ84" s="44">
        <f t="shared" ref="VQ84:VR84" si="44">SUM(VQ76:VQ83)</f>
        <v>0</v>
      </c>
      <c r="VR84" s="44">
        <f t="shared" si="44"/>
        <v>2</v>
      </c>
      <c r="VS84" s="65">
        <v>0.80851063829787229</v>
      </c>
      <c r="VT84" s="21">
        <f t="shared" si="40"/>
        <v>0.80851063829787229</v>
      </c>
      <c r="VU84" s="64">
        <f>SUM(VU76:VU83)</f>
        <v>47</v>
      </c>
      <c r="VV84" s="64">
        <f>SUM(VV76:VV83)</f>
        <v>38</v>
      </c>
      <c r="VW84" s="64">
        <f>SUM(VW76:VW83)</f>
        <v>9</v>
      </c>
      <c r="VX84" s="66" t="s">
        <v>2633</v>
      </c>
      <c r="VY84" s="358">
        <f t="shared" ref="VY84:WD84" si="45">SUM(VY76:VY83)</f>
        <v>6</v>
      </c>
      <c r="VZ84" s="358">
        <f t="shared" si="45"/>
        <v>9</v>
      </c>
      <c r="WA84" s="358">
        <f t="shared" si="45"/>
        <v>9</v>
      </c>
      <c r="WB84" s="358">
        <f t="shared" si="45"/>
        <v>9</v>
      </c>
      <c r="WC84" s="358">
        <f t="shared" si="45"/>
        <v>14</v>
      </c>
      <c r="WD84" s="358">
        <f t="shared" si="45"/>
        <v>47</v>
      </c>
      <c r="WE84" s="369">
        <f t="shared" si="36"/>
        <v>3.3404255319148937</v>
      </c>
      <c r="WF84" s="369">
        <v>3.3404255319148937</v>
      </c>
      <c r="WG84" s="358">
        <v>6</v>
      </c>
      <c r="WH84" s="358">
        <v>9</v>
      </c>
      <c r="WI84" s="358">
        <v>9</v>
      </c>
      <c r="WJ84" s="358">
        <v>9</v>
      </c>
      <c r="WK84" s="358">
        <v>14</v>
      </c>
      <c r="WL84" s="358">
        <v>47</v>
      </c>
    </row>
    <row r="85" spans="411:610" x14ac:dyDescent="0.25">
      <c r="VX85" s="31"/>
      <c r="VY85" s="359"/>
      <c r="VZ85" s="359"/>
      <c r="WA85" s="359"/>
      <c r="WB85" s="359"/>
      <c r="WC85" s="359"/>
      <c r="WD85" s="359"/>
      <c r="WE85" s="359"/>
      <c r="WF85" s="359"/>
      <c r="WG85" s="359"/>
      <c r="WH85" s="359"/>
      <c r="WI85" s="359"/>
      <c r="WJ85" s="359"/>
      <c r="WK85" s="359"/>
      <c r="WL85" s="359"/>
    </row>
    <row r="86" spans="411:610" x14ac:dyDescent="0.25">
      <c r="OU86" s="17"/>
      <c r="OX86" s="13"/>
      <c r="OY86" s="17"/>
      <c r="VI86" s="17"/>
      <c r="VQ86" s="23">
        <f>VQ76+VQ77</f>
        <v>0</v>
      </c>
      <c r="VR86" s="23">
        <f>VR76+VR77</f>
        <v>0</v>
      </c>
      <c r="VS86" s="20">
        <v>0</v>
      </c>
      <c r="VT86" s="21">
        <f t="shared" ref="VT86:VT90" si="46">IF(VU86=0,0,VV86/VU86)</f>
        <v>1</v>
      </c>
      <c r="VU86" s="23">
        <f>VV86+VW86</f>
        <v>1</v>
      </c>
      <c r="VV86" s="23">
        <f>VV76+VV77</f>
        <v>1</v>
      </c>
      <c r="VW86" s="23">
        <f>VW76+VW77</f>
        <v>0</v>
      </c>
      <c r="VX86" s="31" t="s">
        <v>4954</v>
      </c>
      <c r="VY86" s="352">
        <f>VY76+VY77</f>
        <v>0</v>
      </c>
      <c r="VZ86" s="352">
        <f t="shared" ref="VZ86:WC86" si="47">VZ76+VZ77</f>
        <v>0</v>
      </c>
      <c r="WA86" s="352">
        <f t="shared" si="47"/>
        <v>0</v>
      </c>
      <c r="WB86" s="352">
        <f t="shared" si="47"/>
        <v>1</v>
      </c>
      <c r="WC86" s="352">
        <f t="shared" si="47"/>
        <v>0</v>
      </c>
      <c r="WD86" s="352">
        <f t="shared" ref="WD86:WD88" si="48">SUM(VY86:WC86)</f>
        <v>1</v>
      </c>
      <c r="WE86" s="353">
        <f t="shared" ref="WE86:WE88" si="49">IF(WD86=0,0,SUMPRODUCT($VY$75:$WC$75,VY86:WC86)/WD86)</f>
        <v>4</v>
      </c>
      <c r="WF86" s="353">
        <v>5</v>
      </c>
      <c r="WG86" s="352">
        <v>0</v>
      </c>
      <c r="WH86" s="352">
        <v>0</v>
      </c>
      <c r="WI86" s="352">
        <v>0</v>
      </c>
      <c r="WJ86" s="352">
        <v>0</v>
      </c>
      <c r="WK86" s="352">
        <v>1</v>
      </c>
      <c r="WL86" s="352">
        <v>1</v>
      </c>
    </row>
    <row r="87" spans="411:610" x14ac:dyDescent="0.25">
      <c r="OU87" s="17"/>
      <c r="OX87" s="13"/>
      <c r="OY87" s="17"/>
      <c r="VI87" s="17"/>
      <c r="VQ87" s="23">
        <f>VQ78+VQ79</f>
        <v>0</v>
      </c>
      <c r="VR87" s="23">
        <f>VR78+VR79</f>
        <v>0</v>
      </c>
      <c r="VS87" s="20">
        <v>0.8</v>
      </c>
      <c r="VT87" s="21">
        <f t="shared" si="46"/>
        <v>0.8</v>
      </c>
      <c r="VU87" s="23">
        <f>VV87+VW87</f>
        <v>10</v>
      </c>
      <c r="VV87" s="23">
        <f>VV78+VV79</f>
        <v>8</v>
      </c>
      <c r="VW87" s="23">
        <f>VW78+VW79</f>
        <v>2</v>
      </c>
      <c r="VX87" s="31" t="s">
        <v>4955</v>
      </c>
      <c r="VY87" s="352">
        <f>VY78+VY79</f>
        <v>1</v>
      </c>
      <c r="VZ87" s="352">
        <f t="shared" ref="VZ87:WC87" si="50">VZ78+VZ79</f>
        <v>4</v>
      </c>
      <c r="WA87" s="352">
        <f t="shared" si="50"/>
        <v>2</v>
      </c>
      <c r="WB87" s="352">
        <f t="shared" si="50"/>
        <v>1</v>
      </c>
      <c r="WC87" s="352">
        <f t="shared" si="50"/>
        <v>2</v>
      </c>
      <c r="WD87" s="352">
        <f t="shared" si="48"/>
        <v>10</v>
      </c>
      <c r="WE87" s="353">
        <f t="shared" si="49"/>
        <v>2.9</v>
      </c>
      <c r="WF87" s="353">
        <v>2.9</v>
      </c>
      <c r="WG87" s="352">
        <v>1</v>
      </c>
      <c r="WH87" s="352">
        <v>4</v>
      </c>
      <c r="WI87" s="352">
        <v>2</v>
      </c>
      <c r="WJ87" s="352">
        <v>1</v>
      </c>
      <c r="WK87" s="352">
        <v>2</v>
      </c>
      <c r="WL87" s="352">
        <v>10</v>
      </c>
    </row>
    <row r="88" spans="411:610" x14ac:dyDescent="0.25">
      <c r="OU88" s="17"/>
      <c r="OX88" s="13"/>
      <c r="OY88" s="17"/>
      <c r="VI88" s="17"/>
      <c r="VQ88" s="76">
        <f>VQ80</f>
        <v>0</v>
      </c>
      <c r="VR88" s="76">
        <f>VR80</f>
        <v>2</v>
      </c>
      <c r="VS88" s="79">
        <v>0.83333333333333337</v>
      </c>
      <c r="VT88" s="53">
        <f t="shared" si="46"/>
        <v>0.80555555555555558</v>
      </c>
      <c r="VU88" s="76">
        <f>VV88+VW88</f>
        <v>36</v>
      </c>
      <c r="VV88" s="76">
        <f>VV80</f>
        <v>29</v>
      </c>
      <c r="VW88" s="76">
        <f>VW80</f>
        <v>7</v>
      </c>
      <c r="VX88" s="69" t="s">
        <v>4956</v>
      </c>
      <c r="VY88" s="360">
        <f>VY80</f>
        <v>5</v>
      </c>
      <c r="VZ88" s="360">
        <f t="shared" ref="VZ88:WC89" si="51">VZ80</f>
        <v>5</v>
      </c>
      <c r="WA88" s="360">
        <f t="shared" si="51"/>
        <v>7</v>
      </c>
      <c r="WB88" s="360">
        <f t="shared" si="51"/>
        <v>7</v>
      </c>
      <c r="WC88" s="360">
        <f t="shared" si="51"/>
        <v>12</v>
      </c>
      <c r="WD88" s="362">
        <f t="shared" si="48"/>
        <v>36</v>
      </c>
      <c r="WE88" s="370">
        <f t="shared" si="49"/>
        <v>3.4444444444444446</v>
      </c>
      <c r="WF88" s="370">
        <v>3.4166666666666665</v>
      </c>
      <c r="WG88" s="360">
        <v>5</v>
      </c>
      <c r="WH88" s="360">
        <v>5</v>
      </c>
      <c r="WI88" s="360">
        <v>7</v>
      </c>
      <c r="WJ88" s="360">
        <v>8</v>
      </c>
      <c r="WK88" s="360">
        <v>11</v>
      </c>
      <c r="WL88" s="362">
        <v>36</v>
      </c>
    </row>
    <row r="89" spans="411:610" x14ac:dyDescent="0.25">
      <c r="OU89" s="17"/>
      <c r="OX89" s="13"/>
      <c r="OY89" s="17"/>
      <c r="VI89" s="17"/>
      <c r="VQ89" s="41">
        <f t="shared" ref="VQ89:VR89" si="52">VQ81</f>
        <v>0</v>
      </c>
      <c r="VR89" s="41">
        <f t="shared" si="52"/>
        <v>0</v>
      </c>
      <c r="VS89" s="42">
        <v>0</v>
      </c>
      <c r="VT89" s="42">
        <f t="shared" si="46"/>
        <v>0</v>
      </c>
      <c r="VU89" s="41">
        <f>VU81</f>
        <v>0</v>
      </c>
      <c r="VV89" s="41">
        <f t="shared" ref="VV89:VW89" si="53">VV81</f>
        <v>0</v>
      </c>
      <c r="VW89" s="41">
        <f t="shared" si="53"/>
        <v>0</v>
      </c>
      <c r="VX89" s="43" t="s">
        <v>5407</v>
      </c>
      <c r="VY89" s="361">
        <f t="shared" ref="VY89" si="54">VY81</f>
        <v>0</v>
      </c>
      <c r="VZ89" s="361">
        <f t="shared" si="51"/>
        <v>0</v>
      </c>
      <c r="WA89" s="361">
        <f t="shared" si="51"/>
        <v>0</v>
      </c>
      <c r="WB89" s="361">
        <f t="shared" si="51"/>
        <v>0</v>
      </c>
      <c r="WC89" s="361">
        <f t="shared" si="51"/>
        <v>0</v>
      </c>
      <c r="WD89" s="356">
        <f t="shared" ref="WD89:WD90" si="55">SUM(VY89:WC89)</f>
        <v>0</v>
      </c>
      <c r="WE89" s="357">
        <f t="shared" ref="WE89:WE90" si="56">IF(WD89=0,0,SUMPRODUCT($VY$75:$WC$75,VY89:WC89)/WD89)</f>
        <v>0</v>
      </c>
      <c r="WF89" s="357">
        <v>0</v>
      </c>
      <c r="WG89" s="361">
        <v>0</v>
      </c>
      <c r="WH89" s="361">
        <v>0</v>
      </c>
      <c r="WI89" s="361">
        <v>0</v>
      </c>
      <c r="WJ89" s="361">
        <v>0</v>
      </c>
      <c r="WK89" s="361">
        <v>0</v>
      </c>
      <c r="WL89" s="356">
        <v>0</v>
      </c>
    </row>
    <row r="90" spans="411:610" x14ac:dyDescent="0.25">
      <c r="VQ90" s="23">
        <f>VQ82+VQ83</f>
        <v>0</v>
      </c>
      <c r="VR90" s="76">
        <f>VR82+VR83</f>
        <v>0</v>
      </c>
      <c r="VS90" s="53">
        <v>0</v>
      </c>
      <c r="VT90" s="53">
        <f t="shared" si="46"/>
        <v>0</v>
      </c>
      <c r="VU90" s="76">
        <f>VV90+VW90</f>
        <v>0</v>
      </c>
      <c r="VV90" s="76">
        <f>VV82+VV83</f>
        <v>0</v>
      </c>
      <c r="VW90" s="76">
        <f>VW82+VW83</f>
        <v>0</v>
      </c>
      <c r="VX90" s="69" t="s">
        <v>4957</v>
      </c>
      <c r="VY90" s="362">
        <f>VY82+VY83</f>
        <v>0</v>
      </c>
      <c r="VZ90" s="362">
        <f t="shared" ref="VZ90:WC90" si="57">VZ82+VZ83</f>
        <v>0</v>
      </c>
      <c r="WA90" s="362">
        <f t="shared" si="57"/>
        <v>0</v>
      </c>
      <c r="WB90" s="362">
        <f t="shared" si="57"/>
        <v>0</v>
      </c>
      <c r="WC90" s="362">
        <f t="shared" si="57"/>
        <v>0</v>
      </c>
      <c r="WD90" s="362">
        <f t="shared" si="55"/>
        <v>0</v>
      </c>
      <c r="WE90" s="370">
        <f t="shared" si="56"/>
        <v>0</v>
      </c>
      <c r="WF90" s="370">
        <v>0</v>
      </c>
      <c r="WG90" s="362">
        <v>0</v>
      </c>
      <c r="WH90" s="362">
        <v>0</v>
      </c>
      <c r="WI90" s="362">
        <v>0</v>
      </c>
      <c r="WJ90" s="362">
        <v>0</v>
      </c>
      <c r="WK90" s="362">
        <v>0</v>
      </c>
      <c r="WL90" s="362">
        <v>0</v>
      </c>
    </row>
    <row r="91" spans="411:610" x14ac:dyDescent="0.25">
      <c r="VQ91" s="2"/>
      <c r="VR91" s="78"/>
      <c r="VS91" s="78"/>
      <c r="VT91" s="78"/>
      <c r="VU91" s="78"/>
      <c r="VV91" s="78"/>
      <c r="VW91" s="78"/>
      <c r="VX91" s="78"/>
      <c r="VY91" s="363"/>
      <c r="VZ91" s="363"/>
      <c r="WA91" s="363"/>
      <c r="WB91" s="363"/>
      <c r="WC91" s="363"/>
      <c r="WD91" s="363"/>
      <c r="WE91" s="363"/>
      <c r="WF91" s="363"/>
      <c r="WG91" s="363"/>
      <c r="WH91" s="363"/>
      <c r="WI91" s="363"/>
      <c r="WJ91" s="363"/>
      <c r="WK91" s="363"/>
      <c r="WL91" s="363"/>
    </row>
    <row r="92" spans="411:610" x14ac:dyDescent="0.25">
      <c r="VQ92" s="23">
        <f t="shared" ref="VQ92:VR92" si="58">VQ76+VQ78+VQ80</f>
        <v>0</v>
      </c>
      <c r="VR92" s="23">
        <f t="shared" si="58"/>
        <v>2</v>
      </c>
      <c r="VS92" s="21">
        <v>0.80851063829787229</v>
      </c>
      <c r="VT92" s="21">
        <f t="shared" ref="VT92:VT93" si="59">IF(VU92=0,0,VV92/VU92)</f>
        <v>0.80851063829787229</v>
      </c>
      <c r="VU92" s="23">
        <f>VV92+VW92</f>
        <v>47</v>
      </c>
      <c r="VV92" s="23">
        <f>VV76+VV78+VV80</f>
        <v>38</v>
      </c>
      <c r="VW92" s="23">
        <f>VW76+VW78+VW80</f>
        <v>9</v>
      </c>
      <c r="VX92" s="31" t="s">
        <v>4958</v>
      </c>
      <c r="VY92" s="352">
        <f>VY76+VY78+VY80+VY81</f>
        <v>6</v>
      </c>
      <c r="VZ92" s="352">
        <f>VZ76+VZ78+VZ80+VZ81</f>
        <v>9</v>
      </c>
      <c r="WA92" s="352">
        <f>WA76+WA78+WA80+WA81</f>
        <v>9</v>
      </c>
      <c r="WB92" s="352">
        <f>WB76+WB78+WB80+WB81</f>
        <v>9</v>
      </c>
      <c r="WC92" s="352">
        <f>WC76+WC78+WC80+WC81</f>
        <v>14</v>
      </c>
      <c r="WD92" s="352">
        <f>SUM(VY92:WC92)</f>
        <v>47</v>
      </c>
      <c r="WE92" s="353">
        <f>IF(WD92=0,0,SUMPRODUCT($VY$75:$WC$75,VY92:WC92)/WD92)</f>
        <v>3.3404255319148937</v>
      </c>
      <c r="WF92" s="353">
        <v>3.3404255319148937</v>
      </c>
      <c r="WG92" s="352">
        <v>6</v>
      </c>
      <c r="WH92" s="352">
        <v>9</v>
      </c>
      <c r="WI92" s="352">
        <v>9</v>
      </c>
      <c r="WJ92" s="352">
        <v>9</v>
      </c>
      <c r="WK92" s="352">
        <v>14</v>
      </c>
      <c r="WL92" s="352">
        <v>47</v>
      </c>
    </row>
    <row r="93" spans="411:610" x14ac:dyDescent="0.25">
      <c r="VQ93" s="23">
        <f t="shared" ref="VQ93:VR93" si="60">VQ77+VQ79</f>
        <v>0</v>
      </c>
      <c r="VR93" s="23">
        <f t="shared" si="60"/>
        <v>0</v>
      </c>
      <c r="VS93" s="21">
        <v>0</v>
      </c>
      <c r="VT93" s="21">
        <f t="shared" si="59"/>
        <v>0</v>
      </c>
      <c r="VU93" s="23">
        <f>VV93+VW93</f>
        <v>0</v>
      </c>
      <c r="VV93" s="23">
        <f>VV77+VV79</f>
        <v>0</v>
      </c>
      <c r="VW93" s="23">
        <f>VW77+VW79</f>
        <v>0</v>
      </c>
      <c r="VX93" s="31" t="s">
        <v>4959</v>
      </c>
      <c r="VY93" s="352">
        <f>VY77+VY79</f>
        <v>0</v>
      </c>
      <c r="VZ93" s="352">
        <f>VZ77+VZ79</f>
        <v>0</v>
      </c>
      <c r="WA93" s="352">
        <f>WA77+WA79</f>
        <v>0</v>
      </c>
      <c r="WB93" s="352">
        <f>WB77+WB79</f>
        <v>0</v>
      </c>
      <c r="WC93" s="352">
        <f>WC77+WC79</f>
        <v>0</v>
      </c>
      <c r="WD93" s="352">
        <f>SUM(VY93:WC93)</f>
        <v>0</v>
      </c>
      <c r="WE93" s="353">
        <f>IF(WD93=0,0,SUMPRODUCT($VY$75:$WC$75,VY93:WC93)/WD93)</f>
        <v>0</v>
      </c>
      <c r="WF93" s="353">
        <v>0</v>
      </c>
      <c r="WG93" s="352">
        <v>0</v>
      </c>
      <c r="WH93" s="352">
        <v>0</v>
      </c>
      <c r="WI93" s="352">
        <v>0</v>
      </c>
      <c r="WJ93" s="352">
        <v>0</v>
      </c>
      <c r="WK93" s="352">
        <v>0</v>
      </c>
      <c r="WL93" s="352">
        <v>0</v>
      </c>
    </row>
    <row r="94" spans="411:610" x14ac:dyDescent="0.25">
      <c r="VQ94" s="12">
        <f>VQ82+VQ83</f>
        <v>0</v>
      </c>
      <c r="VR94" s="12">
        <f>VR82+VR83</f>
        <v>0</v>
      </c>
      <c r="VS94" s="21">
        <v>0</v>
      </c>
      <c r="VT94" s="20">
        <f t="shared" ref="VT94" si="61">IFERROR(VV94/VU94,0)</f>
        <v>0</v>
      </c>
      <c r="VU94" s="12">
        <f>VU82+VU83</f>
        <v>0</v>
      </c>
      <c r="VV94" s="12">
        <f>VV82+VV83</f>
        <v>0</v>
      </c>
      <c r="VW94" s="12">
        <f>VW82+VW83</f>
        <v>0</v>
      </c>
      <c r="VX94" s="31" t="s">
        <v>5384</v>
      </c>
      <c r="VY94" s="351">
        <f>VY82+VY83</f>
        <v>0</v>
      </c>
      <c r="VZ94" s="351">
        <f>VZ82+VZ83</f>
        <v>0</v>
      </c>
      <c r="WA94" s="351">
        <f>WA82+WA83</f>
        <v>0</v>
      </c>
      <c r="WB94" s="351">
        <f>WB82+WB83</f>
        <v>0</v>
      </c>
      <c r="WC94" s="351">
        <f>WC82+WC83</f>
        <v>0</v>
      </c>
      <c r="WD94" s="352">
        <f t="shared" ref="WD94" si="62">SUM(VY94:WC94)</f>
        <v>0</v>
      </c>
      <c r="WE94" s="353">
        <f t="shared" ref="WE94" si="63">IF(WD94=0,0,SUMPRODUCT($VY$75:$WC$75,VY94:WC94)/WD94)</f>
        <v>0</v>
      </c>
      <c r="WF94" s="353">
        <v>0</v>
      </c>
      <c r="WG94" s="351">
        <v>0</v>
      </c>
      <c r="WH94" s="351">
        <v>0</v>
      </c>
      <c r="WI94" s="351">
        <v>0</v>
      </c>
      <c r="WJ94" s="351">
        <v>0</v>
      </c>
      <c r="WK94" s="351">
        <v>0</v>
      </c>
      <c r="WL94" s="352">
        <v>0</v>
      </c>
    </row>
    <row r="95" spans="411:610" x14ac:dyDescent="0.25">
      <c r="VQ95" s="2"/>
      <c r="VR95" s="2"/>
      <c r="VS95" s="2"/>
      <c r="VT95" s="2"/>
      <c r="VU95" s="2"/>
      <c r="VV95" s="2"/>
      <c r="VW95" s="2"/>
      <c r="VY95" s="364"/>
      <c r="VZ95" s="364"/>
      <c r="WA95" s="364"/>
      <c r="WB95" s="364"/>
      <c r="WC95" s="364"/>
      <c r="WD95" s="364"/>
      <c r="WE95" s="365"/>
      <c r="WF95" s="365"/>
      <c r="WG95" s="359"/>
      <c r="WH95" s="359"/>
      <c r="WI95" s="359"/>
      <c r="WJ95" s="359"/>
      <c r="WK95" s="359"/>
      <c r="WL95" s="364"/>
    </row>
    <row r="96" spans="411:610" x14ac:dyDescent="0.25">
      <c r="VQ96" s="2"/>
      <c r="VR96" s="2"/>
      <c r="VS96" s="21">
        <v>0.5</v>
      </c>
      <c r="VT96" s="21">
        <f t="shared" ref="VT96:VT97" si="64">IF(VU96=0,0,VV96/VU96)</f>
        <v>0</v>
      </c>
      <c r="VU96" s="23">
        <f>VV96+VW96</f>
        <v>2</v>
      </c>
      <c r="VV96" s="23">
        <f>COUNTIFS($VW$2:$VW$72,VV$75,$VS$2:$VS$72,"&lt;1")</f>
        <v>0</v>
      </c>
      <c r="VW96" s="23">
        <f>COUNTIFS($VW$2:$VW$72,VW$75,$VS$2:$VS$72,"&lt;1")</f>
        <v>2</v>
      </c>
      <c r="VX96" s="31" t="s">
        <v>2631</v>
      </c>
      <c r="VY96" s="352">
        <f>COUNTIFS($VY$2:$VY$72,VY$75,$VS$2:$VS$72,"&lt;1")</f>
        <v>0</v>
      </c>
      <c r="VZ96" s="352">
        <f>COUNTIFS($VY$2:$VY$72,VZ$75,$VS$2:$VS$72,"&lt;1")</f>
        <v>0</v>
      </c>
      <c r="WA96" s="352">
        <f>COUNTIFS($VY$2:$VY$72,WA$75,$VS$2:$VS$72,"&lt;1")</f>
        <v>0</v>
      </c>
      <c r="WB96" s="352">
        <f>COUNTIFS($VY$2:$VY$72,WB$75,$VS$2:$VS$72,"&lt;1")</f>
        <v>0</v>
      </c>
      <c r="WC96" s="352">
        <f>COUNTIFS($VY$2:$VY$72,WC$75,$VS$2:$VS$72,"&lt;1")</f>
        <v>2</v>
      </c>
      <c r="WD96" s="352">
        <f>SUM(VY96:WC96)</f>
        <v>2</v>
      </c>
      <c r="WE96" s="353">
        <f>IF(WD96=0,0,SUMPRODUCT($VY$75:$WC$75,VY96:WC96)/WD96)</f>
        <v>5</v>
      </c>
      <c r="WF96" s="353">
        <v>5</v>
      </c>
      <c r="WG96" s="352">
        <v>0</v>
      </c>
      <c r="WH96" s="352">
        <v>0</v>
      </c>
      <c r="WI96" s="352">
        <v>0</v>
      </c>
      <c r="WJ96" s="352">
        <v>0</v>
      </c>
      <c r="WK96" s="352">
        <v>2</v>
      </c>
      <c r="WL96" s="352">
        <v>2</v>
      </c>
    </row>
    <row r="97" spans="589:610" x14ac:dyDescent="0.25">
      <c r="VQ97" s="2"/>
      <c r="VR97" s="2"/>
      <c r="VS97" s="21">
        <v>0.82222222222222219</v>
      </c>
      <c r="VT97" s="21">
        <f t="shared" si="64"/>
        <v>0.84444444444444444</v>
      </c>
      <c r="VU97" s="23">
        <f>VV97+VW97</f>
        <v>45</v>
      </c>
      <c r="VV97" s="23">
        <f>COUNTIFS($VW$2:$VW$72,VV$75,$VS$2:$VS$72,"=1")</f>
        <v>38</v>
      </c>
      <c r="VW97" s="23">
        <f>COUNTIFS($VW$2:$VW$72,VW$75,$VS$2:$VS$72,"=1")</f>
        <v>7</v>
      </c>
      <c r="VX97" s="31" t="s">
        <v>2632</v>
      </c>
      <c r="VY97" s="352">
        <f>COUNTIFS($VY$2:$VY$72,VY$75,$VS$2:$VS$72,"=1")</f>
        <v>6</v>
      </c>
      <c r="VZ97" s="352">
        <f>COUNTIFS($VY$2:$VY$72,VZ$75,$VS$2:$VS$72,"=1")</f>
        <v>9</v>
      </c>
      <c r="WA97" s="352">
        <f>COUNTIFS($VY$2:$VY$72,WA$75,$VS$2:$VS$72,"=1")</f>
        <v>9</v>
      </c>
      <c r="WB97" s="352">
        <f>COUNTIFS($VY$2:$VY$72,WB$75,$VS$2:$VS$72,"=1")</f>
        <v>9</v>
      </c>
      <c r="WC97" s="352">
        <f>COUNTIFS($VY$2:$VY$72,WC$75,$VS$2:$VS$72,"=1")</f>
        <v>12</v>
      </c>
      <c r="WD97" s="352">
        <f>SUM(VY97:WC97)</f>
        <v>45</v>
      </c>
      <c r="WE97" s="353">
        <f>IF(WD97=0,0,SUMPRODUCT($VY$75:$WC$75,VY97:WC97)/WD97)</f>
        <v>3.2666666666666666</v>
      </c>
      <c r="WF97" s="353">
        <v>3.2666666666666666</v>
      </c>
      <c r="WG97" s="352">
        <v>6</v>
      </c>
      <c r="WH97" s="352">
        <v>9</v>
      </c>
      <c r="WI97" s="352">
        <v>9</v>
      </c>
      <c r="WJ97" s="352">
        <v>9</v>
      </c>
      <c r="WK97" s="352">
        <v>12</v>
      </c>
      <c r="WL97" s="352">
        <v>45</v>
      </c>
    </row>
    <row r="98" spans="589:610" x14ac:dyDescent="0.25">
      <c r="VV98" s="12"/>
      <c r="VW98" s="12"/>
      <c r="VX98" s="31"/>
      <c r="VY98" s="364"/>
      <c r="VZ98" s="364"/>
      <c r="WA98" s="364"/>
      <c r="WB98" s="364"/>
      <c r="WC98" s="364"/>
      <c r="WD98" s="364"/>
      <c r="WE98" s="365"/>
      <c r="WF98" s="365"/>
      <c r="WG98" s="364"/>
      <c r="WH98" s="364"/>
      <c r="WI98" s="364"/>
      <c r="WJ98" s="364"/>
      <c r="WK98" s="364"/>
      <c r="WL98" s="364"/>
    </row>
    <row r="99" spans="589:610" x14ac:dyDescent="0.25">
      <c r="VQ99" s="2"/>
      <c r="VR99" s="2"/>
      <c r="VS99" s="21">
        <v>0</v>
      </c>
      <c r="VT99" s="21">
        <f t="shared" ref="VT99:VT100" si="65">IF(VU99=0,0,VV99/VU99)</f>
        <v>0</v>
      </c>
      <c r="VU99" s="23">
        <f>VV99+VW99</f>
        <v>0</v>
      </c>
      <c r="VV99" s="23">
        <f>COUNTIFS($VW$2:$VW$72,VV$75,$VR$2:$VR$72,"&lt;1")</f>
        <v>0</v>
      </c>
      <c r="VW99" s="23">
        <f>COUNTIFS($VW$2:$VW$72,VW$75,$VR$2:$VR$72,"&lt;1")</f>
        <v>0</v>
      </c>
      <c r="VX99" s="31" t="s">
        <v>2617</v>
      </c>
      <c r="VY99" s="352">
        <f>COUNTIFS($VY$2:$VY$72,VY$75,$VR$2:$VR$72,"&lt;1")</f>
        <v>0</v>
      </c>
      <c r="VZ99" s="352">
        <f>COUNTIFS($VY$2:$VY$72,VZ$75,$VR$2:$VR$72,"&lt;1")</f>
        <v>0</v>
      </c>
      <c r="WA99" s="352">
        <f>COUNTIFS($VY$2:$VY$72,WA$75,$VR$2:$VR$72,"&lt;1")</f>
        <v>0</v>
      </c>
      <c r="WB99" s="352">
        <f>COUNTIFS($VY$2:$VY$72,WB$75,$VR$2:$VR$72,"&lt;1")</f>
        <v>0</v>
      </c>
      <c r="WC99" s="352">
        <f>COUNTIFS($VY$2:$VY$72,WC$75,$VR$2:$VR$72,"&lt;1")</f>
        <v>0</v>
      </c>
      <c r="WD99" s="352">
        <f>SUM(VY99:WC99)</f>
        <v>0</v>
      </c>
      <c r="WE99" s="353">
        <f>IF(WD99=0,0,SUMPRODUCT($VY$75:$WC$75,VY99:WC99)/WD99)</f>
        <v>0</v>
      </c>
      <c r="WF99" s="353">
        <v>0</v>
      </c>
      <c r="WG99" s="352">
        <v>0</v>
      </c>
      <c r="WH99" s="352">
        <v>0</v>
      </c>
      <c r="WI99" s="352">
        <v>0</v>
      </c>
      <c r="WJ99" s="352">
        <v>0</v>
      </c>
      <c r="WK99" s="352">
        <v>0</v>
      </c>
      <c r="WL99" s="352">
        <v>0</v>
      </c>
    </row>
    <row r="100" spans="589:610" x14ac:dyDescent="0.25">
      <c r="VQ100" s="2"/>
      <c r="VR100" s="2"/>
      <c r="VS100" s="21">
        <v>0.80851063829787229</v>
      </c>
      <c r="VT100" s="21">
        <f t="shared" si="65"/>
        <v>0.80851063829787229</v>
      </c>
      <c r="VU100" s="23">
        <f>VV100+VW100</f>
        <v>47</v>
      </c>
      <c r="VV100" s="23">
        <f>COUNTIFS($VW$2:$VW$72,VV$75,$VR$2:$VR$72,"=1")</f>
        <v>38</v>
      </c>
      <c r="VW100" s="23">
        <f>COUNTIFS($VW$2:$VW$72,VW$75,$VR$2:$VR$72,"=1")</f>
        <v>9</v>
      </c>
      <c r="VX100" s="31" t="s">
        <v>3291</v>
      </c>
      <c r="VY100" s="352">
        <f>COUNTIFS($VY$2:$VY$72,VY$75,$VR$2:$VR$72,"=1")</f>
        <v>6</v>
      </c>
      <c r="VZ100" s="352">
        <f>COUNTIFS($VY$2:$VY$72,VZ$75,$VR$2:$VR$72,"=1")</f>
        <v>9</v>
      </c>
      <c r="WA100" s="352">
        <f>COUNTIFS($VY$2:$VY$72,WA$75,$VR$2:$VR$72,"=1")</f>
        <v>9</v>
      </c>
      <c r="WB100" s="352">
        <f>COUNTIFS($VY$2:$VY$72,WB$75,$VR$2:$VR$72,"=1")</f>
        <v>9</v>
      </c>
      <c r="WC100" s="352">
        <f>COUNTIFS($VY$2:$VY$72,WC$75,$VR$2:$VR$72,"=1")</f>
        <v>14</v>
      </c>
      <c r="WD100" s="352">
        <f>SUM(VY100:WC100)</f>
        <v>47</v>
      </c>
      <c r="WE100" s="353">
        <f>IF(WD100=0,0,SUMPRODUCT($VY$75:$WC$75,VY100:WC100)/WD100)</f>
        <v>3.3404255319148937</v>
      </c>
      <c r="WF100" s="353">
        <v>3.3404255319148937</v>
      </c>
      <c r="WG100" s="352">
        <v>6</v>
      </c>
      <c r="WH100" s="352">
        <v>9</v>
      </c>
      <c r="WI100" s="352">
        <v>9</v>
      </c>
      <c r="WJ100" s="352">
        <v>9</v>
      </c>
      <c r="WK100" s="352">
        <v>14</v>
      </c>
      <c r="WL100" s="352">
        <v>47</v>
      </c>
    </row>
    <row r="101" spans="589:610" x14ac:dyDescent="0.25">
      <c r="VQ101" s="2"/>
      <c r="VR101" s="2"/>
      <c r="VS101" s="2"/>
      <c r="VT101" s="2"/>
      <c r="VU101" s="2"/>
      <c r="VV101" s="2"/>
      <c r="VW101" s="2"/>
      <c r="VX101" s="31"/>
      <c r="VY101" s="364"/>
      <c r="VZ101" s="364"/>
      <c r="WA101" s="364"/>
      <c r="WB101" s="364"/>
      <c r="WC101" s="364"/>
      <c r="WD101" s="364"/>
      <c r="WE101" s="365"/>
      <c r="WF101" s="365"/>
      <c r="WG101" s="364"/>
      <c r="WH101" s="364"/>
      <c r="WI101" s="364"/>
      <c r="WJ101" s="364"/>
      <c r="WK101" s="364"/>
      <c r="WL101" s="364"/>
    </row>
    <row r="102" spans="589:610" x14ac:dyDescent="0.25">
      <c r="VQ102" s="2"/>
      <c r="VR102" s="2"/>
      <c r="VS102" s="21">
        <v>0</v>
      </c>
      <c r="VT102" s="21">
        <f t="shared" ref="VT102:VT103" si="66">IF(VU102=0,0,VV102/VU102)</f>
        <v>0</v>
      </c>
      <c r="VU102" s="23">
        <f>VV102+VW102</f>
        <v>0</v>
      </c>
      <c r="VV102" s="23">
        <f>COUNTIFS($VW$2:$VW$72,VV$75,$VQ$2:$VQ$72,"&gt;1")</f>
        <v>0</v>
      </c>
      <c r="VW102" s="23">
        <f>COUNTIFS($VW$2:$VW$72,VW$75,$VQ$2:$VQ$72,"&gt;1")</f>
        <v>0</v>
      </c>
      <c r="VX102" s="31" t="s">
        <v>4960</v>
      </c>
      <c r="VY102" s="352">
        <f>COUNTIFS($VY$2:$VY$72,VY$75,$VQ$2:$VQ$72,"&gt;1")</f>
        <v>0</v>
      </c>
      <c r="VZ102" s="352">
        <f>COUNTIFS($VY$2:$VY$72,VZ$75,$VQ$2:$VQ$72,"&gt;1")</f>
        <v>0</v>
      </c>
      <c r="WA102" s="352">
        <f>COUNTIFS($VY$2:$VY$72,WA$75,$VQ$2:$VQ$72,"&gt;1")</f>
        <v>0</v>
      </c>
      <c r="WB102" s="352">
        <f>COUNTIFS($VY$2:$VY$72,WB$75,$VQ$2:$VQ$72,"&gt;1")</f>
        <v>0</v>
      </c>
      <c r="WC102" s="352">
        <f>COUNTIFS($VY$2:$VY$72,WC$75,$VQ$2:$VQ$72,"&gt;1")</f>
        <v>0</v>
      </c>
      <c r="WD102" s="352">
        <f>SUM(VY102:WC102)</f>
        <v>0</v>
      </c>
      <c r="WE102" s="353">
        <f>IF(WD102=0,0,SUMPRODUCT($VY$75:$WC$75,VY102:WC102)/WD102)</f>
        <v>0</v>
      </c>
      <c r="WF102" s="353">
        <v>0</v>
      </c>
      <c r="WG102" s="352">
        <v>0</v>
      </c>
      <c r="WH102" s="352">
        <v>0</v>
      </c>
      <c r="WI102" s="352">
        <v>0</v>
      </c>
      <c r="WJ102" s="352">
        <v>0</v>
      </c>
      <c r="WK102" s="352">
        <v>0</v>
      </c>
      <c r="WL102" s="352">
        <v>0</v>
      </c>
    </row>
    <row r="103" spans="589:610" x14ac:dyDescent="0.25">
      <c r="VQ103" s="2"/>
      <c r="VR103" s="2"/>
      <c r="VS103" s="21">
        <v>0.80851063829787229</v>
      </c>
      <c r="VT103" s="21">
        <f t="shared" si="66"/>
        <v>0.80851063829787229</v>
      </c>
      <c r="VU103" s="23">
        <f>VV103+VW103</f>
        <v>47</v>
      </c>
      <c r="VV103" s="23">
        <f>COUNTIFS($VW$2:$VW$72,VV$75,$VQ$2:$VQ$72,"=1")</f>
        <v>38</v>
      </c>
      <c r="VW103" s="23">
        <f>COUNTIFS($VW$2:$VW$72,VW$75,$VQ$2:$VQ$72,"=1")</f>
        <v>9</v>
      </c>
      <c r="VX103" s="31" t="s">
        <v>4961</v>
      </c>
      <c r="VY103" s="352">
        <f>COUNTIFS($VY$2:$VY$72,VY$75,$VQ$2:$VQ$72,"=1")</f>
        <v>6</v>
      </c>
      <c r="VZ103" s="352">
        <f>COUNTIFS($VY$2:$VY$72,VZ$75,$VQ$2:$VQ$72,"=1")</f>
        <v>9</v>
      </c>
      <c r="WA103" s="352">
        <f>COUNTIFS($VY$2:$VY$72,WA$75,$VQ$2:$VQ$72,"=1")</f>
        <v>9</v>
      </c>
      <c r="WB103" s="352">
        <f>COUNTIFS($VY$2:$VY$72,WB$75,$VQ$2:$VQ$72,"=1")</f>
        <v>9</v>
      </c>
      <c r="WC103" s="352">
        <f>COUNTIFS($VY$2:$VY$72,WC$75,$VQ$2:$VQ$72,"=1")</f>
        <v>14</v>
      </c>
      <c r="WD103" s="352">
        <f>SUM(VY103:WC103)</f>
        <v>47</v>
      </c>
      <c r="WE103" s="353">
        <f>IF(WD103=0,0,SUMPRODUCT($VY$75:$WC$75,VY103:WC103)/WD103)</f>
        <v>3.3404255319148937</v>
      </c>
      <c r="WF103" s="353">
        <v>3.3404255319148937</v>
      </c>
      <c r="WG103" s="352">
        <v>6</v>
      </c>
      <c r="WH103" s="352">
        <v>9</v>
      </c>
      <c r="WI103" s="352">
        <v>9</v>
      </c>
      <c r="WJ103" s="352">
        <v>9</v>
      </c>
      <c r="WK103" s="352">
        <v>14</v>
      </c>
      <c r="WL103" s="352">
        <v>47</v>
      </c>
    </row>
    <row r="104" spans="589:610" x14ac:dyDescent="0.25">
      <c r="VQ104" s="2"/>
      <c r="VR104" s="2"/>
      <c r="VS104" s="2"/>
      <c r="VT104" s="2"/>
      <c r="VU104" s="2"/>
      <c r="VV104" s="2"/>
      <c r="VW104" s="2"/>
      <c r="VX104" s="31"/>
      <c r="VY104" s="364"/>
      <c r="VZ104" s="364"/>
      <c r="WA104" s="364"/>
      <c r="WB104" s="364"/>
      <c r="WC104" s="364"/>
      <c r="WD104" s="364"/>
      <c r="WE104" s="365"/>
      <c r="WF104" s="365"/>
      <c r="WG104" s="364"/>
      <c r="WH104" s="364"/>
      <c r="WI104" s="364"/>
      <c r="WJ104" s="364"/>
      <c r="WK104" s="364"/>
      <c r="WL104" s="364"/>
    </row>
    <row r="105" spans="589:610" x14ac:dyDescent="0.25">
      <c r="VQ105" s="2"/>
      <c r="VR105" s="2"/>
      <c r="VS105" s="21">
        <v>0.69230769230769229</v>
      </c>
      <c r="VT105" s="21">
        <f t="shared" ref="VT105:VT106" si="67">IF(VU105=0,0,VV105/VU105)</f>
        <v>0.69230769230769229</v>
      </c>
      <c r="VU105" s="23">
        <f>VV105+VW105</f>
        <v>13</v>
      </c>
      <c r="VV105" s="23">
        <f>COUNTIFS($VW$2:$VW$72,VV$75,$BW$2:$BW$72,$VX105)</f>
        <v>9</v>
      </c>
      <c r="VW105" s="23">
        <f>COUNTIFS($VW$2:$VW$72,VW$75,$BW$2:$BW$72,$VX105)</f>
        <v>4</v>
      </c>
      <c r="VX105" s="31" t="s">
        <v>18</v>
      </c>
      <c r="VY105" s="352">
        <f t="shared" ref="VY105:WC106" si="68">COUNTIFS($VY$2:$VY$72,VY$75,$BW$2:$BW$72,$VX105)</f>
        <v>0</v>
      </c>
      <c r="VZ105" s="352">
        <f t="shared" si="68"/>
        <v>5</v>
      </c>
      <c r="WA105" s="352">
        <f t="shared" si="68"/>
        <v>3</v>
      </c>
      <c r="WB105" s="352">
        <f t="shared" si="68"/>
        <v>1</v>
      </c>
      <c r="WC105" s="352">
        <f t="shared" si="68"/>
        <v>4</v>
      </c>
      <c r="WD105" s="352">
        <f>SUM(VY105:WC105)</f>
        <v>13</v>
      </c>
      <c r="WE105" s="353">
        <f>IF(WD105=0,0,SUMPRODUCT($VY$75:$WC$75,VY105:WC105)/WD105)</f>
        <v>3.3076923076923075</v>
      </c>
      <c r="WF105" s="353">
        <v>3.3076923076923075</v>
      </c>
      <c r="WG105" s="352">
        <v>0</v>
      </c>
      <c r="WH105" s="352">
        <v>5</v>
      </c>
      <c r="WI105" s="352">
        <v>3</v>
      </c>
      <c r="WJ105" s="352">
        <v>1</v>
      </c>
      <c r="WK105" s="352">
        <v>4</v>
      </c>
      <c r="WL105" s="352">
        <v>13</v>
      </c>
    </row>
    <row r="106" spans="589:610" x14ac:dyDescent="0.25">
      <c r="VQ106" s="2"/>
      <c r="VR106" s="2"/>
      <c r="VS106" s="21">
        <v>0.8529411764705882</v>
      </c>
      <c r="VT106" s="21">
        <f t="shared" si="67"/>
        <v>0.8529411764705882</v>
      </c>
      <c r="VU106" s="23">
        <f>VV106+VW106</f>
        <v>34</v>
      </c>
      <c r="VV106" s="23">
        <f>COUNTIFS($VW$2:$VW$72,VV$75,$BW$2:$BW$72,$VX106)</f>
        <v>29</v>
      </c>
      <c r="VW106" s="23">
        <f>COUNTIFS($VW$2:$VW$72,VW$75,$BW$2:$BW$72,$VX106)</f>
        <v>5</v>
      </c>
      <c r="VX106" s="31" t="s">
        <v>126</v>
      </c>
      <c r="VY106" s="352">
        <f t="shared" si="68"/>
        <v>6</v>
      </c>
      <c r="VZ106" s="352">
        <f t="shared" si="68"/>
        <v>4</v>
      </c>
      <c r="WA106" s="352">
        <f t="shared" si="68"/>
        <v>6</v>
      </c>
      <c r="WB106" s="352">
        <f t="shared" si="68"/>
        <v>8</v>
      </c>
      <c r="WC106" s="352">
        <f t="shared" si="68"/>
        <v>10</v>
      </c>
      <c r="WD106" s="352">
        <f>SUM(VY106:WC106)</f>
        <v>34</v>
      </c>
      <c r="WE106" s="353">
        <f>IF(WD106=0,0,SUMPRODUCT($VY$75:$WC$75,VY106:WC106)/WD106)</f>
        <v>3.3529411764705883</v>
      </c>
      <c r="WF106" s="353">
        <v>3.3529411764705883</v>
      </c>
      <c r="WG106" s="352">
        <v>6</v>
      </c>
      <c r="WH106" s="352">
        <v>4</v>
      </c>
      <c r="WI106" s="352">
        <v>6</v>
      </c>
      <c r="WJ106" s="352">
        <v>8</v>
      </c>
      <c r="WK106" s="352">
        <v>10</v>
      </c>
      <c r="WL106" s="352">
        <v>34</v>
      </c>
    </row>
    <row r="107" spans="589:610" x14ac:dyDescent="0.25">
      <c r="VX107" s="31"/>
      <c r="VY107" s="359"/>
      <c r="VZ107" s="359"/>
      <c r="WA107" s="359"/>
      <c r="WB107" s="359"/>
      <c r="WC107" s="359"/>
      <c r="WD107" s="359"/>
      <c r="WE107" s="359"/>
      <c r="WF107" s="359"/>
      <c r="WG107" s="359"/>
      <c r="WH107" s="359"/>
      <c r="WI107" s="359"/>
      <c r="WJ107" s="359"/>
      <c r="WK107" s="359"/>
      <c r="WL107" s="359"/>
    </row>
    <row r="108" spans="589:610" x14ac:dyDescent="0.25">
      <c r="VS108" s="20">
        <v>0</v>
      </c>
      <c r="VT108" s="20">
        <f t="shared" ref="VT108:VT114" si="69">IFERROR(VV108/VU108,0)</f>
        <v>1</v>
      </c>
      <c r="VU108" s="12">
        <f>COUNTIF($VN$2:$VN$72,$VX108)</f>
        <v>1</v>
      </c>
      <c r="VV108" s="12">
        <f>COUNTIFS($VN$2:$VN$72,$VX108,$VW$2:$VW$72,VV$75)</f>
        <v>1</v>
      </c>
      <c r="VW108" s="12">
        <f t="shared" ref="VW108:VW114" si="70">COUNTIFS($VN$2:$VN$72,$VX108,$VW$2:$VW$72,VW$75)</f>
        <v>0</v>
      </c>
      <c r="VX108" s="31" t="s">
        <v>5411</v>
      </c>
      <c r="VY108" s="352">
        <f>COUNTIFS($VN$2:$VN$72,$VX108,$VY$2:$VY$72,VY$75)</f>
        <v>0</v>
      </c>
      <c r="VZ108" s="352">
        <f>COUNTIFS($VN$2:$VN$72,$VX108,$VY$2:$VY$72,VZ$75)</f>
        <v>0</v>
      </c>
      <c r="WA108" s="352">
        <f>COUNTIFS($VN$2:$VN$72,$VX108,$VY$2:$VY$72,WA$75)</f>
        <v>0</v>
      </c>
      <c r="WB108" s="352">
        <f>COUNTIFS($VN$2:$VN$72,$VX108,$VY$2:$VY$72,WB$75)</f>
        <v>1</v>
      </c>
      <c r="WC108" s="352">
        <f>COUNTIFS($VN$2:$VN$72,$VX108,$VY$2:$VY$72,WC$75)</f>
        <v>0</v>
      </c>
      <c r="WD108" s="352">
        <f t="shared" ref="WD108:WD114" si="71">SUM(VY108:WC108)</f>
        <v>1</v>
      </c>
      <c r="WE108" s="353">
        <f t="shared" ref="WE108:WE114" si="72">IF(WD108=0,0,SUMPRODUCT($VY$75:$WC$75,VY108:WC108)/WD108)</f>
        <v>4</v>
      </c>
      <c r="WF108" s="353">
        <v>5</v>
      </c>
      <c r="WG108" s="352">
        <v>0</v>
      </c>
      <c r="WH108" s="352">
        <v>0</v>
      </c>
      <c r="WI108" s="352">
        <v>0</v>
      </c>
      <c r="WJ108" s="352">
        <v>0</v>
      </c>
      <c r="WK108" s="352">
        <v>1</v>
      </c>
      <c r="WL108" s="352">
        <v>1</v>
      </c>
    </row>
    <row r="109" spans="589:610" x14ac:dyDescent="0.25">
      <c r="VS109" s="20">
        <v>0</v>
      </c>
      <c r="VT109" s="20">
        <f t="shared" si="69"/>
        <v>0</v>
      </c>
      <c r="VU109" s="12">
        <f t="shared" ref="VU109:VU113" si="73">COUNTIF($VN$2:$VN$72,$VX109)</f>
        <v>0</v>
      </c>
      <c r="VV109" s="12">
        <f t="shared" ref="VV109:VV114" si="74">COUNTIFS($VN$2:$VN$72,$VX109,$VW$2:$VW$72,VV$75)</f>
        <v>0</v>
      </c>
      <c r="VW109" s="12">
        <f t="shared" si="70"/>
        <v>0</v>
      </c>
      <c r="VX109" s="31" t="s">
        <v>5409</v>
      </c>
      <c r="VY109" s="352">
        <f t="shared" ref="VY109:VY114" si="75">COUNTIFS($VN$2:$VN$72,$VX109,$VY$2:$VY$72,VY$75)</f>
        <v>0</v>
      </c>
      <c r="VZ109" s="352">
        <f t="shared" ref="VZ109:WC114" si="76">COUNTIFS($VN$2:$VN$72,$VX109,$VY$2:$VY$72,VZ$75)</f>
        <v>0</v>
      </c>
      <c r="WA109" s="352">
        <f t="shared" si="76"/>
        <v>0</v>
      </c>
      <c r="WB109" s="352">
        <f t="shared" si="76"/>
        <v>0</v>
      </c>
      <c r="WC109" s="352">
        <f t="shared" si="76"/>
        <v>0</v>
      </c>
      <c r="WD109" s="352">
        <f t="shared" si="71"/>
        <v>0</v>
      </c>
      <c r="WE109" s="353">
        <f t="shared" si="72"/>
        <v>0</v>
      </c>
      <c r="WF109" s="353">
        <v>0</v>
      </c>
      <c r="WG109" s="352">
        <v>0</v>
      </c>
      <c r="WH109" s="352">
        <v>0</v>
      </c>
      <c r="WI109" s="352">
        <v>0</v>
      </c>
      <c r="WJ109" s="352">
        <v>0</v>
      </c>
      <c r="WK109" s="352">
        <v>0</v>
      </c>
      <c r="WL109" s="352">
        <v>0</v>
      </c>
    </row>
    <row r="110" spans="589:610" x14ac:dyDescent="0.25">
      <c r="VS110" s="20">
        <v>1</v>
      </c>
      <c r="VT110" s="20">
        <f t="shared" si="69"/>
        <v>1</v>
      </c>
      <c r="VU110" s="12">
        <f t="shared" si="73"/>
        <v>3</v>
      </c>
      <c r="VV110" s="12">
        <f t="shared" si="74"/>
        <v>3</v>
      </c>
      <c r="VW110" s="12">
        <f t="shared" si="70"/>
        <v>0</v>
      </c>
      <c r="VX110" s="31" t="s">
        <v>5408</v>
      </c>
      <c r="VY110" s="352">
        <f t="shared" si="75"/>
        <v>1</v>
      </c>
      <c r="VZ110" s="352">
        <f t="shared" si="76"/>
        <v>2</v>
      </c>
      <c r="WA110" s="352">
        <f t="shared" si="76"/>
        <v>0</v>
      </c>
      <c r="WB110" s="352">
        <f t="shared" si="76"/>
        <v>0</v>
      </c>
      <c r="WC110" s="352">
        <f t="shared" si="76"/>
        <v>0</v>
      </c>
      <c r="WD110" s="352">
        <f t="shared" si="71"/>
        <v>3</v>
      </c>
      <c r="WE110" s="353">
        <f t="shared" si="72"/>
        <v>1.6666666666666667</v>
      </c>
      <c r="WF110" s="353">
        <v>1.6666666666666667</v>
      </c>
      <c r="WG110" s="352">
        <v>1</v>
      </c>
      <c r="WH110" s="352">
        <v>2</v>
      </c>
      <c r="WI110" s="352">
        <v>0</v>
      </c>
      <c r="WJ110" s="352">
        <v>0</v>
      </c>
      <c r="WK110" s="352">
        <v>0</v>
      </c>
      <c r="WL110" s="352">
        <v>3</v>
      </c>
    </row>
    <row r="111" spans="589:610" x14ac:dyDescent="0.25">
      <c r="VS111" s="20">
        <v>0.7142857142857143</v>
      </c>
      <c r="VT111" s="20">
        <f t="shared" si="69"/>
        <v>0.7142857142857143</v>
      </c>
      <c r="VU111" s="12">
        <f t="shared" si="73"/>
        <v>7</v>
      </c>
      <c r="VV111" s="12">
        <f t="shared" si="74"/>
        <v>5</v>
      </c>
      <c r="VW111" s="12">
        <f t="shared" si="70"/>
        <v>2</v>
      </c>
      <c r="VX111" s="31" t="s">
        <v>5410</v>
      </c>
      <c r="VY111" s="352">
        <f t="shared" si="75"/>
        <v>0</v>
      </c>
      <c r="VZ111" s="352">
        <f t="shared" si="76"/>
        <v>2</v>
      </c>
      <c r="WA111" s="352">
        <f t="shared" si="76"/>
        <v>2</v>
      </c>
      <c r="WB111" s="352">
        <f t="shared" si="76"/>
        <v>1</v>
      </c>
      <c r="WC111" s="352">
        <f t="shared" si="76"/>
        <v>2</v>
      </c>
      <c r="WD111" s="352">
        <f t="shared" si="71"/>
        <v>7</v>
      </c>
      <c r="WE111" s="353">
        <f t="shared" si="72"/>
        <v>3.4285714285714284</v>
      </c>
      <c r="WF111" s="353">
        <v>3.4285714285714284</v>
      </c>
      <c r="WG111" s="352">
        <v>0</v>
      </c>
      <c r="WH111" s="352">
        <v>2</v>
      </c>
      <c r="WI111" s="352">
        <v>2</v>
      </c>
      <c r="WJ111" s="352">
        <v>1</v>
      </c>
      <c r="WK111" s="352">
        <v>2</v>
      </c>
      <c r="WL111" s="352">
        <v>7</v>
      </c>
    </row>
    <row r="112" spans="589:610" x14ac:dyDescent="0.25">
      <c r="VS112" s="20">
        <v>0.8666666666666667</v>
      </c>
      <c r="VT112" s="20">
        <f t="shared" ref="VT112:VT113" si="77">IFERROR(VV112/VU112,0)</f>
        <v>0.83333333333333337</v>
      </c>
      <c r="VU112" s="12">
        <f t="shared" si="73"/>
        <v>30</v>
      </c>
      <c r="VV112" s="12">
        <f t="shared" si="74"/>
        <v>25</v>
      </c>
      <c r="VW112" s="12">
        <f t="shared" si="70"/>
        <v>5</v>
      </c>
      <c r="VX112" s="31" t="s">
        <v>5413</v>
      </c>
      <c r="VY112" s="352">
        <f t="shared" si="75"/>
        <v>5</v>
      </c>
      <c r="VZ112" s="352">
        <f t="shared" si="76"/>
        <v>2</v>
      </c>
      <c r="WA112" s="352">
        <f t="shared" si="76"/>
        <v>6</v>
      </c>
      <c r="WB112" s="352">
        <f t="shared" si="76"/>
        <v>7</v>
      </c>
      <c r="WC112" s="352">
        <f t="shared" si="76"/>
        <v>10</v>
      </c>
      <c r="WD112" s="352">
        <f t="shared" si="71"/>
        <v>30</v>
      </c>
      <c r="WE112" s="353">
        <f t="shared" si="72"/>
        <v>3.5</v>
      </c>
      <c r="WF112" s="353">
        <v>3.4666666666666668</v>
      </c>
      <c r="WG112" s="352">
        <v>5</v>
      </c>
      <c r="WH112" s="352">
        <v>2</v>
      </c>
      <c r="WI112" s="352">
        <v>6</v>
      </c>
      <c r="WJ112" s="352">
        <v>8</v>
      </c>
      <c r="WK112" s="352">
        <v>9</v>
      </c>
      <c r="WL112" s="352">
        <v>30</v>
      </c>
    </row>
    <row r="113" spans="591:610" x14ac:dyDescent="0.25">
      <c r="VS113" s="20">
        <v>0.66666666666666663</v>
      </c>
      <c r="VT113" s="20">
        <f t="shared" si="77"/>
        <v>0.66666666666666663</v>
      </c>
      <c r="VU113" s="12">
        <f t="shared" si="73"/>
        <v>6</v>
      </c>
      <c r="VV113" s="12">
        <f t="shared" si="74"/>
        <v>4</v>
      </c>
      <c r="VW113" s="12">
        <f t="shared" si="70"/>
        <v>2</v>
      </c>
      <c r="VX113" s="31" t="s">
        <v>5414</v>
      </c>
      <c r="VY113" s="352">
        <f t="shared" si="75"/>
        <v>0</v>
      </c>
      <c r="VZ113" s="352">
        <f t="shared" si="76"/>
        <v>3</v>
      </c>
      <c r="WA113" s="352">
        <f t="shared" si="76"/>
        <v>1</v>
      </c>
      <c r="WB113" s="352">
        <f t="shared" si="76"/>
        <v>0</v>
      </c>
      <c r="WC113" s="352">
        <f t="shared" si="76"/>
        <v>2</v>
      </c>
      <c r="WD113" s="352">
        <f t="shared" si="71"/>
        <v>6</v>
      </c>
      <c r="WE113" s="353">
        <f t="shared" si="72"/>
        <v>3.1666666666666665</v>
      </c>
      <c r="WF113" s="353">
        <v>3.1666666666666665</v>
      </c>
      <c r="WG113" s="352">
        <v>0</v>
      </c>
      <c r="WH113" s="352">
        <v>3</v>
      </c>
      <c r="WI113" s="352">
        <v>1</v>
      </c>
      <c r="WJ113" s="352">
        <v>0</v>
      </c>
      <c r="WK113" s="352">
        <v>2</v>
      </c>
      <c r="WL113" s="352">
        <v>6</v>
      </c>
    </row>
    <row r="114" spans="591:610" x14ac:dyDescent="0.25">
      <c r="VS114" s="20">
        <v>0</v>
      </c>
      <c r="VT114" s="20">
        <f t="shared" si="69"/>
        <v>0</v>
      </c>
      <c r="VU114" s="12">
        <f>COUNTIF($VN$2:$VN$72,$VX114)</f>
        <v>0</v>
      </c>
      <c r="VV114" s="12">
        <f t="shared" si="74"/>
        <v>0</v>
      </c>
      <c r="VW114" s="12">
        <f t="shared" si="70"/>
        <v>0</v>
      </c>
      <c r="VX114" s="31" t="s">
        <v>5412</v>
      </c>
      <c r="VY114" s="352">
        <f t="shared" si="75"/>
        <v>0</v>
      </c>
      <c r="VZ114" s="352">
        <f t="shared" si="76"/>
        <v>0</v>
      </c>
      <c r="WA114" s="352">
        <f t="shared" si="76"/>
        <v>0</v>
      </c>
      <c r="WB114" s="352">
        <f t="shared" si="76"/>
        <v>0</v>
      </c>
      <c r="WC114" s="352">
        <f t="shared" si="76"/>
        <v>0</v>
      </c>
      <c r="WD114" s="352">
        <f t="shared" si="71"/>
        <v>0</v>
      </c>
      <c r="WE114" s="353">
        <f t="shared" si="72"/>
        <v>0</v>
      </c>
      <c r="WF114" s="353">
        <v>0</v>
      </c>
      <c r="WG114" s="352">
        <v>0</v>
      </c>
      <c r="WH114" s="352">
        <v>0</v>
      </c>
      <c r="WI114" s="352">
        <v>0</v>
      </c>
      <c r="WJ114" s="352">
        <v>0</v>
      </c>
      <c r="WK114" s="352">
        <v>0</v>
      </c>
      <c r="WL114" s="352">
        <v>0</v>
      </c>
    </row>
    <row r="115" spans="591:610" x14ac:dyDescent="0.25">
      <c r="VX115" s="31"/>
      <c r="VY115" s="359"/>
      <c r="VZ115" s="359"/>
      <c r="WA115" s="359"/>
      <c r="WB115" s="359"/>
      <c r="WC115" s="359"/>
      <c r="WD115" s="359"/>
      <c r="WE115" s="359"/>
      <c r="WF115" s="359"/>
      <c r="WG115" s="359"/>
      <c r="WH115" s="359"/>
      <c r="WI115" s="359"/>
      <c r="WJ115" s="359"/>
      <c r="WK115" s="359"/>
      <c r="WL115" s="359"/>
    </row>
    <row r="116" spans="591:610" x14ac:dyDescent="0.25">
      <c r="VS116" s="20">
        <v>0</v>
      </c>
      <c r="VT116" s="20">
        <f t="shared" ref="VT116:VT126" si="78">IFERROR(VV116/VU116,0)</f>
        <v>1</v>
      </c>
      <c r="VU116" s="12">
        <f t="shared" ref="VU116:VU126" si="79">COUNTIF($VO$2:$VO$72,$VX116)</f>
        <v>1</v>
      </c>
      <c r="VV116" s="12">
        <f t="shared" ref="VV116:VW126" si="80">COUNTIFS($VO$2:$VO$72,$VX116,$VW$2:$VW$72,VV$75)</f>
        <v>1</v>
      </c>
      <c r="VW116" s="12">
        <f t="shared" si="80"/>
        <v>0</v>
      </c>
      <c r="VX116" s="31" t="s">
        <v>5432</v>
      </c>
      <c r="VY116" s="352">
        <f>COUNTIFS($VO$2:$VO$72,$VX116,$VY$2:$VY$72,VY$75)</f>
        <v>0</v>
      </c>
      <c r="VZ116" s="352">
        <f>COUNTIFS($VO$2:$VO$72,$VX116,$VY$2:$VY$72,VZ$75)</f>
        <v>0</v>
      </c>
      <c r="WA116" s="352">
        <f>COUNTIFS($VO$2:$VO$72,$VX116,$VY$2:$VY$72,WA$75)</f>
        <v>0</v>
      </c>
      <c r="WB116" s="352">
        <f>COUNTIFS($VO$2:$VO$72,$VX116,$VY$2:$VY$72,WB$75)</f>
        <v>1</v>
      </c>
      <c r="WC116" s="352">
        <f>COUNTIFS($VO$2:$VO$72,$VX116,$VY$2:$VY$72,WC$75)</f>
        <v>0</v>
      </c>
      <c r="WD116" s="352">
        <f t="shared" ref="WD116:WD126" si="81">SUM(VY116:WC116)</f>
        <v>1</v>
      </c>
      <c r="WE116" s="353">
        <f t="shared" ref="WE116:WE126" si="82">IF(WD116=0,0,SUMPRODUCT($VY$75:$WC$75,VY116:WC116)/WD116)</f>
        <v>4</v>
      </c>
      <c r="WF116" s="353">
        <v>5</v>
      </c>
      <c r="WG116" s="352">
        <v>0</v>
      </c>
      <c r="WH116" s="352">
        <v>0</v>
      </c>
      <c r="WI116" s="352">
        <v>0</v>
      </c>
      <c r="WJ116" s="352">
        <v>0</v>
      </c>
      <c r="WK116" s="352">
        <v>1</v>
      </c>
      <c r="WL116" s="352">
        <v>1</v>
      </c>
    </row>
    <row r="117" spans="591:610" x14ac:dyDescent="0.25">
      <c r="VS117" s="20">
        <v>0</v>
      </c>
      <c r="VT117" s="20">
        <f t="shared" si="78"/>
        <v>0</v>
      </c>
      <c r="VU117" s="12">
        <f t="shared" si="79"/>
        <v>0</v>
      </c>
      <c r="VV117" s="12">
        <f t="shared" si="80"/>
        <v>0</v>
      </c>
      <c r="VW117" s="12">
        <f t="shared" si="80"/>
        <v>0</v>
      </c>
      <c r="VX117" s="31" t="s">
        <v>5433</v>
      </c>
      <c r="VY117" s="352">
        <f t="shared" ref="VY117:WC126" si="83">COUNTIFS($VO$2:$VO$72,$VX117,$VY$2:$VY$72,VY$75)</f>
        <v>0</v>
      </c>
      <c r="VZ117" s="352">
        <f t="shared" si="83"/>
        <v>0</v>
      </c>
      <c r="WA117" s="352">
        <f t="shared" si="83"/>
        <v>0</v>
      </c>
      <c r="WB117" s="352">
        <f t="shared" si="83"/>
        <v>0</v>
      </c>
      <c r="WC117" s="352">
        <f t="shared" si="83"/>
        <v>0</v>
      </c>
      <c r="WD117" s="352">
        <f t="shared" si="81"/>
        <v>0</v>
      </c>
      <c r="WE117" s="353">
        <f t="shared" si="82"/>
        <v>0</v>
      </c>
      <c r="WF117" s="353">
        <v>0</v>
      </c>
      <c r="WG117" s="352">
        <v>0</v>
      </c>
      <c r="WH117" s="352">
        <v>0</v>
      </c>
      <c r="WI117" s="352">
        <v>0</v>
      </c>
      <c r="WJ117" s="352">
        <v>0</v>
      </c>
      <c r="WK117" s="352">
        <v>0</v>
      </c>
      <c r="WL117" s="352">
        <v>0</v>
      </c>
    </row>
    <row r="118" spans="591:610" x14ac:dyDescent="0.25">
      <c r="VS118" s="20">
        <v>0</v>
      </c>
      <c r="VT118" s="20">
        <f t="shared" si="78"/>
        <v>0</v>
      </c>
      <c r="VU118" s="12">
        <f t="shared" si="79"/>
        <v>0</v>
      </c>
      <c r="VV118" s="12">
        <f t="shared" si="80"/>
        <v>0</v>
      </c>
      <c r="VW118" s="12">
        <f t="shared" si="80"/>
        <v>0</v>
      </c>
      <c r="VX118" s="31" t="s">
        <v>5434</v>
      </c>
      <c r="VY118" s="352">
        <f t="shared" si="83"/>
        <v>0</v>
      </c>
      <c r="VZ118" s="352">
        <f t="shared" si="83"/>
        <v>0</v>
      </c>
      <c r="WA118" s="352">
        <f t="shared" si="83"/>
        <v>0</v>
      </c>
      <c r="WB118" s="352">
        <f t="shared" si="83"/>
        <v>0</v>
      </c>
      <c r="WC118" s="352">
        <f t="shared" si="83"/>
        <v>0</v>
      </c>
      <c r="WD118" s="352">
        <f t="shared" si="81"/>
        <v>0</v>
      </c>
      <c r="WE118" s="353">
        <f t="shared" si="82"/>
        <v>0</v>
      </c>
      <c r="WF118" s="353">
        <v>0</v>
      </c>
      <c r="WG118" s="352">
        <v>0</v>
      </c>
      <c r="WH118" s="352">
        <v>0</v>
      </c>
      <c r="WI118" s="352">
        <v>0</v>
      </c>
      <c r="WJ118" s="352">
        <v>0</v>
      </c>
      <c r="WK118" s="352">
        <v>0</v>
      </c>
      <c r="WL118" s="352">
        <v>0</v>
      </c>
    </row>
    <row r="119" spans="591:610" x14ac:dyDescent="0.25">
      <c r="VS119" s="20">
        <v>0</v>
      </c>
      <c r="VT119" s="20">
        <f t="shared" si="78"/>
        <v>0</v>
      </c>
      <c r="VU119" s="12">
        <f t="shared" si="79"/>
        <v>0</v>
      </c>
      <c r="VV119" s="12">
        <f t="shared" si="80"/>
        <v>0</v>
      </c>
      <c r="VW119" s="12">
        <f t="shared" si="80"/>
        <v>0</v>
      </c>
      <c r="VX119" s="31" t="s">
        <v>5435</v>
      </c>
      <c r="VY119" s="352">
        <f t="shared" si="83"/>
        <v>0</v>
      </c>
      <c r="VZ119" s="352">
        <f t="shared" si="83"/>
        <v>0</v>
      </c>
      <c r="WA119" s="352">
        <f t="shared" si="83"/>
        <v>0</v>
      </c>
      <c r="WB119" s="352">
        <f t="shared" si="83"/>
        <v>0</v>
      </c>
      <c r="WC119" s="352">
        <f t="shared" si="83"/>
        <v>0</v>
      </c>
      <c r="WD119" s="352">
        <f t="shared" si="81"/>
        <v>0</v>
      </c>
      <c r="WE119" s="353">
        <f t="shared" si="82"/>
        <v>0</v>
      </c>
      <c r="WF119" s="353">
        <v>0</v>
      </c>
      <c r="WG119" s="352">
        <v>0</v>
      </c>
      <c r="WH119" s="352">
        <v>0</v>
      </c>
      <c r="WI119" s="352">
        <v>0</v>
      </c>
      <c r="WJ119" s="352">
        <v>0</v>
      </c>
      <c r="WK119" s="352">
        <v>0</v>
      </c>
      <c r="WL119" s="352">
        <v>0</v>
      </c>
    </row>
    <row r="120" spans="591:610" x14ac:dyDescent="0.25">
      <c r="VS120" s="20">
        <v>1</v>
      </c>
      <c r="VT120" s="20">
        <f t="shared" si="78"/>
        <v>1</v>
      </c>
      <c r="VU120" s="12">
        <f t="shared" si="79"/>
        <v>3</v>
      </c>
      <c r="VV120" s="12">
        <f t="shared" si="80"/>
        <v>3</v>
      </c>
      <c r="VW120" s="12">
        <f t="shared" si="80"/>
        <v>0</v>
      </c>
      <c r="VX120" s="31" t="s">
        <v>5437</v>
      </c>
      <c r="VY120" s="352">
        <f t="shared" si="83"/>
        <v>1</v>
      </c>
      <c r="VZ120" s="352">
        <f t="shared" si="83"/>
        <v>2</v>
      </c>
      <c r="WA120" s="352">
        <f t="shared" si="83"/>
        <v>0</v>
      </c>
      <c r="WB120" s="352">
        <f t="shared" si="83"/>
        <v>0</v>
      </c>
      <c r="WC120" s="352">
        <f t="shared" si="83"/>
        <v>0</v>
      </c>
      <c r="WD120" s="352">
        <f t="shared" si="81"/>
        <v>3</v>
      </c>
      <c r="WE120" s="353">
        <f t="shared" si="82"/>
        <v>1.6666666666666667</v>
      </c>
      <c r="WF120" s="353">
        <v>1.6666666666666667</v>
      </c>
      <c r="WG120" s="352">
        <v>1</v>
      </c>
      <c r="WH120" s="352">
        <v>2</v>
      </c>
      <c r="WI120" s="352">
        <v>0</v>
      </c>
      <c r="WJ120" s="352">
        <v>0</v>
      </c>
      <c r="WK120" s="352">
        <v>0</v>
      </c>
      <c r="WL120" s="352">
        <v>3</v>
      </c>
    </row>
    <row r="121" spans="591:610" x14ac:dyDescent="0.25">
      <c r="VS121" s="20">
        <v>0</v>
      </c>
      <c r="VT121" s="20">
        <f t="shared" si="78"/>
        <v>0</v>
      </c>
      <c r="VU121" s="12">
        <f t="shared" si="79"/>
        <v>0</v>
      </c>
      <c r="VV121" s="12">
        <f t="shared" si="80"/>
        <v>0</v>
      </c>
      <c r="VW121" s="12">
        <f t="shared" si="80"/>
        <v>0</v>
      </c>
      <c r="VX121" s="31" t="s">
        <v>5436</v>
      </c>
      <c r="VY121" s="352">
        <f t="shared" si="83"/>
        <v>0</v>
      </c>
      <c r="VZ121" s="352">
        <f t="shared" si="83"/>
        <v>0</v>
      </c>
      <c r="WA121" s="352">
        <f t="shared" si="83"/>
        <v>0</v>
      </c>
      <c r="WB121" s="352">
        <f t="shared" si="83"/>
        <v>0</v>
      </c>
      <c r="WC121" s="352">
        <f t="shared" si="83"/>
        <v>0</v>
      </c>
      <c r="WD121" s="352">
        <f t="shared" si="81"/>
        <v>0</v>
      </c>
      <c r="WE121" s="353">
        <f t="shared" si="82"/>
        <v>0</v>
      </c>
      <c r="WF121" s="353">
        <v>0</v>
      </c>
      <c r="WG121" s="352">
        <v>0</v>
      </c>
      <c r="WH121" s="352">
        <v>0</v>
      </c>
      <c r="WI121" s="352">
        <v>0</v>
      </c>
      <c r="WJ121" s="352">
        <v>0</v>
      </c>
      <c r="WK121" s="352">
        <v>0</v>
      </c>
      <c r="WL121" s="352">
        <v>0</v>
      </c>
    </row>
    <row r="122" spans="591:610" x14ac:dyDescent="0.25">
      <c r="VS122" s="20">
        <v>0.7142857142857143</v>
      </c>
      <c r="VT122" s="20">
        <f t="shared" si="78"/>
        <v>0.7142857142857143</v>
      </c>
      <c r="VU122" s="12">
        <f t="shared" si="79"/>
        <v>7</v>
      </c>
      <c r="VV122" s="12">
        <f t="shared" si="80"/>
        <v>5</v>
      </c>
      <c r="VW122" s="12">
        <f t="shared" si="80"/>
        <v>2</v>
      </c>
      <c r="VX122" s="31" t="s">
        <v>5438</v>
      </c>
      <c r="VY122" s="352">
        <f t="shared" si="83"/>
        <v>0</v>
      </c>
      <c r="VZ122" s="352">
        <f t="shared" si="83"/>
        <v>2</v>
      </c>
      <c r="WA122" s="352">
        <f t="shared" si="83"/>
        <v>2</v>
      </c>
      <c r="WB122" s="352">
        <f t="shared" si="83"/>
        <v>1</v>
      </c>
      <c r="WC122" s="352">
        <f t="shared" si="83"/>
        <v>2</v>
      </c>
      <c r="WD122" s="352">
        <f t="shared" si="81"/>
        <v>7</v>
      </c>
      <c r="WE122" s="353">
        <f t="shared" si="82"/>
        <v>3.4285714285714284</v>
      </c>
      <c r="WF122" s="353">
        <v>3.4285714285714284</v>
      </c>
      <c r="WG122" s="352">
        <v>0</v>
      </c>
      <c r="WH122" s="352">
        <v>2</v>
      </c>
      <c r="WI122" s="352">
        <v>2</v>
      </c>
      <c r="WJ122" s="352">
        <v>1</v>
      </c>
      <c r="WK122" s="352">
        <v>2</v>
      </c>
      <c r="WL122" s="352">
        <v>7</v>
      </c>
    </row>
    <row r="123" spans="591:610" x14ac:dyDescent="0.25">
      <c r="VS123" s="20">
        <v>0</v>
      </c>
      <c r="VT123" s="20">
        <f t="shared" si="78"/>
        <v>0</v>
      </c>
      <c r="VU123" s="12">
        <f t="shared" si="79"/>
        <v>0</v>
      </c>
      <c r="VV123" s="12">
        <f t="shared" si="80"/>
        <v>0</v>
      </c>
      <c r="VW123" s="12">
        <f t="shared" si="80"/>
        <v>0</v>
      </c>
      <c r="VX123" s="31" t="s">
        <v>5439</v>
      </c>
      <c r="VY123" s="352">
        <f t="shared" si="83"/>
        <v>0</v>
      </c>
      <c r="VZ123" s="352">
        <f t="shared" si="83"/>
        <v>0</v>
      </c>
      <c r="WA123" s="352">
        <f t="shared" si="83"/>
        <v>0</v>
      </c>
      <c r="WB123" s="352">
        <f t="shared" si="83"/>
        <v>0</v>
      </c>
      <c r="WC123" s="352">
        <f t="shared" si="83"/>
        <v>0</v>
      </c>
      <c r="WD123" s="352">
        <f t="shared" si="81"/>
        <v>0</v>
      </c>
      <c r="WE123" s="353">
        <f t="shared" si="82"/>
        <v>0</v>
      </c>
      <c r="WF123" s="353">
        <v>0</v>
      </c>
      <c r="WG123" s="352">
        <v>0</v>
      </c>
      <c r="WH123" s="352">
        <v>0</v>
      </c>
      <c r="WI123" s="352">
        <v>0</v>
      </c>
      <c r="WJ123" s="352">
        <v>0</v>
      </c>
      <c r="WK123" s="352">
        <v>0</v>
      </c>
      <c r="WL123" s="352">
        <v>0</v>
      </c>
    </row>
    <row r="124" spans="591:610" x14ac:dyDescent="0.25">
      <c r="VS124" s="20">
        <v>0.8666666666666667</v>
      </c>
      <c r="VT124" s="20">
        <f t="shared" si="78"/>
        <v>0.83333333333333337</v>
      </c>
      <c r="VU124" s="12">
        <f t="shared" si="79"/>
        <v>30</v>
      </c>
      <c r="VV124" s="12">
        <f t="shared" si="80"/>
        <v>25</v>
      </c>
      <c r="VW124" s="12">
        <f t="shared" si="80"/>
        <v>5</v>
      </c>
      <c r="VX124" s="31" t="s">
        <v>5440</v>
      </c>
      <c r="VY124" s="352">
        <f t="shared" si="83"/>
        <v>5</v>
      </c>
      <c r="VZ124" s="352">
        <f t="shared" si="83"/>
        <v>2</v>
      </c>
      <c r="WA124" s="352">
        <f t="shared" si="83"/>
        <v>6</v>
      </c>
      <c r="WB124" s="352">
        <f t="shared" si="83"/>
        <v>7</v>
      </c>
      <c r="WC124" s="352">
        <f t="shared" si="83"/>
        <v>10</v>
      </c>
      <c r="WD124" s="352">
        <f t="shared" si="81"/>
        <v>30</v>
      </c>
      <c r="WE124" s="353">
        <f t="shared" si="82"/>
        <v>3.5</v>
      </c>
      <c r="WF124" s="353">
        <v>3.4666666666666668</v>
      </c>
      <c r="WG124" s="352">
        <v>5</v>
      </c>
      <c r="WH124" s="352">
        <v>2</v>
      </c>
      <c r="WI124" s="352">
        <v>6</v>
      </c>
      <c r="WJ124" s="352">
        <v>8</v>
      </c>
      <c r="WK124" s="352">
        <v>9</v>
      </c>
      <c r="WL124" s="352">
        <v>30</v>
      </c>
    </row>
    <row r="125" spans="591:610" x14ac:dyDescent="0.25">
      <c r="VS125" s="20">
        <v>0.66666666666666663</v>
      </c>
      <c r="VT125" s="20">
        <f t="shared" si="78"/>
        <v>0.66666666666666663</v>
      </c>
      <c r="VU125" s="12">
        <f t="shared" si="79"/>
        <v>6</v>
      </c>
      <c r="VV125" s="12">
        <f t="shared" si="80"/>
        <v>4</v>
      </c>
      <c r="VW125" s="12">
        <f t="shared" si="80"/>
        <v>2</v>
      </c>
      <c r="VX125" s="31" t="s">
        <v>5441</v>
      </c>
      <c r="VY125" s="352">
        <f t="shared" si="83"/>
        <v>0</v>
      </c>
      <c r="VZ125" s="352">
        <f t="shared" si="83"/>
        <v>3</v>
      </c>
      <c r="WA125" s="352">
        <f t="shared" si="83"/>
        <v>1</v>
      </c>
      <c r="WB125" s="352">
        <f t="shared" si="83"/>
        <v>0</v>
      </c>
      <c r="WC125" s="352">
        <f t="shared" si="83"/>
        <v>2</v>
      </c>
      <c r="WD125" s="352">
        <f t="shared" si="81"/>
        <v>6</v>
      </c>
      <c r="WE125" s="353">
        <f t="shared" si="82"/>
        <v>3.1666666666666665</v>
      </c>
      <c r="WF125" s="353">
        <v>3.1666666666666665</v>
      </c>
      <c r="WG125" s="352">
        <v>0</v>
      </c>
      <c r="WH125" s="352">
        <v>3</v>
      </c>
      <c r="WI125" s="352">
        <v>1</v>
      </c>
      <c r="WJ125" s="352">
        <v>0</v>
      </c>
      <c r="WK125" s="352">
        <v>2</v>
      </c>
      <c r="WL125" s="352">
        <v>6</v>
      </c>
    </row>
    <row r="126" spans="591:610" x14ac:dyDescent="0.25">
      <c r="VS126" s="20">
        <v>0</v>
      </c>
      <c r="VT126" s="20">
        <f t="shared" si="78"/>
        <v>0</v>
      </c>
      <c r="VU126" s="12">
        <f t="shared" si="79"/>
        <v>0</v>
      </c>
      <c r="VV126" s="12">
        <f t="shared" si="80"/>
        <v>0</v>
      </c>
      <c r="VW126" s="12">
        <f t="shared" si="80"/>
        <v>0</v>
      </c>
      <c r="VX126" s="31" t="s">
        <v>5442</v>
      </c>
      <c r="VY126" s="352">
        <f t="shared" si="83"/>
        <v>0</v>
      </c>
      <c r="VZ126" s="352">
        <f t="shared" si="83"/>
        <v>0</v>
      </c>
      <c r="WA126" s="352">
        <f t="shared" si="83"/>
        <v>0</v>
      </c>
      <c r="WB126" s="352">
        <f t="shared" si="83"/>
        <v>0</v>
      </c>
      <c r="WC126" s="352">
        <f t="shared" si="83"/>
        <v>0</v>
      </c>
      <c r="WD126" s="352">
        <f t="shared" si="81"/>
        <v>0</v>
      </c>
      <c r="WE126" s="353">
        <f t="shared" si="82"/>
        <v>0</v>
      </c>
      <c r="WF126" s="353">
        <v>0</v>
      </c>
      <c r="WG126" s="352">
        <v>0</v>
      </c>
      <c r="WH126" s="352">
        <v>0</v>
      </c>
      <c r="WI126" s="352">
        <v>0</v>
      </c>
      <c r="WJ126" s="352">
        <v>0</v>
      </c>
      <c r="WK126" s="352">
        <v>0</v>
      </c>
      <c r="WL126" s="352">
        <v>0</v>
      </c>
    </row>
    <row r="127" spans="591:610" x14ac:dyDescent="0.25">
      <c r="VX127" s="31"/>
      <c r="VY127" s="359"/>
      <c r="VZ127" s="359"/>
      <c r="WA127" s="359"/>
      <c r="WB127" s="359"/>
      <c r="WC127" s="359"/>
      <c r="WD127" s="359"/>
      <c r="WE127" s="359"/>
      <c r="WF127" s="359"/>
      <c r="WG127" s="359"/>
      <c r="WH127" s="359"/>
      <c r="WI127" s="359"/>
      <c r="WJ127" s="359"/>
      <c r="WK127" s="359"/>
      <c r="WL127" s="359"/>
    </row>
    <row r="128" spans="591:610" x14ac:dyDescent="0.25">
      <c r="VX128" s="31"/>
      <c r="VY128" s="359"/>
      <c r="VZ128" s="359"/>
      <c r="WA128" s="359"/>
      <c r="WB128" s="359"/>
      <c r="WC128" s="359"/>
      <c r="WD128" s="359"/>
      <c r="WE128" s="359"/>
      <c r="WF128" s="359"/>
      <c r="WG128" s="359"/>
      <c r="WH128" s="359"/>
      <c r="WI128" s="359"/>
      <c r="WJ128" s="359"/>
      <c r="WK128" s="359"/>
      <c r="WL128" s="359"/>
    </row>
    <row r="129" spans="591:610" x14ac:dyDescent="0.25">
      <c r="VS129" s="12"/>
      <c r="VT129" s="12"/>
      <c r="VU129" s="12"/>
      <c r="VV129" s="12"/>
      <c r="VW129" s="12"/>
      <c r="VX129" s="31" t="s">
        <v>2636</v>
      </c>
      <c r="VY129" s="359"/>
      <c r="VZ129" s="359"/>
      <c r="WA129" s="359"/>
      <c r="WB129" s="359"/>
      <c r="WC129" s="359"/>
      <c r="WD129" s="359"/>
      <c r="WE129" s="359"/>
      <c r="WF129" s="359"/>
      <c r="WG129" s="359"/>
      <c r="WH129" s="359"/>
      <c r="WI129" s="359"/>
      <c r="WJ129" s="359"/>
      <c r="WK129" s="359"/>
      <c r="WL129" s="359"/>
    </row>
    <row r="130" spans="591:610" x14ac:dyDescent="0.25">
      <c r="VS130" s="21">
        <v>0.66666666666666663</v>
      </c>
      <c r="VT130" s="21">
        <f t="shared" ref="VT130:VT136" si="84">IF(VU130=0,0,VV130/VU130)</f>
        <v>0.66666666666666663</v>
      </c>
      <c r="VU130" s="12">
        <f t="shared" ref="VU130:VU136" si="85">VW130+VV130</f>
        <v>9</v>
      </c>
      <c r="VV130" s="23">
        <f>COUNTIFS($VW$2:$VW$72,VV$75,$VM$2:$VM$72,"&lt;="&amp;$VX130)</f>
        <v>6</v>
      </c>
      <c r="VW130" s="23">
        <f>COUNTIFS($VW$2:$VW$72,VW$75,$VM$2:$VM$72,"&lt;="&amp;$VX130)</f>
        <v>3</v>
      </c>
      <c r="VX130" s="47">
        <v>1</v>
      </c>
      <c r="VY130" s="352">
        <f>COUNTIFS($VY$2:$VY$72,VY$75,$VM$2:$VM$72,"&lt;="&amp;$VX130)</f>
        <v>0</v>
      </c>
      <c r="VZ130" s="352">
        <f>COUNTIFS($VY$2:$VY$72,VZ$75,$VM$2:$VM$72,"&lt;="&amp;$VX130)</f>
        <v>0</v>
      </c>
      <c r="WA130" s="352">
        <f>COUNTIFS($VY$2:$VY$72,WA$75,$VM$2:$VM$72,"&lt;="&amp;$VX130)</f>
        <v>2</v>
      </c>
      <c r="WB130" s="352">
        <f>COUNTIFS($VY$2:$VY$72,WB$75,$VM$2:$VM$72,"&lt;="&amp;$VX130)</f>
        <v>1</v>
      </c>
      <c r="WC130" s="352">
        <f>COUNTIFS($VY$2:$VY$72,WC$75,$VM$2:$VM$72,"&lt;="&amp;$VX130)</f>
        <v>6</v>
      </c>
      <c r="WD130" s="352">
        <f t="shared" ref="WD130:WD136" si="86">SUM(VY130:WC130)</f>
        <v>9</v>
      </c>
      <c r="WE130" s="353">
        <f t="shared" ref="WE130:WE136" si="87">IF(WD130=0,0,SUMPRODUCT($VY$75:$WC$75,VY130:WC130)/WD130)</f>
        <v>4.4444444444444446</v>
      </c>
      <c r="WF130" s="353">
        <v>4.333333333333333</v>
      </c>
      <c r="WG130" s="352">
        <v>0</v>
      </c>
      <c r="WH130" s="352">
        <v>0</v>
      </c>
      <c r="WI130" s="352">
        <v>2</v>
      </c>
      <c r="WJ130" s="352">
        <v>2</v>
      </c>
      <c r="WK130" s="352">
        <v>5</v>
      </c>
      <c r="WL130" s="352">
        <v>9</v>
      </c>
    </row>
    <row r="131" spans="591:610" x14ac:dyDescent="0.25">
      <c r="VS131" s="21">
        <v>0.90909090909090906</v>
      </c>
      <c r="VT131" s="21">
        <f t="shared" si="84"/>
        <v>0.81818181818181823</v>
      </c>
      <c r="VU131" s="12">
        <f t="shared" si="85"/>
        <v>11</v>
      </c>
      <c r="VV131" s="23">
        <f>MAX(0,COUNTIFS($VW$2:$VW$72,VV$75,$VM$2:$VM$72,"&lt;="&amp;$VX131)-SUM(VV$130:VV130))</f>
        <v>9</v>
      </c>
      <c r="VW131" s="23">
        <f>MAX(0,COUNTIFS($VW$2:$VW$72,VW$75,$VM$2:$VM$72,"&lt;="&amp;$VX131)-SUM(VW$130:VW130))</f>
        <v>2</v>
      </c>
      <c r="VX131" s="47">
        <f>VX130+0.25</f>
        <v>1.25</v>
      </c>
      <c r="VY131" s="352">
        <f>MAX(0,COUNTIFS($VY$2:$VY$72,VY$75,$VM$2:$VM$72,"&lt;="&amp;$VX131)-SUM(VY$130:VY130))</f>
        <v>3</v>
      </c>
      <c r="VZ131" s="352">
        <f>MAX(0,COUNTIFS($VY$2:$VY$72,VZ$75,$VM$2:$VM$72,"&lt;="&amp;$VX131)-SUM(VZ$130:VZ130))</f>
        <v>3</v>
      </c>
      <c r="WA131" s="352">
        <f>MAX(0,COUNTIFS($VY$2:$VY$72,WA$75,$VM$2:$VM$72,"&lt;="&amp;$VX131)-SUM(WA$130:WA130))</f>
        <v>0</v>
      </c>
      <c r="WB131" s="352">
        <f>MAX(0,COUNTIFS($VY$2:$VY$72,WB$75,$VM$2:$VM$72,"&lt;="&amp;$VX131)-SUM(WB$130:WB130))</f>
        <v>2</v>
      </c>
      <c r="WC131" s="352">
        <f>MAX(0,COUNTIFS($VY$2:$VY$72,WC$75,$VM$2:$VM$72,"&lt;="&amp;$VX131)-SUM(WC$130:WC130))</f>
        <v>3</v>
      </c>
      <c r="WD131" s="352">
        <f t="shared" si="86"/>
        <v>11</v>
      </c>
      <c r="WE131" s="353">
        <f t="shared" si="87"/>
        <v>2.9090909090909092</v>
      </c>
      <c r="WF131" s="353">
        <v>2.9090909090909092</v>
      </c>
      <c r="WG131" s="352">
        <v>3</v>
      </c>
      <c r="WH131" s="352">
        <v>3</v>
      </c>
      <c r="WI131" s="352">
        <v>0</v>
      </c>
      <c r="WJ131" s="352">
        <v>2</v>
      </c>
      <c r="WK131" s="352">
        <v>3</v>
      </c>
      <c r="WL131" s="352">
        <v>11</v>
      </c>
    </row>
    <row r="132" spans="591:610" x14ac:dyDescent="0.25">
      <c r="VS132" s="21">
        <v>0.88888888888888884</v>
      </c>
      <c r="VT132" s="21">
        <f t="shared" si="84"/>
        <v>0.94444444444444442</v>
      </c>
      <c r="VU132" s="12">
        <f t="shared" si="85"/>
        <v>18</v>
      </c>
      <c r="VV132" s="23">
        <f>MAX(0,COUNTIFS($VW$2:$VW$72,VV$75,$VM$2:$VM$72,"&lt;="&amp;$VX132)-SUM(VV$130:VV131))</f>
        <v>17</v>
      </c>
      <c r="VW132" s="23">
        <f>MAX(0,COUNTIFS($VW$2:$VW$72,VW$75,$VM$2:$VM$72,"&lt;="&amp;$VX132)-SUM(VW$130:VW131))</f>
        <v>1</v>
      </c>
      <c r="VX132" s="47">
        <f>VX131+0.25</f>
        <v>1.5</v>
      </c>
      <c r="VY132" s="352">
        <f>MAX(0,COUNTIFS($VY$2:$VY$72,VY$75,$VM$2:$VM$72,"&lt;="&amp;$VX132)-SUM(VY$130:VY131))</f>
        <v>3</v>
      </c>
      <c r="VZ132" s="352">
        <f>MAX(0,COUNTIFS($VY$2:$VY$72,VZ$75,$VM$2:$VM$72,"&lt;="&amp;$VX132)-SUM(VZ$130:VZ131))</f>
        <v>3</v>
      </c>
      <c r="WA132" s="352">
        <f>MAX(0,COUNTIFS($VY$2:$VY$72,WA$75,$VM$2:$VM$72,"&lt;="&amp;$VX132)-SUM(WA$130:WA131))</f>
        <v>4</v>
      </c>
      <c r="WB132" s="352">
        <f>MAX(0,COUNTIFS($VY$2:$VY$72,WB$75,$VM$2:$VM$72,"&lt;="&amp;$VX132)-SUM(WB$130:WB131))</f>
        <v>6</v>
      </c>
      <c r="WC132" s="352">
        <f>MAX(0,COUNTIFS($VY$2:$VY$72,WC$75,$VM$2:$VM$72,"&lt;="&amp;$VX132)-SUM(WC$130:WC131))</f>
        <v>2</v>
      </c>
      <c r="WD132" s="352">
        <f t="shared" si="86"/>
        <v>18</v>
      </c>
      <c r="WE132" s="353">
        <f t="shared" si="87"/>
        <v>3.0555555555555554</v>
      </c>
      <c r="WF132" s="353">
        <v>3.1111111111111112</v>
      </c>
      <c r="WG132" s="352">
        <v>3</v>
      </c>
      <c r="WH132" s="352">
        <v>3</v>
      </c>
      <c r="WI132" s="352">
        <v>4</v>
      </c>
      <c r="WJ132" s="352">
        <v>5</v>
      </c>
      <c r="WK132" s="352">
        <v>3</v>
      </c>
      <c r="WL132" s="352">
        <v>18</v>
      </c>
    </row>
    <row r="133" spans="591:610" x14ac:dyDescent="0.25">
      <c r="VS133" s="21">
        <v>0.75</v>
      </c>
      <c r="VT133" s="21">
        <f t="shared" si="84"/>
        <v>0.75</v>
      </c>
      <c r="VU133" s="12">
        <f t="shared" si="85"/>
        <v>4</v>
      </c>
      <c r="VV133" s="23">
        <f>MAX(0,COUNTIFS($VW$2:$VW$72,VV$75,$VM$2:$VM$72,"&lt;="&amp;$VX133)-SUM(VV$130:VV132))</f>
        <v>3</v>
      </c>
      <c r="VW133" s="23">
        <f>MAX(0,COUNTIFS($VW$2:$VW$72,VW$75,$VM$2:$VM$72,"&lt;="&amp;$VX133)-SUM(VW$130:VW132))</f>
        <v>1</v>
      </c>
      <c r="VX133" s="47">
        <f>VX132+0.25</f>
        <v>1.75</v>
      </c>
      <c r="VY133" s="352">
        <f>MAX(0,COUNTIFS($VY$2:$VY$72,VY$75,$VM$2:$VM$72,"&lt;="&amp;$VX133)-SUM(VY$130:VY132))</f>
        <v>0</v>
      </c>
      <c r="VZ133" s="352">
        <f>MAX(0,COUNTIFS($VY$2:$VY$72,VZ$75,$VM$2:$VM$72,"&lt;="&amp;$VX133)-SUM(VZ$130:VZ132))</f>
        <v>1</v>
      </c>
      <c r="WA133" s="352">
        <f>MAX(0,COUNTIFS($VY$2:$VY$72,WA$75,$VM$2:$VM$72,"&lt;="&amp;$VX133)-SUM(WA$130:WA132))</f>
        <v>2</v>
      </c>
      <c r="WB133" s="352">
        <f>MAX(0,COUNTIFS($VY$2:$VY$72,WB$75,$VM$2:$VM$72,"&lt;="&amp;$VX133)-SUM(WB$130:WB132))</f>
        <v>0</v>
      </c>
      <c r="WC133" s="352">
        <f>MAX(0,COUNTIFS($VY$2:$VY$72,WC$75,$VM$2:$VM$72,"&lt;="&amp;$VX133)-SUM(WC$130:WC132))</f>
        <v>1</v>
      </c>
      <c r="WD133" s="352">
        <f t="shared" si="86"/>
        <v>4</v>
      </c>
      <c r="WE133" s="353">
        <f t="shared" si="87"/>
        <v>3.25</v>
      </c>
      <c r="WF133" s="353">
        <v>3.25</v>
      </c>
      <c r="WG133" s="352">
        <v>0</v>
      </c>
      <c r="WH133" s="352">
        <v>1</v>
      </c>
      <c r="WI133" s="352">
        <v>2</v>
      </c>
      <c r="WJ133" s="352">
        <v>0</v>
      </c>
      <c r="WK133" s="352">
        <v>1</v>
      </c>
      <c r="WL133" s="352">
        <v>4</v>
      </c>
    </row>
    <row r="134" spans="591:610" x14ac:dyDescent="0.25">
      <c r="VS134" s="21">
        <v>0.33333333333333331</v>
      </c>
      <c r="VT134" s="21">
        <f t="shared" si="84"/>
        <v>0.33333333333333331</v>
      </c>
      <c r="VU134" s="12">
        <f t="shared" si="85"/>
        <v>3</v>
      </c>
      <c r="VV134" s="23">
        <f>MAX(0,COUNTIFS($VW$2:$VW$72,VV$75,$VM$2:$VM$72,"&lt;="&amp;$VX134)-SUM(VV$130:VV133))</f>
        <v>1</v>
      </c>
      <c r="VW134" s="23">
        <f>MAX(0,COUNTIFS($VW$2:$VW$72,VW$75,$VM$2:$VM$72,"&lt;="&amp;$VX134)-SUM(VW$130:VW133))</f>
        <v>2</v>
      </c>
      <c r="VX134" s="47">
        <f>VX133+0.25</f>
        <v>2</v>
      </c>
      <c r="VY134" s="352">
        <f>MAX(0,COUNTIFS($VY$2:$VY$72,VY$75,$VM$2:$VM$72,"&lt;="&amp;$VX134)-SUM(VY$130:VY133))</f>
        <v>0</v>
      </c>
      <c r="VZ134" s="352">
        <f>MAX(0,COUNTIFS($VY$2:$VY$72,VZ$75,$VM$2:$VM$72,"&lt;="&amp;$VX134)-SUM(VZ$130:VZ133))</f>
        <v>0</v>
      </c>
      <c r="WA134" s="352">
        <f>MAX(0,COUNTIFS($VY$2:$VY$72,WA$75,$VM$2:$VM$72,"&lt;="&amp;$VX134)-SUM(WA$130:WA133))</f>
        <v>1</v>
      </c>
      <c r="WB134" s="352">
        <f>MAX(0,COUNTIFS($VY$2:$VY$72,WB$75,$VM$2:$VM$72,"&lt;="&amp;$VX134)-SUM(WB$130:WB133))</f>
        <v>0</v>
      </c>
      <c r="WC134" s="352">
        <f>MAX(0,COUNTIFS($VY$2:$VY$72,WC$75,$VM$2:$VM$72,"&lt;="&amp;$VX134)-SUM(WC$130:WC133))</f>
        <v>2</v>
      </c>
      <c r="WD134" s="352">
        <f t="shared" si="86"/>
        <v>3</v>
      </c>
      <c r="WE134" s="353">
        <f t="shared" si="87"/>
        <v>4.333333333333333</v>
      </c>
      <c r="WF134" s="353">
        <v>4.333333333333333</v>
      </c>
      <c r="WG134" s="352">
        <v>0</v>
      </c>
      <c r="WH134" s="352">
        <v>0</v>
      </c>
      <c r="WI134" s="352">
        <v>1</v>
      </c>
      <c r="WJ134" s="352">
        <v>0</v>
      </c>
      <c r="WK134" s="352">
        <v>2</v>
      </c>
      <c r="WL134" s="352">
        <v>3</v>
      </c>
    </row>
    <row r="135" spans="591:610" x14ac:dyDescent="0.25">
      <c r="VS135" s="21">
        <v>1</v>
      </c>
      <c r="VT135" s="21">
        <f t="shared" si="84"/>
        <v>1</v>
      </c>
      <c r="VU135" s="12">
        <f t="shared" ref="VU135" si="88">VW135+VV135</f>
        <v>2</v>
      </c>
      <c r="VV135" s="23">
        <f>MAX(0,COUNTIFS($VW$2:$VW$72,VV$75,$VM$2:$VM$72,"&lt;="&amp;$VX135)-SUM(VV$130:VV134))</f>
        <v>2</v>
      </c>
      <c r="VW135" s="23">
        <f>MAX(0,COUNTIFS($VW$2:$VW$72,VW$75,$VM$2:$VM$72,"&lt;="&amp;$VX135)-SUM(VW$130:VW134))</f>
        <v>0</v>
      </c>
      <c r="VX135" s="47">
        <f>VX134+0.25</f>
        <v>2.25</v>
      </c>
      <c r="VY135" s="352">
        <f>MAX(0,COUNTIFS($VY$2:$VY$72,VY$75,$VM$2:$VM$72,"&lt;="&amp;$VX135)-SUM(VY$130:VY134))</f>
        <v>0</v>
      </c>
      <c r="VZ135" s="352">
        <f>MAX(0,COUNTIFS($VY$2:$VY$72,VZ$75,$VM$2:$VM$72,"&lt;="&amp;$VX135)-SUM(VZ$130:VZ134))</f>
        <v>2</v>
      </c>
      <c r="WA135" s="352">
        <f>MAX(0,COUNTIFS($VY$2:$VY$72,WA$75,$VM$2:$VM$72,"&lt;="&amp;$VX135)-SUM(WA$130:WA134))</f>
        <v>0</v>
      </c>
      <c r="WB135" s="352">
        <f>MAX(0,COUNTIFS($VY$2:$VY$72,WB$75,$VM$2:$VM$72,"&lt;="&amp;$VX135)-SUM(WB$130:WB134))</f>
        <v>0</v>
      </c>
      <c r="WC135" s="352">
        <f>MAX(0,COUNTIFS($VY$2:$VY$72,WC$75,$VM$2:$VM$72,"&lt;="&amp;$VX135)-SUM(WC$130:WC134))</f>
        <v>0</v>
      </c>
      <c r="WD135" s="352">
        <f t="shared" si="86"/>
        <v>2</v>
      </c>
      <c r="WE135" s="353">
        <f t="shared" si="87"/>
        <v>2</v>
      </c>
      <c r="WF135" s="353">
        <v>2</v>
      </c>
      <c r="WG135" s="352">
        <v>0</v>
      </c>
      <c r="WH135" s="352">
        <v>2</v>
      </c>
      <c r="WI135" s="352">
        <v>0</v>
      </c>
      <c r="WJ135" s="352">
        <v>0</v>
      </c>
      <c r="WK135" s="352">
        <v>0</v>
      </c>
      <c r="WL135" s="352">
        <v>2</v>
      </c>
    </row>
    <row r="136" spans="591:610" x14ac:dyDescent="0.25">
      <c r="VS136" s="21">
        <v>0</v>
      </c>
      <c r="VT136" s="21">
        <f t="shared" si="84"/>
        <v>0</v>
      </c>
      <c r="VU136" s="12">
        <f t="shared" si="85"/>
        <v>0</v>
      </c>
      <c r="VV136" s="23">
        <f>MAX(0,COUNTIFS($VW$2:$VW$72,VV$75,$VM$2:$VM$72,"&lt;="&amp;$VX136)-SUM(VV$130:VV135))</f>
        <v>0</v>
      </c>
      <c r="VW136" s="23">
        <f>MAX(0,COUNTIFS($VW$2:$VW$72,VW$75,$VM$2:$VM$72,"&lt;="&amp;$VX136)-SUM(VW$130:VW135))</f>
        <v>0</v>
      </c>
      <c r="VX136" s="47" t="str">
        <f>IF(MAX(VM2:VM72)&gt;VX135,MAX(VM2:VM72),"NA")</f>
        <v>NA</v>
      </c>
      <c r="VY136" s="352">
        <f>MAX(0,COUNTIFS($VY$2:$VY$72,VY$75,$VM$2:$VM$72,"&lt;="&amp;$VX136)-SUM(VY$130:VY135))</f>
        <v>0</v>
      </c>
      <c r="VZ136" s="352">
        <f>MAX(0,COUNTIFS($VY$2:$VY$72,VZ$75,$VM$2:$VM$72,"&lt;="&amp;$VX136)-SUM(VZ$130:VZ135))</f>
        <v>0</v>
      </c>
      <c r="WA136" s="352">
        <f>MAX(0,COUNTIFS($VY$2:$VY$72,WA$75,$VM$2:$VM$72,"&lt;="&amp;$VX136)-SUM(WA$130:WA135))</f>
        <v>0</v>
      </c>
      <c r="WB136" s="352">
        <f>MAX(0,COUNTIFS($VY$2:$VY$72,WB$75,$VM$2:$VM$72,"&lt;="&amp;$VX136)-SUM(WB$130:WB135))</f>
        <v>0</v>
      </c>
      <c r="WC136" s="352">
        <f>MAX(0,COUNTIFS($VY$2:$VY$72,WC$75,$VM$2:$VM$72,"&lt;="&amp;$VX136)-SUM(WC$130:WC135))</f>
        <v>0</v>
      </c>
      <c r="WD136" s="352">
        <f t="shared" si="86"/>
        <v>0</v>
      </c>
      <c r="WE136" s="353">
        <f t="shared" si="87"/>
        <v>0</v>
      </c>
      <c r="WF136" s="353">
        <v>0</v>
      </c>
      <c r="WG136" s="352">
        <v>0</v>
      </c>
      <c r="WH136" s="352">
        <v>0</v>
      </c>
      <c r="WI136" s="352">
        <v>0</v>
      </c>
      <c r="WJ136" s="352">
        <v>0</v>
      </c>
      <c r="WK136" s="352">
        <v>0</v>
      </c>
      <c r="WL136" s="352">
        <v>0</v>
      </c>
    </row>
    <row r="137" spans="591:610" x14ac:dyDescent="0.25">
      <c r="VX137" s="31"/>
      <c r="VY137" s="359"/>
      <c r="VZ137" s="359"/>
      <c r="WA137" s="359"/>
      <c r="WB137" s="359"/>
      <c r="WC137" s="359"/>
      <c r="WD137" s="359"/>
      <c r="WE137" s="359"/>
      <c r="WF137" s="359"/>
      <c r="WG137" s="359"/>
      <c r="WH137" s="359"/>
      <c r="WI137" s="359"/>
      <c r="WJ137" s="359"/>
      <c r="WK137" s="359"/>
      <c r="WL137" s="359"/>
    </row>
    <row r="138" spans="591:610" x14ac:dyDescent="0.25">
      <c r="VS138" s="452" t="s">
        <v>2638</v>
      </c>
      <c r="VT138" s="451"/>
      <c r="VU138" s="290"/>
      <c r="VV138" s="452" t="s">
        <v>2639</v>
      </c>
      <c r="VW138" s="451"/>
      <c r="VX138" s="292"/>
      <c r="VY138" s="452" t="s">
        <v>2639</v>
      </c>
      <c r="VZ138" s="450"/>
      <c r="WA138" s="450"/>
      <c r="WB138" s="450"/>
      <c r="WC138" s="451"/>
      <c r="WD138" s="450" t="s">
        <v>2638</v>
      </c>
      <c r="WE138" s="450"/>
      <c r="WF138" s="450"/>
      <c r="WG138" s="450"/>
      <c r="WH138" s="451"/>
      <c r="WI138" s="9"/>
      <c r="WJ138" s="9"/>
      <c r="WK138" s="9"/>
      <c r="WL138" s="9"/>
    </row>
    <row r="139" spans="591:610" x14ac:dyDescent="0.25">
      <c r="VS139" s="353">
        <v>1.6758817921830313</v>
      </c>
      <c r="VT139" s="353">
        <v>1.5311653116531165</v>
      </c>
      <c r="VU139" s="359"/>
      <c r="VV139" s="353">
        <f>IFERROR(SUMIFS($VL$2:$VL$72,$VW$2:$VW$72,VV$75,$BW$2:$BW$72,$VX139)/SUMIFS($IZ$2:$IZ$72,$VW$2:$VW$72,VV$75,$BW$2:$BW$72,$VX139),0)</f>
        <v>1.6758817921830313</v>
      </c>
      <c r="VW139" s="353">
        <f>IFERROR(SUMIFS($VL$2:$VL$72,$VW$2:$VW$72,VW$75,$BW$2:$BW$72,$VX139)/SUMIFS($IZ$2:$IZ$72,$VW$2:$VW$72,VW$75,$BW$2:$BW$72,$VX139),0)</f>
        <v>1.5311653116531165</v>
      </c>
      <c r="VX139" s="292" t="s">
        <v>18</v>
      </c>
      <c r="VY139" s="353">
        <f t="shared" ref="VY139:WC140" si="89">IFERROR(SUMIFS($VL$2:$VL$72,$VY$2:$VY$72,VY$75,$BW$2:$BW$72,$VX139)/SUMIFS($IZ$2:$IZ$72,$VY$2:$VY$72,VY$75,$BW$2:$BW$72,$VX139),0)</f>
        <v>0</v>
      </c>
      <c r="VZ139" s="353">
        <f t="shared" si="89"/>
        <v>1.7278797996661102</v>
      </c>
      <c r="WA139" s="353">
        <f t="shared" si="89"/>
        <v>1.7366863905325445</v>
      </c>
      <c r="WB139" s="353">
        <f t="shared" si="89"/>
        <v>1.2142857142857142</v>
      </c>
      <c r="WC139" s="366">
        <f t="shared" si="89"/>
        <v>1.5311653116531165</v>
      </c>
      <c r="WD139" s="353">
        <v>0</v>
      </c>
      <c r="WE139" s="353">
        <v>1.7278797996661102</v>
      </c>
      <c r="WF139" s="353">
        <v>1.7366863905325445</v>
      </c>
      <c r="WG139" s="353">
        <v>1.2142857142857142</v>
      </c>
      <c r="WH139" s="353">
        <v>1.5311653116531165</v>
      </c>
      <c r="WI139" s="9"/>
      <c r="WJ139" s="9"/>
      <c r="WK139" s="9"/>
      <c r="WL139" s="9"/>
    </row>
    <row r="140" spans="591:610" x14ac:dyDescent="0.25">
      <c r="VS140" s="357">
        <v>1.2288479550421481</v>
      </c>
      <c r="VT140" s="357">
        <v>1.2260869565217392</v>
      </c>
      <c r="VU140" s="368"/>
      <c r="VV140" s="357">
        <f>IFERROR(SUMIFS($VL$2:$VL$72,$VW$2:$VW$72,VV$75,$BW$2:$BW$72,$VX140)/SUMIFS($IZ$2:$IZ$72,$VW$2:$VW$72,VV$75,$BW$2:$BW$72,$VX140),0)</f>
        <v>1.2401623985009369</v>
      </c>
      <c r="VW140" s="357">
        <f>IFERROR(SUMIFS($VL$2:$VL$72,$VW$2:$VW$72,VW$75,$BW$2:$BW$72,$VX140)/SUMIFS($IZ$2:$IZ$72,$VW$2:$VW$72,VW$75,$BW$2:$BW$72,$VX140),0)</f>
        <v>1.1475054229934925</v>
      </c>
      <c r="VX140" s="293" t="s">
        <v>126</v>
      </c>
      <c r="VY140" s="357">
        <f t="shared" si="89"/>
        <v>1.2369380315917375</v>
      </c>
      <c r="VZ140" s="357">
        <f t="shared" si="89"/>
        <v>1.1955555555555555</v>
      </c>
      <c r="WA140" s="357">
        <f t="shared" si="89"/>
        <v>1.2715654952076678</v>
      </c>
      <c r="WB140" s="357">
        <f t="shared" si="89"/>
        <v>1.3337547408343868</v>
      </c>
      <c r="WC140" s="367">
        <f t="shared" si="89"/>
        <v>1.1233299075025693</v>
      </c>
      <c r="WD140" s="357">
        <v>1.2369380315917375</v>
      </c>
      <c r="WE140" s="357">
        <v>1.1955555555555555</v>
      </c>
      <c r="WF140" s="357">
        <v>1.2715654952076678</v>
      </c>
      <c r="WG140" s="357">
        <v>1.27</v>
      </c>
      <c r="WH140" s="357">
        <v>1.1742738589211619</v>
      </c>
      <c r="WI140" s="9"/>
      <c r="WJ140" s="9"/>
      <c r="WK140" s="9"/>
      <c r="WL140" s="9"/>
    </row>
    <row r="141" spans="591:610" x14ac:dyDescent="0.25">
      <c r="VS141" s="353">
        <v>1.3391345249294451</v>
      </c>
      <c r="VT141" s="353">
        <v>1.3618817852834741</v>
      </c>
      <c r="VU141" s="359"/>
      <c r="VV141" s="353">
        <f>IFERROR(SUMIF($VW$2:$VW$72,VV$75,$VL$2:$VL$72)/SUMIF($VW$2:$VW$72,VV$75,$IZ$2:$IZ$72),0)</f>
        <v>1.3476828981416138</v>
      </c>
      <c r="VW141" s="353">
        <f>IFERROR(SUMIF($VW$2:$VW$72,VW$75,$VL$2:$VL$72)/SUMIF($VW$2:$VW$72,VW$75,$IZ$2:$IZ$72),0)</f>
        <v>1.3180722891566266</v>
      </c>
      <c r="VX141" s="292" t="s">
        <v>2637</v>
      </c>
      <c r="VY141" s="353">
        <f>IFERROR(SUMIF($VY$2:$VY$72,VY$75,$VL$2:$VL$72)/SUMIF($VY$2:$VY$72,VY$75,$IZ$2:$IZ$72),0)</f>
        <v>1.2369380315917375</v>
      </c>
      <c r="VZ141" s="353">
        <f>IFERROR(SUMIF($VY$2:$VY$72,VZ$75,$VL$2:$VL$72)/SUMIF($VY$2:$VY$72,VZ$75,$IZ$2:$IZ$72),0)</f>
        <v>1.4995233555767398</v>
      </c>
      <c r="WA141" s="353">
        <f>IFERROR(SUMIF($VY$2:$VY$72,WA$75,$VL$2:$VL$72)/SUMIF($VY$2:$VY$72,WA$75,$IZ$2:$IZ$72),0)</f>
        <v>1.4346473029045643</v>
      </c>
      <c r="WB141" s="353">
        <f>IFERROR(SUMIF($VY$2:$VY$72,WB$75,$VL$2:$VL$72)/SUMIF($VY$2:$VY$72,WB$75,$IZ$2:$IZ$72),0)</f>
        <v>1.3189368770764121</v>
      </c>
      <c r="WC141" s="366">
        <f>IFERROR(SUMIF($VY$2:$VY$72,WC$75,$VL$2:$VL$72)/SUMIF($VY$2:$VY$72,WC$75,$IZ$2:$IZ$72),0)</f>
        <v>1.2354694485842026</v>
      </c>
      <c r="WD141" s="353">
        <v>1.2369380315917375</v>
      </c>
      <c r="WE141" s="353">
        <v>1.4995233555767398</v>
      </c>
      <c r="WF141" s="353">
        <v>1.4346473029045643</v>
      </c>
      <c r="WG141" s="353">
        <v>1.263157894736842</v>
      </c>
      <c r="WH141" s="353">
        <v>1.2730682670667668</v>
      </c>
      <c r="WI141" s="9"/>
      <c r="WJ141" s="9"/>
      <c r="WK141" s="9"/>
      <c r="WL141" s="9"/>
    </row>
    <row r="142" spans="591:610" x14ac:dyDescent="0.25">
      <c r="VS142" s="9"/>
      <c r="VT142" s="9"/>
      <c r="VU142" s="9"/>
      <c r="VV142" s="9"/>
      <c r="VW142" s="9"/>
      <c r="VX142" s="290"/>
      <c r="VY142" s="291">
        <v>1</v>
      </c>
      <c r="VZ142" s="291">
        <v>2</v>
      </c>
      <c r="WA142" s="291">
        <v>3</v>
      </c>
      <c r="WB142" s="291">
        <v>4</v>
      </c>
      <c r="WC142" s="294">
        <v>5</v>
      </c>
      <c r="WD142" s="291">
        <v>1</v>
      </c>
      <c r="WE142" s="291">
        <v>2</v>
      </c>
      <c r="WF142" s="291">
        <v>3</v>
      </c>
      <c r="WG142" s="291">
        <v>4</v>
      </c>
      <c r="WH142" s="291">
        <v>5</v>
      </c>
      <c r="WI142" s="9"/>
      <c r="WJ142" s="9"/>
      <c r="WK142" s="9"/>
      <c r="WL142" s="9"/>
    </row>
    <row r="186" spans="1:607" x14ac:dyDescent="0.25">
      <c r="A186" s="2">
        <v>9590</v>
      </c>
      <c r="B186" s="2" t="s">
        <v>4142</v>
      </c>
      <c r="C186" s="2" t="s">
        <v>3305</v>
      </c>
      <c r="D186" s="3">
        <v>45100</v>
      </c>
      <c r="E186" s="2" t="s">
        <v>9</v>
      </c>
      <c r="F186" s="2">
        <v>3</v>
      </c>
      <c r="G186" s="2" t="s">
        <v>9</v>
      </c>
      <c r="H186" s="2">
        <v>3</v>
      </c>
      <c r="I186" s="2" t="s">
        <v>9</v>
      </c>
      <c r="J186" s="2">
        <v>3</v>
      </c>
      <c r="K186" s="2" t="s">
        <v>9</v>
      </c>
      <c r="L186" s="2">
        <v>3</v>
      </c>
      <c r="M186" s="2" t="s">
        <v>10</v>
      </c>
      <c r="N186" s="2">
        <v>0</v>
      </c>
      <c r="O186" s="2" t="s">
        <v>10</v>
      </c>
      <c r="P186" s="2">
        <v>0</v>
      </c>
      <c r="Q186" s="2" t="s">
        <v>11</v>
      </c>
      <c r="R186" s="2">
        <v>0</v>
      </c>
      <c r="S186" s="2" t="s">
        <v>9</v>
      </c>
      <c r="T186" s="2">
        <v>2</v>
      </c>
      <c r="U186" s="2" t="s">
        <v>9</v>
      </c>
      <c r="V186" s="2">
        <v>2</v>
      </c>
      <c r="W186" s="2" t="s">
        <v>9</v>
      </c>
      <c r="X186" s="2">
        <v>2</v>
      </c>
      <c r="Y186" s="2" t="s">
        <v>12</v>
      </c>
      <c r="Z186" s="2" t="s">
        <v>15</v>
      </c>
      <c r="AA186" s="2" t="s">
        <v>15</v>
      </c>
      <c r="AB186" s="2" t="s">
        <v>15</v>
      </c>
      <c r="AC186" s="2" t="s">
        <v>15</v>
      </c>
      <c r="AD186" s="2" t="s">
        <v>1620</v>
      </c>
      <c r="AE186" s="2" t="s">
        <v>15</v>
      </c>
      <c r="AF186" s="2">
        <v>0</v>
      </c>
      <c r="AG186" s="2" t="s">
        <v>234</v>
      </c>
      <c r="AH186" s="2" t="s">
        <v>17</v>
      </c>
      <c r="AI186" s="4">
        <v>0.16037999999999999</v>
      </c>
      <c r="AJ186" s="2" t="s">
        <v>17</v>
      </c>
      <c r="AK186" s="2" t="s">
        <v>9</v>
      </c>
      <c r="AL186" s="2" t="s">
        <v>9</v>
      </c>
      <c r="AM186" s="2" t="s">
        <v>17</v>
      </c>
      <c r="AN186" s="2" t="s">
        <v>17</v>
      </c>
      <c r="AO186" s="2" t="s">
        <v>9</v>
      </c>
      <c r="AP186" s="2" t="s">
        <v>17</v>
      </c>
      <c r="AQ186" s="2" t="s">
        <v>17</v>
      </c>
      <c r="AR186" s="2" t="s">
        <v>17</v>
      </c>
      <c r="AS186" s="2" t="s">
        <v>17</v>
      </c>
      <c r="AT186" s="2">
        <v>5</v>
      </c>
      <c r="AU186" s="5">
        <v>100000</v>
      </c>
      <c r="AV186" s="2" t="s">
        <v>85</v>
      </c>
      <c r="AW186" s="2">
        <v>0</v>
      </c>
      <c r="AX186" s="2">
        <v>11</v>
      </c>
      <c r="AY186" s="2">
        <v>0</v>
      </c>
      <c r="AZ186" s="2">
        <v>18</v>
      </c>
      <c r="BA186" s="2">
        <v>0</v>
      </c>
      <c r="BB186" s="2">
        <v>0</v>
      </c>
      <c r="BC186" s="2">
        <v>1</v>
      </c>
      <c r="BD186" s="2">
        <v>5</v>
      </c>
      <c r="BE186" s="2">
        <v>0</v>
      </c>
      <c r="BF186" s="2">
        <v>1</v>
      </c>
      <c r="BG186" s="2">
        <v>0</v>
      </c>
      <c r="BH186" s="2">
        <v>0</v>
      </c>
      <c r="BI186" s="2">
        <v>13</v>
      </c>
      <c r="BJ186" s="2">
        <v>1</v>
      </c>
      <c r="BK186" s="2">
        <v>0</v>
      </c>
      <c r="BL186" s="2">
        <v>3</v>
      </c>
      <c r="BM186" s="2">
        <v>2</v>
      </c>
      <c r="BN186" s="2">
        <v>12</v>
      </c>
      <c r="BO186" s="2">
        <v>11</v>
      </c>
      <c r="BP186" s="2">
        <v>0</v>
      </c>
      <c r="BQ186" s="2">
        <v>10</v>
      </c>
      <c r="BR186" s="2">
        <v>10.029999999999999</v>
      </c>
      <c r="BS186" s="2">
        <v>0</v>
      </c>
      <c r="BT186" s="4">
        <v>0.06</v>
      </c>
      <c r="BU186" s="2" t="s">
        <v>9</v>
      </c>
      <c r="BV186" s="6">
        <v>209481.16</v>
      </c>
      <c r="BW186" s="2" t="s">
        <v>18</v>
      </c>
      <c r="BX186" s="2" t="s">
        <v>17</v>
      </c>
      <c r="BY186" s="2" t="s">
        <v>17</v>
      </c>
      <c r="BZ186" s="2" t="s">
        <v>17</v>
      </c>
      <c r="CA186" s="2" t="s">
        <v>17</v>
      </c>
      <c r="CB186" s="2" t="s">
        <v>17</v>
      </c>
      <c r="CC186" s="2" t="s">
        <v>17</v>
      </c>
      <c r="CD186" s="2" t="s">
        <v>17</v>
      </c>
      <c r="CE186" s="2" t="s">
        <v>4143</v>
      </c>
      <c r="CF186" s="2" t="s">
        <v>17</v>
      </c>
      <c r="CG186" s="2" t="s">
        <v>4144</v>
      </c>
      <c r="CH186" s="2"/>
      <c r="CI186" s="2"/>
      <c r="CJ186" s="2" t="s">
        <v>9</v>
      </c>
      <c r="CK186" s="2" t="s">
        <v>3937</v>
      </c>
      <c r="CL186" s="2" t="s">
        <v>4144</v>
      </c>
      <c r="CM186" s="2" t="s">
        <v>3938</v>
      </c>
      <c r="CN186" s="2" t="s">
        <v>2705</v>
      </c>
      <c r="CO186" s="2" t="s">
        <v>24</v>
      </c>
      <c r="CP186" s="2"/>
      <c r="CQ186" s="2">
        <v>120</v>
      </c>
      <c r="CR186" s="2" t="s">
        <v>3893</v>
      </c>
      <c r="CS186" s="2">
        <v>2019</v>
      </c>
      <c r="CT186" s="2" t="s">
        <v>26</v>
      </c>
      <c r="CU186" s="2" t="s">
        <v>27</v>
      </c>
      <c r="CV186" s="2" t="s">
        <v>3939</v>
      </c>
      <c r="CW186" s="2" t="s">
        <v>2705</v>
      </c>
      <c r="CX186" s="2" t="s">
        <v>24</v>
      </c>
      <c r="CY186" s="2"/>
      <c r="CZ186" s="2">
        <v>180</v>
      </c>
      <c r="DA186" s="2" t="s">
        <v>3893</v>
      </c>
      <c r="DB186" s="2">
        <v>2022</v>
      </c>
      <c r="DC186" s="2" t="s">
        <v>30</v>
      </c>
      <c r="DD186" s="2" t="s">
        <v>27</v>
      </c>
      <c r="DE186" s="2" t="s">
        <v>3940</v>
      </c>
      <c r="DF186" s="2" t="s">
        <v>3148</v>
      </c>
      <c r="DG186" s="2" t="s">
        <v>24</v>
      </c>
      <c r="DH186" s="2"/>
      <c r="DI186" s="2">
        <v>128</v>
      </c>
      <c r="DJ186" s="2" t="s">
        <v>3893</v>
      </c>
      <c r="DK186" s="2">
        <v>2019</v>
      </c>
      <c r="DL186" s="2" t="s">
        <v>30</v>
      </c>
      <c r="DM186" s="2" t="s">
        <v>27</v>
      </c>
      <c r="DN186" s="18" t="s">
        <v>1657</v>
      </c>
      <c r="DO186" s="2" t="s">
        <v>738</v>
      </c>
      <c r="DP186" s="2"/>
      <c r="DQ186" s="2" t="s">
        <v>3941</v>
      </c>
      <c r="DR186" s="2" t="s">
        <v>3942</v>
      </c>
      <c r="DS186" s="2">
        <v>1</v>
      </c>
      <c r="DT186" s="2" t="s">
        <v>3943</v>
      </c>
      <c r="DU186" s="2" t="s">
        <v>3944</v>
      </c>
      <c r="DV186" s="2" t="s">
        <v>39</v>
      </c>
      <c r="DW186" s="2">
        <v>33156</v>
      </c>
      <c r="DX186" s="2" t="s">
        <v>3945</v>
      </c>
      <c r="DY186" s="2"/>
      <c r="DZ186" s="2" t="s">
        <v>3946</v>
      </c>
      <c r="EA186" s="2" t="s">
        <v>3942</v>
      </c>
      <c r="EB186" s="2" t="s">
        <v>3938</v>
      </c>
      <c r="EC186" s="2" t="s">
        <v>2705</v>
      </c>
      <c r="ED186" s="2" t="s">
        <v>44</v>
      </c>
      <c r="EE186" s="2">
        <v>120</v>
      </c>
      <c r="EF186" s="2" t="s">
        <v>3894</v>
      </c>
      <c r="EG186" s="2">
        <v>4</v>
      </c>
      <c r="EH186" s="2" t="s">
        <v>46</v>
      </c>
      <c r="EI186" s="2" t="s">
        <v>47</v>
      </c>
      <c r="EJ186" s="2" t="s">
        <v>3940</v>
      </c>
      <c r="EK186" s="2" t="s">
        <v>3148</v>
      </c>
      <c r="EL186" s="2" t="s">
        <v>44</v>
      </c>
      <c r="EM186" s="2">
        <v>128</v>
      </c>
      <c r="EN186" s="2" t="s">
        <v>3894</v>
      </c>
      <c r="EO186" s="2">
        <v>4</v>
      </c>
      <c r="EP186" s="2" t="s">
        <v>46</v>
      </c>
      <c r="EQ186" s="2" t="s">
        <v>47</v>
      </c>
      <c r="ER186" s="2" t="s">
        <v>3947</v>
      </c>
      <c r="ES186" s="2"/>
      <c r="ET186" s="2" t="s">
        <v>3948</v>
      </c>
      <c r="EU186" s="2" t="s">
        <v>3949</v>
      </c>
      <c r="EV186" s="2" t="s">
        <v>3950</v>
      </c>
      <c r="EW186" s="2" t="s">
        <v>299</v>
      </c>
      <c r="EX186" s="2" t="s">
        <v>39</v>
      </c>
      <c r="EY186" s="2">
        <v>33136</v>
      </c>
      <c r="EZ186" s="2" t="s">
        <v>3951</v>
      </c>
      <c r="FA186" s="2"/>
      <c r="FB186" s="2" t="s">
        <v>3952</v>
      </c>
      <c r="FC186" s="2" t="s">
        <v>3953</v>
      </c>
      <c r="FD186" s="2"/>
      <c r="FE186" s="2" t="s">
        <v>3954</v>
      </c>
      <c r="FF186" s="2" t="s">
        <v>3955</v>
      </c>
      <c r="FG186" s="2" t="s">
        <v>3950</v>
      </c>
      <c r="FH186" s="2" t="s">
        <v>299</v>
      </c>
      <c r="FI186" s="2" t="s">
        <v>39</v>
      </c>
      <c r="FJ186" s="2">
        <v>33136</v>
      </c>
      <c r="FK186" s="2" t="s">
        <v>3956</v>
      </c>
      <c r="FL186" s="2"/>
      <c r="FM186" s="2" t="s">
        <v>3957</v>
      </c>
      <c r="FN186" s="2" t="s">
        <v>4145</v>
      </c>
      <c r="FO186" s="2" t="s">
        <v>63</v>
      </c>
      <c r="FP186" s="2" t="s">
        <v>64</v>
      </c>
      <c r="FQ186" s="2" t="s">
        <v>9</v>
      </c>
      <c r="FR186" s="2" t="s">
        <v>17</v>
      </c>
      <c r="FS186" s="2" t="s">
        <v>17</v>
      </c>
      <c r="FT186" s="2" t="s">
        <v>9</v>
      </c>
      <c r="FU186" s="2"/>
      <c r="FV186" s="2"/>
      <c r="FW186" s="2">
        <v>0</v>
      </c>
      <c r="FX186" s="2">
        <v>0</v>
      </c>
      <c r="FY186" s="4">
        <v>0</v>
      </c>
      <c r="FZ186" s="4">
        <v>0</v>
      </c>
      <c r="GA186" s="2" t="s">
        <v>65</v>
      </c>
      <c r="GB186" s="2"/>
      <c r="GC186" s="2" t="s">
        <v>66</v>
      </c>
      <c r="GD186" s="2" t="s">
        <v>67</v>
      </c>
      <c r="GE186" s="2" t="s">
        <v>2684</v>
      </c>
      <c r="GF186" s="2"/>
      <c r="GG186" s="2"/>
      <c r="GH186" s="2"/>
      <c r="GI186" s="2"/>
      <c r="GJ186" s="2"/>
      <c r="GK186" s="2">
        <v>106</v>
      </c>
      <c r="GL186" s="2"/>
      <c r="GM186" s="2"/>
      <c r="GN186" s="2"/>
      <c r="GO186" s="2"/>
      <c r="GP186" s="2"/>
      <c r="GQ186" s="2">
        <v>106</v>
      </c>
      <c r="GR186" s="2" t="s">
        <v>3332</v>
      </c>
      <c r="GS186" s="2" t="s">
        <v>2686</v>
      </c>
      <c r="GT186" s="2" t="s">
        <v>4146</v>
      </c>
      <c r="GU186" s="2" t="s">
        <v>2720</v>
      </c>
      <c r="GV186" s="2" t="s">
        <v>17</v>
      </c>
      <c r="GW186" s="2">
        <v>25.596321</v>
      </c>
      <c r="GX186" s="2">
        <v>-80.357316999999995</v>
      </c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>
        <v>25.599276</v>
      </c>
      <c r="HO186" s="2">
        <v>-80.355112000000005</v>
      </c>
      <c r="HP186" s="2">
        <v>0.25</v>
      </c>
      <c r="HQ186" s="2">
        <v>6</v>
      </c>
      <c r="HR186" s="2"/>
      <c r="HS186" s="2"/>
      <c r="HT186" s="2"/>
      <c r="HU186" s="2"/>
      <c r="HV186" s="2" t="s">
        <v>3080</v>
      </c>
      <c r="HW186" s="2" t="s">
        <v>3960</v>
      </c>
      <c r="HX186" s="2">
        <v>0.38</v>
      </c>
      <c r="HY186" s="2">
        <v>3.5</v>
      </c>
      <c r="HZ186" s="2"/>
      <c r="IA186" s="2"/>
      <c r="IB186" s="2"/>
      <c r="IC186" s="2"/>
      <c r="ID186" s="2" t="s">
        <v>224</v>
      </c>
      <c r="IE186" s="2">
        <v>0.11</v>
      </c>
      <c r="IF186" s="2">
        <v>4</v>
      </c>
      <c r="IG186" s="2" t="s">
        <v>3961</v>
      </c>
      <c r="IH186" s="2">
        <v>0.44</v>
      </c>
      <c r="II186" s="2">
        <v>4</v>
      </c>
      <c r="IJ186" s="2" t="s">
        <v>9</v>
      </c>
      <c r="IK186" s="2" t="s">
        <v>3962</v>
      </c>
      <c r="IL186" s="2" t="s">
        <v>3341</v>
      </c>
      <c r="IM186" s="2" t="s">
        <v>17</v>
      </c>
      <c r="IN186" s="2"/>
      <c r="IO186" s="2" t="s">
        <v>79</v>
      </c>
      <c r="IP186" s="2">
        <v>6</v>
      </c>
      <c r="IQ186" s="2">
        <v>11.5</v>
      </c>
      <c r="IR186" s="2">
        <v>17.5</v>
      </c>
      <c r="IS186" s="2" t="s">
        <v>17</v>
      </c>
      <c r="IT186" s="2" t="s">
        <v>17</v>
      </c>
      <c r="IU186" s="2" t="s">
        <v>9</v>
      </c>
      <c r="IV186" s="2" t="s">
        <v>9</v>
      </c>
      <c r="IW186" s="2" t="s">
        <v>9</v>
      </c>
      <c r="IX186" s="2" t="s">
        <v>9</v>
      </c>
      <c r="IY186" s="2">
        <v>17.5</v>
      </c>
      <c r="IZ186" s="2">
        <v>106</v>
      </c>
      <c r="JA186" s="2" t="s">
        <v>2731</v>
      </c>
      <c r="JB186" s="2"/>
      <c r="JC186" s="2" t="s">
        <v>82</v>
      </c>
      <c r="JD186" s="2"/>
      <c r="JE186" s="2"/>
      <c r="JF186" s="7">
        <v>0</v>
      </c>
      <c r="JG186" s="7"/>
      <c r="JH186" s="7"/>
      <c r="JI186" s="2">
        <v>0</v>
      </c>
      <c r="JJ186" s="7">
        <v>0</v>
      </c>
      <c r="JK186" s="2">
        <v>0</v>
      </c>
      <c r="JL186" s="7">
        <v>0</v>
      </c>
      <c r="JM186" s="2">
        <v>17</v>
      </c>
      <c r="JN186" s="2"/>
      <c r="JO186" s="2"/>
      <c r="JP186" s="2">
        <v>38</v>
      </c>
      <c r="JQ186" s="2">
        <v>51</v>
      </c>
      <c r="JR186" s="2"/>
      <c r="JS186" s="2">
        <v>0</v>
      </c>
      <c r="JT186" s="2">
        <v>0</v>
      </c>
      <c r="JU186" s="2"/>
      <c r="JV186" s="2">
        <v>106</v>
      </c>
      <c r="JW186" s="4">
        <v>1</v>
      </c>
      <c r="JX186" s="2">
        <v>106</v>
      </c>
      <c r="JY186" s="4">
        <v>0.6</v>
      </c>
      <c r="JZ186" s="2">
        <v>0</v>
      </c>
      <c r="KA186" s="2"/>
      <c r="KB186" s="2"/>
      <c r="KC186" s="2"/>
      <c r="KD186" s="2"/>
      <c r="KE186" s="2"/>
      <c r="KF186" s="2"/>
      <c r="KG186" s="2">
        <v>26</v>
      </c>
      <c r="KH186" s="2">
        <v>80</v>
      </c>
      <c r="KI186" s="2"/>
      <c r="KJ186" s="2"/>
      <c r="KK186" s="2"/>
      <c r="KL186" s="2"/>
      <c r="KM186" s="2"/>
      <c r="KN186" s="2"/>
      <c r="KO186" s="2"/>
      <c r="KP186" s="2"/>
      <c r="KQ186" s="2" t="s">
        <v>83</v>
      </c>
      <c r="KR186" s="2" t="s">
        <v>73</v>
      </c>
      <c r="KS186" s="2"/>
      <c r="KT186" s="2">
        <v>1</v>
      </c>
      <c r="KU186" s="2" t="s">
        <v>84</v>
      </c>
      <c r="KV186" s="2" t="s">
        <v>85</v>
      </c>
      <c r="KW186" s="2" t="s">
        <v>86</v>
      </c>
      <c r="KX186" s="2" t="s">
        <v>17</v>
      </c>
      <c r="KY186" s="2" t="s">
        <v>17</v>
      </c>
      <c r="KZ186" s="2" t="s">
        <v>17</v>
      </c>
      <c r="LA186" s="2" t="s">
        <v>17</v>
      </c>
      <c r="LB186" s="2" t="s">
        <v>17</v>
      </c>
      <c r="LC186" s="2" t="s">
        <v>17</v>
      </c>
      <c r="LD186" s="2" t="s">
        <v>17</v>
      </c>
      <c r="LE186" s="2" t="s">
        <v>17</v>
      </c>
      <c r="LF186" s="2" t="s">
        <v>17</v>
      </c>
      <c r="LG186" s="2" t="s">
        <v>17</v>
      </c>
      <c r="LH186" s="2" t="s">
        <v>17</v>
      </c>
      <c r="LI186" s="2" t="s">
        <v>17</v>
      </c>
      <c r="LJ186" s="2" t="s">
        <v>87</v>
      </c>
      <c r="LK186" s="2" t="s">
        <v>17</v>
      </c>
      <c r="LL186" s="2" t="s">
        <v>17</v>
      </c>
      <c r="LM186" s="2">
        <v>0</v>
      </c>
      <c r="LN186" s="2" t="s">
        <v>17</v>
      </c>
      <c r="LO186" s="2" t="s">
        <v>9</v>
      </c>
      <c r="LP186" s="2" t="s">
        <v>9</v>
      </c>
      <c r="LQ186" s="2" t="s">
        <v>17</v>
      </c>
      <c r="LR186" s="2" t="s">
        <v>9</v>
      </c>
      <c r="LS186" s="2" t="s">
        <v>17</v>
      </c>
      <c r="LT186" s="2" t="s">
        <v>17</v>
      </c>
      <c r="LU186" s="2" t="s">
        <v>17</v>
      </c>
      <c r="LV186" s="2" t="s">
        <v>17</v>
      </c>
      <c r="LW186" s="2" t="s">
        <v>17</v>
      </c>
      <c r="LX186" s="2" t="s">
        <v>17</v>
      </c>
      <c r="LY186" s="5">
        <v>6500000</v>
      </c>
      <c r="LZ186" s="5">
        <v>0</v>
      </c>
      <c r="MA186" s="5">
        <v>8400000</v>
      </c>
      <c r="MB186" s="5">
        <v>0</v>
      </c>
      <c r="MC186" s="5">
        <v>0</v>
      </c>
      <c r="MD186" s="5">
        <v>0</v>
      </c>
      <c r="ME186" s="5">
        <v>10000000</v>
      </c>
      <c r="MF186" s="5">
        <v>0</v>
      </c>
      <c r="MG186" s="5">
        <v>0</v>
      </c>
      <c r="MH186" s="5">
        <v>0</v>
      </c>
      <c r="MI186" s="5">
        <v>0</v>
      </c>
      <c r="MJ186" s="5">
        <v>0</v>
      </c>
      <c r="MK186" s="5">
        <v>0</v>
      </c>
      <c r="ML186" s="2">
        <v>0</v>
      </c>
      <c r="MM186" s="5">
        <v>0</v>
      </c>
      <c r="MN186" s="5">
        <v>0</v>
      </c>
      <c r="MO186" s="2">
        <v>0</v>
      </c>
      <c r="MP186" s="2">
        <v>0</v>
      </c>
      <c r="MQ186" s="2">
        <v>0</v>
      </c>
      <c r="MR186" s="5">
        <v>2950000</v>
      </c>
      <c r="MS186" s="5">
        <v>0</v>
      </c>
      <c r="MT186" s="5">
        <v>4600000</v>
      </c>
      <c r="MU186" s="5">
        <v>0</v>
      </c>
      <c r="MV186" s="5">
        <v>0</v>
      </c>
      <c r="MW186" s="5">
        <v>0</v>
      </c>
      <c r="MX186" s="5">
        <v>0</v>
      </c>
      <c r="MY186" s="5">
        <v>2500000</v>
      </c>
      <c r="MZ186" s="5">
        <v>0</v>
      </c>
      <c r="NA186" s="5">
        <v>5000000</v>
      </c>
      <c r="NB186" s="5">
        <v>0</v>
      </c>
      <c r="NC186" s="5">
        <v>0</v>
      </c>
      <c r="ND186" s="5">
        <v>0</v>
      </c>
      <c r="NE186" s="5">
        <v>0</v>
      </c>
      <c r="NF186" s="5">
        <v>0</v>
      </c>
      <c r="NG186" s="5">
        <v>3458400</v>
      </c>
      <c r="NH186" s="5">
        <v>3458400</v>
      </c>
      <c r="NI186" s="5">
        <v>3458400</v>
      </c>
      <c r="NJ186" s="5"/>
      <c r="NK186" s="5">
        <v>0</v>
      </c>
      <c r="NL186" s="2" t="s">
        <v>17</v>
      </c>
      <c r="NM186" s="2" t="s">
        <v>9</v>
      </c>
      <c r="NN186" s="2" t="s">
        <v>4147</v>
      </c>
      <c r="NO186" s="2" t="s">
        <v>17</v>
      </c>
      <c r="NP186" s="2"/>
      <c r="NQ186" s="2"/>
      <c r="NR186" s="2" t="s">
        <v>17</v>
      </c>
      <c r="NS186" s="2"/>
      <c r="NT186" s="2" t="s">
        <v>9</v>
      </c>
      <c r="NU186" s="2" t="s">
        <v>450</v>
      </c>
      <c r="NV186" s="2">
        <v>83.09</v>
      </c>
      <c r="NW186" s="2" t="s">
        <v>3342</v>
      </c>
      <c r="NX186" s="2"/>
      <c r="NY186" s="2"/>
      <c r="NZ186" s="2"/>
      <c r="OA186" s="2" t="s">
        <v>118</v>
      </c>
      <c r="OB186" s="2" t="s">
        <v>118</v>
      </c>
      <c r="OC186" s="2" t="s">
        <v>118</v>
      </c>
      <c r="OD186" s="2" t="s">
        <v>3343</v>
      </c>
      <c r="OE186" s="2" t="s">
        <v>3963</v>
      </c>
      <c r="OF186" s="2"/>
      <c r="OG186" s="2" t="s">
        <v>17</v>
      </c>
      <c r="OH186" s="2" t="s">
        <v>119</v>
      </c>
      <c r="OI186" s="2" t="s">
        <v>17</v>
      </c>
      <c r="OJ186" s="2"/>
      <c r="OK186" s="2" t="s">
        <v>17</v>
      </c>
      <c r="OL186" s="2" t="s">
        <v>17</v>
      </c>
      <c r="OM186" s="2" t="s">
        <v>85</v>
      </c>
      <c r="ON186" s="6">
        <v>0</v>
      </c>
      <c r="OO186" s="6">
        <v>0</v>
      </c>
      <c r="OP186" s="2" t="s">
        <v>93</v>
      </c>
      <c r="OQ186" s="2" t="s">
        <v>93</v>
      </c>
      <c r="OR186" s="6">
        <v>0</v>
      </c>
      <c r="OS186" s="4">
        <v>0</v>
      </c>
      <c r="OT186" s="2" t="s">
        <v>17</v>
      </c>
      <c r="OU186" s="2" t="s">
        <v>17</v>
      </c>
      <c r="OV186" s="2"/>
      <c r="OW186" s="2"/>
      <c r="OX186" s="5">
        <v>22205003</v>
      </c>
      <c r="OY186" s="6">
        <v>209481.16</v>
      </c>
      <c r="OZ186" s="2">
        <v>0</v>
      </c>
      <c r="PA186" s="2"/>
      <c r="PB186" s="8">
        <v>328506</v>
      </c>
      <c r="PC186" s="8">
        <v>328506</v>
      </c>
      <c r="PD186" s="8">
        <v>18517677</v>
      </c>
      <c r="PE186" s="8">
        <v>577899</v>
      </c>
      <c r="PF186" s="8">
        <v>19095576</v>
      </c>
      <c r="PG186" s="8">
        <v>1599733</v>
      </c>
      <c r="PH186" s="8">
        <v>177748</v>
      </c>
      <c r="PI186" s="8">
        <v>1777481</v>
      </c>
      <c r="PJ186" s="2"/>
      <c r="PK186" s="2"/>
      <c r="PL186" s="2"/>
      <c r="PM186" s="8">
        <v>20117410</v>
      </c>
      <c r="PN186" s="8">
        <v>1084153</v>
      </c>
      <c r="PO186" s="8">
        <v>21201563</v>
      </c>
      <c r="PP186" s="8">
        <v>2966098</v>
      </c>
      <c r="PQ186" s="2"/>
      <c r="PR186" s="8">
        <v>2966098</v>
      </c>
      <c r="PS186" s="6">
        <v>2968218</v>
      </c>
      <c r="PT186" s="8">
        <v>23083508</v>
      </c>
      <c r="PU186" s="8">
        <v>1084153</v>
      </c>
      <c r="PV186" s="8">
        <v>24167661</v>
      </c>
      <c r="PW186" s="8">
        <v>1049726</v>
      </c>
      <c r="PX186" s="2">
        <v>0</v>
      </c>
      <c r="PY186" s="8">
        <v>1049726</v>
      </c>
      <c r="PZ186" s="6">
        <v>1208383.05</v>
      </c>
      <c r="QA186" s="8">
        <v>2088353</v>
      </c>
      <c r="QB186" s="8">
        <v>592067</v>
      </c>
      <c r="QC186" s="8">
        <v>2680420</v>
      </c>
      <c r="QD186" s="8">
        <v>217328</v>
      </c>
      <c r="QE186" s="8">
        <v>117328</v>
      </c>
      <c r="QF186" s="8">
        <v>334656</v>
      </c>
      <c r="QG186" s="8">
        <v>287578</v>
      </c>
      <c r="QH186" s="8">
        <v>85628</v>
      </c>
      <c r="QI186" s="8">
        <v>373206</v>
      </c>
      <c r="QJ186" s="2">
        <v>0</v>
      </c>
      <c r="QK186" s="8">
        <v>552409</v>
      </c>
      <c r="QL186" s="8">
        <v>552409</v>
      </c>
      <c r="QM186" s="2">
        <v>0</v>
      </c>
      <c r="QN186" s="2">
        <v>0</v>
      </c>
      <c r="QO186" s="2"/>
      <c r="QP186" s="2"/>
      <c r="QQ186" s="2"/>
      <c r="QR186" s="2"/>
      <c r="QS186" s="8">
        <v>2593259</v>
      </c>
      <c r="QT186" s="8">
        <v>1347432</v>
      </c>
      <c r="QU186" s="8">
        <v>3940691</v>
      </c>
      <c r="QV186" s="8">
        <v>129662</v>
      </c>
      <c r="QW186" s="8">
        <v>67372</v>
      </c>
      <c r="QX186" s="8">
        <v>197034</v>
      </c>
      <c r="QY186" s="6">
        <v>197034.55</v>
      </c>
      <c r="QZ186" s="8">
        <v>2379984</v>
      </c>
      <c r="RA186" s="8">
        <v>1382804</v>
      </c>
      <c r="RB186" s="8">
        <v>3762788</v>
      </c>
      <c r="RC186" s="8">
        <v>95760</v>
      </c>
      <c r="RD186" s="8">
        <v>95760</v>
      </c>
      <c r="RE186" s="2"/>
      <c r="RF186" s="2"/>
      <c r="RG186" s="2"/>
      <c r="RH186" s="8">
        <v>2379984</v>
      </c>
      <c r="RI186" s="8">
        <v>1478564</v>
      </c>
      <c r="RJ186" s="8">
        <v>3858548</v>
      </c>
      <c r="RK186" s="8">
        <v>29236139</v>
      </c>
      <c r="RL186" s="8">
        <v>3977521</v>
      </c>
      <c r="RM186" s="8">
        <v>33213660</v>
      </c>
      <c r="RN186" s="2">
        <v>0</v>
      </c>
      <c r="RO186" s="6">
        <v>0</v>
      </c>
      <c r="RP186" s="8">
        <v>5292559</v>
      </c>
      <c r="RQ186" s="2">
        <v>0</v>
      </c>
      <c r="RR186" s="8">
        <v>5292559</v>
      </c>
      <c r="RS186" s="6">
        <v>5314185</v>
      </c>
      <c r="RT186" s="6">
        <v>0</v>
      </c>
      <c r="RU186" s="8">
        <v>5292559</v>
      </c>
      <c r="RV186" s="2"/>
      <c r="RW186" s="8">
        <v>5292559</v>
      </c>
      <c r="RX186" s="6">
        <v>5314185</v>
      </c>
      <c r="RY186" s="2"/>
      <c r="RZ186" s="2"/>
      <c r="SA186" s="6">
        <v>371000</v>
      </c>
      <c r="SB186" s="8">
        <v>530000</v>
      </c>
      <c r="SC186" s="8">
        <v>530000</v>
      </c>
      <c r="SD186" s="8">
        <v>34528698</v>
      </c>
      <c r="SE186" s="8">
        <v>4507521</v>
      </c>
      <c r="SF186" s="8">
        <v>39036219</v>
      </c>
      <c r="SG186" s="2" t="s">
        <v>4148</v>
      </c>
      <c r="SH186" s="2"/>
      <c r="SI186" s="2"/>
      <c r="SJ186" s="2"/>
      <c r="SK186" s="8">
        <v>26000000</v>
      </c>
      <c r="SL186" s="2" t="s">
        <v>95</v>
      </c>
      <c r="SM186" s="2"/>
      <c r="SN186" s="2"/>
      <c r="SO186" s="2"/>
      <c r="SP186" s="2"/>
      <c r="SQ186" s="2"/>
      <c r="SR186" s="2"/>
      <c r="SS186" s="2" t="s">
        <v>96</v>
      </c>
      <c r="ST186" s="2" t="s">
        <v>96</v>
      </c>
      <c r="SU186" s="2" t="s">
        <v>96</v>
      </c>
      <c r="SV186" s="2" t="s">
        <v>96</v>
      </c>
      <c r="SW186" s="8">
        <v>10892870</v>
      </c>
      <c r="SX186" s="2"/>
      <c r="SY186" s="2"/>
      <c r="SZ186" s="2"/>
      <c r="TA186" s="2"/>
      <c r="TB186" s="2"/>
      <c r="TC186" s="2"/>
      <c r="TD186" s="8">
        <v>2143349</v>
      </c>
      <c r="TE186" s="8">
        <v>39036219</v>
      </c>
      <c r="TF186" s="2">
        <v>0</v>
      </c>
      <c r="TG186" s="2" t="s">
        <v>9</v>
      </c>
      <c r="TH186" s="8">
        <v>5180000</v>
      </c>
      <c r="TI186" s="2" t="s">
        <v>95</v>
      </c>
      <c r="TJ186" s="2"/>
      <c r="TK186" s="2"/>
      <c r="TL186" s="2"/>
      <c r="TM186" s="2"/>
      <c r="TN186" s="2" t="s">
        <v>96</v>
      </c>
      <c r="TO186" s="2" t="s">
        <v>96</v>
      </c>
      <c r="TP186" s="2" t="s">
        <v>96</v>
      </c>
      <c r="TQ186" s="2" t="s">
        <v>96</v>
      </c>
      <c r="TR186" s="8">
        <v>31122487</v>
      </c>
      <c r="TS186" s="2"/>
      <c r="TT186" s="2"/>
      <c r="TU186" s="2"/>
      <c r="TV186" s="2"/>
      <c r="TW186" s="2"/>
      <c r="TX186" s="2"/>
      <c r="TY186" s="8">
        <v>2733732</v>
      </c>
      <c r="TZ186" s="8">
        <v>39036219</v>
      </c>
      <c r="UA186" s="6">
        <v>5180000</v>
      </c>
      <c r="UB186" s="2">
        <v>0</v>
      </c>
      <c r="UC186" s="2" t="s">
        <v>9</v>
      </c>
      <c r="UD186" s="2">
        <v>106</v>
      </c>
      <c r="UE186" s="5">
        <v>310000</v>
      </c>
      <c r="UF186" s="6">
        <v>413333.33</v>
      </c>
      <c r="UG186" s="6">
        <v>413333.33</v>
      </c>
      <c r="UH186" s="6">
        <v>438133.33</v>
      </c>
      <c r="UI186" s="6">
        <v>46442133.329999998</v>
      </c>
      <c r="UJ186" s="6">
        <v>7430741</v>
      </c>
      <c r="UK186" s="2" t="s">
        <v>97</v>
      </c>
      <c r="UL186" s="6">
        <v>7430741</v>
      </c>
      <c r="UM186" s="6">
        <v>53872874.329999998</v>
      </c>
      <c r="UN186" s="6">
        <v>38177713</v>
      </c>
      <c r="UO186" s="4">
        <v>0.99990000000000001</v>
      </c>
      <c r="UP186" s="2" t="s">
        <v>9</v>
      </c>
      <c r="UQ186" s="6">
        <v>0</v>
      </c>
      <c r="UR186" s="6">
        <v>0</v>
      </c>
      <c r="US186" s="6">
        <v>796134.66</v>
      </c>
      <c r="UT186" s="6">
        <v>796134.66</v>
      </c>
      <c r="UU186" s="6">
        <v>0</v>
      </c>
      <c r="UV186" s="6">
        <v>796134.66</v>
      </c>
      <c r="UW186" s="6">
        <v>0</v>
      </c>
      <c r="UX186" s="6">
        <v>796134.66</v>
      </c>
      <c r="UY186" s="2" t="s">
        <v>3633</v>
      </c>
      <c r="UZ186" s="2" t="s">
        <v>3288</v>
      </c>
      <c r="VA186" s="2" t="s">
        <v>17</v>
      </c>
      <c r="VB186" s="2" t="s">
        <v>17</v>
      </c>
      <c r="VC186" s="2" t="s">
        <v>17</v>
      </c>
      <c r="VD186" s="2" t="s">
        <v>17</v>
      </c>
      <c r="VE186" s="2" t="s">
        <v>17</v>
      </c>
      <c r="VF186" s="2" t="s">
        <v>17</v>
      </c>
      <c r="VG186" s="2" t="s">
        <v>4149</v>
      </c>
      <c r="VH186" s="2" t="s">
        <v>3966</v>
      </c>
      <c r="VI186" s="2" t="s">
        <v>3967</v>
      </c>
      <c r="VJ186" s="2" t="s">
        <v>98</v>
      </c>
      <c r="VK186" s="2" t="s">
        <v>3968</v>
      </c>
      <c r="VL186" s="23">
        <f t="shared" ref="VL186:VL187" si="90">KG186+KH186+2*(KI186+KK186)+3*KL186</f>
        <v>106</v>
      </c>
      <c r="VM186" s="17">
        <f t="shared" ref="VM186:VM187" si="91">VL186/IZ186</f>
        <v>1</v>
      </c>
      <c r="VN186" s="17"/>
      <c r="VO186" s="17"/>
      <c r="VP186" s="12">
        <v>9</v>
      </c>
      <c r="VQ186" s="57">
        <v>1</v>
      </c>
      <c r="VR186" s="57">
        <f>IF(GR186="Broward",Broward_A,1)</f>
        <v>1</v>
      </c>
      <c r="VS186" s="14">
        <f>IF(OR(OT186="Yes",OU186="Yes"),PHA_A,1)</f>
        <v>1</v>
      </c>
      <c r="VT186" s="12">
        <f>(GG186*NC_GA_A*ESSC_A+GH186*NC_GA_A+GI186*NC_MR_A*ESSC_A+GJ186*NC_MR_A+GK186*NC_HR_A*ESSC_A+GL186*NC_OT_A*ESSC_A+GM186*NC_OT_A+GN186*1+GO186*1)/(GG186+GH186+GI186+GJ186+GK186+GL186+GM186+GN186+GO186)</f>
        <v>0.88349999999999995</v>
      </c>
      <c r="VU186" s="29">
        <f>NI186*VP186*VR186*VS186*VT186*IF(BW186="Elderly Non-ALF",Elderly_A,1)</f>
        <v>27499467.599999998</v>
      </c>
      <c r="VV186" s="30">
        <f t="shared" ref="VV186:VV187" si="92">ROUND(VU186/(JI186+JV186),2)</f>
        <v>259428.94</v>
      </c>
      <c r="VW186" s="54" t="str">
        <f>IF(RANK(VV186,VV186:VV187,1)&lt;=ROUND(80%*2,0),"A","B")</f>
        <v>A</v>
      </c>
      <c r="VY186" s="58">
        <f>IF(RANK(VV186,VV186:VV187,1)&lt;=ROUNDUP(10%*2,0),1,IF(RANK(VV186,VV186:VV187,1)&lt;=ROUNDUP(30%*2,0),2,IF(RANK(VV186,VV186:VV187,1)&lt;=ROUNDUP(50%*2,0),3,IF(RANK(VV186,VV186:VV187,1)&lt;=ROUNDUP(70%*2,0),4,5))))</f>
        <v>1</v>
      </c>
      <c r="WA186" s="12">
        <f t="shared" ref="WA186:WA187" si="93">IF(BW186="Elderly Non-ALF",1,0)</f>
        <v>0</v>
      </c>
      <c r="WB186" s="12">
        <f t="shared" ref="WB186:WB187" si="94">IF(OR(VQ186=1,N(VQ186)=0),0,1)</f>
        <v>0</v>
      </c>
      <c r="WC186" s="12">
        <f t="shared" ref="WC186:WC187" si="95">IF(OR(VR186=1,N(VR186)=0),0,1)</f>
        <v>0</v>
      </c>
      <c r="WD186" s="12">
        <f t="shared" ref="WD186:WD187" si="96">IF(OR(VS186=1,N(VS186)=0),0,1)</f>
        <v>0</v>
      </c>
      <c r="WE186" s="12">
        <f t="shared" ref="WE186:WE187" si="97">IF(GG186+GI186+GK186+GL186&gt;0,1,0)</f>
        <v>1</v>
      </c>
      <c r="WF186" s="12">
        <f t="shared" ref="WF186:WF187" si="98">IF(GG186+GH186&gt;0,1,0)</f>
        <v>0</v>
      </c>
      <c r="WG186" s="12">
        <f t="shared" ref="WG186:WG187" si="99">IF(GI186+GJ186&gt;0,1,0)</f>
        <v>0</v>
      </c>
      <c r="WH186" s="12">
        <f t="shared" ref="WH186:WH187" si="100">IF(GK186&gt;1,1,0)</f>
        <v>1</v>
      </c>
      <c r="WI186" s="22">
        <f t="shared" ref="WI186:WI187" si="101">SUM(WA186:WH186)</f>
        <v>2</v>
      </c>
    </row>
    <row r="187" spans="1:607" x14ac:dyDescent="0.25">
      <c r="A187" s="2">
        <v>9624</v>
      </c>
      <c r="B187" s="2" t="s">
        <v>4150</v>
      </c>
      <c r="C187" s="2" t="s">
        <v>3305</v>
      </c>
      <c r="D187" s="3">
        <v>45100</v>
      </c>
      <c r="E187" s="2" t="s">
        <v>9</v>
      </c>
      <c r="F187" s="2">
        <v>3</v>
      </c>
      <c r="G187" s="2" t="s">
        <v>9</v>
      </c>
      <c r="H187" s="2">
        <v>3</v>
      </c>
      <c r="I187" s="2" t="s">
        <v>9</v>
      </c>
      <c r="J187" s="2">
        <v>3</v>
      </c>
      <c r="K187" s="2" t="s">
        <v>9</v>
      </c>
      <c r="L187" s="2">
        <v>3</v>
      </c>
      <c r="M187" s="2" t="s">
        <v>10</v>
      </c>
      <c r="N187" s="2">
        <v>0</v>
      </c>
      <c r="O187" s="2" t="s">
        <v>10</v>
      </c>
      <c r="P187" s="2">
        <v>0</v>
      </c>
      <c r="Q187" s="2" t="s">
        <v>11</v>
      </c>
      <c r="R187" s="2">
        <v>0</v>
      </c>
      <c r="S187" s="2" t="s">
        <v>9</v>
      </c>
      <c r="T187" s="2">
        <v>2</v>
      </c>
      <c r="U187" s="2" t="s">
        <v>9</v>
      </c>
      <c r="V187" s="2">
        <v>2</v>
      </c>
      <c r="W187" s="2" t="s">
        <v>9</v>
      </c>
      <c r="X187" s="2">
        <v>2</v>
      </c>
      <c r="Y187" s="2" t="s">
        <v>12</v>
      </c>
      <c r="Z187" s="2" t="s">
        <v>15</v>
      </c>
      <c r="AA187" s="2" t="s">
        <v>15</v>
      </c>
      <c r="AB187" s="2" t="s">
        <v>15</v>
      </c>
      <c r="AC187" s="2" t="s">
        <v>15</v>
      </c>
      <c r="AD187" s="2" t="s">
        <v>3470</v>
      </c>
      <c r="AE187" s="2" t="s">
        <v>15</v>
      </c>
      <c r="AF187" s="2">
        <v>0</v>
      </c>
      <c r="AG187" s="2" t="s">
        <v>234</v>
      </c>
      <c r="AH187" s="2" t="s">
        <v>17</v>
      </c>
      <c r="AI187" s="4">
        <v>0.16</v>
      </c>
      <c r="AJ187" s="2" t="s">
        <v>17</v>
      </c>
      <c r="AK187" s="2" t="s">
        <v>9</v>
      </c>
      <c r="AL187" s="2" t="s">
        <v>9</v>
      </c>
      <c r="AM187" s="2" t="s">
        <v>17</v>
      </c>
      <c r="AN187" s="2" t="s">
        <v>17</v>
      </c>
      <c r="AO187" s="2" t="s">
        <v>9</v>
      </c>
      <c r="AP187" s="2" t="s">
        <v>17</v>
      </c>
      <c r="AQ187" s="2" t="s">
        <v>17</v>
      </c>
      <c r="AR187" s="2" t="s">
        <v>17</v>
      </c>
      <c r="AS187" s="2" t="s">
        <v>17</v>
      </c>
      <c r="AT187" s="2">
        <v>5</v>
      </c>
      <c r="AU187" s="5">
        <v>100000</v>
      </c>
      <c r="AV187" s="2" t="s">
        <v>85</v>
      </c>
      <c r="AW187" s="2">
        <v>0</v>
      </c>
      <c r="AX187" s="2">
        <v>11</v>
      </c>
      <c r="AY187" s="2">
        <v>0</v>
      </c>
      <c r="AZ187" s="2">
        <v>18</v>
      </c>
      <c r="BA187" s="2">
        <v>0</v>
      </c>
      <c r="BB187" s="2">
        <v>0</v>
      </c>
      <c r="BC187" s="2">
        <v>1</v>
      </c>
      <c r="BD187" s="2">
        <v>5</v>
      </c>
      <c r="BE187" s="2">
        <v>0</v>
      </c>
      <c r="BF187" s="2">
        <v>1</v>
      </c>
      <c r="BG187" s="2">
        <v>0</v>
      </c>
      <c r="BH187" s="2">
        <v>0</v>
      </c>
      <c r="BI187" s="2">
        <v>13</v>
      </c>
      <c r="BJ187" s="2">
        <v>1</v>
      </c>
      <c r="BK187" s="2">
        <v>0</v>
      </c>
      <c r="BL187" s="2">
        <v>2</v>
      </c>
      <c r="BM187" s="2">
        <v>2</v>
      </c>
      <c r="BN187" s="2">
        <v>11</v>
      </c>
      <c r="BO187" s="2">
        <v>11</v>
      </c>
      <c r="BP187" s="2">
        <v>0</v>
      </c>
      <c r="BQ187" s="2">
        <v>10</v>
      </c>
      <c r="BR187" s="2">
        <v>9.4600000000000009</v>
      </c>
      <c r="BS187" s="2">
        <v>0</v>
      </c>
      <c r="BT187" s="4">
        <v>0.06</v>
      </c>
      <c r="BU187" s="2" t="s">
        <v>9</v>
      </c>
      <c r="BV187" s="6">
        <v>231690.25</v>
      </c>
      <c r="BW187" s="2" t="s">
        <v>126</v>
      </c>
      <c r="BX187" s="2" t="s">
        <v>17</v>
      </c>
      <c r="BY187" s="2" t="s">
        <v>17</v>
      </c>
      <c r="BZ187" s="2" t="s">
        <v>17</v>
      </c>
      <c r="CA187" s="2" t="s">
        <v>17</v>
      </c>
      <c r="CB187" s="2" t="s">
        <v>17</v>
      </c>
      <c r="CC187" s="2" t="s">
        <v>17</v>
      </c>
      <c r="CD187" s="2" t="s">
        <v>17</v>
      </c>
      <c r="CE187" s="2" t="s">
        <v>4151</v>
      </c>
      <c r="CF187" s="2" t="s">
        <v>17</v>
      </c>
      <c r="CG187" s="2" t="s">
        <v>4152</v>
      </c>
      <c r="CH187" s="2"/>
      <c r="CI187" s="2"/>
      <c r="CJ187" s="2" t="s">
        <v>9</v>
      </c>
      <c r="CK187" s="2" t="s">
        <v>3937</v>
      </c>
      <c r="CL187" s="2" t="s">
        <v>4152</v>
      </c>
      <c r="CM187" s="2" t="s">
        <v>3938</v>
      </c>
      <c r="CN187" s="2" t="s">
        <v>2705</v>
      </c>
      <c r="CO187" s="2" t="s">
        <v>24</v>
      </c>
      <c r="CP187" s="2"/>
      <c r="CQ187" s="2">
        <v>120</v>
      </c>
      <c r="CR187" s="2" t="s">
        <v>3904</v>
      </c>
      <c r="CS187" s="2">
        <v>2019</v>
      </c>
      <c r="CT187" s="2" t="s">
        <v>26</v>
      </c>
      <c r="CU187" s="2" t="s">
        <v>27</v>
      </c>
      <c r="CV187" s="2" t="s">
        <v>3939</v>
      </c>
      <c r="CW187" s="2" t="s">
        <v>2705</v>
      </c>
      <c r="CX187" s="2" t="s">
        <v>24</v>
      </c>
      <c r="CY187" s="2"/>
      <c r="CZ187" s="2">
        <v>180</v>
      </c>
      <c r="DA187" s="2" t="s">
        <v>3904</v>
      </c>
      <c r="DB187" s="2">
        <v>2022</v>
      </c>
      <c r="DC187" s="2" t="s">
        <v>30</v>
      </c>
      <c r="DD187" s="2" t="s">
        <v>27</v>
      </c>
      <c r="DE187" s="2" t="s">
        <v>3940</v>
      </c>
      <c r="DF187" s="2" t="s">
        <v>3148</v>
      </c>
      <c r="DG187" s="2" t="s">
        <v>24</v>
      </c>
      <c r="DH187" s="2"/>
      <c r="DI187" s="2">
        <v>128</v>
      </c>
      <c r="DJ187" s="2" t="s">
        <v>3904</v>
      </c>
      <c r="DK187" s="2">
        <v>2019</v>
      </c>
      <c r="DL187" s="2" t="s">
        <v>30</v>
      </c>
      <c r="DM187" s="2" t="s">
        <v>27</v>
      </c>
      <c r="DN187" s="18" t="s">
        <v>1657</v>
      </c>
      <c r="DO187" s="2" t="s">
        <v>738</v>
      </c>
      <c r="DP187" s="2"/>
      <c r="DQ187" s="2" t="s">
        <v>3941</v>
      </c>
      <c r="DR187" s="2" t="s">
        <v>3942</v>
      </c>
      <c r="DS187" s="2">
        <v>1</v>
      </c>
      <c r="DT187" s="2" t="s">
        <v>3943</v>
      </c>
      <c r="DU187" s="2" t="s">
        <v>3944</v>
      </c>
      <c r="DV187" s="2" t="s">
        <v>39</v>
      </c>
      <c r="DW187" s="2">
        <v>33156</v>
      </c>
      <c r="DX187" s="2" t="s">
        <v>3945</v>
      </c>
      <c r="DY187" s="2"/>
      <c r="DZ187" s="2" t="s">
        <v>3946</v>
      </c>
      <c r="EA187" s="2" t="s">
        <v>3942</v>
      </c>
      <c r="EB187" s="2" t="s">
        <v>3938</v>
      </c>
      <c r="EC187" s="2" t="s">
        <v>2705</v>
      </c>
      <c r="ED187" s="2" t="s">
        <v>44</v>
      </c>
      <c r="EE187" s="2">
        <v>120</v>
      </c>
      <c r="EF187" s="2" t="s">
        <v>3906</v>
      </c>
      <c r="EG187" s="2">
        <v>4</v>
      </c>
      <c r="EH187" s="2" t="s">
        <v>46</v>
      </c>
      <c r="EI187" s="2" t="s">
        <v>47</v>
      </c>
      <c r="EJ187" s="2" t="s">
        <v>3940</v>
      </c>
      <c r="EK187" s="2" t="s">
        <v>3148</v>
      </c>
      <c r="EL187" s="2" t="s">
        <v>44</v>
      </c>
      <c r="EM187" s="2">
        <v>128</v>
      </c>
      <c r="EN187" s="2" t="s">
        <v>3906</v>
      </c>
      <c r="EO187" s="2">
        <v>4</v>
      </c>
      <c r="EP187" s="2" t="s">
        <v>46</v>
      </c>
      <c r="EQ187" s="2" t="s">
        <v>47</v>
      </c>
      <c r="ER187" s="2" t="s">
        <v>3947</v>
      </c>
      <c r="ES187" s="2"/>
      <c r="ET187" s="2" t="s">
        <v>3948</v>
      </c>
      <c r="EU187" s="2" t="s">
        <v>3949</v>
      </c>
      <c r="EV187" s="2" t="s">
        <v>3950</v>
      </c>
      <c r="EW187" s="2" t="s">
        <v>299</v>
      </c>
      <c r="EX187" s="2" t="s">
        <v>39</v>
      </c>
      <c r="EY187" s="2">
        <v>33136</v>
      </c>
      <c r="EZ187" s="2" t="s">
        <v>3951</v>
      </c>
      <c r="FA187" s="2"/>
      <c r="FB187" s="2" t="s">
        <v>3952</v>
      </c>
      <c r="FC187" s="2" t="s">
        <v>3953</v>
      </c>
      <c r="FD187" s="2"/>
      <c r="FE187" s="2" t="s">
        <v>3954</v>
      </c>
      <c r="FF187" s="2" t="s">
        <v>3955</v>
      </c>
      <c r="FG187" s="2" t="s">
        <v>3950</v>
      </c>
      <c r="FH187" s="2" t="s">
        <v>299</v>
      </c>
      <c r="FI187" s="2" t="s">
        <v>39</v>
      </c>
      <c r="FJ187" s="2">
        <v>33136</v>
      </c>
      <c r="FK187" s="2" t="s">
        <v>3956</v>
      </c>
      <c r="FL187" s="2"/>
      <c r="FM187" s="2" t="s">
        <v>3957</v>
      </c>
      <c r="FN187" s="2" t="s">
        <v>4153</v>
      </c>
      <c r="FO187" s="2" t="s">
        <v>63</v>
      </c>
      <c r="FP187" s="2" t="s">
        <v>64</v>
      </c>
      <c r="FQ187" s="2" t="s">
        <v>9</v>
      </c>
      <c r="FR187" s="2" t="s">
        <v>17</v>
      </c>
      <c r="FS187" s="2" t="s">
        <v>17</v>
      </c>
      <c r="FT187" s="2" t="s">
        <v>9</v>
      </c>
      <c r="FU187" s="2"/>
      <c r="FV187" s="2"/>
      <c r="FW187" s="2">
        <v>0</v>
      </c>
      <c r="FX187" s="2">
        <v>0</v>
      </c>
      <c r="FY187" s="4">
        <v>0</v>
      </c>
      <c r="FZ187" s="4">
        <v>0</v>
      </c>
      <c r="GA187" s="2" t="s">
        <v>65</v>
      </c>
      <c r="GB187" s="2"/>
      <c r="GC187" s="2" t="s">
        <v>66</v>
      </c>
      <c r="GD187" s="2" t="s">
        <v>67</v>
      </c>
      <c r="GE187" s="2" t="s">
        <v>68</v>
      </c>
      <c r="GF187" s="2">
        <v>100</v>
      </c>
      <c r="GG187" s="2">
        <v>100</v>
      </c>
      <c r="GH187" s="2"/>
      <c r="GI187" s="2"/>
      <c r="GJ187" s="2"/>
      <c r="GK187" s="2"/>
      <c r="GL187" s="2"/>
      <c r="GM187" s="2"/>
      <c r="GN187" s="2"/>
      <c r="GO187" s="2"/>
      <c r="GP187" s="2"/>
      <c r="GQ187" s="2">
        <v>100</v>
      </c>
      <c r="GR187" s="2" t="s">
        <v>3332</v>
      </c>
      <c r="GS187" s="2" t="s">
        <v>2686</v>
      </c>
      <c r="GT187" s="2" t="s">
        <v>4154</v>
      </c>
      <c r="GU187" s="2" t="s">
        <v>4155</v>
      </c>
      <c r="GV187" s="2" t="s">
        <v>9</v>
      </c>
      <c r="GW187" s="2">
        <v>25.515270000000001</v>
      </c>
      <c r="GX187" s="2">
        <v>-80.412087</v>
      </c>
      <c r="GY187" s="2" t="s">
        <v>4156</v>
      </c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>
        <v>25.521362</v>
      </c>
      <c r="HO187" s="2">
        <v>-80.426139000000006</v>
      </c>
      <c r="HP187" s="2">
        <v>0.97</v>
      </c>
      <c r="HQ187" s="2">
        <v>4.5</v>
      </c>
      <c r="HR187" s="2"/>
      <c r="HS187" s="2"/>
      <c r="HT187" s="2"/>
      <c r="HU187" s="2"/>
      <c r="HV187" s="2" t="s">
        <v>4157</v>
      </c>
      <c r="HW187" s="2" t="s">
        <v>4158</v>
      </c>
      <c r="HX187" s="2">
        <v>0.81</v>
      </c>
      <c r="HY187" s="2">
        <v>2.5</v>
      </c>
      <c r="HZ187" s="2"/>
      <c r="IA187" s="2"/>
      <c r="IB187" s="2"/>
      <c r="IC187" s="2"/>
      <c r="ID187" s="2" t="s">
        <v>4159</v>
      </c>
      <c r="IE187" s="2">
        <v>0.81</v>
      </c>
      <c r="IF187" s="2">
        <v>2.5</v>
      </c>
      <c r="IG187" s="2" t="s">
        <v>4160</v>
      </c>
      <c r="IH187" s="2">
        <v>0.33</v>
      </c>
      <c r="II187" s="2">
        <v>4</v>
      </c>
      <c r="IJ187" s="2" t="s">
        <v>17</v>
      </c>
      <c r="IK187" s="2"/>
      <c r="IL187" s="2" t="s">
        <v>79</v>
      </c>
      <c r="IM187" s="2" t="s">
        <v>17</v>
      </c>
      <c r="IN187" s="2"/>
      <c r="IO187" s="2" t="s">
        <v>79</v>
      </c>
      <c r="IP187" s="2">
        <v>4.5</v>
      </c>
      <c r="IQ187" s="2">
        <v>9</v>
      </c>
      <c r="IR187" s="2">
        <v>13.5</v>
      </c>
      <c r="IS187" s="2" t="s">
        <v>17</v>
      </c>
      <c r="IT187" s="2" t="s">
        <v>17</v>
      </c>
      <c r="IU187" s="2" t="s">
        <v>17</v>
      </c>
      <c r="IV187" s="2" t="s">
        <v>9</v>
      </c>
      <c r="IW187" s="2" t="s">
        <v>9</v>
      </c>
      <c r="IX187" s="2" t="s">
        <v>9</v>
      </c>
      <c r="IY187" s="2">
        <v>13.5</v>
      </c>
      <c r="IZ187" s="2">
        <v>100</v>
      </c>
      <c r="JA187" s="2" t="s">
        <v>3399</v>
      </c>
      <c r="JB187" s="2"/>
      <c r="JC187" s="2" t="s">
        <v>82</v>
      </c>
      <c r="JD187" s="2"/>
      <c r="JE187" s="2"/>
      <c r="JF187" s="7">
        <v>0</v>
      </c>
      <c r="JG187" s="7"/>
      <c r="JH187" s="7"/>
      <c r="JI187" s="2">
        <v>0</v>
      </c>
      <c r="JJ187" s="7">
        <v>0</v>
      </c>
      <c r="JK187" s="2">
        <v>0</v>
      </c>
      <c r="JL187" s="7">
        <v>0</v>
      </c>
      <c r="JM187" s="2">
        <v>16</v>
      </c>
      <c r="JN187" s="2">
        <v>25</v>
      </c>
      <c r="JO187" s="2">
        <v>0</v>
      </c>
      <c r="JP187" s="2">
        <v>2</v>
      </c>
      <c r="JQ187" s="2">
        <v>17</v>
      </c>
      <c r="JR187" s="2">
        <v>40</v>
      </c>
      <c r="JS187" s="2">
        <v>0</v>
      </c>
      <c r="JT187" s="2">
        <v>0</v>
      </c>
      <c r="JU187" s="2"/>
      <c r="JV187" s="2">
        <v>100</v>
      </c>
      <c r="JW187" s="4">
        <v>1</v>
      </c>
      <c r="JX187" s="2">
        <v>100</v>
      </c>
      <c r="JY187" s="4">
        <v>0.59899999999999998</v>
      </c>
      <c r="JZ187" s="2">
        <v>0</v>
      </c>
      <c r="KA187" s="2"/>
      <c r="KB187" s="2"/>
      <c r="KC187" s="2"/>
      <c r="KD187" s="2"/>
      <c r="KE187" s="2"/>
      <c r="KF187" s="2"/>
      <c r="KG187" s="2">
        <v>14</v>
      </c>
      <c r="KH187" s="2">
        <v>57</v>
      </c>
      <c r="KI187" s="2"/>
      <c r="KJ187" s="2"/>
      <c r="KK187" s="2">
        <v>14</v>
      </c>
      <c r="KL187" s="2">
        <v>15</v>
      </c>
      <c r="KM187" s="2"/>
      <c r="KN187" s="2"/>
      <c r="KO187" s="2"/>
      <c r="KP187" s="2"/>
      <c r="KQ187" s="2" t="s">
        <v>83</v>
      </c>
      <c r="KR187" s="2"/>
      <c r="KS187" s="2" t="s">
        <v>73</v>
      </c>
      <c r="KT187" s="2">
        <v>2</v>
      </c>
      <c r="KU187" s="2" t="s">
        <v>84</v>
      </c>
      <c r="KV187" s="2" t="s">
        <v>85</v>
      </c>
      <c r="KW187" s="2" t="s">
        <v>86</v>
      </c>
      <c r="KX187" s="2" t="s">
        <v>17</v>
      </c>
      <c r="KY187" s="2" t="s">
        <v>17</v>
      </c>
      <c r="KZ187" s="2" t="s">
        <v>17</v>
      </c>
      <c r="LA187" s="2" t="s">
        <v>17</v>
      </c>
      <c r="LB187" s="2" t="s">
        <v>17</v>
      </c>
      <c r="LC187" s="2" t="s">
        <v>17</v>
      </c>
      <c r="LD187" s="2" t="s">
        <v>17</v>
      </c>
      <c r="LE187" s="2" t="s">
        <v>17</v>
      </c>
      <c r="LF187" s="2" t="s">
        <v>17</v>
      </c>
      <c r="LG187" s="2" t="s">
        <v>17</v>
      </c>
      <c r="LH187" s="2" t="s">
        <v>17</v>
      </c>
      <c r="LI187" s="2" t="s">
        <v>17</v>
      </c>
      <c r="LJ187" s="2" t="s">
        <v>87</v>
      </c>
      <c r="LK187" s="2" t="s">
        <v>17</v>
      </c>
      <c r="LL187" s="2" t="s">
        <v>17</v>
      </c>
      <c r="LM187" s="2">
        <v>0</v>
      </c>
      <c r="LN187" s="2" t="s">
        <v>17</v>
      </c>
      <c r="LO187" s="2" t="s">
        <v>17</v>
      </c>
      <c r="LP187" s="2" t="s">
        <v>17</v>
      </c>
      <c r="LQ187" s="2" t="s">
        <v>17</v>
      </c>
      <c r="LR187" s="2" t="s">
        <v>17</v>
      </c>
      <c r="LS187" s="2" t="s">
        <v>17</v>
      </c>
      <c r="LT187" s="2" t="s">
        <v>17</v>
      </c>
      <c r="LU187" s="2" t="s">
        <v>9</v>
      </c>
      <c r="LV187" s="2" t="s">
        <v>9</v>
      </c>
      <c r="LW187" s="2" t="s">
        <v>9</v>
      </c>
      <c r="LX187" s="2" t="s">
        <v>17</v>
      </c>
      <c r="LY187" s="5">
        <v>6500000</v>
      </c>
      <c r="LZ187" s="5">
        <v>0</v>
      </c>
      <c r="MA187" s="5">
        <v>8400000</v>
      </c>
      <c r="MB187" s="5">
        <v>0</v>
      </c>
      <c r="MC187" s="5">
        <v>0</v>
      </c>
      <c r="MD187" s="5">
        <v>0</v>
      </c>
      <c r="ME187" s="5">
        <v>10000000</v>
      </c>
      <c r="MF187" s="5">
        <v>0</v>
      </c>
      <c r="MG187" s="5">
        <v>0</v>
      </c>
      <c r="MH187" s="5">
        <v>0</v>
      </c>
      <c r="MI187" s="5">
        <v>0</v>
      </c>
      <c r="MJ187" s="5">
        <v>0</v>
      </c>
      <c r="MK187" s="5">
        <v>0</v>
      </c>
      <c r="ML187" s="2">
        <v>0</v>
      </c>
      <c r="MM187" s="5">
        <v>0</v>
      </c>
      <c r="MN187" s="5">
        <v>0</v>
      </c>
      <c r="MO187" s="2">
        <v>0</v>
      </c>
      <c r="MP187" s="2">
        <v>0</v>
      </c>
      <c r="MQ187" s="2">
        <v>0</v>
      </c>
      <c r="MR187" s="5">
        <v>2950000</v>
      </c>
      <c r="MS187" s="5">
        <v>0</v>
      </c>
      <c r="MT187" s="5">
        <v>4600000</v>
      </c>
      <c r="MU187" s="5">
        <v>0</v>
      </c>
      <c r="MV187" s="5">
        <v>0</v>
      </c>
      <c r="MW187" s="5">
        <v>0</v>
      </c>
      <c r="MX187" s="5">
        <v>0</v>
      </c>
      <c r="MY187" s="5">
        <v>2500000</v>
      </c>
      <c r="MZ187" s="5">
        <v>0</v>
      </c>
      <c r="NA187" s="5">
        <v>5000000</v>
      </c>
      <c r="NB187" s="5">
        <v>0</v>
      </c>
      <c r="NC187" s="5">
        <v>0</v>
      </c>
      <c r="ND187" s="5">
        <v>0</v>
      </c>
      <c r="NE187" s="5">
        <v>0</v>
      </c>
      <c r="NF187" s="5">
        <v>0</v>
      </c>
      <c r="NG187" s="5">
        <v>3458400</v>
      </c>
      <c r="NH187" s="5">
        <v>3458400</v>
      </c>
      <c r="NI187" s="5">
        <v>3458400</v>
      </c>
      <c r="NJ187" s="5"/>
      <c r="NK187" s="5">
        <v>0</v>
      </c>
      <c r="NL187" s="2" t="s">
        <v>17</v>
      </c>
      <c r="NM187" s="2" t="s">
        <v>9</v>
      </c>
      <c r="NN187" s="2" t="s">
        <v>4161</v>
      </c>
      <c r="NO187" s="2" t="s">
        <v>17</v>
      </c>
      <c r="NP187" s="2"/>
      <c r="NQ187" s="2"/>
      <c r="NR187" s="2" t="s">
        <v>17</v>
      </c>
      <c r="NS187" s="2"/>
      <c r="NT187" s="2" t="s">
        <v>9</v>
      </c>
      <c r="NU187" s="2" t="s">
        <v>450</v>
      </c>
      <c r="NV187" s="2">
        <v>108.04</v>
      </c>
      <c r="NW187" s="2" t="s">
        <v>3342</v>
      </c>
      <c r="NX187" s="2"/>
      <c r="NY187" s="2"/>
      <c r="NZ187" s="2"/>
      <c r="OA187" s="2" t="s">
        <v>118</v>
      </c>
      <c r="OB187" s="2" t="s">
        <v>118</v>
      </c>
      <c r="OC187" s="2" t="s">
        <v>118</v>
      </c>
      <c r="OD187" s="2" t="s">
        <v>3384</v>
      </c>
      <c r="OE187" s="2" t="s">
        <v>85</v>
      </c>
      <c r="OF187" s="2" t="s">
        <v>17</v>
      </c>
      <c r="OG187" s="2" t="s">
        <v>17</v>
      </c>
      <c r="OH187" s="2" t="s">
        <v>119</v>
      </c>
      <c r="OI187" s="2" t="s">
        <v>17</v>
      </c>
      <c r="OJ187" s="2"/>
      <c r="OK187" s="2" t="s">
        <v>17</v>
      </c>
      <c r="OL187" s="2" t="s">
        <v>17</v>
      </c>
      <c r="OM187" s="2" t="s">
        <v>85</v>
      </c>
      <c r="ON187" s="6">
        <v>0</v>
      </c>
      <c r="OO187" s="6">
        <v>0</v>
      </c>
      <c r="OP187" s="2" t="s">
        <v>93</v>
      </c>
      <c r="OQ187" s="2" t="s">
        <v>93</v>
      </c>
      <c r="OR187" s="6">
        <v>0</v>
      </c>
      <c r="OS187" s="4">
        <v>0</v>
      </c>
      <c r="OT187" s="2" t="s">
        <v>9</v>
      </c>
      <c r="OU187" s="2" t="s">
        <v>17</v>
      </c>
      <c r="OV187" s="2" t="s">
        <v>4010</v>
      </c>
      <c r="OW187" s="2"/>
      <c r="OX187" s="5">
        <v>23169025</v>
      </c>
      <c r="OY187" s="6">
        <v>231690.25</v>
      </c>
      <c r="OZ187" s="2"/>
      <c r="PA187" s="2"/>
      <c r="PB187" s="2"/>
      <c r="PC187" s="2"/>
      <c r="PD187" s="8">
        <v>17312024</v>
      </c>
      <c r="PE187" s="8">
        <v>976790</v>
      </c>
      <c r="PF187" s="8">
        <v>18288814</v>
      </c>
      <c r="PG187" s="8">
        <v>3152123</v>
      </c>
      <c r="PH187" s="8">
        <v>350236</v>
      </c>
      <c r="PI187" s="8">
        <v>3502359</v>
      </c>
      <c r="PJ187" s="2"/>
      <c r="PK187" s="2"/>
      <c r="PL187" s="2"/>
      <c r="PM187" s="8">
        <v>20464147</v>
      </c>
      <c r="PN187" s="8">
        <v>1327026</v>
      </c>
      <c r="PO187" s="8">
        <v>21791173</v>
      </c>
      <c r="PP187" s="8">
        <v>3048585</v>
      </c>
      <c r="PQ187" s="2"/>
      <c r="PR187" s="8">
        <v>3048585</v>
      </c>
      <c r="PS187" s="6">
        <v>3050764</v>
      </c>
      <c r="PT187" s="8">
        <v>23512732</v>
      </c>
      <c r="PU187" s="8">
        <v>1327026</v>
      </c>
      <c r="PV187" s="8">
        <v>24839758</v>
      </c>
      <c r="PW187" s="8">
        <v>1174007</v>
      </c>
      <c r="PX187" s="2"/>
      <c r="PY187" s="8">
        <v>1174007</v>
      </c>
      <c r="PZ187" s="6">
        <v>1241987.8999999999</v>
      </c>
      <c r="QA187" s="8">
        <v>2217842</v>
      </c>
      <c r="QB187" s="8">
        <v>726349</v>
      </c>
      <c r="QC187" s="8">
        <v>2944191</v>
      </c>
      <c r="QD187" s="8">
        <v>453665</v>
      </c>
      <c r="QE187" s="8">
        <v>157570</v>
      </c>
      <c r="QF187" s="8">
        <v>611235</v>
      </c>
      <c r="QG187" s="8">
        <v>196523</v>
      </c>
      <c r="QH187" s="8">
        <v>133934</v>
      </c>
      <c r="QI187" s="8">
        <v>330457</v>
      </c>
      <c r="QJ187" s="2"/>
      <c r="QK187" s="8">
        <v>552411</v>
      </c>
      <c r="QL187" s="8">
        <v>552411</v>
      </c>
      <c r="QM187" s="2"/>
      <c r="QN187" s="8">
        <v>294674</v>
      </c>
      <c r="QO187" s="8">
        <v>294674</v>
      </c>
      <c r="QP187" s="2"/>
      <c r="QQ187" s="2"/>
      <c r="QR187" s="2"/>
      <c r="QS187" s="8">
        <v>2868030</v>
      </c>
      <c r="QT187" s="8">
        <v>1864938</v>
      </c>
      <c r="QU187" s="8">
        <v>4732968</v>
      </c>
      <c r="QV187" s="8">
        <v>212301</v>
      </c>
      <c r="QW187" s="8">
        <v>24347</v>
      </c>
      <c r="QX187" s="8">
        <v>236648</v>
      </c>
      <c r="QY187" s="6">
        <v>236648.4</v>
      </c>
      <c r="QZ187" s="8">
        <v>2068191</v>
      </c>
      <c r="RA187" s="8">
        <v>1406540</v>
      </c>
      <c r="RB187" s="8">
        <v>3474731</v>
      </c>
      <c r="RC187" s="8">
        <v>124020</v>
      </c>
      <c r="RD187" s="8">
        <v>124020</v>
      </c>
      <c r="RE187" s="2"/>
      <c r="RF187" s="2"/>
      <c r="RG187" s="2"/>
      <c r="RH187" s="8">
        <v>2068191</v>
      </c>
      <c r="RI187" s="8">
        <v>1530560</v>
      </c>
      <c r="RJ187" s="8">
        <v>3598751</v>
      </c>
      <c r="RK187" s="8">
        <v>29835261</v>
      </c>
      <c r="RL187" s="8">
        <v>4746871</v>
      </c>
      <c r="RM187" s="8">
        <v>34582132</v>
      </c>
      <c r="RN187" s="2">
        <v>0</v>
      </c>
      <c r="RO187" s="6">
        <v>0</v>
      </c>
      <c r="RP187" s="8">
        <v>5480245</v>
      </c>
      <c r="RQ187" s="2"/>
      <c r="RR187" s="8">
        <v>5480245</v>
      </c>
      <c r="RS187" s="6">
        <v>5533141</v>
      </c>
      <c r="RT187" s="6">
        <v>0</v>
      </c>
      <c r="RU187" s="8">
        <v>5480245</v>
      </c>
      <c r="RV187" s="2"/>
      <c r="RW187" s="8">
        <v>5480245</v>
      </c>
      <c r="RX187" s="6">
        <v>5533141</v>
      </c>
      <c r="RY187" s="2"/>
      <c r="RZ187" s="2"/>
      <c r="SA187" s="6">
        <v>350000</v>
      </c>
      <c r="SB187" s="8">
        <v>496000</v>
      </c>
      <c r="SC187" s="8">
        <v>496000</v>
      </c>
      <c r="SD187" s="8">
        <v>35315506</v>
      </c>
      <c r="SE187" s="8">
        <v>5242871</v>
      </c>
      <c r="SF187" s="8">
        <v>40558377</v>
      </c>
      <c r="SG187" s="2" t="s">
        <v>3964</v>
      </c>
      <c r="SH187" s="2"/>
      <c r="SI187" s="2"/>
      <c r="SJ187" s="2"/>
      <c r="SK187" s="8">
        <v>30000000</v>
      </c>
      <c r="SL187" s="2" t="s">
        <v>95</v>
      </c>
      <c r="SM187" s="2"/>
      <c r="SN187" s="2"/>
      <c r="SO187" s="2"/>
      <c r="SP187" s="2"/>
      <c r="SQ187" s="2"/>
      <c r="SR187" s="2"/>
      <c r="SS187" s="2" t="s">
        <v>96</v>
      </c>
      <c r="ST187" s="2" t="s">
        <v>96</v>
      </c>
      <c r="SU187" s="2" t="s">
        <v>96</v>
      </c>
      <c r="SV187" s="2" t="s">
        <v>96</v>
      </c>
      <c r="SW187" s="8">
        <v>10892870</v>
      </c>
      <c r="SX187" s="2"/>
      <c r="SY187" s="2"/>
      <c r="SZ187" s="2"/>
      <c r="TA187" s="2"/>
      <c r="TB187" s="2"/>
      <c r="TC187" s="2"/>
      <c r="TD187" s="2">
        <v>0</v>
      </c>
      <c r="TE187" s="8">
        <v>40892870</v>
      </c>
      <c r="TF187" s="8">
        <v>334493</v>
      </c>
      <c r="TG187" s="2" t="s">
        <v>9</v>
      </c>
      <c r="TH187" s="8">
        <v>6890000</v>
      </c>
      <c r="TI187" s="2" t="s">
        <v>95</v>
      </c>
      <c r="TJ187" s="2"/>
      <c r="TK187" s="2"/>
      <c r="TL187" s="2"/>
      <c r="TM187" s="2"/>
      <c r="TN187" s="2" t="s">
        <v>96</v>
      </c>
      <c r="TO187" s="2" t="s">
        <v>96</v>
      </c>
      <c r="TP187" s="2" t="s">
        <v>96</v>
      </c>
      <c r="TQ187" s="2" t="s">
        <v>96</v>
      </c>
      <c r="TR187" s="8">
        <v>31122487</v>
      </c>
      <c r="TS187" s="2"/>
      <c r="TT187" s="2"/>
      <c r="TU187" s="2"/>
      <c r="TV187" s="2"/>
      <c r="TW187" s="2"/>
      <c r="TX187" s="2"/>
      <c r="TY187" s="8">
        <v>2545890</v>
      </c>
      <c r="TZ187" s="8">
        <v>40558377</v>
      </c>
      <c r="UA187" s="6">
        <v>6890000</v>
      </c>
      <c r="UB187" s="2">
        <v>0</v>
      </c>
      <c r="UC187" s="2" t="s">
        <v>9</v>
      </c>
      <c r="UD187" s="2">
        <v>100</v>
      </c>
      <c r="UE187" s="5">
        <v>260000</v>
      </c>
      <c r="UF187" s="6">
        <v>346666.67</v>
      </c>
      <c r="UG187" s="6">
        <v>354166.67</v>
      </c>
      <c r="UH187" s="6">
        <v>375416.67</v>
      </c>
      <c r="UI187" s="6">
        <v>37541666.670000002</v>
      </c>
      <c r="UJ187" s="6">
        <v>6006666</v>
      </c>
      <c r="UK187" s="2" t="s">
        <v>97</v>
      </c>
      <c r="UL187" s="6">
        <v>6006666</v>
      </c>
      <c r="UM187" s="6">
        <v>43548332.670000002</v>
      </c>
      <c r="UN187" s="6">
        <v>39767703</v>
      </c>
      <c r="UO187" s="4">
        <v>0.99990000000000001</v>
      </c>
      <c r="UP187" s="2" t="s">
        <v>9</v>
      </c>
      <c r="UQ187" s="6">
        <v>0</v>
      </c>
      <c r="UR187" s="6">
        <v>0</v>
      </c>
      <c r="US187" s="6">
        <v>343161.49</v>
      </c>
      <c r="UT187" s="6">
        <v>343161.49</v>
      </c>
      <c r="UU187" s="6">
        <v>0</v>
      </c>
      <c r="UV187" s="6">
        <v>343161.49</v>
      </c>
      <c r="UW187" s="6">
        <v>0</v>
      </c>
      <c r="UX187" s="6">
        <v>343161.49</v>
      </c>
      <c r="UY187" s="2" t="s">
        <v>3633</v>
      </c>
      <c r="UZ187" s="2" t="s">
        <v>3288</v>
      </c>
      <c r="VA187" s="2" t="s">
        <v>17</v>
      </c>
      <c r="VB187" s="2" t="s">
        <v>17</v>
      </c>
      <c r="VC187" s="2" t="s">
        <v>17</v>
      </c>
      <c r="VD187" s="2" t="s">
        <v>17</v>
      </c>
      <c r="VE187" s="2" t="s">
        <v>17</v>
      </c>
      <c r="VF187" s="2" t="s">
        <v>17</v>
      </c>
      <c r="VG187" s="2" t="s">
        <v>4162</v>
      </c>
      <c r="VH187" s="2"/>
      <c r="VI187" s="2" t="s">
        <v>3967</v>
      </c>
      <c r="VJ187" s="2" t="s">
        <v>98</v>
      </c>
      <c r="VK187" s="2" t="s">
        <v>3968</v>
      </c>
      <c r="VL187" s="23">
        <f t="shared" si="90"/>
        <v>144</v>
      </c>
      <c r="VM187" s="17">
        <f t="shared" si="91"/>
        <v>1.44</v>
      </c>
      <c r="VN187" s="17"/>
      <c r="VO187" s="17"/>
      <c r="VP187" s="12">
        <v>9</v>
      </c>
      <c r="VQ187" s="57">
        <v>1</v>
      </c>
      <c r="VR187" s="57">
        <f>IF(GR187="Broward",Broward_A,1)</f>
        <v>1</v>
      </c>
      <c r="VS187" s="14">
        <f>IF(OR(OT187="Yes",OU187="Yes"),PHA_A,1)</f>
        <v>0.97</v>
      </c>
      <c r="VT187" s="12">
        <f>(GG187*NC_GA_A*ESSC_A+GH187*NC_GA_A+GI187*NC_MR_A*ESSC_A+GJ187*NC_MR_A+GK187*NC_HR_A*ESSC_A+GL187*NC_OT_A*ESSC_A+GM187*NC_OT_A+GN187*1+GO187*1)/(GG187+GH187+GI187+GJ187+GK187+GL187+GM187+GN187+GO187)</f>
        <v>0.93</v>
      </c>
      <c r="VU187" s="29">
        <f>NI187*VP187*VR187*VS187*VT187*IF(BW187="Elderly Non-ALF",Elderly_A,1)</f>
        <v>28078403.760000002</v>
      </c>
      <c r="VV187" s="30">
        <f t="shared" si="92"/>
        <v>280784.03999999998</v>
      </c>
      <c r="VW187" s="54" t="str">
        <f>IF(RANK(VV187,VV186:VV187,1)&lt;=ROUND(80%*2,0),"A","B")</f>
        <v>A</v>
      </c>
      <c r="VY187" s="58">
        <f>IF(RANK(VV187,VV186:VV187,1)&lt;=ROUNDUP(10%*2,0),1,IF(RANK(VV187,VV186:VV187,1)&lt;=ROUNDUP(30%*2,0),2,IF(RANK(VV187,VV186:VV187,1)&lt;=ROUNDUP(50%*2,0),3,IF(RANK(VV187,VV186:VV187,1)&lt;=ROUNDUP(70%*2,0),4,5))))</f>
        <v>4</v>
      </c>
      <c r="WA187" s="12">
        <f t="shared" si="93"/>
        <v>1</v>
      </c>
      <c r="WB187" s="12">
        <f t="shared" si="94"/>
        <v>0</v>
      </c>
      <c r="WC187" s="12">
        <f t="shared" si="95"/>
        <v>0</v>
      </c>
      <c r="WD187" s="12">
        <f t="shared" si="96"/>
        <v>1</v>
      </c>
      <c r="WE187" s="12">
        <f t="shared" si="97"/>
        <v>1</v>
      </c>
      <c r="WF187" s="12">
        <f t="shared" si="98"/>
        <v>1</v>
      </c>
      <c r="WG187" s="12">
        <f t="shared" si="99"/>
        <v>0</v>
      </c>
      <c r="WH187" s="12">
        <f t="shared" si="100"/>
        <v>0</v>
      </c>
      <c r="WI187" s="22">
        <f t="shared" si="101"/>
        <v>4</v>
      </c>
    </row>
  </sheetData>
  <sheetProtection algorithmName="SHA-512" hashValue="Otz0bwJIoR6QX5Y2gmLTsJARP+xpWuF3JQgBtChwOvC1NvPkaGQ6TG+Tse+vfb7pH2C+Octhion/uavUrjBpqg==" saltValue="bsfKa0LqW2sNMPHSmgk9ew==" spinCount="100000" sheet="1" objects="1" scenarios="1" formatColumns="0"/>
  <autoFilter ref="A1:VK50" xr:uid="{9940D00A-8403-4020-94F6-E7EC0EBCD7B7}"/>
  <sortState xmlns:xlrd2="http://schemas.microsoft.com/office/spreadsheetml/2017/richdata2" ref="VX190:VX236">
    <sortCondition ref="VX190:VX236"/>
  </sortState>
  <mergeCells count="54">
    <mergeCell ref="VY74:WC74"/>
    <mergeCell ref="VV74:VW74"/>
    <mergeCell ref="VS138:VT138"/>
    <mergeCell ref="VV138:VW138"/>
    <mergeCell ref="VY138:WC138"/>
    <mergeCell ref="WD138:WH138"/>
    <mergeCell ref="WG74:WK74"/>
    <mergeCell ref="WK2:WM2"/>
    <mergeCell ref="WK3:WM3"/>
    <mergeCell ref="WK4:WM4"/>
    <mergeCell ref="WK5:WM5"/>
    <mergeCell ref="WK6:WM6"/>
    <mergeCell ref="WK7:WM7"/>
    <mergeCell ref="WK8:WM8"/>
    <mergeCell ref="WK9:WM9"/>
    <mergeCell ref="WK10:WM10"/>
    <mergeCell ref="WK11:WM11"/>
    <mergeCell ref="WK12:WM12"/>
    <mergeCell ref="WK13:WM13"/>
    <mergeCell ref="WK14:WM14"/>
    <mergeCell ref="WK15:WM15"/>
    <mergeCell ref="WK16:WM16"/>
    <mergeCell ref="WK17:WM17"/>
    <mergeCell ref="WK18:WM18"/>
    <mergeCell ref="WK19:WM19"/>
    <mergeCell ref="WK20:WM20"/>
    <mergeCell ref="WK21:WM21"/>
    <mergeCell ref="WK22:WM22"/>
    <mergeCell ref="WK23:WM23"/>
    <mergeCell ref="WK24:WM24"/>
    <mergeCell ref="WK25:WM25"/>
    <mergeCell ref="WK26:WM26"/>
    <mergeCell ref="WK27:WM27"/>
    <mergeCell ref="WK28:WM28"/>
    <mergeCell ref="WK29:WM29"/>
    <mergeCell ref="WK30:WM30"/>
    <mergeCell ref="WK31:WM31"/>
    <mergeCell ref="WK32:WM32"/>
    <mergeCell ref="WK33:WM33"/>
    <mergeCell ref="WK34:WM34"/>
    <mergeCell ref="WK35:WM35"/>
    <mergeCell ref="WK36:WM36"/>
    <mergeCell ref="WK37:WM37"/>
    <mergeCell ref="WK38:WM38"/>
    <mergeCell ref="WK39:WM39"/>
    <mergeCell ref="WK40:WM40"/>
    <mergeCell ref="WK41:WM41"/>
    <mergeCell ref="WK47:WM47"/>
    <mergeCell ref="WK48:WM48"/>
    <mergeCell ref="WK42:WM42"/>
    <mergeCell ref="WK43:WM43"/>
    <mergeCell ref="WK44:WM44"/>
    <mergeCell ref="WK45:WM45"/>
    <mergeCell ref="WK46:WM46"/>
  </mergeCells>
  <conditionalFormatting sqref="VX2:VX50 VV98:VW98">
    <cfRule type="cellIs" dxfId="158" priority="94" operator="equal">
      <formula>"Yes"</formula>
    </cfRule>
  </conditionalFormatting>
  <conditionalFormatting sqref="VW2:VW50">
    <cfRule type="cellIs" dxfId="157" priority="93" operator="equal">
      <formula>"Yes"</formula>
    </cfRule>
  </conditionalFormatting>
  <conditionalFormatting sqref="VX2:VX50">
    <cfRule type="expression" dxfId="156" priority="92">
      <formula>VS2&lt;1</formula>
    </cfRule>
  </conditionalFormatting>
  <conditionalFormatting sqref="VI86:VI89 VI75:VI83 OY86:OY89">
    <cfRule type="cellIs" dxfId="155" priority="91" operator="notEqual">
      <formula>$OU75</formula>
    </cfRule>
  </conditionalFormatting>
  <conditionalFormatting sqref="VV76:VV77 VV77:VW84">
    <cfRule type="cellIs" dxfId="154" priority="90" operator="equal">
      <formula>"Yes"</formula>
    </cfRule>
  </conditionalFormatting>
  <conditionalFormatting sqref="VV76:VV77 VV77:VW84 VV98:VW98">
    <cfRule type="cellIs" dxfId="153" priority="89" operator="equal">
      <formula>"B"</formula>
    </cfRule>
  </conditionalFormatting>
  <conditionalFormatting sqref="VX84">
    <cfRule type="cellIs" dxfId="152" priority="88" operator="equal">
      <formula>"Yes"</formula>
    </cfRule>
  </conditionalFormatting>
  <conditionalFormatting sqref="VV76:VW83">
    <cfRule type="cellIs" dxfId="151" priority="87" operator="equal">
      <formula>"Yes"</formula>
    </cfRule>
  </conditionalFormatting>
  <conditionalFormatting sqref="VV76:VW83">
    <cfRule type="cellIs" dxfId="150" priority="86" operator="equal">
      <formula>"B"</formula>
    </cfRule>
  </conditionalFormatting>
  <conditionalFormatting sqref="VX105:VX106">
    <cfRule type="cellIs" dxfId="149" priority="82" operator="equal">
      <formula>"Yes"</formula>
    </cfRule>
  </conditionalFormatting>
  <conditionalFormatting sqref="VX139:VX140">
    <cfRule type="cellIs" dxfId="148" priority="73" operator="equal">
      <formula>"Yes"</formula>
    </cfRule>
  </conditionalFormatting>
  <conditionalFormatting sqref="VQ2:VQ50">
    <cfRule type="cellIs" dxfId="147" priority="69" operator="equal">
      <formula>"Yes"</formula>
    </cfRule>
  </conditionalFormatting>
  <conditionalFormatting sqref="VY84:WD84">
    <cfRule type="cellIs" dxfId="146" priority="62" operator="equal">
      <formula>"Yes"</formula>
    </cfRule>
  </conditionalFormatting>
  <conditionalFormatting sqref="VY84:WD84">
    <cfRule type="cellIs" dxfId="145" priority="61" operator="equal">
      <formula>"B"</formula>
    </cfRule>
  </conditionalFormatting>
  <conditionalFormatting sqref="WB105:WB106">
    <cfRule type="cellIs" dxfId="144" priority="54" operator="equal">
      <formula>"Yes"</formula>
    </cfRule>
  </conditionalFormatting>
  <conditionalFormatting sqref="WB139:WB140">
    <cfRule type="cellIs" dxfId="143" priority="53" operator="equal">
      <formula>"Yes"</formula>
    </cfRule>
  </conditionalFormatting>
  <conditionalFormatting sqref="OY75:OY83">
    <cfRule type="cellIs" dxfId="142" priority="51" operator="notEqual">
      <formula>$OU75</formula>
    </cfRule>
  </conditionalFormatting>
  <conditionalFormatting sqref="OY76:OY77">
    <cfRule type="cellIs" dxfId="141" priority="50" operator="equal">
      <formula>"Yes"</formula>
    </cfRule>
  </conditionalFormatting>
  <conditionalFormatting sqref="VY86:WC88">
    <cfRule type="cellIs" dxfId="140" priority="49" operator="equal">
      <formula>"Yes"</formula>
    </cfRule>
  </conditionalFormatting>
  <conditionalFormatting sqref="VY86:WC88">
    <cfRule type="cellIs" dxfId="139" priority="48" operator="equal">
      <formula>"B"</formula>
    </cfRule>
  </conditionalFormatting>
  <conditionalFormatting sqref="VY86:WC88">
    <cfRule type="cellIs" dxfId="138" priority="47" operator="equal">
      <formula>"Yes"</formula>
    </cfRule>
  </conditionalFormatting>
  <conditionalFormatting sqref="VY86:WC88">
    <cfRule type="cellIs" dxfId="137" priority="46" operator="equal">
      <formula>"B"</formula>
    </cfRule>
  </conditionalFormatting>
  <conditionalFormatting sqref="VY89:WC90">
    <cfRule type="cellIs" dxfId="136" priority="45" operator="equal">
      <formula>"Yes"</formula>
    </cfRule>
  </conditionalFormatting>
  <conditionalFormatting sqref="VY89:WC90">
    <cfRule type="cellIs" dxfId="135" priority="44" operator="equal">
      <formula>"B"</formula>
    </cfRule>
  </conditionalFormatting>
  <conditionalFormatting sqref="VY89:WC90">
    <cfRule type="cellIs" dxfId="134" priority="43" operator="equal">
      <formula>"Yes"</formula>
    </cfRule>
  </conditionalFormatting>
  <conditionalFormatting sqref="VY89:WC90">
    <cfRule type="cellIs" dxfId="133" priority="42" operator="equal">
      <formula>"B"</formula>
    </cfRule>
  </conditionalFormatting>
  <conditionalFormatting sqref="WG84:WK84">
    <cfRule type="cellIs" dxfId="132" priority="41" operator="equal">
      <formula>"Yes"</formula>
    </cfRule>
  </conditionalFormatting>
  <conditionalFormatting sqref="WG84:WK84">
    <cfRule type="cellIs" dxfId="131" priority="40" operator="equal">
      <formula>"B"</formula>
    </cfRule>
  </conditionalFormatting>
  <conditionalFormatting sqref="WJ105:WJ106">
    <cfRule type="cellIs" dxfId="130" priority="39" operator="equal">
      <formula>"Yes"</formula>
    </cfRule>
  </conditionalFormatting>
  <conditionalFormatting sqref="OU74">
    <cfRule type="cellIs" dxfId="129" priority="38" operator="notEqual">
      <formula>$OU74</formula>
    </cfRule>
  </conditionalFormatting>
  <conditionalFormatting sqref="WI2:WI72">
    <cfRule type="cellIs" dxfId="128" priority="33" operator="greaterThan">
      <formula>4</formula>
    </cfRule>
    <cfRule type="cellIs" dxfId="127" priority="34" operator="equal">
      <formula>4</formula>
    </cfRule>
    <cfRule type="cellIs" dxfId="126" priority="35" operator="equal">
      <formula>3</formula>
    </cfRule>
    <cfRule type="cellIs" dxfId="125" priority="36" operator="equal">
      <formula>2</formula>
    </cfRule>
    <cfRule type="cellIs" dxfId="124" priority="37" operator="equal">
      <formula>1</formula>
    </cfRule>
  </conditionalFormatting>
  <conditionalFormatting sqref="VW186:VW187">
    <cfRule type="cellIs" dxfId="123" priority="31" operator="equal">
      <formula>"Yes"</formula>
    </cfRule>
  </conditionalFormatting>
  <conditionalFormatting sqref="VQ186:VQ187">
    <cfRule type="cellIs" dxfId="122" priority="29" operator="equal">
      <formula>"Yes"</formula>
    </cfRule>
  </conditionalFormatting>
  <conditionalFormatting sqref="WI186:WI187">
    <cfRule type="cellIs" dxfId="121" priority="24" operator="greaterThan">
      <formula>4</formula>
    </cfRule>
    <cfRule type="cellIs" dxfId="120" priority="25" operator="equal">
      <formula>4</formula>
    </cfRule>
    <cfRule type="cellIs" dxfId="119" priority="26" operator="equal">
      <formula>3</formula>
    </cfRule>
    <cfRule type="cellIs" dxfId="118" priority="27" operator="equal">
      <formula>2</formula>
    </cfRule>
    <cfRule type="cellIs" dxfId="117" priority="28" operator="equal">
      <formula>1</formula>
    </cfRule>
  </conditionalFormatting>
  <conditionalFormatting sqref="VV108:VW114">
    <cfRule type="cellIs" dxfId="116" priority="19" operator="equal">
      <formula>"Yes"</formula>
    </cfRule>
  </conditionalFormatting>
  <conditionalFormatting sqref="VV108:VW114">
    <cfRule type="cellIs" dxfId="115" priority="18" operator="equal">
      <formula>"B"</formula>
    </cfRule>
  </conditionalFormatting>
  <conditionalFormatting sqref="VV108:VW114">
    <cfRule type="cellIs" dxfId="114" priority="17" operator="equal">
      <formula>"Yes"</formula>
    </cfRule>
  </conditionalFormatting>
  <conditionalFormatting sqref="VV108:VW114">
    <cfRule type="cellIs" dxfId="113" priority="16" operator="equal">
      <formula>"B"</formula>
    </cfRule>
  </conditionalFormatting>
  <conditionalFormatting sqref="WK2:WK48">
    <cfRule type="expression" dxfId="112" priority="15">
      <formula>AND($VR2&gt;0,$VR2&lt;1)</formula>
    </cfRule>
  </conditionalFormatting>
  <conditionalFormatting sqref="WL84">
    <cfRule type="cellIs" dxfId="111" priority="14" operator="equal">
      <formula>"Yes"</formula>
    </cfRule>
  </conditionalFormatting>
  <conditionalFormatting sqref="WL84">
    <cfRule type="cellIs" dxfId="110" priority="13" operator="equal">
      <formula>"B"</formula>
    </cfRule>
  </conditionalFormatting>
  <conditionalFormatting sqref="WG86:WK88">
    <cfRule type="cellIs" dxfId="109" priority="12" operator="equal">
      <formula>"Yes"</formula>
    </cfRule>
  </conditionalFormatting>
  <conditionalFormatting sqref="WG86:WK88">
    <cfRule type="cellIs" dxfId="108" priority="11" operator="equal">
      <formula>"B"</formula>
    </cfRule>
  </conditionalFormatting>
  <conditionalFormatting sqref="WG86:WK88">
    <cfRule type="cellIs" dxfId="107" priority="10" operator="equal">
      <formula>"Yes"</formula>
    </cfRule>
  </conditionalFormatting>
  <conditionalFormatting sqref="WG86:WK88">
    <cfRule type="cellIs" dxfId="106" priority="9" operator="equal">
      <formula>"B"</formula>
    </cfRule>
  </conditionalFormatting>
  <conditionalFormatting sqref="WG89:WK90">
    <cfRule type="cellIs" dxfId="105" priority="8" operator="equal">
      <formula>"Yes"</formula>
    </cfRule>
  </conditionalFormatting>
  <conditionalFormatting sqref="WG89:WK90">
    <cfRule type="cellIs" dxfId="104" priority="7" operator="equal">
      <formula>"B"</formula>
    </cfRule>
  </conditionalFormatting>
  <conditionalFormatting sqref="WG89:WK90">
    <cfRule type="cellIs" dxfId="103" priority="6" operator="equal">
      <formula>"Yes"</formula>
    </cfRule>
  </conditionalFormatting>
  <conditionalFormatting sqref="WG89:WK90">
    <cfRule type="cellIs" dxfId="102" priority="5" operator="equal">
      <formula>"B"</formula>
    </cfRule>
  </conditionalFormatting>
  <conditionalFormatting sqref="VV116:VW126">
    <cfRule type="cellIs" dxfId="101" priority="4" operator="equal">
      <formula>"Yes"</formula>
    </cfRule>
  </conditionalFormatting>
  <conditionalFormatting sqref="VV116:VW126">
    <cfRule type="cellIs" dxfId="100" priority="3" operator="equal">
      <formula>"B"</formula>
    </cfRule>
  </conditionalFormatting>
  <conditionalFormatting sqref="VV116:VW126">
    <cfRule type="cellIs" dxfId="99" priority="2" operator="equal">
      <formula>"Yes"</formula>
    </cfRule>
  </conditionalFormatting>
  <conditionalFormatting sqref="VV116:VW126">
    <cfRule type="cellIs" dxfId="98" priority="1" operator="equal">
      <formula>"B"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4AFBF-CD41-4539-A331-617AA424F7E7}">
  <sheetPr codeName="Sheet5"/>
  <dimension ref="A1:WX187"/>
  <sheetViews>
    <sheetView zoomScale="90" zoomScaleNormal="90" workbookViewId="0">
      <pane xSplit="2" ySplit="1" topLeftCell="VP73" activePane="bottomRight" state="frozen"/>
      <selection activeCell="VO2" sqref="VO2:VO72"/>
      <selection pane="topRight" activeCell="VO2" sqref="VO2:VO72"/>
      <selection pane="bottomLeft" activeCell="VO2" sqref="VO2:VO72"/>
      <selection pane="bottomRight" activeCell="VX75" sqref="VX75"/>
    </sheetView>
  </sheetViews>
  <sheetFormatPr defaultRowHeight="15" x14ac:dyDescent="0.25"/>
  <cols>
    <col min="1" max="2" width="15.7109375" style="2" customWidth="1"/>
    <col min="3" max="3" width="20.7109375" style="2" customWidth="1"/>
    <col min="4" max="4" width="22.42578125" style="2" hidden="1" customWidth="1"/>
    <col min="5" max="5" width="29.5703125" style="2" hidden="1" customWidth="1"/>
    <col min="6" max="6" width="30.140625" style="2" hidden="1" customWidth="1"/>
    <col min="7" max="7" width="36.140625" style="2" hidden="1" customWidth="1"/>
    <col min="8" max="8" width="36.5703125" style="2" hidden="1" customWidth="1"/>
    <col min="9" max="9" width="30.85546875" style="2" hidden="1" customWidth="1"/>
    <col min="10" max="10" width="31.28515625" style="2" hidden="1" customWidth="1"/>
    <col min="11" max="11" width="26.5703125" style="2" hidden="1" customWidth="1"/>
    <col min="12" max="12" width="27" style="2" hidden="1" customWidth="1"/>
    <col min="13" max="13" width="28.7109375" style="2" hidden="1" customWidth="1"/>
    <col min="14" max="14" width="29.140625" style="2" hidden="1" customWidth="1"/>
    <col min="15" max="15" width="33.140625" style="2" hidden="1" customWidth="1"/>
    <col min="16" max="16" width="33.5703125" style="2" hidden="1" customWidth="1"/>
    <col min="17" max="17" width="28.140625" style="2" hidden="1" customWidth="1"/>
    <col min="18" max="18" width="28.5703125" style="2" hidden="1" customWidth="1"/>
    <col min="19" max="19" width="31.5703125" style="2" hidden="1" customWidth="1"/>
    <col min="20" max="20" width="32" style="2" hidden="1" customWidth="1"/>
    <col min="21" max="21" width="32.7109375" style="2" hidden="1" customWidth="1"/>
    <col min="22" max="22" width="33.140625" style="2" hidden="1" customWidth="1"/>
    <col min="23" max="23" width="28.42578125" style="2" hidden="1" customWidth="1"/>
    <col min="24" max="24" width="28.85546875" style="2" hidden="1" customWidth="1"/>
    <col min="25" max="25" width="13.140625" style="2" hidden="1" customWidth="1"/>
    <col min="26" max="28" width="17.85546875" style="2" hidden="1" customWidth="1"/>
    <col min="29" max="29" width="20.140625" style="2" hidden="1" customWidth="1"/>
    <col min="30" max="30" width="17.85546875" style="2" hidden="1" customWidth="1"/>
    <col min="31" max="31" width="12.85546875" style="2" hidden="1" customWidth="1"/>
    <col min="32" max="32" width="18.7109375" style="2" hidden="1" customWidth="1"/>
    <col min="33" max="33" width="28.28515625" style="2" hidden="1" customWidth="1"/>
    <col min="34" max="34" width="29.28515625" style="2" hidden="1" customWidth="1"/>
    <col min="35" max="35" width="30.42578125" style="2" hidden="1" customWidth="1"/>
    <col min="36" max="36" width="26.5703125" style="2" hidden="1" customWidth="1"/>
    <col min="37" max="37" width="27.5703125" style="2" hidden="1" customWidth="1"/>
    <col min="38" max="38" width="35.7109375" style="2" hidden="1" customWidth="1"/>
    <col min="39" max="39" width="28.140625" style="2" hidden="1" customWidth="1"/>
    <col min="40" max="40" width="27.5703125" style="2" hidden="1" customWidth="1"/>
    <col min="41" max="41" width="17.7109375" style="2" hidden="1" customWidth="1"/>
    <col min="42" max="42" width="34.85546875" style="2" hidden="1" customWidth="1"/>
    <col min="43" max="43" width="43.28515625" style="2" hidden="1" customWidth="1"/>
    <col min="44" max="44" width="27.140625" style="2" hidden="1" customWidth="1"/>
    <col min="45" max="45" width="34.85546875" style="2" hidden="1" customWidth="1"/>
    <col min="46" max="46" width="21.85546875" style="2" hidden="1" customWidth="1"/>
    <col min="47" max="47" width="23.42578125" style="2" hidden="1" customWidth="1"/>
    <col min="48" max="48" width="18.85546875" style="2" hidden="1" customWidth="1"/>
    <col min="49" max="49" width="19.28515625" style="2" hidden="1" customWidth="1"/>
    <col min="50" max="50" width="18.85546875" style="2" hidden="1" customWidth="1"/>
    <col min="51" max="51" width="20.28515625" style="2" hidden="1" customWidth="1"/>
    <col min="52" max="52" width="19.85546875" style="2" hidden="1" customWidth="1"/>
    <col min="53" max="53" width="19.42578125" style="2" hidden="1" customWidth="1"/>
    <col min="54" max="54" width="19" style="2" hidden="1" customWidth="1"/>
    <col min="55" max="55" width="21.28515625" style="2" hidden="1" customWidth="1"/>
    <col min="56" max="56" width="20.85546875" style="2" hidden="1" customWidth="1"/>
    <col min="57" max="57" width="22.28515625" style="2" hidden="1" customWidth="1"/>
    <col min="58" max="58" width="21.85546875" style="2" hidden="1" customWidth="1"/>
    <col min="59" max="59" width="19.42578125" style="2" hidden="1" customWidth="1"/>
    <col min="60" max="60" width="19" style="2" hidden="1" customWidth="1"/>
    <col min="61" max="61" width="21.140625" style="2" hidden="1" customWidth="1"/>
    <col min="62" max="62" width="20.7109375" style="2" hidden="1" customWidth="1"/>
    <col min="63" max="63" width="19.5703125" style="2" hidden="1" customWidth="1"/>
    <col min="64" max="64" width="19.140625" style="2" hidden="1" customWidth="1"/>
    <col min="65" max="65" width="21.85546875" style="2" hidden="1" customWidth="1"/>
    <col min="66" max="66" width="21.28515625" style="2" hidden="1" customWidth="1"/>
    <col min="67" max="67" width="27.85546875" style="2" hidden="1" customWidth="1"/>
    <col min="68" max="68" width="16.5703125" style="2" hidden="1" customWidth="1"/>
    <col min="69" max="69" width="34.7109375" style="2" customWidth="1"/>
    <col min="70" max="70" width="17.85546875" style="2" hidden="1" customWidth="1"/>
    <col min="71" max="71" width="14.140625" style="2" hidden="1" customWidth="1"/>
    <col min="72" max="72" width="26.85546875" style="2" hidden="1" customWidth="1"/>
    <col min="73" max="73" width="20.28515625" style="2" hidden="1" customWidth="1"/>
    <col min="74" max="74" width="21.7109375" style="2" customWidth="1"/>
    <col min="75" max="75" width="16.7109375" style="2" customWidth="1"/>
    <col min="76" max="76" width="29.5703125" style="2" hidden="1" customWidth="1"/>
    <col min="77" max="77" width="28.140625" style="2" hidden="1" customWidth="1"/>
    <col min="78" max="78" width="30.5703125" style="2" hidden="1" customWidth="1"/>
    <col min="79" max="79" width="22" style="2" hidden="1" customWidth="1"/>
    <col min="80" max="80" width="34.42578125" style="2" hidden="1" customWidth="1"/>
    <col min="81" max="81" width="33.28515625" style="2" hidden="1" customWidth="1"/>
    <col min="82" max="82" width="23.7109375" style="2" hidden="1" customWidth="1"/>
    <col min="83" max="83" width="28.7109375" style="2" customWidth="1"/>
    <col min="84" max="84" width="25.7109375" style="2" hidden="1" customWidth="1"/>
    <col min="85" max="85" width="23.42578125" style="2" hidden="1" customWidth="1"/>
    <col min="86" max="104" width="3.7109375" style="2" hidden="1" customWidth="1"/>
    <col min="105" max="105" width="87.42578125" style="2" hidden="1" customWidth="1"/>
    <col min="106" max="106" width="60.140625" style="2" hidden="1" customWidth="1"/>
    <col min="107" max="107" width="24.85546875" style="2" hidden="1" customWidth="1"/>
    <col min="108" max="108" width="32.42578125" style="2" hidden="1" customWidth="1"/>
    <col min="109" max="109" width="25.7109375" style="2" hidden="1" customWidth="1"/>
    <col min="110" max="110" width="87.42578125" style="2" hidden="1" customWidth="1"/>
    <col min="111" max="111" width="37.5703125" style="2" hidden="1" customWidth="1"/>
    <col min="112" max="112" width="36.5703125" style="2" hidden="1" customWidth="1"/>
    <col min="113" max="113" width="25.140625" style="2" hidden="1" customWidth="1"/>
    <col min="114" max="114" width="89" style="2" hidden="1" customWidth="1"/>
    <col min="115" max="115" width="24.5703125" style="2" hidden="1" customWidth="1"/>
    <col min="116" max="116" width="88.140625" style="2" hidden="1" customWidth="1"/>
    <col min="117" max="117" width="88.85546875" style="2" hidden="1" customWidth="1"/>
    <col min="118" max="118" width="15.7109375" style="2" customWidth="1"/>
    <col min="119" max="119" width="31.7109375" style="2" hidden="1" customWidth="1"/>
    <col min="120" max="120" width="34.28515625" style="2" hidden="1" customWidth="1"/>
    <col min="121" max="121" width="31.28515625" style="2" hidden="1" customWidth="1"/>
    <col min="122" max="122" width="89.5703125" style="2" hidden="1" customWidth="1"/>
    <col min="123" max="123" width="23.5703125" style="2" hidden="1" customWidth="1"/>
    <col min="124" max="124" width="38.42578125" style="2" hidden="1" customWidth="1"/>
    <col min="125" max="125" width="18" style="2" hidden="1" customWidth="1"/>
    <col min="126" max="126" width="19.140625" style="2" hidden="1" customWidth="1"/>
    <col min="127" max="127" width="22.42578125" style="2" hidden="1" customWidth="1"/>
    <col min="128" max="128" width="20.28515625" style="2" hidden="1" customWidth="1"/>
    <col min="129" max="129" width="23.7109375" style="2" hidden="1" customWidth="1"/>
    <col min="130" max="130" width="35.42578125" style="2" hidden="1" customWidth="1"/>
    <col min="131" max="131" width="89.5703125" style="2" hidden="1" customWidth="1"/>
    <col min="132" max="132" width="49.140625" style="2" hidden="1" customWidth="1"/>
    <col min="133" max="133" width="36.5703125" style="2" hidden="1" customWidth="1"/>
    <col min="134" max="134" width="46.42578125" style="2" hidden="1" customWidth="1"/>
    <col min="135" max="135" width="23.140625" style="2" hidden="1" customWidth="1"/>
    <col min="136" max="136" width="89.5703125" style="2" hidden="1" customWidth="1"/>
    <col min="137" max="137" width="22.85546875" style="2" hidden="1" customWidth="1"/>
    <col min="138" max="138" width="90.7109375" style="2" hidden="1" customWidth="1"/>
    <col min="139" max="139" width="89.28515625" style="2" hidden="1" customWidth="1"/>
    <col min="140" max="140" width="32.28515625" style="2" hidden="1" customWidth="1"/>
    <col min="141" max="141" width="36.5703125" style="2" hidden="1" customWidth="1"/>
    <col min="142" max="142" width="49.28515625" style="2" hidden="1" customWidth="1"/>
    <col min="143" max="143" width="26" style="2" hidden="1" customWidth="1"/>
    <col min="144" max="144" width="89.5703125" style="2" hidden="1" customWidth="1"/>
    <col min="145" max="145" width="25.5703125" style="2" hidden="1" customWidth="1"/>
    <col min="146" max="146" width="90.7109375" style="2" hidden="1" customWidth="1"/>
    <col min="147" max="147" width="89.28515625" style="2" hidden="1" customWidth="1"/>
    <col min="148" max="148" width="33.140625" style="2" hidden="1" customWidth="1"/>
    <col min="149" max="149" width="35.7109375" style="2" hidden="1" customWidth="1"/>
    <col min="150" max="150" width="32.7109375" style="2" hidden="1" customWidth="1"/>
    <col min="151" max="151" width="43" style="2" hidden="1" customWidth="1"/>
    <col min="152" max="152" width="39.140625" style="2" hidden="1" customWidth="1"/>
    <col min="153" max="153" width="26.85546875" style="2" hidden="1" customWidth="1"/>
    <col min="154" max="154" width="28" style="2" hidden="1" customWidth="1"/>
    <col min="155" max="155" width="26.140625" style="2" hidden="1" customWidth="1"/>
    <col min="156" max="156" width="29.140625" style="2" hidden="1" customWidth="1"/>
    <col min="157" max="157" width="32.42578125" style="2" hidden="1" customWidth="1"/>
    <col min="158" max="158" width="37.140625" style="2" hidden="1" customWidth="1"/>
    <col min="159" max="159" width="33.85546875" style="2" hidden="1" customWidth="1"/>
    <col min="160" max="160" width="36.42578125" style="2" hidden="1" customWidth="1"/>
    <col min="161" max="161" width="33.42578125" style="2" hidden="1" customWidth="1"/>
    <col min="162" max="162" width="87.42578125" style="2" hidden="1" customWidth="1"/>
    <col min="163" max="163" width="39.140625" style="2" hidden="1" customWidth="1"/>
    <col min="164" max="164" width="27.5703125" style="2" hidden="1" customWidth="1"/>
    <col min="165" max="165" width="28.7109375" style="2" hidden="1" customWidth="1"/>
    <col min="166" max="166" width="32" style="2" hidden="1" customWidth="1"/>
    <col min="167" max="167" width="29.85546875" style="2" hidden="1" customWidth="1"/>
    <col min="168" max="168" width="33.140625" style="2" hidden="1" customWidth="1"/>
    <col min="169" max="169" width="36" style="2" hidden="1" customWidth="1"/>
    <col min="170" max="170" width="33.7109375" style="2" customWidth="1"/>
    <col min="171" max="171" width="24.7109375" style="2" customWidth="1"/>
    <col min="172" max="172" width="29.7109375" style="2" hidden="1" customWidth="1"/>
    <col min="173" max="173" width="21.28515625" style="2" hidden="1" customWidth="1"/>
    <col min="174" max="174" width="38.7109375" style="2" hidden="1" customWidth="1"/>
    <col min="175" max="175" width="36.85546875" style="2" hidden="1" customWidth="1"/>
    <col min="176" max="176" width="29.140625" style="2" hidden="1" customWidth="1"/>
    <col min="177" max="177" width="14" style="2" hidden="1" customWidth="1"/>
    <col min="178" max="178" width="22" style="2" hidden="1" customWidth="1"/>
    <col min="179" max="179" width="44.28515625" style="2" hidden="1" customWidth="1"/>
    <col min="180" max="180" width="27.140625" style="2" hidden="1" customWidth="1"/>
    <col min="181" max="181" width="24.5703125" style="2" hidden="1" customWidth="1"/>
    <col min="182" max="182" width="34.7109375" style="2" hidden="1" customWidth="1"/>
    <col min="183" max="183" width="32.140625" style="2" hidden="1" customWidth="1"/>
    <col min="184" max="184" width="86.140625" style="2" hidden="1" customWidth="1"/>
    <col min="185" max="185" width="89.28515625" style="2" hidden="1" customWidth="1"/>
    <col min="186" max="186" width="86.42578125" style="2" hidden="1" customWidth="1"/>
    <col min="187" max="187" width="20.7109375" style="2" customWidth="1"/>
    <col min="188" max="188" width="16.140625" style="2" hidden="1" customWidth="1"/>
    <col min="189" max="194" width="20.7109375" style="2" customWidth="1"/>
    <col min="195" max="195" width="26.140625" style="2" hidden="1" customWidth="1"/>
    <col min="196" max="197" width="20.7109375" style="2" customWidth="1"/>
    <col min="198" max="198" width="19.28515625" style="2" hidden="1" customWidth="1"/>
    <col min="199" max="199" width="30.5703125" style="2" hidden="1" customWidth="1"/>
    <col min="200" max="200" width="12.7109375" style="2" customWidth="1"/>
    <col min="201" max="201" width="14.7109375" style="2" customWidth="1"/>
    <col min="202" max="202" width="90.5703125" style="2" hidden="1" customWidth="1"/>
    <col min="203" max="203" width="42.28515625" style="2" hidden="1" customWidth="1"/>
    <col min="204" max="204" width="18.85546875" style="2" hidden="1" customWidth="1"/>
    <col min="205" max="205" width="16.28515625" style="2" hidden="1" customWidth="1"/>
    <col min="206" max="206" width="18" style="2" hidden="1" customWidth="1"/>
    <col min="207" max="207" width="84.140625" style="2" hidden="1" customWidth="1"/>
    <col min="208" max="208" width="19.28515625" style="2" hidden="1" customWidth="1"/>
    <col min="209" max="209" width="16.5703125" style="2" hidden="1" customWidth="1"/>
    <col min="210" max="210" width="25.5703125" style="2" hidden="1" customWidth="1"/>
    <col min="211" max="211" width="24.5703125" style="2" hidden="1" customWidth="1"/>
    <col min="212" max="212" width="19.140625" style="2" hidden="1" customWidth="1"/>
    <col min="213" max="213" width="20.7109375" style="2" hidden="1" customWidth="1"/>
    <col min="214" max="214" width="24.42578125" style="2" hidden="1" customWidth="1"/>
    <col min="215" max="215" width="21.42578125" style="2" hidden="1" customWidth="1"/>
    <col min="216" max="216" width="19.140625" style="2" hidden="1" customWidth="1"/>
    <col min="217" max="217" width="20.7109375" style="2" hidden="1" customWidth="1"/>
    <col min="218" max="218" width="24.42578125" style="2" hidden="1" customWidth="1"/>
    <col min="219" max="219" width="19.140625" style="2" hidden="1" customWidth="1"/>
    <col min="220" max="220" width="20.7109375" style="2" hidden="1" customWidth="1"/>
    <col min="221" max="221" width="24.42578125" style="2" hidden="1" customWidth="1"/>
    <col min="222" max="222" width="18" style="2" hidden="1" customWidth="1"/>
    <col min="223" max="223" width="19.5703125" style="2" hidden="1" customWidth="1"/>
    <col min="224" max="224" width="23.28515625" style="2" hidden="1" customWidth="1"/>
    <col min="225" max="225" width="21.28515625" style="2" hidden="1" customWidth="1"/>
    <col min="226" max="226" width="20.28515625" style="2" hidden="1" customWidth="1"/>
    <col min="227" max="227" width="22" style="2" hidden="1" customWidth="1"/>
    <col min="228" max="228" width="25.5703125" style="2" hidden="1" customWidth="1"/>
    <col min="229" max="229" width="23.7109375" style="2" hidden="1" customWidth="1"/>
    <col min="230" max="230" width="18.140625" style="2" hidden="1" customWidth="1"/>
    <col min="231" max="231" width="19.7109375" style="2" hidden="1" customWidth="1"/>
    <col min="232" max="232" width="23.42578125" style="2" hidden="1" customWidth="1"/>
    <col min="233" max="233" width="21.42578125" style="2" hidden="1" customWidth="1"/>
    <col min="234" max="234" width="47.42578125" style="2" hidden="1" customWidth="1"/>
    <col min="235" max="235" width="20.7109375" style="2" hidden="1" customWidth="1"/>
    <col min="236" max="236" width="18.7109375" style="2" hidden="1" customWidth="1"/>
    <col min="237" max="237" width="83.28515625" style="2" hidden="1" customWidth="1"/>
    <col min="238" max="238" width="20.85546875" style="2" hidden="1" customWidth="1"/>
    <col min="239" max="239" width="18.85546875" style="2" hidden="1" customWidth="1"/>
    <col min="240" max="240" width="47.42578125" style="2" hidden="1" customWidth="1"/>
    <col min="241" max="241" width="22.42578125" style="2" hidden="1" customWidth="1"/>
    <col min="242" max="242" width="20.28515625" style="2" hidden="1" customWidth="1"/>
    <col min="243" max="243" width="38.5703125" style="2" hidden="1" customWidth="1"/>
    <col min="244" max="244" width="19.5703125" style="2" hidden="1" customWidth="1"/>
    <col min="245" max="245" width="17.42578125" style="2" hidden="1" customWidth="1"/>
    <col min="246" max="246" width="18.7109375" style="2" hidden="1" customWidth="1"/>
    <col min="247" max="247" width="24.42578125" style="2" hidden="1" customWidth="1"/>
    <col min="248" max="248" width="31.140625" style="2" hidden="1" customWidth="1"/>
    <col min="249" max="249" width="27.140625" style="2" hidden="1" customWidth="1"/>
    <col min="250" max="250" width="21" style="2" hidden="1" customWidth="1"/>
    <col min="251" max="251" width="18.42578125" style="2" hidden="1" customWidth="1"/>
    <col min="252" max="252" width="26.140625" style="2" hidden="1" customWidth="1"/>
    <col min="253" max="253" width="37.42578125" style="2" hidden="1" customWidth="1"/>
    <col min="254" max="254" width="29.28515625" style="2" hidden="1" customWidth="1"/>
    <col min="255" max="255" width="33.7109375" style="2" hidden="1" customWidth="1"/>
    <col min="256" max="256" width="25.42578125" style="2" hidden="1" customWidth="1"/>
    <col min="257" max="257" width="33.140625" style="2" hidden="1" customWidth="1"/>
    <col min="258" max="258" width="33.42578125" style="2" hidden="1" customWidth="1"/>
    <col min="259" max="259" width="38.42578125" style="2" hidden="1" customWidth="1"/>
    <col min="260" max="260" width="12.7109375" style="2" customWidth="1"/>
    <col min="261" max="261" width="37.28515625" style="2" hidden="1" customWidth="1"/>
    <col min="262" max="262" width="53.5703125" style="2" hidden="1" customWidth="1"/>
    <col min="263" max="263" width="22.5703125" style="2" hidden="1" customWidth="1"/>
    <col min="264" max="264" width="21" style="2" hidden="1" customWidth="1"/>
    <col min="265" max="265" width="16.85546875" style="2" hidden="1" customWidth="1"/>
    <col min="266" max="266" width="16.28515625" style="2" hidden="1" customWidth="1"/>
    <col min="267" max="267" width="16.7109375" style="2" hidden="1" customWidth="1"/>
    <col min="268" max="268" width="29.85546875" style="2" hidden="1" customWidth="1"/>
    <col min="269" max="269" width="22.7109375" style="2" customWidth="1"/>
    <col min="270" max="270" width="25.28515625" style="2" hidden="1" customWidth="1"/>
    <col min="271" max="271" width="29.85546875" style="2" hidden="1" customWidth="1"/>
    <col min="272" max="272" width="28.42578125" style="2" hidden="1" customWidth="1"/>
    <col min="273" max="273" width="32.42578125" style="2" hidden="1" customWidth="1"/>
    <col min="274" max="274" width="31" style="2" hidden="1" customWidth="1"/>
    <col min="275" max="275" width="30.42578125" style="2" hidden="1" customWidth="1"/>
    <col min="276" max="276" width="29.7109375" style="2" hidden="1" customWidth="1"/>
    <col min="277" max="277" width="30.28515625" style="2" hidden="1" customWidth="1"/>
    <col min="278" max="278" width="33.140625" style="2" hidden="1" customWidth="1"/>
    <col min="279" max="279" width="31.7109375" style="2" hidden="1" customWidth="1"/>
    <col min="280" max="280" width="28.7109375" style="2" hidden="1" customWidth="1"/>
    <col min="281" max="281" width="31.42578125" style="2" hidden="1" customWidth="1"/>
    <col min="282" max="282" width="22.7109375" style="2" customWidth="1"/>
    <col min="283" max="283" width="21.42578125" style="2" hidden="1" customWidth="1"/>
    <col min="284" max="284" width="23.85546875" style="2" hidden="1" customWidth="1"/>
    <col min="285" max="285" width="34.85546875" style="2" hidden="1" customWidth="1"/>
    <col min="286" max="286" width="23.85546875" style="2" hidden="1" customWidth="1"/>
    <col min="287" max="287" width="22.42578125" style="2" hidden="1" customWidth="1"/>
    <col min="288" max="288" width="18.28515625" style="2" hidden="1" customWidth="1"/>
    <col min="289" max="289" width="17.7109375" style="2" hidden="1" customWidth="1"/>
    <col min="290" max="290" width="18.140625" style="2" hidden="1" customWidth="1"/>
    <col min="291" max="291" width="19.42578125" style="2" hidden="1" customWidth="1"/>
    <col min="292" max="292" width="24.5703125" style="2" hidden="1" customWidth="1"/>
    <col min="293" max="301" width="20.7109375" style="2" customWidth="1"/>
    <col min="302" max="302" width="34" style="2" hidden="1" customWidth="1"/>
    <col min="303" max="303" width="85.42578125" style="2" hidden="1" customWidth="1"/>
    <col min="304" max="304" width="32.140625" style="2" hidden="1" customWidth="1"/>
    <col min="305" max="305" width="35.140625" style="2" hidden="1" customWidth="1"/>
    <col min="306" max="306" width="24" style="2" hidden="1" customWidth="1"/>
    <col min="307" max="307" width="22.5703125" style="2" hidden="1" customWidth="1"/>
    <col min="308" max="308" width="31.140625" style="2" hidden="1" customWidth="1"/>
    <col min="309" max="309" width="50.140625" style="2" hidden="1" customWidth="1"/>
    <col min="310" max="310" width="29.42578125" style="2" hidden="1" customWidth="1"/>
    <col min="311" max="311" width="29.28515625" style="2" hidden="1" customWidth="1"/>
    <col min="312" max="312" width="28.28515625" style="2" hidden="1" customWidth="1"/>
    <col min="313" max="313" width="33.140625" style="2" hidden="1" customWidth="1"/>
    <col min="314" max="314" width="32.7109375" style="2" hidden="1" customWidth="1"/>
    <col min="315" max="315" width="34.7109375" style="2" hidden="1" customWidth="1"/>
    <col min="316" max="316" width="27" style="2" hidden="1" customWidth="1"/>
    <col min="317" max="317" width="26.5703125" style="2" hidden="1" customWidth="1"/>
    <col min="318" max="318" width="29.5703125" style="2" hidden="1" customWidth="1"/>
    <col min="319" max="319" width="27.5703125" style="2" hidden="1" customWidth="1"/>
    <col min="320" max="320" width="24.28515625" style="2" hidden="1" customWidth="1"/>
    <col min="321" max="321" width="26.28515625" style="2" hidden="1" customWidth="1"/>
    <col min="322" max="322" width="22" style="2" hidden="1" customWidth="1"/>
    <col min="323" max="323" width="43.5703125" style="2" hidden="1" customWidth="1"/>
    <col min="324" max="324" width="31.28515625" style="2" hidden="1" customWidth="1"/>
    <col min="325" max="325" width="37.28515625" style="2" hidden="1" customWidth="1"/>
    <col min="326" max="326" width="30.5703125" style="2" hidden="1" customWidth="1"/>
    <col min="327" max="327" width="32.85546875" style="2" hidden="1" customWidth="1"/>
    <col min="328" max="328" width="48.42578125" style="2" hidden="1" customWidth="1"/>
    <col min="329" max="329" width="44.42578125" style="2" hidden="1" customWidth="1"/>
    <col min="330" max="330" width="38" style="2" hidden="1" customWidth="1"/>
    <col min="331" max="331" width="42.28515625" style="2" hidden="1" customWidth="1"/>
    <col min="332" max="332" width="33.140625" style="2" hidden="1" customWidth="1"/>
    <col min="333" max="333" width="36.28515625" style="2" hidden="1" customWidth="1"/>
    <col min="334" max="334" width="32.85546875" style="2" hidden="1" customWidth="1"/>
    <col min="335" max="335" width="32.42578125" style="2" hidden="1" customWidth="1"/>
    <col min="336" max="336" width="34.85546875" style="2" hidden="1" customWidth="1"/>
    <col min="337" max="337" width="19.42578125" style="2" hidden="1" customWidth="1"/>
    <col min="338" max="338" width="38" style="2" hidden="1" customWidth="1"/>
    <col min="339" max="339" width="13.5703125" style="2" hidden="1" customWidth="1"/>
    <col min="340" max="340" width="24.85546875" style="2" hidden="1" customWidth="1"/>
    <col min="341" max="341" width="30.7109375" style="2" customWidth="1"/>
    <col min="342" max="342" width="12.28515625" style="2" hidden="1" customWidth="1"/>
    <col min="343" max="343" width="23.5703125" style="2" hidden="1" customWidth="1"/>
    <col min="344" max="344" width="30.85546875" style="2" hidden="1" customWidth="1"/>
    <col min="345" max="346" width="20.28515625" style="2" hidden="1" customWidth="1"/>
    <col min="347" max="347" width="18.85546875" style="2" hidden="1" customWidth="1"/>
    <col min="348" max="348" width="37.42578125" style="2" hidden="1" customWidth="1"/>
    <col min="349" max="349" width="17" style="2" hidden="1" customWidth="1"/>
    <col min="350" max="350" width="35.7109375" style="2" hidden="1" customWidth="1"/>
    <col min="351" max="351" width="32.7109375" style="2" hidden="1" customWidth="1"/>
    <col min="352" max="352" width="29.42578125" style="2" hidden="1" customWidth="1"/>
    <col min="353" max="353" width="15.42578125" style="2" hidden="1" customWidth="1"/>
    <col min="354" max="354" width="34" style="2" hidden="1" customWidth="1"/>
    <col min="355" max="355" width="29.140625" style="2" hidden="1" customWidth="1"/>
    <col min="356" max="356" width="25.140625" style="2" hidden="1" customWidth="1"/>
    <col min="357" max="357" width="25.5703125" style="2" hidden="1" customWidth="1"/>
    <col min="358" max="358" width="13.42578125" style="2" hidden="1" customWidth="1"/>
    <col min="359" max="359" width="38.140625" style="2" hidden="1" customWidth="1"/>
    <col min="360" max="360" width="14.85546875" style="2" hidden="1" customWidth="1"/>
    <col min="361" max="361" width="33.42578125" style="2" hidden="1" customWidth="1"/>
    <col min="362" max="362" width="18.7109375" style="2" hidden="1" customWidth="1"/>
    <col min="363" max="363" width="32.140625" style="2" hidden="1" customWidth="1"/>
    <col min="364" max="364" width="33.28515625" style="2" hidden="1" customWidth="1"/>
    <col min="365" max="365" width="33.140625" style="2" hidden="1" customWidth="1"/>
    <col min="366" max="366" width="14.5703125" style="2" hidden="1" customWidth="1"/>
    <col min="367" max="367" width="33.140625" style="2" hidden="1" customWidth="1"/>
    <col min="368" max="368" width="22.5703125" style="2" hidden="1" customWidth="1"/>
    <col min="369" max="369" width="41.140625" style="2" hidden="1" customWidth="1"/>
    <col min="370" max="370" width="21.85546875" style="2" hidden="1" customWidth="1"/>
    <col min="371" max="372" width="40.42578125" style="2" hidden="1" customWidth="1"/>
    <col min="373" max="373" width="40" style="2" customWidth="1"/>
    <col min="374" max="374" width="39.7109375" style="2" hidden="1" customWidth="1"/>
    <col min="375" max="375" width="25.28515625" style="2" hidden="1" customWidth="1"/>
    <col min="376" max="376" width="52.42578125" style="2" hidden="1" customWidth="1"/>
    <col min="377" max="377" width="24.7109375" style="2" customWidth="1"/>
    <col min="378" max="378" width="34.140625" style="2" hidden="1" customWidth="1"/>
    <col min="379" max="379" width="17.7109375" style="2" customWidth="1"/>
    <col min="380" max="380" width="18.140625" style="2" hidden="1" customWidth="1"/>
    <col min="381" max="381" width="56.85546875" style="2" hidden="1" customWidth="1"/>
    <col min="382" max="382" width="17.7109375" style="2" customWidth="1"/>
    <col min="383" max="383" width="18.85546875" style="2" hidden="1" customWidth="1"/>
    <col min="384" max="384" width="8.7109375" style="2" customWidth="1"/>
    <col min="385" max="385" width="27" style="2" hidden="1" customWidth="1"/>
    <col min="386" max="386" width="16.5703125" style="2" hidden="1" customWidth="1"/>
    <col min="387" max="387" width="63.5703125" style="2" hidden="1" customWidth="1"/>
    <col min="388" max="390" width="32.28515625" style="2" hidden="1" customWidth="1"/>
    <col min="391" max="391" width="18.42578125" style="2" hidden="1" customWidth="1"/>
    <col min="392" max="392" width="88.7109375" style="2" hidden="1" customWidth="1"/>
    <col min="393" max="393" width="27.28515625" style="2" hidden="1" customWidth="1"/>
    <col min="394" max="394" width="20" style="2" hidden="1" customWidth="1"/>
    <col min="395" max="395" width="22.140625" style="2" hidden="1" customWidth="1"/>
    <col min="396" max="397" width="24.85546875" style="2" hidden="1" customWidth="1"/>
    <col min="398" max="398" width="24.5703125" style="2" hidden="1" customWidth="1"/>
    <col min="399" max="399" width="22.42578125" style="2" hidden="1" customWidth="1"/>
    <col min="400" max="400" width="26.5703125" style="2" hidden="1" customWidth="1"/>
    <col min="401" max="401" width="26.7109375" style="2" hidden="1" customWidth="1"/>
    <col min="402" max="402" width="31.42578125" style="2" hidden="1" customWidth="1"/>
    <col min="403" max="405" width="33.140625" style="2" hidden="1" customWidth="1"/>
    <col min="406" max="406" width="22.28515625" style="2" hidden="1" customWidth="1"/>
    <col min="407" max="407" width="32" style="2" hidden="1" customWidth="1"/>
    <col min="408" max="408" width="30.85546875" style="2" hidden="1" customWidth="1"/>
    <col min="409" max="409" width="33.85546875" style="2" hidden="1" customWidth="1"/>
    <col min="410" max="411" width="18.7109375" style="2" customWidth="1"/>
    <col min="412" max="412" width="74.5703125" style="2" hidden="1" customWidth="1"/>
    <col min="413" max="413" width="17.85546875" style="2" hidden="1" customWidth="1"/>
    <col min="414" max="414" width="22.7109375" style="2" customWidth="1"/>
    <col min="415" max="415" width="27.7109375" style="2" customWidth="1"/>
    <col min="416" max="416" width="31" style="2" hidden="1" customWidth="1"/>
    <col min="417" max="417" width="26.5703125" style="2" hidden="1" customWidth="1"/>
    <col min="418" max="418" width="32.28515625" style="2" hidden="1" customWidth="1"/>
    <col min="419" max="419" width="27.85546875" style="2" hidden="1" customWidth="1"/>
    <col min="420" max="420" width="29.5703125" style="2" hidden="1" customWidth="1"/>
    <col min="421" max="421" width="31.42578125" style="2" hidden="1" customWidth="1"/>
    <col min="422" max="422" width="27" style="2" hidden="1" customWidth="1"/>
    <col min="423" max="423" width="22.28515625" style="2" hidden="1" customWidth="1"/>
    <col min="424" max="424" width="24" style="2" hidden="1" customWidth="1"/>
    <col min="425" max="425" width="19.5703125" style="2" hidden="1" customWidth="1"/>
    <col min="426" max="426" width="27.5703125" style="2" hidden="1" customWidth="1"/>
    <col min="427" max="427" width="24.85546875" style="2" hidden="1" customWidth="1"/>
    <col min="428" max="428" width="24.140625" style="2" hidden="1" customWidth="1"/>
    <col min="429" max="429" width="26" style="2" hidden="1" customWidth="1"/>
    <col min="430" max="430" width="21.42578125" style="2" hidden="1" customWidth="1"/>
    <col min="431" max="431" width="34.28515625" style="2" hidden="1" customWidth="1"/>
    <col min="432" max="432" width="36" style="2" hidden="1" customWidth="1"/>
    <col min="433" max="433" width="31.5703125" style="2" hidden="1" customWidth="1"/>
    <col min="434" max="434" width="24.5703125" style="2" hidden="1" customWidth="1"/>
    <col min="435" max="435" width="26.42578125" style="2" hidden="1" customWidth="1"/>
    <col min="436" max="436" width="22" style="2" hidden="1" customWidth="1"/>
    <col min="437" max="437" width="18.85546875" style="2" hidden="1" customWidth="1"/>
    <col min="438" max="438" width="38.85546875" style="2" hidden="1" customWidth="1"/>
    <col min="439" max="439" width="40.5703125" style="2" hidden="1" customWidth="1"/>
    <col min="440" max="440" width="36.140625" style="2" hidden="1" customWidth="1"/>
    <col min="441" max="441" width="28.7109375" style="2" hidden="1" customWidth="1"/>
    <col min="442" max="442" width="30.5703125" style="2" hidden="1" customWidth="1"/>
    <col min="443" max="443" width="26.140625" style="2" hidden="1" customWidth="1"/>
    <col min="444" max="444" width="18.85546875" style="2" hidden="1" customWidth="1"/>
    <col min="445" max="445" width="21.140625" style="2" hidden="1" customWidth="1"/>
    <col min="446" max="446" width="23" style="2" hidden="1" customWidth="1"/>
    <col min="447" max="447" width="18.5703125" style="2" hidden="1" customWidth="1"/>
    <col min="448" max="448" width="22.42578125" style="2" hidden="1" customWidth="1"/>
    <col min="449" max="449" width="24.140625" style="2" hidden="1" customWidth="1"/>
    <col min="450" max="450" width="19.7109375" style="2" hidden="1" customWidth="1"/>
    <col min="451" max="451" width="25.28515625" style="2" hidden="1" customWidth="1"/>
    <col min="452" max="452" width="27.140625" style="2" hidden="1" customWidth="1"/>
    <col min="453" max="453" width="22.7109375" style="2" hidden="1" customWidth="1"/>
    <col min="454" max="454" width="27.140625" style="2" hidden="1" customWidth="1"/>
    <col min="455" max="455" width="29" style="2" hidden="1" customWidth="1"/>
    <col min="456" max="456" width="24.5703125" style="2" hidden="1" customWidth="1"/>
    <col min="457" max="457" width="29.7109375" style="2" hidden="1" customWidth="1"/>
    <col min="458" max="458" width="31.5703125" style="2" hidden="1" customWidth="1"/>
    <col min="459" max="459" width="27.140625" style="2" hidden="1" customWidth="1"/>
    <col min="460" max="460" width="25.42578125" style="2" hidden="1" customWidth="1"/>
    <col min="461" max="461" width="27.28515625" style="2" hidden="1" customWidth="1"/>
    <col min="462" max="462" width="22.85546875" style="2" hidden="1" customWidth="1"/>
    <col min="463" max="463" width="40.85546875" style="2" hidden="1" customWidth="1"/>
    <col min="464" max="464" width="42.7109375" style="2" hidden="1" customWidth="1"/>
    <col min="465" max="465" width="38.140625" style="2" hidden="1" customWidth="1"/>
    <col min="466" max="466" width="28.140625" style="2" hidden="1" customWidth="1"/>
    <col min="467" max="467" width="29.85546875" style="2" hidden="1" customWidth="1"/>
    <col min="468" max="468" width="25.42578125" style="2" hidden="1" customWidth="1"/>
    <col min="469" max="469" width="18.5703125" style="2" hidden="1" customWidth="1"/>
    <col min="470" max="470" width="39.140625" style="2" hidden="1" customWidth="1"/>
    <col min="471" max="471" width="40.85546875" style="2" hidden="1" customWidth="1"/>
    <col min="472" max="472" width="36.42578125" style="2" hidden="1" customWidth="1"/>
    <col min="473" max="473" width="40.140625" style="2" hidden="1" customWidth="1"/>
    <col min="474" max="474" width="35.7109375" style="2" hidden="1" customWidth="1"/>
    <col min="475" max="475" width="26.28515625" style="2" hidden="1" customWidth="1"/>
    <col min="476" max="476" width="28" style="2" hidden="1" customWidth="1"/>
    <col min="477" max="477" width="23.5703125" style="2" hidden="1" customWidth="1"/>
    <col min="478" max="478" width="25.42578125" style="2" hidden="1" customWidth="1"/>
    <col min="479" max="479" width="27.28515625" style="2" hidden="1" customWidth="1"/>
    <col min="480" max="480" width="27.42578125" style="2" hidden="1" customWidth="1"/>
    <col min="481" max="481" width="20.42578125" style="2" hidden="1" customWidth="1"/>
    <col min="482" max="482" width="21.28515625" style="2" hidden="1" customWidth="1"/>
    <col min="483" max="483" width="19.7109375" style="2" hidden="1" customWidth="1"/>
    <col min="484" max="484" width="15.28515625" style="2" hidden="1" customWidth="1"/>
    <col min="485" max="485" width="23" style="2" hidden="1" customWidth="1"/>
    <col min="486" max="486" width="24.7109375" style="2" hidden="1" customWidth="1"/>
    <col min="487" max="487" width="20.28515625" style="2" hidden="1" customWidth="1"/>
    <col min="488" max="488" width="29.5703125" style="2" hidden="1" customWidth="1"/>
    <col min="489" max="489" width="31.42578125" style="2" hidden="1" customWidth="1"/>
    <col min="490" max="490" width="27" style="2" hidden="1" customWidth="1"/>
    <col min="491" max="491" width="29.28515625" style="2" hidden="1" customWidth="1"/>
    <col min="492" max="492" width="31.140625" style="2" hidden="1" customWidth="1"/>
    <col min="493" max="493" width="26.7109375" style="2" hidden="1" customWidth="1"/>
    <col min="494" max="494" width="20.85546875" style="2" hidden="1" customWidth="1"/>
    <col min="495" max="495" width="33.28515625" style="2" hidden="1" customWidth="1"/>
    <col min="496" max="496" width="35.140625" style="2" hidden="1" customWidth="1"/>
    <col min="497" max="497" width="30.7109375" style="2" hidden="1" customWidth="1"/>
    <col min="498" max="498" width="25.140625" style="2" hidden="1" customWidth="1"/>
    <col min="499" max="499" width="25.7109375" style="2" hidden="1" customWidth="1"/>
    <col min="500" max="500" width="23.140625" style="2" hidden="1" customWidth="1"/>
    <col min="501" max="501" width="22.140625" style="2" hidden="1" customWidth="1"/>
    <col min="502" max="502" width="18.42578125" style="2" hidden="1" customWidth="1"/>
    <col min="503" max="503" width="14" style="2" hidden="1" customWidth="1"/>
    <col min="504" max="504" width="16.140625" style="2" hidden="1" customWidth="1"/>
    <col min="505" max="505" width="18.7109375" style="2" hidden="1" customWidth="1"/>
    <col min="506" max="506" width="14.28515625" style="2" hidden="1" customWidth="1"/>
    <col min="507" max="507" width="16.140625" style="2" hidden="1" customWidth="1"/>
    <col min="508" max="508" width="18" style="2" hidden="1" customWidth="1"/>
    <col min="509" max="509" width="16.140625" style="2" hidden="1" customWidth="1"/>
    <col min="510" max="510" width="26.42578125" style="2" hidden="1" customWidth="1"/>
    <col min="511" max="512" width="27.140625" style="2" hidden="1" customWidth="1"/>
    <col min="513" max="513" width="32.140625" style="2" hidden="1" customWidth="1"/>
    <col min="514" max="514" width="26.7109375" style="2" hidden="1" customWidth="1"/>
    <col min="515" max="515" width="27.5703125" style="2" hidden="1" customWidth="1"/>
    <col min="516" max="516" width="26.7109375" style="2" hidden="1" customWidth="1"/>
    <col min="517" max="517" width="27.42578125" style="2" hidden="1" customWidth="1"/>
    <col min="518" max="518" width="26.7109375" style="2" hidden="1" customWidth="1"/>
    <col min="519" max="520" width="27.42578125" style="2" hidden="1" customWidth="1"/>
    <col min="521" max="521" width="28" style="2" hidden="1" customWidth="1"/>
    <col min="522" max="522" width="21.5703125" style="2" hidden="1" customWidth="1"/>
    <col min="523" max="523" width="42.7109375" style="2" hidden="1" customWidth="1"/>
    <col min="524" max="524" width="25.140625" style="2" hidden="1" customWidth="1"/>
    <col min="525" max="525" width="30.85546875" style="2" hidden="1" customWidth="1"/>
    <col min="526" max="527" width="30.42578125" style="2" hidden="1" customWidth="1"/>
    <col min="528" max="528" width="25.7109375" style="2" hidden="1" customWidth="1"/>
    <col min="529" max="529" width="25.28515625" style="2" hidden="1" customWidth="1"/>
    <col min="530" max="531" width="26.140625" style="2" hidden="1" customWidth="1"/>
    <col min="532" max="532" width="32.140625" style="2" hidden="1" customWidth="1"/>
    <col min="533" max="533" width="25.5703125" style="2" hidden="1" customWidth="1"/>
    <col min="534" max="534" width="27.5703125" style="2" hidden="1" customWidth="1"/>
    <col min="535" max="535" width="25.5703125" style="2" hidden="1" customWidth="1"/>
    <col min="536" max="537" width="26.42578125" style="2" hidden="1" customWidth="1"/>
    <col min="538" max="538" width="25.5703125" style="2" hidden="1" customWidth="1"/>
    <col min="539" max="539" width="20.5703125" style="2" hidden="1" customWidth="1"/>
    <col min="540" max="540" width="42.7109375" style="2" hidden="1" customWidth="1"/>
    <col min="541" max="541" width="24.140625" style="2" hidden="1" customWidth="1"/>
    <col min="542" max="542" width="29.7109375" style="2" hidden="1" customWidth="1"/>
    <col min="543" max="543" width="28.42578125" style="2" hidden="1" customWidth="1"/>
    <col min="544" max="544" width="24.140625" style="2" hidden="1" customWidth="1"/>
    <col min="545" max="545" width="29.7109375" style="2" hidden="1" customWidth="1"/>
    <col min="546" max="547" width="29.28515625" style="2" hidden="1" customWidth="1"/>
    <col min="548" max="548" width="23.42578125" style="2" hidden="1" customWidth="1"/>
    <col min="549" max="549" width="24.7109375" style="2" hidden="1" customWidth="1"/>
    <col min="550" max="550" width="15.140625" style="2" hidden="1" customWidth="1"/>
    <col min="551" max="551" width="18.5703125" style="2" hidden="1" customWidth="1"/>
    <col min="552" max="552" width="20.5703125" style="2" hidden="1" customWidth="1"/>
    <col min="553" max="553" width="26.7109375" style="2" hidden="1" customWidth="1"/>
    <col min="554" max="554" width="25.5703125" style="2" hidden="1" customWidth="1"/>
    <col min="555" max="555" width="22.5703125" style="2" hidden="1" customWidth="1"/>
    <col min="556" max="556" width="16.5703125" style="2" hidden="1" customWidth="1"/>
    <col min="557" max="557" width="21.28515625" style="2" hidden="1" customWidth="1"/>
    <col min="558" max="558" width="15.42578125" style="2" hidden="1" customWidth="1"/>
    <col min="559" max="559" width="24.42578125" style="2" hidden="1" customWidth="1"/>
    <col min="560" max="560" width="15.5703125" style="2" hidden="1" customWidth="1"/>
    <col min="561" max="561" width="18.140625" style="2" hidden="1" customWidth="1"/>
    <col min="562" max="562" width="18" style="2" hidden="1" customWidth="1"/>
    <col min="563" max="563" width="33.140625" style="2" hidden="1" customWidth="1"/>
    <col min="564" max="564" width="19" style="2" hidden="1" customWidth="1"/>
    <col min="565" max="565" width="34" style="2" hidden="1" customWidth="1"/>
    <col min="566" max="567" width="18" style="2" hidden="1" customWidth="1"/>
    <col min="568" max="568" width="33" style="2" hidden="1" customWidth="1"/>
    <col min="569" max="569" width="18.42578125" style="2" hidden="1" customWidth="1"/>
    <col min="570" max="570" width="18.28515625" style="2" hidden="1" customWidth="1"/>
    <col min="571" max="571" width="33.42578125" style="2" hidden="1" customWidth="1"/>
    <col min="572" max="572" width="60.7109375" style="2" hidden="1" customWidth="1"/>
    <col min="573" max="573" width="19.42578125" style="2" hidden="1" customWidth="1"/>
    <col min="574" max="574" width="25.28515625" style="2" hidden="1" customWidth="1"/>
    <col min="575" max="575" width="22.7109375" style="2" hidden="1" customWidth="1"/>
    <col min="576" max="576" width="18.85546875" style="2" hidden="1" customWidth="1"/>
    <col min="577" max="577" width="19.85546875" style="2" hidden="1" customWidth="1"/>
    <col min="578" max="578" width="24.28515625" style="2" hidden="1" customWidth="1"/>
    <col min="579" max="579" width="19.28515625" style="2" hidden="1" customWidth="1"/>
    <col min="580" max="580" width="24.28515625" style="2" hidden="1" customWidth="1"/>
    <col min="581" max="581" width="25.7109375" style="2" customWidth="1"/>
    <col min="582" max="582" width="89.140625" style="2" hidden="1" customWidth="1"/>
    <col min="583" max="583" width="86.42578125" style="2" hidden="1" customWidth="1"/>
    <col min="584" max="585" width="9.7109375" style="2" customWidth="1"/>
    <col min="586" max="586" width="15.5703125" style="2" customWidth="1"/>
    <col min="587" max="587" width="20.85546875" style="2" bestFit="1" customWidth="1"/>
    <col min="588" max="589" width="13.7109375" style="2" customWidth="1"/>
    <col min="590" max="592" width="9.7109375" style="2" customWidth="1"/>
    <col min="593" max="593" width="15.7109375" style="2" customWidth="1"/>
    <col min="594" max="594" width="13.7109375" style="2" customWidth="1"/>
    <col min="595" max="595" width="9.7109375" style="2" customWidth="1"/>
    <col min="596" max="596" width="23.7109375" style="2" customWidth="1"/>
    <col min="597" max="604" width="9.7109375" style="2" customWidth="1"/>
    <col min="605" max="16384" width="9.140625" style="2"/>
  </cols>
  <sheetData>
    <row r="1" spans="1:622" s="25" customFormat="1" x14ac:dyDescent="0.25">
      <c r="A1" s="1" t="s">
        <v>0</v>
      </c>
      <c r="B1" s="10" t="s">
        <v>1</v>
      </c>
      <c r="C1" s="10" t="s">
        <v>2027</v>
      </c>
      <c r="D1" s="37" t="s">
        <v>2028</v>
      </c>
      <c r="E1" s="37" t="s">
        <v>2029</v>
      </c>
      <c r="F1" s="37" t="s">
        <v>2030</v>
      </c>
      <c r="G1" s="37" t="s">
        <v>2031</v>
      </c>
      <c r="H1" s="37" t="s">
        <v>2032</v>
      </c>
      <c r="I1" s="37" t="s">
        <v>2033</v>
      </c>
      <c r="J1" s="37" t="s">
        <v>2034</v>
      </c>
      <c r="K1" s="37" t="s">
        <v>2035</v>
      </c>
      <c r="L1" s="37" t="s">
        <v>2036</v>
      </c>
      <c r="M1" s="37" t="s">
        <v>2037</v>
      </c>
      <c r="N1" s="37" t="s">
        <v>2038</v>
      </c>
      <c r="O1" s="37" t="s">
        <v>2039</v>
      </c>
      <c r="P1" s="37" t="s">
        <v>2040</v>
      </c>
      <c r="Q1" s="37" t="s">
        <v>2041</v>
      </c>
      <c r="R1" s="37" t="s">
        <v>2042</v>
      </c>
      <c r="S1" s="37" t="s">
        <v>2043</v>
      </c>
      <c r="T1" s="37" t="s">
        <v>2044</v>
      </c>
      <c r="U1" s="37" t="s">
        <v>2045</v>
      </c>
      <c r="V1" s="37" t="s">
        <v>2046</v>
      </c>
      <c r="W1" s="37" t="s">
        <v>2047</v>
      </c>
      <c r="X1" s="37" t="s">
        <v>2048</v>
      </c>
      <c r="Y1" s="37" t="s">
        <v>2049</v>
      </c>
      <c r="Z1" s="37" t="s">
        <v>2050</v>
      </c>
      <c r="AA1" s="37" t="s">
        <v>2051</v>
      </c>
      <c r="AB1" s="37" t="s">
        <v>2052</v>
      </c>
      <c r="AC1" s="37" t="s">
        <v>2053</v>
      </c>
      <c r="AD1" s="37" t="s">
        <v>2054</v>
      </c>
      <c r="AE1" s="37" t="s">
        <v>2055</v>
      </c>
      <c r="AF1" s="37" t="s">
        <v>2056</v>
      </c>
      <c r="AG1" s="37" t="s">
        <v>2057</v>
      </c>
      <c r="AH1" s="37" t="s">
        <v>2058</v>
      </c>
      <c r="AI1" s="37" t="s">
        <v>2059</v>
      </c>
      <c r="AJ1" s="37" t="s">
        <v>2060</v>
      </c>
      <c r="AK1" s="37" t="s">
        <v>2061</v>
      </c>
      <c r="AL1" s="1" t="s">
        <v>2062</v>
      </c>
      <c r="AM1" s="1" t="s">
        <v>2063</v>
      </c>
      <c r="AN1" s="1" t="s">
        <v>2064</v>
      </c>
      <c r="AO1" s="1" t="s">
        <v>2065</v>
      </c>
      <c r="AP1" s="37" t="s">
        <v>2066</v>
      </c>
      <c r="AQ1" s="37" t="s">
        <v>2067</v>
      </c>
      <c r="AR1" s="37" t="s">
        <v>2068</v>
      </c>
      <c r="AS1" s="37" t="s">
        <v>2069</v>
      </c>
      <c r="AT1" s="37" t="s">
        <v>2070</v>
      </c>
      <c r="AU1" s="37" t="s">
        <v>2071</v>
      </c>
      <c r="AV1" s="37" t="s">
        <v>2072</v>
      </c>
      <c r="AW1" s="37" t="s">
        <v>2073</v>
      </c>
      <c r="AX1" s="37" t="s">
        <v>2074</v>
      </c>
      <c r="AY1" s="37" t="s">
        <v>2075</v>
      </c>
      <c r="AZ1" s="37" t="s">
        <v>2076</v>
      </c>
      <c r="BA1" s="37" t="s">
        <v>2077</v>
      </c>
      <c r="BB1" s="37" t="s">
        <v>2078</v>
      </c>
      <c r="BC1" s="37" t="s">
        <v>2079</v>
      </c>
      <c r="BD1" s="37" t="s">
        <v>2080</v>
      </c>
      <c r="BE1" s="37" t="s">
        <v>2081</v>
      </c>
      <c r="BF1" s="37" t="s">
        <v>2082</v>
      </c>
      <c r="BG1" s="37" t="s">
        <v>2083</v>
      </c>
      <c r="BH1" s="37" t="s">
        <v>2084</v>
      </c>
      <c r="BI1" s="37" t="s">
        <v>2085</v>
      </c>
      <c r="BJ1" s="37" t="s">
        <v>2086</v>
      </c>
      <c r="BK1" s="37" t="s">
        <v>2087</v>
      </c>
      <c r="BL1" s="37" t="s">
        <v>2088</v>
      </c>
      <c r="BM1" s="37" t="s">
        <v>2089</v>
      </c>
      <c r="BN1" s="37" t="s">
        <v>2090</v>
      </c>
      <c r="BO1" s="37" t="s">
        <v>2093</v>
      </c>
      <c r="BP1" s="37" t="s">
        <v>2094</v>
      </c>
      <c r="BQ1" s="10" t="s">
        <v>4163</v>
      </c>
      <c r="BR1" s="37" t="s">
        <v>2095</v>
      </c>
      <c r="BS1" s="37" t="s">
        <v>2096</v>
      </c>
      <c r="BT1" s="37" t="s">
        <v>2097</v>
      </c>
      <c r="BU1" s="37" t="s">
        <v>4164</v>
      </c>
      <c r="BV1" s="10" t="s">
        <v>2098</v>
      </c>
      <c r="BW1" s="10" t="s">
        <v>2</v>
      </c>
      <c r="BX1" s="37" t="s">
        <v>2099</v>
      </c>
      <c r="BY1" s="37" t="s">
        <v>2100</v>
      </c>
      <c r="BZ1" s="37" t="s">
        <v>2101</v>
      </c>
      <c r="CA1" s="37" t="s">
        <v>2102</v>
      </c>
      <c r="CB1" s="37" t="s">
        <v>2103</v>
      </c>
      <c r="CC1" s="37" t="s">
        <v>2104</v>
      </c>
      <c r="CD1" s="37" t="s">
        <v>4165</v>
      </c>
      <c r="CE1" s="10" t="s">
        <v>2106</v>
      </c>
      <c r="CF1" s="37" t="s">
        <v>4166</v>
      </c>
      <c r="CG1" s="37" t="s">
        <v>2107</v>
      </c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 t="s">
        <v>2108</v>
      </c>
      <c r="DB1" s="37" t="s">
        <v>2109</v>
      </c>
      <c r="DC1" s="37" t="s">
        <v>2110</v>
      </c>
      <c r="DD1" s="37" t="s">
        <v>2111</v>
      </c>
      <c r="DE1" s="1" t="s">
        <v>2112</v>
      </c>
      <c r="DF1" s="37" t="s">
        <v>2113</v>
      </c>
      <c r="DG1" s="37" t="s">
        <v>2114</v>
      </c>
      <c r="DH1" s="37" t="s">
        <v>2115</v>
      </c>
      <c r="DI1" s="37" t="s">
        <v>2118</v>
      </c>
      <c r="DJ1" s="37" t="s">
        <v>2119</v>
      </c>
      <c r="DK1" s="37" t="s">
        <v>2120</v>
      </c>
      <c r="DL1" s="37" t="s">
        <v>2121</v>
      </c>
      <c r="DM1" s="37" t="s">
        <v>2122</v>
      </c>
      <c r="DN1" s="10" t="s">
        <v>2141</v>
      </c>
      <c r="DO1" s="37" t="s">
        <v>2142</v>
      </c>
      <c r="DP1" s="37" t="s">
        <v>2143</v>
      </c>
      <c r="DQ1" s="37" t="s">
        <v>2144</v>
      </c>
      <c r="DR1" s="37" t="s">
        <v>2145</v>
      </c>
      <c r="DS1" s="37" t="s">
        <v>2146</v>
      </c>
      <c r="DT1" s="37" t="s">
        <v>2147</v>
      </c>
      <c r="DU1" s="37" t="s">
        <v>2148</v>
      </c>
      <c r="DV1" s="37" t="s">
        <v>2149</v>
      </c>
      <c r="DW1" s="37" t="s">
        <v>2150</v>
      </c>
      <c r="DX1" s="37" t="s">
        <v>2151</v>
      </c>
      <c r="DY1" s="37" t="s">
        <v>2152</v>
      </c>
      <c r="DZ1" s="37" t="s">
        <v>2153</v>
      </c>
      <c r="EA1" s="37" t="s">
        <v>2154</v>
      </c>
      <c r="EB1" s="37" t="s">
        <v>2155</v>
      </c>
      <c r="EC1" s="37" t="s">
        <v>2156</v>
      </c>
      <c r="ED1" s="37" t="s">
        <v>2157</v>
      </c>
      <c r="EE1" s="37" t="s">
        <v>2158</v>
      </c>
      <c r="EF1" s="37" t="s">
        <v>2159</v>
      </c>
      <c r="EG1" s="37" t="s">
        <v>2160</v>
      </c>
      <c r="EH1" s="37" t="s">
        <v>2161</v>
      </c>
      <c r="EI1" s="37" t="s">
        <v>2162</v>
      </c>
      <c r="EJ1" s="37" t="s">
        <v>2163</v>
      </c>
      <c r="EK1" s="37" t="s">
        <v>2164</v>
      </c>
      <c r="EL1" s="37" t="s">
        <v>2165</v>
      </c>
      <c r="EM1" s="37" t="s">
        <v>2166</v>
      </c>
      <c r="EN1" s="37" t="s">
        <v>2167</v>
      </c>
      <c r="EO1" s="37" t="s">
        <v>2168</v>
      </c>
      <c r="EP1" s="37" t="s">
        <v>2169</v>
      </c>
      <c r="EQ1" s="37" t="s">
        <v>2170</v>
      </c>
      <c r="ER1" s="37" t="s">
        <v>2171</v>
      </c>
      <c r="ES1" s="37" t="s">
        <v>2172</v>
      </c>
      <c r="ET1" s="37" t="s">
        <v>2173</v>
      </c>
      <c r="EU1" s="37" t="s">
        <v>2174</v>
      </c>
      <c r="EV1" s="37" t="s">
        <v>2175</v>
      </c>
      <c r="EW1" s="37" t="s">
        <v>2176</v>
      </c>
      <c r="EX1" s="37" t="s">
        <v>2177</v>
      </c>
      <c r="EY1" s="37" t="s">
        <v>2178</v>
      </c>
      <c r="EZ1" s="37" t="s">
        <v>2179</v>
      </c>
      <c r="FA1" s="37" t="s">
        <v>2180</v>
      </c>
      <c r="FB1" s="37" t="s">
        <v>2181</v>
      </c>
      <c r="FC1" s="37" t="s">
        <v>2182</v>
      </c>
      <c r="FD1" s="37" t="s">
        <v>2183</v>
      </c>
      <c r="FE1" s="37" t="s">
        <v>2184</v>
      </c>
      <c r="FF1" s="37" t="s">
        <v>2185</v>
      </c>
      <c r="FG1" s="37" t="s">
        <v>2186</v>
      </c>
      <c r="FH1" s="37" t="s">
        <v>2187</v>
      </c>
      <c r="FI1" s="37" t="s">
        <v>2188</v>
      </c>
      <c r="FJ1" s="37" t="s">
        <v>2189</v>
      </c>
      <c r="FK1" s="37" t="s">
        <v>2190</v>
      </c>
      <c r="FL1" s="37" t="s">
        <v>2191</v>
      </c>
      <c r="FM1" s="37" t="s">
        <v>2192</v>
      </c>
      <c r="FN1" s="10" t="s">
        <v>2193</v>
      </c>
      <c r="FO1" s="10" t="s">
        <v>2194</v>
      </c>
      <c r="FP1" s="37" t="s">
        <v>2195</v>
      </c>
      <c r="FQ1" s="37" t="s">
        <v>2196</v>
      </c>
      <c r="FR1" s="37" t="s">
        <v>2197</v>
      </c>
      <c r="FS1" s="37" t="s">
        <v>2198</v>
      </c>
      <c r="FT1" s="37" t="s">
        <v>2199</v>
      </c>
      <c r="FU1" s="37" t="s">
        <v>4167</v>
      </c>
      <c r="FV1" s="37" t="s">
        <v>3292</v>
      </c>
      <c r="FW1" s="37" t="s">
        <v>3293</v>
      </c>
      <c r="FX1" s="37" t="s">
        <v>2200</v>
      </c>
      <c r="FY1" s="37" t="s">
        <v>2201</v>
      </c>
      <c r="FZ1" s="37" t="s">
        <v>2202</v>
      </c>
      <c r="GA1" s="37" t="s">
        <v>2203</v>
      </c>
      <c r="GB1" s="37" t="s">
        <v>2204</v>
      </c>
      <c r="GC1" s="37" t="s">
        <v>2205</v>
      </c>
      <c r="GD1" s="37" t="s">
        <v>2206</v>
      </c>
      <c r="GE1" s="10" t="s">
        <v>3</v>
      </c>
      <c r="GF1" s="1" t="s">
        <v>2208</v>
      </c>
      <c r="GG1" s="59" t="s">
        <v>2207</v>
      </c>
      <c r="GH1" s="59" t="s">
        <v>2209</v>
      </c>
      <c r="GI1" s="59" t="s">
        <v>2210</v>
      </c>
      <c r="GJ1" s="59" t="s">
        <v>2211</v>
      </c>
      <c r="GK1" s="59" t="s">
        <v>2640</v>
      </c>
      <c r="GL1" s="59" t="s">
        <v>2212</v>
      </c>
      <c r="GM1" s="1" t="s">
        <v>4168</v>
      </c>
      <c r="GN1" s="59" t="s">
        <v>4169</v>
      </c>
      <c r="GO1" s="59" t="s">
        <v>4170</v>
      </c>
      <c r="GP1" s="37" t="s">
        <v>4171</v>
      </c>
      <c r="GQ1" s="37" t="s">
        <v>2213</v>
      </c>
      <c r="GR1" s="10" t="s">
        <v>4</v>
      </c>
      <c r="GS1" s="10" t="s">
        <v>2214</v>
      </c>
      <c r="GT1" s="37" t="s">
        <v>2215</v>
      </c>
      <c r="GU1" s="37" t="s">
        <v>2216</v>
      </c>
      <c r="GV1" s="37" t="s">
        <v>2217</v>
      </c>
      <c r="GW1" s="37" t="s">
        <v>2218</v>
      </c>
      <c r="GX1" s="37" t="s">
        <v>2219</v>
      </c>
      <c r="GY1" s="37" t="s">
        <v>2220</v>
      </c>
      <c r="GZ1" s="37" t="s">
        <v>2222</v>
      </c>
      <c r="HA1" s="37" t="s">
        <v>2223</v>
      </c>
      <c r="HB1" s="37" t="s">
        <v>2225</v>
      </c>
      <c r="HC1" s="37" t="s">
        <v>2226</v>
      </c>
      <c r="HD1" s="37" t="s">
        <v>2227</v>
      </c>
      <c r="HE1" s="37" t="s">
        <v>2228</v>
      </c>
      <c r="HF1" s="37" t="s">
        <v>2229</v>
      </c>
      <c r="HG1" s="37" t="s">
        <v>2230</v>
      </c>
      <c r="HH1" s="37" t="s">
        <v>2231</v>
      </c>
      <c r="HI1" s="37" t="s">
        <v>2232</v>
      </c>
      <c r="HJ1" s="37" t="s">
        <v>2233</v>
      </c>
      <c r="HK1" s="37" t="s">
        <v>2234</v>
      </c>
      <c r="HL1" s="37" t="s">
        <v>2235</v>
      </c>
      <c r="HM1" s="37" t="s">
        <v>2236</v>
      </c>
      <c r="HN1" s="37" t="s">
        <v>2237</v>
      </c>
      <c r="HO1" s="37" t="s">
        <v>2238</v>
      </c>
      <c r="HP1" s="37" t="s">
        <v>2239</v>
      </c>
      <c r="HQ1" s="37" t="s">
        <v>2240</v>
      </c>
      <c r="HR1" s="37" t="s">
        <v>2641</v>
      </c>
      <c r="HS1" s="37" t="s">
        <v>2642</v>
      </c>
      <c r="HT1" s="37" t="s">
        <v>2643</v>
      </c>
      <c r="HU1" s="37" t="s">
        <v>2644</v>
      </c>
      <c r="HV1" s="37" t="s">
        <v>2241</v>
      </c>
      <c r="HW1" s="37" t="s">
        <v>2242</v>
      </c>
      <c r="HX1" s="37" t="s">
        <v>2243</v>
      </c>
      <c r="HY1" s="37" t="s">
        <v>2244</v>
      </c>
      <c r="HZ1" s="37" t="s">
        <v>2248</v>
      </c>
      <c r="IA1" s="37" t="s">
        <v>2250</v>
      </c>
      <c r="IB1" s="37" t="s">
        <v>2251</v>
      </c>
      <c r="IC1" s="37" t="s">
        <v>2252</v>
      </c>
      <c r="ID1" s="37" t="s">
        <v>2254</v>
      </c>
      <c r="IE1" s="37" t="s">
        <v>2255</v>
      </c>
      <c r="IF1" s="37" t="s">
        <v>2256</v>
      </c>
      <c r="IG1" s="37" t="s">
        <v>2258</v>
      </c>
      <c r="IH1" s="37" t="s">
        <v>2259</v>
      </c>
      <c r="II1" s="37" t="s">
        <v>2260</v>
      </c>
      <c r="IJ1" s="37" t="s">
        <v>2262</v>
      </c>
      <c r="IK1" s="37" t="s">
        <v>2263</v>
      </c>
      <c r="IL1" s="37" t="s">
        <v>2264</v>
      </c>
      <c r="IM1" s="37" t="s">
        <v>2265</v>
      </c>
      <c r="IN1" s="37" t="s">
        <v>2266</v>
      </c>
      <c r="IO1" s="37" t="s">
        <v>2267</v>
      </c>
      <c r="IP1" s="37" t="s">
        <v>2269</v>
      </c>
      <c r="IQ1" s="37" t="s">
        <v>3299</v>
      </c>
      <c r="IR1" s="37" t="s">
        <v>2270</v>
      </c>
      <c r="IS1" s="37" t="s">
        <v>2271</v>
      </c>
      <c r="IT1" s="37" t="s">
        <v>2272</v>
      </c>
      <c r="IU1" s="37" t="s">
        <v>2273</v>
      </c>
      <c r="IV1" s="37" t="s">
        <v>2278</v>
      </c>
      <c r="IW1" s="37" t="s">
        <v>2279</v>
      </c>
      <c r="IX1" s="37" t="s">
        <v>2280</v>
      </c>
      <c r="IY1" s="37" t="s">
        <v>2281</v>
      </c>
      <c r="IZ1" s="10" t="s">
        <v>2282</v>
      </c>
      <c r="JA1" s="37" t="s">
        <v>3300</v>
      </c>
      <c r="JB1" s="37" t="s">
        <v>2284</v>
      </c>
      <c r="JC1" s="37" t="s">
        <v>2285</v>
      </c>
      <c r="JD1" s="37" t="s">
        <v>2286</v>
      </c>
      <c r="JE1" s="37" t="s">
        <v>2287</v>
      </c>
      <c r="JF1" s="37" t="s">
        <v>2288</v>
      </c>
      <c r="JG1" s="37" t="s">
        <v>2289</v>
      </c>
      <c r="JH1" s="37" t="s">
        <v>2290</v>
      </c>
      <c r="JI1" s="10" t="s">
        <v>2291</v>
      </c>
      <c r="JJ1" s="37" t="s">
        <v>2292</v>
      </c>
      <c r="JK1" s="37" t="s">
        <v>2293</v>
      </c>
      <c r="JL1" s="37" t="s">
        <v>2294</v>
      </c>
      <c r="JM1" s="37" t="s">
        <v>4172</v>
      </c>
      <c r="JN1" s="37" t="s">
        <v>2295</v>
      </c>
      <c r="JO1" s="37" t="s">
        <v>2296</v>
      </c>
      <c r="JP1" s="37" t="s">
        <v>2297</v>
      </c>
      <c r="JQ1" s="37" t="s">
        <v>2298</v>
      </c>
      <c r="JR1" s="37" t="s">
        <v>2299</v>
      </c>
      <c r="JS1" s="37" t="s">
        <v>2300</v>
      </c>
      <c r="JT1" s="37" t="s">
        <v>2301</v>
      </c>
      <c r="JU1" s="37" t="s">
        <v>2302</v>
      </c>
      <c r="JV1" s="10" t="s">
        <v>2303</v>
      </c>
      <c r="JW1" s="37" t="s">
        <v>2304</v>
      </c>
      <c r="JX1" s="37" t="s">
        <v>2305</v>
      </c>
      <c r="JY1" s="37" t="s">
        <v>2306</v>
      </c>
      <c r="JZ1" s="37" t="s">
        <v>4173</v>
      </c>
      <c r="KA1" s="37" t="s">
        <v>4174</v>
      </c>
      <c r="KB1" s="37" t="s">
        <v>4175</v>
      </c>
      <c r="KC1" s="37" t="s">
        <v>4176</v>
      </c>
      <c r="KD1" s="37" t="s">
        <v>4177</v>
      </c>
      <c r="KE1" s="10" t="s">
        <v>4178</v>
      </c>
      <c r="KF1" s="37" t="s">
        <v>2307</v>
      </c>
      <c r="KG1" s="11" t="s">
        <v>2308</v>
      </c>
      <c r="KH1" s="11" t="s">
        <v>2309</v>
      </c>
      <c r="KI1" s="11" t="s">
        <v>2310</v>
      </c>
      <c r="KJ1" s="11" t="s">
        <v>2311</v>
      </c>
      <c r="KK1" s="11" t="s">
        <v>2312</v>
      </c>
      <c r="KL1" s="11" t="s">
        <v>2313</v>
      </c>
      <c r="KM1" s="11" t="s">
        <v>2314</v>
      </c>
      <c r="KN1" s="11" t="s">
        <v>4179</v>
      </c>
      <c r="KO1" s="11" t="s">
        <v>2315</v>
      </c>
      <c r="KP1" s="1" t="s">
        <v>2316</v>
      </c>
      <c r="KQ1" s="37" t="s">
        <v>2317</v>
      </c>
      <c r="KR1" s="37" t="s">
        <v>2318</v>
      </c>
      <c r="KS1" s="37" t="s">
        <v>2319</v>
      </c>
      <c r="KT1" s="37" t="s">
        <v>2320</v>
      </c>
      <c r="KU1" s="37" t="s">
        <v>2321</v>
      </c>
      <c r="KV1" s="37" t="s">
        <v>4180</v>
      </c>
      <c r="KW1" s="37" t="s">
        <v>2323</v>
      </c>
      <c r="KX1" s="37" t="s">
        <v>2324</v>
      </c>
      <c r="KY1" s="37" t="s">
        <v>2325</v>
      </c>
      <c r="KZ1" s="37" t="s">
        <v>2326</v>
      </c>
      <c r="LA1" s="37" t="s">
        <v>2327</v>
      </c>
      <c r="LB1" s="37" t="s">
        <v>2328</v>
      </c>
      <c r="LC1" s="37" t="s">
        <v>2329</v>
      </c>
      <c r="LD1" s="37" t="s">
        <v>2330</v>
      </c>
      <c r="LE1" s="37" t="s">
        <v>2331</v>
      </c>
      <c r="LF1" s="37" t="s">
        <v>2332</v>
      </c>
      <c r="LG1" s="37" t="s">
        <v>2333</v>
      </c>
      <c r="LH1" s="37" t="s">
        <v>2334</v>
      </c>
      <c r="LI1" s="37" t="s">
        <v>2335</v>
      </c>
      <c r="LJ1" s="37" t="s">
        <v>2336</v>
      </c>
      <c r="LK1" s="37" t="s">
        <v>2337</v>
      </c>
      <c r="LL1" s="37" t="s">
        <v>2338</v>
      </c>
      <c r="LM1" s="37" t="s">
        <v>2339</v>
      </c>
      <c r="LN1" s="37" t="s">
        <v>2340</v>
      </c>
      <c r="LO1" s="37" t="s">
        <v>2341</v>
      </c>
      <c r="LP1" s="37" t="s">
        <v>2342</v>
      </c>
      <c r="LQ1" s="37" t="s">
        <v>2343</v>
      </c>
      <c r="LR1" s="37" t="s">
        <v>2344</v>
      </c>
      <c r="LS1" s="37" t="s">
        <v>2345</v>
      </c>
      <c r="LT1" s="37" t="s">
        <v>2346</v>
      </c>
      <c r="LU1" s="37" t="s">
        <v>2347</v>
      </c>
      <c r="LV1" s="37" t="s">
        <v>2348</v>
      </c>
      <c r="LW1" s="37" t="s">
        <v>2349</v>
      </c>
      <c r="LX1" s="37" t="s">
        <v>2350</v>
      </c>
      <c r="LY1" s="37" t="s">
        <v>2351</v>
      </c>
      <c r="LZ1" s="37" t="s">
        <v>2352</v>
      </c>
      <c r="MA1" s="37" t="s">
        <v>2353</v>
      </c>
      <c r="MB1" s="37" t="s">
        <v>4181</v>
      </c>
      <c r="MC1" s="10" t="s">
        <v>2354</v>
      </c>
      <c r="MD1" s="37" t="s">
        <v>2355</v>
      </c>
      <c r="ME1" s="37" t="s">
        <v>4182</v>
      </c>
      <c r="MF1" s="37" t="s">
        <v>2356</v>
      </c>
      <c r="MG1" s="37" t="s">
        <v>2357</v>
      </c>
      <c r="MH1" s="37" t="s">
        <v>2358</v>
      </c>
      <c r="MI1" s="37" t="s">
        <v>2359</v>
      </c>
      <c r="MJ1" s="37" t="s">
        <v>2360</v>
      </c>
      <c r="MK1" s="37" t="s">
        <v>2361</v>
      </c>
      <c r="ML1" s="37" t="s">
        <v>2362</v>
      </c>
      <c r="MM1" s="37" t="s">
        <v>2363</v>
      </c>
      <c r="MN1" s="37" t="s">
        <v>2364</v>
      </c>
      <c r="MO1" s="37" t="s">
        <v>2365</v>
      </c>
      <c r="MP1" s="37" t="s">
        <v>2366</v>
      </c>
      <c r="MQ1" s="37" t="s">
        <v>2367</v>
      </c>
      <c r="MR1" s="37" t="s">
        <v>2368</v>
      </c>
      <c r="MS1" s="37" t="s">
        <v>2369</v>
      </c>
      <c r="MT1" s="37" t="s">
        <v>2370</v>
      </c>
      <c r="MU1" s="37" t="s">
        <v>2371</v>
      </c>
      <c r="MV1" s="37" t="s">
        <v>2372</v>
      </c>
      <c r="MW1" s="37" t="s">
        <v>2373</v>
      </c>
      <c r="MX1" s="37" t="s">
        <v>4183</v>
      </c>
      <c r="MY1" s="37" t="s">
        <v>2374</v>
      </c>
      <c r="MZ1" s="37" t="s">
        <v>2375</v>
      </c>
      <c r="NA1" s="37" t="s">
        <v>2376</v>
      </c>
      <c r="NB1" s="37" t="s">
        <v>2377</v>
      </c>
      <c r="NC1" s="37" t="s">
        <v>2378</v>
      </c>
      <c r="ND1" s="37" t="s">
        <v>2379</v>
      </c>
      <c r="NE1" s="37" t="s">
        <v>2380</v>
      </c>
      <c r="NF1" s="37" t="s">
        <v>2381</v>
      </c>
      <c r="NG1" s="37" t="s">
        <v>2382</v>
      </c>
      <c r="NH1" s="37"/>
      <c r="NI1" s="10" t="s">
        <v>5347</v>
      </c>
      <c r="NJ1" s="37" t="s">
        <v>2388</v>
      </c>
      <c r="NK1" s="37" t="s">
        <v>2389</v>
      </c>
      <c r="NL1" s="37" t="s">
        <v>4184</v>
      </c>
      <c r="NM1" s="10" t="s">
        <v>2390</v>
      </c>
      <c r="NN1" s="37" t="s">
        <v>2391</v>
      </c>
      <c r="NO1" s="10" t="s">
        <v>2392</v>
      </c>
      <c r="NP1" s="37" t="s">
        <v>2393</v>
      </c>
      <c r="NQ1" s="37" t="s">
        <v>2394</v>
      </c>
      <c r="NR1" s="10" t="s">
        <v>2395</v>
      </c>
      <c r="NS1" s="1"/>
      <c r="NT1" s="10" t="s">
        <v>6</v>
      </c>
      <c r="NU1" s="37" t="s">
        <v>2397</v>
      </c>
      <c r="NV1" s="37" t="s">
        <v>2398</v>
      </c>
      <c r="NW1" s="37" t="s">
        <v>2399</v>
      </c>
      <c r="NX1" s="37" t="s">
        <v>2403</v>
      </c>
      <c r="NY1" s="37" t="s">
        <v>2404</v>
      </c>
      <c r="NZ1" s="37" t="s">
        <v>2405</v>
      </c>
      <c r="OA1" s="37" t="s">
        <v>2406</v>
      </c>
      <c r="OB1" s="37" t="s">
        <v>2407</v>
      </c>
      <c r="OC1" s="37" t="s">
        <v>4185</v>
      </c>
      <c r="OD1" s="37" t="s">
        <v>2411</v>
      </c>
      <c r="OE1" s="37" t="s">
        <v>2412</v>
      </c>
      <c r="OF1" s="37" t="s">
        <v>2413</v>
      </c>
      <c r="OG1" s="37" t="s">
        <v>2414</v>
      </c>
      <c r="OH1" s="37" t="s">
        <v>2415</v>
      </c>
      <c r="OI1" s="37" t="s">
        <v>2416</v>
      </c>
      <c r="OJ1" s="37" t="s">
        <v>2417</v>
      </c>
      <c r="OK1" s="37" t="s">
        <v>2418</v>
      </c>
      <c r="OL1" s="37" t="s">
        <v>2419</v>
      </c>
      <c r="OM1" s="37" t="s">
        <v>2420</v>
      </c>
      <c r="ON1" s="37" t="s">
        <v>2421</v>
      </c>
      <c r="OO1" s="37" t="s">
        <v>2422</v>
      </c>
      <c r="OP1" s="37" t="s">
        <v>2425</v>
      </c>
      <c r="OQ1" s="37" t="s">
        <v>2426</v>
      </c>
      <c r="OR1" s="37" t="s">
        <v>2427</v>
      </c>
      <c r="OS1" s="37" t="s">
        <v>2428</v>
      </c>
      <c r="OT1" s="10" t="s">
        <v>2429</v>
      </c>
      <c r="OU1" s="10" t="s">
        <v>2430</v>
      </c>
      <c r="OV1" s="37" t="s">
        <v>2431</v>
      </c>
      <c r="OW1" s="37" t="s">
        <v>4186</v>
      </c>
      <c r="OX1" s="10" t="s">
        <v>2432</v>
      </c>
      <c r="OY1" s="10" t="s">
        <v>2433</v>
      </c>
      <c r="OZ1" s="37" t="s">
        <v>2434</v>
      </c>
      <c r="PA1" s="37" t="s">
        <v>2435</v>
      </c>
      <c r="PB1" s="37" t="s">
        <v>2645</v>
      </c>
      <c r="PC1" s="37" t="s">
        <v>2646</v>
      </c>
      <c r="PD1" s="37" t="s">
        <v>2436</v>
      </c>
      <c r="PE1" s="37" t="s">
        <v>2437</v>
      </c>
      <c r="PF1" s="37" t="s">
        <v>2438</v>
      </c>
      <c r="PG1" s="37" t="s">
        <v>2439</v>
      </c>
      <c r="PH1" s="37" t="s">
        <v>2440</v>
      </c>
      <c r="PI1" s="37" t="s">
        <v>2441</v>
      </c>
      <c r="PJ1" s="37" t="s">
        <v>4187</v>
      </c>
      <c r="PK1" s="37" t="s">
        <v>4188</v>
      </c>
      <c r="PL1" s="37" t="s">
        <v>2442</v>
      </c>
      <c r="PM1" s="37" t="s">
        <v>2443</v>
      </c>
      <c r="PN1" s="37" t="s">
        <v>2444</v>
      </c>
      <c r="PO1" s="37" t="s">
        <v>2445</v>
      </c>
      <c r="PP1" s="37" t="s">
        <v>2446</v>
      </c>
      <c r="PQ1" s="37" t="s">
        <v>2447</v>
      </c>
      <c r="PR1" s="37" t="s">
        <v>2448</v>
      </c>
      <c r="PS1" s="37" t="s">
        <v>2449</v>
      </c>
      <c r="PT1" s="37" t="s">
        <v>2450</v>
      </c>
      <c r="PU1" s="37" t="s">
        <v>2451</v>
      </c>
      <c r="PV1" s="37" t="s">
        <v>2452</v>
      </c>
      <c r="PW1" s="37" t="s">
        <v>2453</v>
      </c>
      <c r="PX1" s="37" t="s">
        <v>2454</v>
      </c>
      <c r="PY1" s="37" t="s">
        <v>2455</v>
      </c>
      <c r="PZ1" s="37" t="s">
        <v>2456</v>
      </c>
      <c r="QA1" s="37" t="s">
        <v>2457</v>
      </c>
      <c r="QB1" s="37" t="s">
        <v>2458</v>
      </c>
      <c r="QC1" s="37" t="s">
        <v>2459</v>
      </c>
      <c r="QD1" s="37" t="s">
        <v>2460</v>
      </c>
      <c r="QE1" s="37" t="s">
        <v>2461</v>
      </c>
      <c r="QF1" s="37" t="s">
        <v>2462</v>
      </c>
      <c r="QG1" s="37" t="s">
        <v>2463</v>
      </c>
      <c r="QH1" s="37" t="s">
        <v>2464</v>
      </c>
      <c r="QI1" s="37" t="s">
        <v>2465</v>
      </c>
      <c r="QJ1" s="37" t="s">
        <v>2466</v>
      </c>
      <c r="QK1" s="37" t="s">
        <v>2467</v>
      </c>
      <c r="QL1" s="37" t="s">
        <v>2468</v>
      </c>
      <c r="QM1" s="37" t="s">
        <v>2469</v>
      </c>
      <c r="QN1" s="37" t="s">
        <v>2470</v>
      </c>
      <c r="QO1" s="37" t="s">
        <v>2471</v>
      </c>
      <c r="QP1" s="37" t="s">
        <v>2472</v>
      </c>
      <c r="QQ1" s="37" t="s">
        <v>2473</v>
      </c>
      <c r="QR1" s="37" t="s">
        <v>2474</v>
      </c>
      <c r="QS1" s="37" t="s">
        <v>2475</v>
      </c>
      <c r="QT1" s="37" t="s">
        <v>2476</v>
      </c>
      <c r="QU1" s="37" t="s">
        <v>2477</v>
      </c>
      <c r="QV1" s="37" t="s">
        <v>2478</v>
      </c>
      <c r="QW1" s="37" t="s">
        <v>2479</v>
      </c>
      <c r="QX1" s="37" t="s">
        <v>2480</v>
      </c>
      <c r="QY1" s="37" t="s">
        <v>2481</v>
      </c>
      <c r="QZ1" s="37" t="s">
        <v>2482</v>
      </c>
      <c r="RA1" s="37" t="s">
        <v>2483</v>
      </c>
      <c r="RB1" s="37" t="s">
        <v>2484</v>
      </c>
      <c r="RC1" s="37" t="s">
        <v>2485</v>
      </c>
      <c r="RD1" s="37" t="s">
        <v>2486</v>
      </c>
      <c r="RE1" s="37" t="s">
        <v>2487</v>
      </c>
      <c r="RF1" s="37" t="s">
        <v>2488</v>
      </c>
      <c r="RG1" s="37" t="s">
        <v>2489</v>
      </c>
      <c r="RH1" s="37" t="s">
        <v>2490</v>
      </c>
      <c r="RI1" s="37" t="s">
        <v>2491</v>
      </c>
      <c r="RJ1" s="37" t="s">
        <v>2492</v>
      </c>
      <c r="RK1" s="37" t="s">
        <v>2493</v>
      </c>
      <c r="RL1" s="37" t="s">
        <v>2494</v>
      </c>
      <c r="RM1" s="37" t="s">
        <v>2495</v>
      </c>
      <c r="RN1" s="37" t="s">
        <v>4189</v>
      </c>
      <c r="RO1" s="37" t="s">
        <v>2498</v>
      </c>
      <c r="RP1" s="37" t="s">
        <v>4190</v>
      </c>
      <c r="RQ1" s="37" t="s">
        <v>4191</v>
      </c>
      <c r="RR1" s="37" t="s">
        <v>4192</v>
      </c>
      <c r="RS1" s="37" t="s">
        <v>4193</v>
      </c>
      <c r="RT1" s="37" t="s">
        <v>2499</v>
      </c>
      <c r="RU1" s="37" t="s">
        <v>2500</v>
      </c>
      <c r="RV1" s="37" t="s">
        <v>2501</v>
      </c>
      <c r="RW1" s="37" t="s">
        <v>2502</v>
      </c>
      <c r="RX1" s="37" t="s">
        <v>2503</v>
      </c>
      <c r="RY1" s="37" t="s">
        <v>2504</v>
      </c>
      <c r="RZ1" s="37" t="s">
        <v>2505</v>
      </c>
      <c r="SA1" s="37" t="s">
        <v>2506</v>
      </c>
      <c r="SB1" s="37" t="s">
        <v>2507</v>
      </c>
      <c r="SC1" s="37" t="s">
        <v>2508</v>
      </c>
      <c r="SD1" s="37" t="s">
        <v>2509</v>
      </c>
      <c r="SE1" s="37" t="s">
        <v>2511</v>
      </c>
      <c r="SF1" s="37" t="s">
        <v>2513</v>
      </c>
      <c r="SG1" s="37" t="s">
        <v>2514</v>
      </c>
      <c r="SH1" s="37" t="s">
        <v>2515</v>
      </c>
      <c r="SI1" s="37" t="s">
        <v>2516</v>
      </c>
      <c r="SJ1" s="37" t="s">
        <v>2517</v>
      </c>
      <c r="SK1" s="37" t="s">
        <v>2518</v>
      </c>
      <c r="SL1" s="37" t="s">
        <v>2519</v>
      </c>
      <c r="SM1" s="37" t="s">
        <v>2520</v>
      </c>
      <c r="SN1" s="37" t="s">
        <v>2521</v>
      </c>
      <c r="SO1" s="37" t="s">
        <v>2522</v>
      </c>
      <c r="SP1" s="37" t="s">
        <v>2528</v>
      </c>
      <c r="SQ1" s="37" t="s">
        <v>2529</v>
      </c>
      <c r="SR1" s="37" t="s">
        <v>2530</v>
      </c>
      <c r="SS1" s="37" t="s">
        <v>2531</v>
      </c>
      <c r="ST1" s="37" t="s">
        <v>2532</v>
      </c>
      <c r="SU1" s="37" t="s">
        <v>2533</v>
      </c>
      <c r="SV1" s="37" t="s">
        <v>2534</v>
      </c>
      <c r="SW1" s="37" t="s">
        <v>2535</v>
      </c>
      <c r="SX1" s="37" t="s">
        <v>5349</v>
      </c>
      <c r="SY1" s="37" t="s">
        <v>2537</v>
      </c>
      <c r="SZ1" s="37" t="s">
        <v>2538</v>
      </c>
      <c r="TA1" s="37" t="s">
        <v>2539</v>
      </c>
      <c r="TB1" s="37" t="s">
        <v>2540</v>
      </c>
      <c r="TC1" s="37" t="s">
        <v>2541</v>
      </c>
      <c r="TD1" s="37" t="s">
        <v>2542</v>
      </c>
      <c r="TE1" s="37" t="s">
        <v>2543</v>
      </c>
      <c r="TF1" s="37" t="s">
        <v>2547</v>
      </c>
      <c r="TG1" s="37" t="s">
        <v>2548</v>
      </c>
      <c r="TH1" s="37" t="s">
        <v>2549</v>
      </c>
      <c r="TI1" s="37" t="s">
        <v>2551</v>
      </c>
      <c r="TJ1" s="37" t="s">
        <v>2552</v>
      </c>
      <c r="TK1" s="37" t="s">
        <v>2553</v>
      </c>
      <c r="TL1" s="37" t="s">
        <v>2554</v>
      </c>
      <c r="TM1" s="37" t="s">
        <v>2555</v>
      </c>
      <c r="TN1" s="37" t="s">
        <v>2556</v>
      </c>
      <c r="TO1" s="37" t="s">
        <v>2557</v>
      </c>
      <c r="TP1" s="37" t="s">
        <v>2558</v>
      </c>
      <c r="TQ1" s="37"/>
      <c r="TR1" s="37" t="s">
        <v>5350</v>
      </c>
      <c r="TS1" s="37" t="s">
        <v>2563</v>
      </c>
      <c r="TT1" s="37" t="s">
        <v>2564</v>
      </c>
      <c r="TU1" s="37" t="s">
        <v>2565</v>
      </c>
      <c r="TV1" s="37" t="s">
        <v>2566</v>
      </c>
      <c r="TW1" s="37" t="s">
        <v>2567</v>
      </c>
      <c r="TX1" s="37" t="s">
        <v>2568</v>
      </c>
      <c r="TY1" s="37" t="s">
        <v>2569</v>
      </c>
      <c r="TZ1" s="37" t="s">
        <v>2570</v>
      </c>
      <c r="UA1" s="37" t="s">
        <v>2571</v>
      </c>
      <c r="UB1" s="37" t="s">
        <v>2572</v>
      </c>
      <c r="UC1" s="37" t="s">
        <v>2573</v>
      </c>
      <c r="UD1" s="37" t="s">
        <v>2575</v>
      </c>
      <c r="UE1" s="37" t="s">
        <v>2576</v>
      </c>
      <c r="UF1" s="37" t="s">
        <v>2577</v>
      </c>
      <c r="UG1" s="37" t="s">
        <v>2578</v>
      </c>
      <c r="UH1" s="37" t="s">
        <v>2579</v>
      </c>
      <c r="UI1" s="37" t="s">
        <v>2580</v>
      </c>
      <c r="UJ1" s="37" t="s">
        <v>2581</v>
      </c>
      <c r="UK1" s="37" t="s">
        <v>2582</v>
      </c>
      <c r="UL1" s="37" t="s">
        <v>2583</v>
      </c>
      <c r="UM1" s="37" t="s">
        <v>2584</v>
      </c>
      <c r="UN1" s="37" t="s">
        <v>2585</v>
      </c>
      <c r="UO1" s="37" t="s">
        <v>2588</v>
      </c>
      <c r="UP1" s="37" t="s">
        <v>2589</v>
      </c>
      <c r="UQ1" s="37" t="s">
        <v>2590</v>
      </c>
      <c r="UR1" s="37" t="s">
        <v>2591</v>
      </c>
      <c r="US1" s="37" t="s">
        <v>2592</v>
      </c>
      <c r="UT1" s="37" t="s">
        <v>4194</v>
      </c>
      <c r="UU1" s="37" t="s">
        <v>2647</v>
      </c>
      <c r="UV1" s="37" t="s">
        <v>2593</v>
      </c>
      <c r="UW1" s="37" t="s">
        <v>2595</v>
      </c>
      <c r="UX1" s="37" t="s">
        <v>2596</v>
      </c>
      <c r="UY1" s="37" t="s">
        <v>2597</v>
      </c>
      <c r="UZ1" s="37" t="s">
        <v>2598</v>
      </c>
      <c r="VA1" s="37" t="s">
        <v>2599</v>
      </c>
      <c r="VB1" s="37" t="s">
        <v>4195</v>
      </c>
      <c r="VC1" s="37" t="s">
        <v>4196</v>
      </c>
      <c r="VD1" s="37" t="s">
        <v>4197</v>
      </c>
      <c r="VE1" s="37" t="s">
        <v>4198</v>
      </c>
      <c r="VF1" s="37" t="s">
        <v>4199</v>
      </c>
      <c r="VG1" s="37" t="s">
        <v>4200</v>
      </c>
      <c r="VH1" s="37" t="s">
        <v>4201</v>
      </c>
      <c r="VI1" s="10" t="s">
        <v>2613</v>
      </c>
      <c r="VJ1" s="37" t="s">
        <v>2614</v>
      </c>
      <c r="VK1" s="37" t="s">
        <v>2615</v>
      </c>
      <c r="VL1" s="1" t="s">
        <v>2634</v>
      </c>
      <c r="VM1" s="1" t="s">
        <v>2635</v>
      </c>
      <c r="VN1" s="1" t="s">
        <v>5406</v>
      </c>
      <c r="VO1" s="1" t="s">
        <v>5443</v>
      </c>
      <c r="VP1" s="1" t="s">
        <v>2616</v>
      </c>
      <c r="VQ1" s="1" t="s">
        <v>4202</v>
      </c>
      <c r="VR1" s="1" t="s">
        <v>2617</v>
      </c>
      <c r="VS1" s="1" t="s">
        <v>2618</v>
      </c>
      <c r="VT1" s="1" t="s">
        <v>2619</v>
      </c>
      <c r="VU1" s="1" t="s">
        <v>2620</v>
      </c>
      <c r="VV1" s="1" t="s">
        <v>2626</v>
      </c>
      <c r="VW1" s="25">
        <v>61</v>
      </c>
      <c r="VX1" s="36" t="s">
        <v>2618</v>
      </c>
      <c r="VY1" s="1" t="s">
        <v>4203</v>
      </c>
      <c r="WA1" s="1" t="s">
        <v>5398</v>
      </c>
      <c r="WB1" s="1" t="s">
        <v>4960</v>
      </c>
      <c r="WC1" s="98" t="s">
        <v>2617</v>
      </c>
      <c r="WD1" s="98" t="s">
        <v>2618</v>
      </c>
      <c r="WE1" s="98" t="s">
        <v>2628</v>
      </c>
      <c r="WF1" s="98" t="s">
        <v>701</v>
      </c>
      <c r="WG1" s="98" t="s">
        <v>5399</v>
      </c>
      <c r="WH1" s="98" t="s">
        <v>5400</v>
      </c>
      <c r="WI1" s="98" t="s">
        <v>4945</v>
      </c>
      <c r="WJ1" s="13"/>
      <c r="WL1"/>
      <c r="WM1"/>
      <c r="WN1" s="106"/>
      <c r="WO1" s="202"/>
      <c r="WP1" s="382" t="s">
        <v>5416</v>
      </c>
      <c r="WQ1" s="382" t="s">
        <v>2627</v>
      </c>
      <c r="WR1" s="382" t="s">
        <v>2617</v>
      </c>
      <c r="WS1" s="382" t="s">
        <v>2618</v>
      </c>
      <c r="WT1" s="382" t="s">
        <v>5415</v>
      </c>
      <c r="WU1" s="382" t="s">
        <v>2623</v>
      </c>
      <c r="WV1" s="382" t="s">
        <v>2621</v>
      </c>
      <c r="WW1" s="382" t="s">
        <v>2628</v>
      </c>
      <c r="WX1" s="383" t="s">
        <v>4945</v>
      </c>
    </row>
    <row r="2" spans="1:622" x14ac:dyDescent="0.25">
      <c r="A2" s="2">
        <v>9297</v>
      </c>
      <c r="B2" s="2" t="s">
        <v>4204</v>
      </c>
      <c r="C2" s="2" t="s">
        <v>4205</v>
      </c>
      <c r="D2" s="3">
        <v>45128</v>
      </c>
      <c r="E2" s="2" t="s">
        <v>9</v>
      </c>
      <c r="F2" s="2">
        <v>1</v>
      </c>
      <c r="G2" s="2" t="s">
        <v>9</v>
      </c>
      <c r="H2" s="2">
        <v>1</v>
      </c>
      <c r="I2" s="2" t="s">
        <v>11</v>
      </c>
      <c r="J2" s="2">
        <v>0</v>
      </c>
      <c r="K2" s="2" t="s">
        <v>9</v>
      </c>
      <c r="L2" s="2">
        <v>1</v>
      </c>
      <c r="M2" s="2" t="s">
        <v>10</v>
      </c>
      <c r="N2" s="2">
        <v>0</v>
      </c>
      <c r="O2" s="2" t="s">
        <v>10</v>
      </c>
      <c r="P2" s="2">
        <v>0</v>
      </c>
      <c r="Q2" s="2" t="s">
        <v>11</v>
      </c>
      <c r="R2" s="2">
        <v>0</v>
      </c>
      <c r="S2" s="2" t="s">
        <v>9</v>
      </c>
      <c r="T2" s="2">
        <v>2</v>
      </c>
      <c r="U2" s="2" t="s">
        <v>9</v>
      </c>
      <c r="V2" s="2">
        <v>2</v>
      </c>
      <c r="W2" s="2" t="s">
        <v>9</v>
      </c>
      <c r="X2" s="2">
        <v>1</v>
      </c>
      <c r="Y2" s="2" t="s">
        <v>12</v>
      </c>
      <c r="Z2" s="2" t="s">
        <v>15</v>
      </c>
      <c r="AA2" s="2" t="s">
        <v>15</v>
      </c>
      <c r="AB2" s="2" t="s">
        <v>15</v>
      </c>
      <c r="AC2" s="2" t="s">
        <v>15</v>
      </c>
      <c r="AD2" s="2" t="s">
        <v>3890</v>
      </c>
      <c r="AE2" s="2" t="s">
        <v>15</v>
      </c>
      <c r="AF2" s="2">
        <v>0</v>
      </c>
      <c r="AG2" s="2" t="s">
        <v>234</v>
      </c>
      <c r="AH2" s="2" t="s">
        <v>17</v>
      </c>
      <c r="AI2" s="4">
        <v>0</v>
      </c>
      <c r="AJ2" s="2" t="s">
        <v>17</v>
      </c>
      <c r="AK2" s="2" t="s">
        <v>9</v>
      </c>
      <c r="AL2" s="2" t="s">
        <v>17</v>
      </c>
      <c r="AM2" s="2" t="s">
        <v>17</v>
      </c>
      <c r="AN2" s="2" t="s">
        <v>17</v>
      </c>
      <c r="AO2" s="2" t="s">
        <v>9</v>
      </c>
      <c r="AP2" s="2" t="s">
        <v>17</v>
      </c>
      <c r="AQ2" s="2" t="s">
        <v>17</v>
      </c>
      <c r="AR2" s="2" t="s">
        <v>17</v>
      </c>
      <c r="AS2" s="2" t="s">
        <v>17</v>
      </c>
      <c r="AT2" s="2">
        <v>5</v>
      </c>
      <c r="AU2" s="5">
        <v>250000</v>
      </c>
      <c r="AV2" s="2" t="s">
        <v>85</v>
      </c>
      <c r="AW2" s="2">
        <v>1</v>
      </c>
      <c r="AX2" s="2">
        <v>6</v>
      </c>
      <c r="AY2" s="2">
        <v>1</v>
      </c>
      <c r="AZ2" s="2">
        <v>16</v>
      </c>
      <c r="BA2" s="2">
        <v>0</v>
      </c>
      <c r="BB2" s="2">
        <v>1</v>
      </c>
      <c r="BC2" s="2">
        <v>1</v>
      </c>
      <c r="BD2" s="2">
        <v>5</v>
      </c>
      <c r="BE2" s="2">
        <v>1</v>
      </c>
      <c r="BF2" s="2">
        <v>1</v>
      </c>
      <c r="BG2" s="2">
        <v>0</v>
      </c>
      <c r="BH2" s="2">
        <v>0</v>
      </c>
      <c r="BI2" s="2">
        <v>13</v>
      </c>
      <c r="BJ2" s="2">
        <v>1</v>
      </c>
      <c r="BK2" s="2">
        <v>0</v>
      </c>
      <c r="BL2" s="2">
        <v>3</v>
      </c>
      <c r="BM2" s="2">
        <v>2</v>
      </c>
      <c r="BN2" s="2">
        <v>9</v>
      </c>
      <c r="BO2" s="2">
        <v>10</v>
      </c>
      <c r="BP2" s="2">
        <v>154.16</v>
      </c>
      <c r="BQ2" s="5">
        <v>11000000</v>
      </c>
      <c r="BR2" s="2">
        <v>1</v>
      </c>
      <c r="BS2" s="4">
        <v>0.06</v>
      </c>
      <c r="BT2" s="2" t="s">
        <v>9</v>
      </c>
      <c r="BU2" s="2" t="s">
        <v>17</v>
      </c>
      <c r="BV2" s="6">
        <v>15786.97</v>
      </c>
      <c r="BW2" s="2" t="s">
        <v>18</v>
      </c>
      <c r="BX2" s="2" t="s">
        <v>17</v>
      </c>
      <c r="BY2" s="2" t="s">
        <v>17</v>
      </c>
      <c r="BZ2" s="2" t="s">
        <v>17</v>
      </c>
      <c r="CA2" s="2" t="s">
        <v>17</v>
      </c>
      <c r="CB2" s="2" t="s">
        <v>17</v>
      </c>
      <c r="CC2" s="2" t="s">
        <v>17</v>
      </c>
      <c r="CE2" s="2" t="s">
        <v>4206</v>
      </c>
      <c r="CF2" s="2" t="s">
        <v>9</v>
      </c>
      <c r="CG2" s="2" t="s">
        <v>17</v>
      </c>
      <c r="DA2" s="2" t="s">
        <v>3595</v>
      </c>
      <c r="DD2" s="2" t="s">
        <v>9</v>
      </c>
      <c r="DE2" s="2" t="s">
        <v>458</v>
      </c>
      <c r="DF2" s="2" t="s">
        <v>3595</v>
      </c>
      <c r="DG2" s="2" t="s">
        <v>4207</v>
      </c>
      <c r="DH2" s="2" t="s">
        <v>1243</v>
      </c>
      <c r="DI2" s="2">
        <v>288</v>
      </c>
      <c r="DJ2" s="2" t="s">
        <v>4208</v>
      </c>
      <c r="DK2" s="2">
        <v>2003</v>
      </c>
      <c r="DL2" s="2" t="s">
        <v>4209</v>
      </c>
      <c r="DM2" s="2" t="s">
        <v>4210</v>
      </c>
      <c r="DN2" s="2" t="s">
        <v>33</v>
      </c>
      <c r="DO2" s="2" t="s">
        <v>4211</v>
      </c>
      <c r="DQ2" s="2" t="s">
        <v>35</v>
      </c>
      <c r="DR2" s="2" t="s">
        <v>36</v>
      </c>
      <c r="DS2" s="2">
        <v>1</v>
      </c>
      <c r="DT2" s="2" t="s">
        <v>4212</v>
      </c>
      <c r="DU2" s="2" t="s">
        <v>38</v>
      </c>
      <c r="DV2" s="2" t="s">
        <v>39</v>
      </c>
      <c r="DW2" s="2">
        <v>32405</v>
      </c>
      <c r="DX2" s="2" t="s">
        <v>40</v>
      </c>
      <c r="DZ2" s="2" t="s">
        <v>618</v>
      </c>
      <c r="EA2" s="2" t="s">
        <v>36</v>
      </c>
      <c r="EB2" s="2" t="s">
        <v>4213</v>
      </c>
      <c r="EC2" s="2" t="s">
        <v>692</v>
      </c>
      <c r="ED2" s="2" t="s">
        <v>44</v>
      </c>
      <c r="EE2" s="2">
        <v>312</v>
      </c>
      <c r="EF2" s="2" t="s">
        <v>4214</v>
      </c>
      <c r="EG2" s="2">
        <v>3</v>
      </c>
      <c r="EH2" s="2" t="s">
        <v>46</v>
      </c>
      <c r="EI2" s="2" t="s">
        <v>47</v>
      </c>
      <c r="EJ2" s="2" t="s">
        <v>4215</v>
      </c>
      <c r="EK2" s="2" t="s">
        <v>1175</v>
      </c>
      <c r="EL2" s="2" t="s">
        <v>44</v>
      </c>
      <c r="EM2" s="2">
        <v>112</v>
      </c>
      <c r="EN2" s="2" t="s">
        <v>4216</v>
      </c>
      <c r="EO2" s="2">
        <v>7</v>
      </c>
      <c r="EP2" s="2" t="s">
        <v>46</v>
      </c>
      <c r="EQ2" s="2" t="s">
        <v>47</v>
      </c>
      <c r="ER2" s="2" t="s">
        <v>3605</v>
      </c>
      <c r="ES2" s="2" t="s">
        <v>514</v>
      </c>
      <c r="ET2" s="2" t="s">
        <v>3606</v>
      </c>
      <c r="EU2" s="2" t="s">
        <v>4206</v>
      </c>
      <c r="EV2" s="2" t="s">
        <v>478</v>
      </c>
      <c r="EW2" s="2" t="s">
        <v>479</v>
      </c>
      <c r="EX2" s="2" t="s">
        <v>39</v>
      </c>
      <c r="EY2" s="2">
        <v>32207</v>
      </c>
      <c r="EZ2" s="2" t="s">
        <v>3607</v>
      </c>
      <c r="FB2" s="2" t="s">
        <v>3608</v>
      </c>
      <c r="FC2" s="2" t="s">
        <v>913</v>
      </c>
      <c r="FD2" s="2" t="s">
        <v>3609</v>
      </c>
      <c r="FE2" s="2" t="s">
        <v>3610</v>
      </c>
      <c r="FF2" s="2" t="s">
        <v>4206</v>
      </c>
      <c r="FG2" s="2" t="s">
        <v>2871</v>
      </c>
      <c r="FH2" s="2" t="s">
        <v>479</v>
      </c>
      <c r="FI2" s="2" t="s">
        <v>39</v>
      </c>
      <c r="FJ2" s="2">
        <v>32207</v>
      </c>
      <c r="FK2" s="2" t="s">
        <v>3611</v>
      </c>
      <c r="FM2" s="2" t="s">
        <v>3612</v>
      </c>
      <c r="FN2" s="2" t="s">
        <v>4217</v>
      </c>
      <c r="FO2" s="2" t="s">
        <v>63</v>
      </c>
      <c r="FQ2" s="2" t="s">
        <v>9</v>
      </c>
      <c r="FR2" s="2" t="s">
        <v>17</v>
      </c>
      <c r="FS2" s="2" t="s">
        <v>17</v>
      </c>
      <c r="FT2" s="2" t="s">
        <v>9</v>
      </c>
      <c r="FX2" s="2">
        <v>0</v>
      </c>
      <c r="FY2" s="2">
        <v>0</v>
      </c>
      <c r="FZ2" s="4">
        <v>0</v>
      </c>
      <c r="GA2" s="4">
        <v>0</v>
      </c>
      <c r="GB2" s="2" t="s">
        <v>65</v>
      </c>
      <c r="GC2" s="2" t="s">
        <v>66</v>
      </c>
      <c r="GD2" s="2" t="s">
        <v>67</v>
      </c>
      <c r="GE2" s="2" t="s">
        <v>2684</v>
      </c>
      <c r="GF2" s="2">
        <v>36</v>
      </c>
      <c r="GG2" s="2">
        <v>36</v>
      </c>
      <c r="GK2" s="2">
        <v>540</v>
      </c>
      <c r="GQ2" s="2">
        <v>576</v>
      </c>
      <c r="GR2" s="2" t="s">
        <v>3332</v>
      </c>
      <c r="GS2" s="2" t="s">
        <v>2686</v>
      </c>
      <c r="GT2" s="2" t="s">
        <v>4218</v>
      </c>
      <c r="GU2" s="2" t="s">
        <v>2720</v>
      </c>
      <c r="GV2" s="2" t="s">
        <v>17</v>
      </c>
      <c r="GW2" s="2">
        <v>25.509181999999999</v>
      </c>
      <c r="GX2" s="2">
        <v>-80.437433999999996</v>
      </c>
      <c r="GZ2" s="2" t="s">
        <v>17</v>
      </c>
      <c r="HA2" s="2">
        <v>0</v>
      </c>
      <c r="HC2" s="2">
        <v>0</v>
      </c>
      <c r="HR2" s="2">
        <v>25.506343999999999</v>
      </c>
      <c r="HS2" s="2">
        <v>-80.440769000000003</v>
      </c>
      <c r="HT2" s="2">
        <v>0.28999999999999998</v>
      </c>
      <c r="HU2" s="2">
        <v>6</v>
      </c>
      <c r="HZ2" s="2" t="s">
        <v>1435</v>
      </c>
      <c r="IA2" s="2">
        <v>0.43</v>
      </c>
      <c r="IB2" s="2">
        <v>3.5</v>
      </c>
      <c r="IF2" s="2" t="s">
        <v>527</v>
      </c>
      <c r="IG2" s="2">
        <v>0.88</v>
      </c>
      <c r="IH2" s="2">
        <v>2.5</v>
      </c>
      <c r="II2" s="2" t="s">
        <v>4219</v>
      </c>
      <c r="IJ2" s="2">
        <v>1.54</v>
      </c>
      <c r="IK2" s="2">
        <v>1.5</v>
      </c>
      <c r="IL2" s="2" t="s">
        <v>9</v>
      </c>
      <c r="IM2" s="2" t="s">
        <v>17</v>
      </c>
      <c r="IO2" s="2" t="s">
        <v>17</v>
      </c>
      <c r="IP2" s="2" t="s">
        <v>79</v>
      </c>
      <c r="IQ2" s="2" t="s">
        <v>79</v>
      </c>
      <c r="IR2" s="2">
        <v>6</v>
      </c>
      <c r="IS2" s="2">
        <v>7.5</v>
      </c>
      <c r="IT2" s="2">
        <v>0</v>
      </c>
      <c r="IU2" s="2">
        <v>13.5</v>
      </c>
      <c r="IV2" s="2" t="s">
        <v>9</v>
      </c>
      <c r="IW2" s="2" t="s">
        <v>9</v>
      </c>
      <c r="IX2" s="2" t="s">
        <v>9</v>
      </c>
      <c r="IY2" s="2">
        <v>13.5</v>
      </c>
      <c r="IZ2" s="2">
        <v>576</v>
      </c>
      <c r="JB2" s="2" t="s">
        <v>82</v>
      </c>
      <c r="JH2" s="7">
        <v>0</v>
      </c>
      <c r="JI2" s="2">
        <v>0</v>
      </c>
      <c r="JJ2" s="7">
        <v>0</v>
      </c>
      <c r="JK2" s="2">
        <v>0</v>
      </c>
      <c r="JL2" s="7">
        <v>0</v>
      </c>
      <c r="JO2" s="2">
        <v>29</v>
      </c>
      <c r="JQ2" s="2">
        <v>518</v>
      </c>
      <c r="JS2" s="2">
        <v>29</v>
      </c>
      <c r="JT2" s="2">
        <v>0</v>
      </c>
      <c r="JU2" s="2">
        <v>0</v>
      </c>
      <c r="JV2" s="2">
        <v>576</v>
      </c>
      <c r="JW2" s="4">
        <v>1</v>
      </c>
      <c r="JX2" s="2">
        <v>576</v>
      </c>
      <c r="JY2" s="4">
        <v>0.6</v>
      </c>
      <c r="KE2" s="7">
        <v>0</v>
      </c>
      <c r="KF2" s="2">
        <v>0</v>
      </c>
      <c r="KH2" s="2">
        <v>198</v>
      </c>
      <c r="KK2" s="2">
        <v>306</v>
      </c>
      <c r="KL2" s="2">
        <v>72</v>
      </c>
      <c r="KQ2" s="2" t="s">
        <v>83</v>
      </c>
      <c r="KR2" s="2" t="s">
        <v>73</v>
      </c>
      <c r="KT2" s="2">
        <v>4</v>
      </c>
      <c r="KU2" s="2" t="s">
        <v>84</v>
      </c>
      <c r="KV2" s="2" t="s">
        <v>9</v>
      </c>
      <c r="KW2" s="2" t="s">
        <v>530</v>
      </c>
      <c r="KX2" s="2" t="s">
        <v>17</v>
      </c>
      <c r="KY2" s="2" t="s">
        <v>17</v>
      </c>
      <c r="KZ2" s="2" t="s">
        <v>17</v>
      </c>
      <c r="LA2" s="2" t="s">
        <v>17</v>
      </c>
      <c r="LB2" s="2" t="s">
        <v>17</v>
      </c>
      <c r="LC2" s="2" t="s">
        <v>17</v>
      </c>
      <c r="LD2" s="2" t="s">
        <v>17</v>
      </c>
      <c r="LE2" s="2" t="s">
        <v>17</v>
      </c>
      <c r="LF2" s="2" t="s">
        <v>17</v>
      </c>
      <c r="LG2" s="2" t="s">
        <v>17</v>
      </c>
      <c r="LH2" s="2" t="s">
        <v>17</v>
      </c>
      <c r="LI2" s="2" t="s">
        <v>17</v>
      </c>
      <c r="LJ2" s="2" t="s">
        <v>87</v>
      </c>
      <c r="LK2" s="2" t="s">
        <v>17</v>
      </c>
      <c r="LL2" s="2" t="s">
        <v>17</v>
      </c>
      <c r="LM2" s="2">
        <v>0</v>
      </c>
      <c r="LN2" s="2" t="s">
        <v>17</v>
      </c>
      <c r="LO2" s="2" t="s">
        <v>17</v>
      </c>
      <c r="LP2" s="2" t="s">
        <v>9</v>
      </c>
      <c r="LQ2" s="2" t="s">
        <v>17</v>
      </c>
      <c r="LR2" s="2" t="s">
        <v>9</v>
      </c>
      <c r="LS2" s="2" t="s">
        <v>9</v>
      </c>
      <c r="LT2" s="2" t="s">
        <v>17</v>
      </c>
      <c r="LU2" s="2" t="s">
        <v>17</v>
      </c>
      <c r="LV2" s="2" t="s">
        <v>17</v>
      </c>
      <c r="LW2" s="2" t="s">
        <v>17</v>
      </c>
      <c r="LX2" s="2" t="s">
        <v>17</v>
      </c>
      <c r="LY2" s="5">
        <v>6500000</v>
      </c>
      <c r="LZ2" s="5">
        <v>0</v>
      </c>
      <c r="MA2" s="5">
        <v>11000000</v>
      </c>
      <c r="MB2" s="5">
        <v>11000000</v>
      </c>
      <c r="MC2" s="5">
        <v>11000000</v>
      </c>
      <c r="MD2" s="5">
        <v>0</v>
      </c>
      <c r="MF2" s="5">
        <v>0</v>
      </c>
      <c r="MG2" s="5">
        <v>10000000</v>
      </c>
      <c r="MH2" s="5">
        <v>0</v>
      </c>
      <c r="MI2" s="5">
        <v>10000000</v>
      </c>
      <c r="MJ2" s="5">
        <v>0</v>
      </c>
      <c r="MK2" s="5">
        <v>0</v>
      </c>
      <c r="ML2" s="5">
        <v>0</v>
      </c>
      <c r="MM2" s="5">
        <v>0</v>
      </c>
      <c r="MN2" s="2">
        <v>0</v>
      </c>
      <c r="MO2" s="5">
        <v>0</v>
      </c>
      <c r="MP2" s="5">
        <v>0</v>
      </c>
      <c r="MQ2" s="2">
        <v>0</v>
      </c>
      <c r="MR2" s="2">
        <v>0</v>
      </c>
      <c r="MS2" s="2">
        <v>0</v>
      </c>
      <c r="MT2" s="5">
        <v>2950000</v>
      </c>
      <c r="MU2" s="5">
        <v>0</v>
      </c>
      <c r="MV2" s="5">
        <v>4600000</v>
      </c>
      <c r="MW2" s="5">
        <v>0</v>
      </c>
      <c r="MX2" s="2" t="s">
        <v>17</v>
      </c>
      <c r="MY2" s="5">
        <v>0</v>
      </c>
      <c r="MZ2" s="5">
        <v>0</v>
      </c>
      <c r="NA2" s="5">
        <v>0</v>
      </c>
      <c r="NB2" s="5">
        <v>2500000</v>
      </c>
      <c r="NC2" s="5">
        <v>0</v>
      </c>
      <c r="ND2" s="5">
        <v>5000000</v>
      </c>
      <c r="NE2" s="5">
        <v>0</v>
      </c>
      <c r="NF2" s="5">
        <v>0</v>
      </c>
      <c r="NG2" s="5">
        <v>0</v>
      </c>
      <c r="NH2" s="5"/>
      <c r="NI2" s="5">
        <v>0</v>
      </c>
      <c r="NJ2" s="5">
        <v>7877099</v>
      </c>
      <c r="NK2" s="2" t="s">
        <v>17</v>
      </c>
      <c r="NL2" s="2">
        <v>2023</v>
      </c>
      <c r="NM2" s="2" t="s">
        <v>17</v>
      </c>
      <c r="NO2" s="2" t="s">
        <v>17</v>
      </c>
      <c r="NR2" s="2" t="s">
        <v>17</v>
      </c>
      <c r="NT2" s="2" t="s">
        <v>9</v>
      </c>
      <c r="NU2" s="2" t="s">
        <v>450</v>
      </c>
      <c r="NV2" s="2">
        <v>108.04</v>
      </c>
      <c r="NW2" s="2" t="s">
        <v>3342</v>
      </c>
      <c r="NX2" s="2" t="s">
        <v>118</v>
      </c>
      <c r="NY2" s="2" t="s">
        <v>118</v>
      </c>
      <c r="NZ2" s="2" t="s">
        <v>118</v>
      </c>
      <c r="OA2" s="2" t="s">
        <v>17</v>
      </c>
      <c r="OB2" s="2" t="s">
        <v>119</v>
      </c>
      <c r="OF2" s="2" t="s">
        <v>17</v>
      </c>
      <c r="OG2" s="2" t="s">
        <v>17</v>
      </c>
      <c r="OH2" s="2">
        <v>2</v>
      </c>
      <c r="OI2" s="6">
        <v>0</v>
      </c>
      <c r="OJ2" s="6">
        <v>330000</v>
      </c>
      <c r="OK2" s="2" t="s">
        <v>17</v>
      </c>
      <c r="OL2" s="2" t="s">
        <v>17</v>
      </c>
      <c r="OM2" s="6">
        <v>0</v>
      </c>
      <c r="ON2" s="6">
        <v>0</v>
      </c>
      <c r="OO2" s="6">
        <v>0</v>
      </c>
      <c r="OP2" s="6">
        <v>0</v>
      </c>
      <c r="OQ2" s="4">
        <v>0</v>
      </c>
      <c r="OR2" s="6">
        <v>0</v>
      </c>
      <c r="OS2" s="4">
        <v>0</v>
      </c>
      <c r="OT2" s="2" t="s">
        <v>17</v>
      </c>
      <c r="OU2" s="2" t="s">
        <v>17</v>
      </c>
      <c r="OW2" s="2" t="s">
        <v>17</v>
      </c>
      <c r="OX2" s="5">
        <v>9093294</v>
      </c>
      <c r="OY2" s="6">
        <v>15786.97</v>
      </c>
      <c r="PD2" s="8">
        <v>96050440</v>
      </c>
      <c r="PE2" s="8">
        <v>750000</v>
      </c>
      <c r="PF2" s="8">
        <v>96800440</v>
      </c>
      <c r="PO2" s="8">
        <v>96050440</v>
      </c>
      <c r="PP2" s="8">
        <v>750000</v>
      </c>
      <c r="PQ2" s="8">
        <v>96800440</v>
      </c>
      <c r="PR2" s="8">
        <v>13412061</v>
      </c>
      <c r="PT2" s="8">
        <v>13412061</v>
      </c>
      <c r="PU2" s="6">
        <v>13552061</v>
      </c>
      <c r="PV2" s="8">
        <v>109462501</v>
      </c>
      <c r="PW2" s="8">
        <v>750000</v>
      </c>
      <c r="PX2" s="8">
        <v>110212501</v>
      </c>
      <c r="PY2" s="8">
        <v>5510625</v>
      </c>
      <c r="QA2" s="8">
        <v>5510625</v>
      </c>
      <c r="QB2" s="6">
        <v>5510625.0499999998</v>
      </c>
      <c r="QC2" s="8">
        <v>2880000</v>
      </c>
      <c r="QD2" s="8">
        <v>1400000</v>
      </c>
      <c r="QE2" s="8">
        <v>4280000</v>
      </c>
      <c r="QF2" s="8">
        <v>1000000</v>
      </c>
      <c r="QH2" s="8">
        <v>1000000</v>
      </c>
      <c r="QI2" s="8">
        <v>2549639</v>
      </c>
      <c r="QJ2" s="8">
        <v>50000</v>
      </c>
      <c r="QK2" s="8">
        <v>2599639</v>
      </c>
      <c r="QM2" s="8">
        <v>739933</v>
      </c>
      <c r="QN2" s="8">
        <v>739933</v>
      </c>
      <c r="QU2" s="8">
        <v>6429639</v>
      </c>
      <c r="QV2" s="8">
        <v>2189933</v>
      </c>
      <c r="QW2" s="8">
        <v>8619572</v>
      </c>
      <c r="QX2" s="8">
        <v>430978</v>
      </c>
      <c r="QZ2" s="8">
        <v>430978</v>
      </c>
      <c r="RA2" s="6">
        <v>430978.6</v>
      </c>
      <c r="RB2" s="8">
        <v>5585000</v>
      </c>
      <c r="RC2" s="8">
        <v>3000000</v>
      </c>
      <c r="RD2" s="8">
        <v>8585000</v>
      </c>
      <c r="RE2" s="8">
        <v>431250</v>
      </c>
      <c r="RF2" s="8">
        <v>431250</v>
      </c>
      <c r="RJ2" s="8">
        <v>5585000</v>
      </c>
      <c r="RK2" s="8">
        <v>3431250</v>
      </c>
      <c r="RL2" s="8">
        <v>9016250</v>
      </c>
      <c r="RT2" s="8">
        <v>127418743</v>
      </c>
      <c r="RU2" s="8">
        <v>6371183</v>
      </c>
      <c r="RV2" s="8">
        <v>133789926</v>
      </c>
      <c r="RY2" s="2">
        <v>0</v>
      </c>
      <c r="RZ2" s="6">
        <v>0</v>
      </c>
      <c r="SA2" s="8">
        <v>24082186</v>
      </c>
      <c r="SC2" s="8">
        <v>24082186</v>
      </c>
      <c r="SD2" s="6">
        <v>24082186</v>
      </c>
      <c r="SE2" s="8">
        <v>24082186</v>
      </c>
      <c r="SF2" s="8">
        <v>24082186</v>
      </c>
      <c r="SG2" s="6">
        <v>24082186</v>
      </c>
      <c r="SH2" s="8">
        <v>2016000</v>
      </c>
      <c r="SI2" s="8">
        <v>2016000</v>
      </c>
      <c r="SJ2" s="6">
        <v>2016000</v>
      </c>
      <c r="SK2" s="8">
        <v>12500000</v>
      </c>
      <c r="SL2" s="8">
        <v>12500000</v>
      </c>
      <c r="SM2" s="8">
        <v>151500929</v>
      </c>
      <c r="SN2" s="8">
        <v>20887183</v>
      </c>
      <c r="SO2" s="8">
        <v>172388112</v>
      </c>
      <c r="SP2" s="8">
        <v>95000000</v>
      </c>
      <c r="SQ2" s="2" t="s">
        <v>4220</v>
      </c>
      <c r="ST2" s="8">
        <v>11000000</v>
      </c>
      <c r="SU2" s="2" t="s">
        <v>4221</v>
      </c>
      <c r="SX2" s="8">
        <v>11000000</v>
      </c>
      <c r="SY2" s="2" t="s">
        <v>96</v>
      </c>
      <c r="SZ2" s="2" t="s">
        <v>96</v>
      </c>
      <c r="TA2" s="2" t="s">
        <v>96</v>
      </c>
      <c r="TB2" s="8">
        <v>33671230</v>
      </c>
      <c r="TF2" s="8">
        <v>21716882</v>
      </c>
      <c r="TG2" s="8">
        <v>172388112</v>
      </c>
      <c r="TH2" s="2">
        <v>0</v>
      </c>
      <c r="TI2" s="8">
        <v>57500000</v>
      </c>
      <c r="TJ2" s="2" t="s">
        <v>4220</v>
      </c>
      <c r="TM2" s="8">
        <v>11000000</v>
      </c>
      <c r="TN2" s="2" t="s">
        <v>4221</v>
      </c>
      <c r="TR2" s="8">
        <v>11000000</v>
      </c>
      <c r="TS2" s="8">
        <v>74824957</v>
      </c>
      <c r="TZ2" s="8">
        <v>18063155</v>
      </c>
      <c r="UA2" s="8">
        <v>172388112</v>
      </c>
      <c r="UB2" s="6">
        <v>79500000</v>
      </c>
      <c r="UC2" s="2">
        <v>0</v>
      </c>
      <c r="UD2" s="2">
        <v>576</v>
      </c>
      <c r="UE2" s="5">
        <v>306875</v>
      </c>
      <c r="UF2" s="6">
        <v>409166.67</v>
      </c>
      <c r="UG2" s="6">
        <v>416666.67</v>
      </c>
      <c r="UH2" s="6">
        <v>441666.67</v>
      </c>
      <c r="UI2" s="6">
        <v>254400000</v>
      </c>
      <c r="UJ2" s="6">
        <v>45792000</v>
      </c>
      <c r="UK2" s="2" t="s">
        <v>97</v>
      </c>
      <c r="UL2" s="6">
        <v>45792000</v>
      </c>
      <c r="UM2" s="6">
        <v>300192000</v>
      </c>
      <c r="UN2" s="6">
        <v>157872112</v>
      </c>
      <c r="UT2" s="6">
        <v>2500866.5499999998</v>
      </c>
      <c r="UW2" s="6">
        <v>2500866.5499999998</v>
      </c>
      <c r="UX2" s="6">
        <v>0</v>
      </c>
      <c r="UY2" s="6">
        <v>0</v>
      </c>
      <c r="UZ2" s="2" t="s">
        <v>3387</v>
      </c>
      <c r="VA2" s="2" t="s">
        <v>3288</v>
      </c>
      <c r="VB2" s="2" t="s">
        <v>9</v>
      </c>
      <c r="VC2" s="2">
        <v>2</v>
      </c>
      <c r="VD2" s="2">
        <v>1</v>
      </c>
      <c r="VE2" s="2" t="s">
        <v>9</v>
      </c>
      <c r="VF2" s="2">
        <v>1</v>
      </c>
      <c r="VG2" s="2" t="s">
        <v>17</v>
      </c>
      <c r="VI2" s="2" t="s">
        <v>3622</v>
      </c>
      <c r="VJ2" s="2" t="s">
        <v>98</v>
      </c>
      <c r="VK2" s="2" t="s">
        <v>3623</v>
      </c>
      <c r="VL2" s="23">
        <f t="shared" ref="VL2:VL33" si="0">KG2+KH2+2*(KI2+KK2)+3*(KL2+KM2)+4*(KN2+KO2)</f>
        <v>1026</v>
      </c>
      <c r="VM2" s="17">
        <f t="shared" ref="VM2:VM33" si="1">VL2/IZ2</f>
        <v>1.78125</v>
      </c>
      <c r="VN2" s="17" t="str">
        <f t="shared" ref="VN2:VN33" si="2">IF(GG2+GH2=MAX(GG2:GO2),"NC-GA-",IF(GI2+GJ2=MAX(GG2:GO2),"NC-MR-",IF(GK2=MAX(GG2:GO2),"NC-HR-",IF(GL2+GM2=MAX(GG2:GO2),"NC-OT-",IF(GN2+GO2=MAX(GG2:GO2),"AR-GA-","Nothing")))))&amp;IF(BW2="Family","F","E")</f>
        <v>NC-HR-F</v>
      </c>
      <c r="VO2" s="17" t="str">
        <f>VN2&amp;"-"&amp;RIGHT(VX2,3)</f>
        <v>NC-HR-F-ESS</v>
      </c>
      <c r="VP2" s="57">
        <v>1</v>
      </c>
      <c r="VQ2" s="17">
        <f t="shared" ref="VQ2:VQ33" si="3">IF(OR(NM2="Yes",NO2="Yes",NR2="Yes",NT2="Yes"),$OY$75,1)</f>
        <v>1.1100000000000001</v>
      </c>
      <c r="VR2" s="14">
        <f t="shared" ref="VR2:VR33" si="4">IF(GR2="Broward",Broward_Q,1)</f>
        <v>1</v>
      </c>
      <c r="VS2" s="14">
        <f t="shared" ref="VS2:VS33" si="5">IF(OR(OT2="Yes",OU2="Yes"),PHA_Q,1)</f>
        <v>1</v>
      </c>
      <c r="VT2" s="12">
        <f t="shared" ref="VT2:VT33" si="6">(GG2*NC_GA_Q*ESSC_Q+GH2*NC_GA_Q+GI2*NC_MR_Q*ESSC_Q+GJ2*NC_MR_Q+GK2*NC_HR_Q*ESSC_Q+GL2*NC_OT_Q*ESSC_Q+GM2*NC_OT_Q+GN2*1+GO2*1)/(GG2+GH2+GI2+GJ2+GK2+GL2+GM2+GN2+GO2)</f>
        <v>0.83639999999999992</v>
      </c>
      <c r="VU2" s="29">
        <f t="shared" ref="VU2:VU33" si="7">MC2*VQ2*VR2*VS2*VT2*IF(BW2="Elderly Non-ALF",Elderly_Q,1)</f>
        <v>10212444</v>
      </c>
      <c r="VV2" s="29">
        <f t="shared" ref="VV2:VV33" si="8">ROUND(VU2/(JI2+JV2),2)</f>
        <v>17729.939999999999</v>
      </c>
      <c r="VW2" s="351" t="str">
        <f>IF(RANK(VV2,VV$2:VV$62,1)&lt;=ROUNDUP(80%*VW$1,0),"A","B")</f>
        <v>A</v>
      </c>
      <c r="VX2" s="12" t="str">
        <f t="shared" ref="VX2:VX33" si="9">IF(GG2=MAX(GG2:GO2),"NC-GA-ESS",IF(GH2=MAX(GG2:GO2),"NC-GA-Non",IF(GI2=MAX(GG2:GO2),"NC-MR-ESS",IF(GJ2=MAX(GG2:GO2),"NC-MR-Non",IF(GK2=MAX(GG2:GO2),"NC-HR-ESS",IF(GL2=MAX(GG2:GO2),"NC-Other-ESS",IF(GM2=MAX(GG2:GO2),"NC-Other-Non",IF(GN2=MAX(GG2:GO2),"AR-GA-ESS",IF(GO2=MAX(GG2:GO2),"AR-GA-Non","Nothing")))))))))</f>
        <v>NC-HR-ESS</v>
      </c>
      <c r="VY2" s="23">
        <f>IF(RANK(VV2,VV$2:VV$62,1)&lt;=ROUNDUP(10%*VW$1,0),1,IF(RANK(VV2,VV$2:VV$62,1)&lt;=ROUNDUP(30%*VW$1,0),2,IF(RANK(VV2,VV$2:VV$62,1)&lt;=ROUNDUP(50%*VW$1,0),3,IF(RANK(VV2,VV$2:VV$62,1)&lt;=ROUNDUP(70%*VW$1,0),4,5))))</f>
        <v>1</v>
      </c>
      <c r="WA2" s="12">
        <f>IF(BW2="Elderly Non-ALF",1,0)</f>
        <v>0</v>
      </c>
      <c r="WB2" s="12">
        <f>IF(OR(VQ2=1,N(VQ2)=0),0,1)</f>
        <v>1</v>
      </c>
      <c r="WC2" s="12">
        <f>IF(OR(VR2=1,N(VR2)=0),0,1)</f>
        <v>0</v>
      </c>
      <c r="WD2" s="12">
        <f>IF(OR(VS2=1,N(VS2)=0),0,1)</f>
        <v>0</v>
      </c>
      <c r="WE2" s="12">
        <f>IF(GG2+GI2+GK2+GL2&gt;0,1,0)</f>
        <v>1</v>
      </c>
      <c r="WF2" s="12">
        <f t="shared" ref="WF2:WF33" si="10">IF(GG2+GH2&gt;0,1,0)</f>
        <v>1</v>
      </c>
      <c r="WG2" s="12">
        <f t="shared" ref="WG2:WG33" si="11">IF(GI2+GJ2&gt;0,1,0)</f>
        <v>0</v>
      </c>
      <c r="WH2" s="12">
        <f t="shared" ref="WH2:WH33" si="12">IF(GK2&gt;1,1,0)</f>
        <v>1</v>
      </c>
      <c r="WI2" s="31">
        <f t="shared" ref="WI2:WI33" si="13">SUM(WA2:WH2)</f>
        <v>4</v>
      </c>
      <c r="WK2" s="444" t="str">
        <f t="shared" ref="WK2:WK10" si="14">VX2&amp;"-"&amp;IF(VQ2&gt;1,"BBY","BBN")&amp;"-"&amp;IF(VR2=1,"BRN","BRY")&amp;"-"&amp;IF(VS2=1,"NPH","PHA")&amp;"-"&amp;IF(BW2="Family","F","E")</f>
        <v>NC-HR-ESS-BBY-BRN-NPH-F</v>
      </c>
      <c r="WL2" s="444"/>
      <c r="WM2" s="444"/>
      <c r="WN2" s="12"/>
      <c r="WO2" s="380" t="s">
        <v>5416</v>
      </c>
      <c r="WP2" s="384"/>
      <c r="WQ2" s="144">
        <f>COUNTIFS($WA$2:$WA$72,"=1",$WB$2:$WB$72,"=1")</f>
        <v>25</v>
      </c>
      <c r="WR2" s="144">
        <f>COUNTIFS($WA$2:$WA$72,"=1",$WC$2:$WC$72,"=1")</f>
        <v>0</v>
      </c>
      <c r="WS2" s="144">
        <f>COUNTIFS($WA$2:$WA$72,"=1",$WD$2:$WD$72,"=1")</f>
        <v>6</v>
      </c>
      <c r="WT2" s="144">
        <f>COUNTIFS($WA$2:$WA$72,"=1",$WF$2:$WF$72,"=1")</f>
        <v>8</v>
      </c>
      <c r="WU2" s="144">
        <f>COUNTIFS($WA$2:$WA$72,"=1",$WG$2:$WG$72,"=1")</f>
        <v>11</v>
      </c>
      <c r="WV2" s="144">
        <f>COUNTIFS($WA$2:$WA$72,"=1",$WH$2:$WH$72,"=1")</f>
        <v>8</v>
      </c>
      <c r="WW2" s="144">
        <f>COUNTIFS($WA$2:$WA$72,"=1",$WE$2:$WE$72,"=1")</f>
        <v>22</v>
      </c>
      <c r="WX2" s="205">
        <f>COUNTIF($WA$2:$WA$72,"=1")</f>
        <v>26</v>
      </c>
    </row>
    <row r="3" spans="1:622" x14ac:dyDescent="0.25">
      <c r="A3" s="2">
        <v>9239</v>
      </c>
      <c r="B3" s="2" t="s">
        <v>4222</v>
      </c>
      <c r="C3" s="2" t="s">
        <v>4205</v>
      </c>
      <c r="D3" s="3">
        <v>45100</v>
      </c>
      <c r="E3" s="2" t="s">
        <v>9</v>
      </c>
      <c r="F3" s="2">
        <v>1</v>
      </c>
      <c r="G3" s="2" t="s">
        <v>9</v>
      </c>
      <c r="H3" s="2">
        <v>1</v>
      </c>
      <c r="I3" s="2" t="s">
        <v>11</v>
      </c>
      <c r="J3" s="2">
        <v>0</v>
      </c>
      <c r="K3" s="2" t="s">
        <v>9</v>
      </c>
      <c r="L3" s="2">
        <v>1</v>
      </c>
      <c r="M3" s="2" t="s">
        <v>10</v>
      </c>
      <c r="N3" s="2">
        <v>0</v>
      </c>
      <c r="O3" s="2" t="s">
        <v>10</v>
      </c>
      <c r="P3" s="2">
        <v>0</v>
      </c>
      <c r="Q3" s="2" t="s">
        <v>11</v>
      </c>
      <c r="R3" s="2">
        <v>0</v>
      </c>
      <c r="S3" s="2" t="s">
        <v>9</v>
      </c>
      <c r="T3" s="2">
        <v>2</v>
      </c>
      <c r="U3" s="2" t="s">
        <v>9</v>
      </c>
      <c r="V3" s="2">
        <v>2</v>
      </c>
      <c r="W3" s="2" t="s">
        <v>9</v>
      </c>
      <c r="X3" s="2">
        <v>2</v>
      </c>
      <c r="Y3" s="2" t="s">
        <v>12</v>
      </c>
      <c r="Z3" s="2" t="s">
        <v>15</v>
      </c>
      <c r="AA3" s="2" t="s">
        <v>15</v>
      </c>
      <c r="AB3" s="2" t="s">
        <v>15</v>
      </c>
      <c r="AC3" s="2" t="s">
        <v>13</v>
      </c>
      <c r="AD3" s="2" t="s">
        <v>15</v>
      </c>
      <c r="AE3" s="2" t="s">
        <v>15</v>
      </c>
      <c r="AF3" s="2">
        <v>0</v>
      </c>
      <c r="AG3" s="2" t="s">
        <v>234</v>
      </c>
      <c r="AH3" s="2" t="s">
        <v>17</v>
      </c>
      <c r="AI3" s="4">
        <v>0.2</v>
      </c>
      <c r="AJ3" s="2" t="s">
        <v>17</v>
      </c>
      <c r="AK3" s="2" t="s">
        <v>9</v>
      </c>
      <c r="AL3" s="2" t="s">
        <v>17</v>
      </c>
      <c r="AM3" s="2" t="s">
        <v>17</v>
      </c>
      <c r="AN3" s="2" t="s">
        <v>17</v>
      </c>
      <c r="AO3" s="2" t="s">
        <v>9</v>
      </c>
      <c r="AP3" s="2" t="s">
        <v>17</v>
      </c>
      <c r="AQ3" s="2" t="s">
        <v>17</v>
      </c>
      <c r="AR3" s="2" t="s">
        <v>17</v>
      </c>
      <c r="AS3" s="2" t="s">
        <v>17</v>
      </c>
      <c r="AT3" s="2">
        <v>5</v>
      </c>
      <c r="AU3" s="5">
        <v>250000</v>
      </c>
      <c r="AV3" s="2" t="s">
        <v>85</v>
      </c>
      <c r="AW3" s="2">
        <v>0</v>
      </c>
      <c r="AX3" s="2">
        <v>16</v>
      </c>
      <c r="AY3" s="2">
        <v>0</v>
      </c>
      <c r="AZ3" s="2">
        <v>16</v>
      </c>
      <c r="BA3" s="2">
        <v>0</v>
      </c>
      <c r="BB3" s="2">
        <v>1</v>
      </c>
      <c r="BC3" s="2">
        <v>1</v>
      </c>
      <c r="BD3" s="2">
        <v>5</v>
      </c>
      <c r="BE3" s="2">
        <v>1</v>
      </c>
      <c r="BF3" s="2">
        <v>1</v>
      </c>
      <c r="BG3" s="2">
        <v>0</v>
      </c>
      <c r="BH3" s="2">
        <v>0</v>
      </c>
      <c r="BI3" s="2">
        <v>13</v>
      </c>
      <c r="BJ3" s="2">
        <v>1</v>
      </c>
      <c r="BK3" s="2">
        <v>0</v>
      </c>
      <c r="BL3" s="2">
        <v>3</v>
      </c>
      <c r="BM3" s="2">
        <v>1</v>
      </c>
      <c r="BN3" s="2">
        <v>10</v>
      </c>
      <c r="BO3" s="2">
        <v>10</v>
      </c>
      <c r="BP3" s="2">
        <v>132.47999999999999</v>
      </c>
      <c r="BQ3" s="5">
        <v>3750000</v>
      </c>
      <c r="BR3" s="2">
        <v>1</v>
      </c>
      <c r="BS3" s="4">
        <v>0.06</v>
      </c>
      <c r="BT3" s="2" t="s">
        <v>9</v>
      </c>
      <c r="BU3" s="2" t="s">
        <v>17</v>
      </c>
      <c r="BV3" s="6">
        <v>18231.330000000002</v>
      </c>
      <c r="BW3" s="2" t="s">
        <v>18</v>
      </c>
      <c r="BX3" s="2" t="s">
        <v>17</v>
      </c>
      <c r="BY3" s="2" t="s">
        <v>17</v>
      </c>
      <c r="BZ3" s="2" t="s">
        <v>17</v>
      </c>
      <c r="CA3" s="2" t="s">
        <v>17</v>
      </c>
      <c r="CB3" s="2" t="s">
        <v>17</v>
      </c>
      <c r="CC3" s="2" t="s">
        <v>17</v>
      </c>
      <c r="CD3" s="2" t="s">
        <v>17</v>
      </c>
      <c r="CE3" s="2" t="s">
        <v>4223</v>
      </c>
      <c r="CF3" s="2" t="s">
        <v>17</v>
      </c>
      <c r="CG3" s="2" t="s">
        <v>17</v>
      </c>
      <c r="DA3" s="2" t="s">
        <v>4224</v>
      </c>
      <c r="DD3" s="2" t="s">
        <v>9</v>
      </c>
      <c r="DE3" s="2" t="s">
        <v>4225</v>
      </c>
      <c r="DF3" s="2" t="s">
        <v>4224</v>
      </c>
      <c r="DG3" s="2" t="s">
        <v>4226</v>
      </c>
      <c r="DH3" s="2" t="s">
        <v>4081</v>
      </c>
      <c r="DI3" s="2">
        <v>192</v>
      </c>
      <c r="DJ3" s="2" t="s">
        <v>4227</v>
      </c>
      <c r="DK3" s="2">
        <v>2021</v>
      </c>
      <c r="DL3" s="2" t="s">
        <v>4209</v>
      </c>
      <c r="DM3" s="2" t="s">
        <v>4210</v>
      </c>
      <c r="DN3" s="2" t="s">
        <v>33</v>
      </c>
      <c r="DO3" s="2" t="s">
        <v>4228</v>
      </c>
      <c r="DQ3" s="2" t="s">
        <v>4229</v>
      </c>
      <c r="DR3" s="2" t="s">
        <v>4230</v>
      </c>
      <c r="DS3" s="2">
        <v>1</v>
      </c>
      <c r="DT3" s="2" t="s">
        <v>4231</v>
      </c>
      <c r="DU3" s="2" t="s">
        <v>700</v>
      </c>
      <c r="DV3" s="2" t="s">
        <v>701</v>
      </c>
      <c r="DW3" s="2">
        <v>30303</v>
      </c>
      <c r="DX3" s="2" t="s">
        <v>4232</v>
      </c>
      <c r="DZ3" s="2" t="s">
        <v>4233</v>
      </c>
      <c r="EA3" s="2" t="s">
        <v>4234</v>
      </c>
      <c r="EB3" s="2" t="s">
        <v>4235</v>
      </c>
      <c r="EC3" s="2" t="s">
        <v>4236</v>
      </c>
      <c r="ED3" s="2" t="s">
        <v>44</v>
      </c>
      <c r="EE3" s="2">
        <v>94</v>
      </c>
      <c r="EF3" s="2" t="s">
        <v>4237</v>
      </c>
      <c r="EG3" s="2">
        <v>24</v>
      </c>
      <c r="EH3" s="2" t="s">
        <v>46</v>
      </c>
      <c r="EI3" s="2" t="s">
        <v>47</v>
      </c>
      <c r="EJ3" s="2" t="s">
        <v>4238</v>
      </c>
      <c r="EK3" s="2" t="s">
        <v>4236</v>
      </c>
      <c r="EL3" s="2" t="s">
        <v>44</v>
      </c>
      <c r="EM3" s="2">
        <v>102</v>
      </c>
      <c r="EN3" s="2" t="s">
        <v>4237</v>
      </c>
      <c r="EO3" s="2">
        <v>12</v>
      </c>
      <c r="EP3" s="2" t="s">
        <v>46</v>
      </c>
      <c r="EQ3" s="2" t="s">
        <v>47</v>
      </c>
      <c r="ER3" s="2" t="s">
        <v>4239</v>
      </c>
      <c r="ES3" s="2" t="s">
        <v>3359</v>
      </c>
      <c r="ET3" s="2" t="s">
        <v>4240</v>
      </c>
      <c r="EU3" s="2" t="s">
        <v>4241</v>
      </c>
      <c r="EV3" s="2" t="s">
        <v>4242</v>
      </c>
      <c r="EW3" s="2" t="s">
        <v>917</v>
      </c>
      <c r="EX3" s="2" t="s">
        <v>39</v>
      </c>
      <c r="EY3" s="2">
        <v>33140</v>
      </c>
      <c r="EZ3" s="2" t="s">
        <v>4243</v>
      </c>
      <c r="FB3" s="2" t="s">
        <v>4244</v>
      </c>
      <c r="FN3" s="2" t="s">
        <v>4245</v>
      </c>
      <c r="FO3" s="2" t="s">
        <v>63</v>
      </c>
      <c r="FP3" s="2" t="s">
        <v>64</v>
      </c>
      <c r="FQ3" s="2" t="s">
        <v>9</v>
      </c>
      <c r="FR3" s="2" t="s">
        <v>17</v>
      </c>
      <c r="FS3" s="2" t="s">
        <v>17</v>
      </c>
      <c r="FT3" s="2" t="s">
        <v>9</v>
      </c>
      <c r="FX3" s="2">
        <v>0</v>
      </c>
      <c r="FY3" s="2">
        <v>0</v>
      </c>
      <c r="FZ3" s="4">
        <v>0</v>
      </c>
      <c r="GA3" s="4">
        <v>0</v>
      </c>
      <c r="GB3" s="2" t="s">
        <v>65</v>
      </c>
      <c r="GC3" s="2" t="s">
        <v>66</v>
      </c>
      <c r="GD3" s="2" t="s">
        <v>67</v>
      </c>
      <c r="GE3" s="2" t="s">
        <v>2684</v>
      </c>
      <c r="GK3" s="2">
        <v>135</v>
      </c>
      <c r="GQ3" s="2">
        <v>135</v>
      </c>
      <c r="GR3" s="2" t="s">
        <v>3332</v>
      </c>
      <c r="GS3" s="2" t="s">
        <v>2686</v>
      </c>
      <c r="GT3" s="2" t="s">
        <v>4246</v>
      </c>
      <c r="GU3" s="2" t="s">
        <v>4081</v>
      </c>
      <c r="GV3" s="2" t="s">
        <v>9</v>
      </c>
      <c r="GW3" s="2">
        <v>25.83216861</v>
      </c>
      <c r="GX3" s="2">
        <v>-80.216058329999996</v>
      </c>
      <c r="GY3" s="2" t="s">
        <v>4247</v>
      </c>
      <c r="GZ3" s="2" t="s">
        <v>17</v>
      </c>
      <c r="HA3" s="2">
        <v>0</v>
      </c>
      <c r="HC3" s="2">
        <v>0</v>
      </c>
      <c r="HN3" s="2">
        <v>25.831918609999999</v>
      </c>
      <c r="HO3" s="2">
        <v>-80.216889170000002</v>
      </c>
      <c r="HP3" s="2">
        <v>0.05</v>
      </c>
      <c r="HQ3" s="2">
        <v>6</v>
      </c>
      <c r="HZ3" s="2" t="s">
        <v>167</v>
      </c>
      <c r="IA3" s="2">
        <v>0.59</v>
      </c>
      <c r="IB3" s="2">
        <v>3</v>
      </c>
      <c r="IF3" s="2" t="s">
        <v>224</v>
      </c>
      <c r="IG3" s="2">
        <v>0.44</v>
      </c>
      <c r="IH3" s="2">
        <v>3.5</v>
      </c>
      <c r="II3" s="2" t="s">
        <v>4248</v>
      </c>
      <c r="IJ3" s="2">
        <v>0.25</v>
      </c>
      <c r="IK3" s="2">
        <v>4</v>
      </c>
      <c r="IL3" s="2" t="s">
        <v>9</v>
      </c>
      <c r="IM3" s="2" t="s">
        <v>17</v>
      </c>
      <c r="IP3" s="2" t="s">
        <v>79</v>
      </c>
      <c r="IQ3" s="2" t="s">
        <v>79</v>
      </c>
      <c r="IR3" s="2">
        <v>6</v>
      </c>
      <c r="IS3" s="2">
        <v>10.5</v>
      </c>
      <c r="IT3" s="2">
        <v>0</v>
      </c>
      <c r="IU3" s="2">
        <v>16.5</v>
      </c>
      <c r="IV3" s="2" t="s">
        <v>9</v>
      </c>
      <c r="IW3" s="2" t="s">
        <v>9</v>
      </c>
      <c r="IX3" s="2" t="s">
        <v>9</v>
      </c>
      <c r="IY3" s="2">
        <v>16.5</v>
      </c>
      <c r="IZ3" s="2">
        <v>135</v>
      </c>
      <c r="JB3" s="2" t="s">
        <v>82</v>
      </c>
      <c r="JH3" s="7">
        <v>0</v>
      </c>
      <c r="JI3" s="2">
        <v>0</v>
      </c>
      <c r="JJ3" s="7">
        <v>0</v>
      </c>
      <c r="JK3" s="2">
        <v>0</v>
      </c>
      <c r="JL3" s="7">
        <v>0</v>
      </c>
      <c r="JN3" s="2">
        <v>27</v>
      </c>
      <c r="JQ3" s="2">
        <v>74</v>
      </c>
      <c r="JS3" s="2">
        <v>34</v>
      </c>
      <c r="JT3" s="2">
        <v>0</v>
      </c>
      <c r="JU3" s="2">
        <v>0</v>
      </c>
      <c r="JV3" s="2">
        <v>135</v>
      </c>
      <c r="JW3" s="4">
        <v>1</v>
      </c>
      <c r="JX3" s="2">
        <v>135</v>
      </c>
      <c r="JY3" s="4">
        <v>0.59036999999999995</v>
      </c>
      <c r="KE3" s="7">
        <v>0</v>
      </c>
      <c r="KF3" s="2">
        <v>0</v>
      </c>
      <c r="KG3" s="2">
        <v>27</v>
      </c>
      <c r="KH3" s="2">
        <v>81</v>
      </c>
      <c r="KI3" s="2">
        <v>27</v>
      </c>
      <c r="KQ3" s="2" t="s">
        <v>83</v>
      </c>
      <c r="KR3" s="2" t="s">
        <v>73</v>
      </c>
      <c r="KT3" s="2">
        <v>1</v>
      </c>
      <c r="KU3" s="2" t="s">
        <v>84</v>
      </c>
      <c r="KW3" s="2" t="s">
        <v>86</v>
      </c>
      <c r="KX3" s="2" t="s">
        <v>17</v>
      </c>
      <c r="KY3" s="2" t="s">
        <v>17</v>
      </c>
      <c r="KZ3" s="2" t="s">
        <v>17</v>
      </c>
      <c r="LA3" s="2" t="s">
        <v>17</v>
      </c>
      <c r="LB3" s="2" t="s">
        <v>17</v>
      </c>
      <c r="LC3" s="2" t="s">
        <v>17</v>
      </c>
      <c r="LD3" s="2" t="s">
        <v>17</v>
      </c>
      <c r="LE3" s="2" t="s">
        <v>17</v>
      </c>
      <c r="LF3" s="2" t="s">
        <v>17</v>
      </c>
      <c r="LG3" s="2" t="s">
        <v>17</v>
      </c>
      <c r="LH3" s="2" t="s">
        <v>17</v>
      </c>
      <c r="LI3" s="2" t="s">
        <v>17</v>
      </c>
      <c r="LJ3" s="2" t="s">
        <v>87</v>
      </c>
      <c r="LK3" s="2" t="s">
        <v>17</v>
      </c>
      <c r="LL3" s="2" t="s">
        <v>17</v>
      </c>
      <c r="LM3" s="2">
        <v>0</v>
      </c>
      <c r="LN3" s="2" t="s">
        <v>17</v>
      </c>
      <c r="LO3" s="2" t="s">
        <v>9</v>
      </c>
      <c r="LP3" s="2" t="s">
        <v>9</v>
      </c>
      <c r="LQ3" s="2" t="s">
        <v>17</v>
      </c>
      <c r="LR3" s="2" t="s">
        <v>9</v>
      </c>
      <c r="LS3" s="2" t="s">
        <v>17</v>
      </c>
      <c r="LT3" s="2" t="s">
        <v>17</v>
      </c>
      <c r="LU3" s="2" t="s">
        <v>17</v>
      </c>
      <c r="LV3" s="2" t="s">
        <v>17</v>
      </c>
      <c r="LW3" s="2" t="s">
        <v>17</v>
      </c>
      <c r="LX3" s="2" t="s">
        <v>17</v>
      </c>
      <c r="LY3" s="5">
        <v>6500000</v>
      </c>
      <c r="LZ3" s="5">
        <v>0</v>
      </c>
      <c r="MA3" s="5">
        <v>11000000</v>
      </c>
      <c r="MB3" s="5">
        <v>3000000</v>
      </c>
      <c r="MC3" s="5">
        <v>3000000</v>
      </c>
      <c r="MD3" s="5">
        <v>750000</v>
      </c>
      <c r="ME3" s="5">
        <v>750000</v>
      </c>
      <c r="MF3" s="5">
        <v>750000</v>
      </c>
      <c r="MG3" s="5">
        <v>10000000</v>
      </c>
      <c r="MH3" s="5">
        <v>0</v>
      </c>
      <c r="MI3" s="5">
        <v>10000000</v>
      </c>
      <c r="MJ3" s="5">
        <v>0</v>
      </c>
      <c r="MK3" s="5">
        <v>1451300</v>
      </c>
      <c r="ML3" s="5">
        <v>0</v>
      </c>
      <c r="MM3" s="5">
        <v>0</v>
      </c>
      <c r="MN3" s="2">
        <v>0</v>
      </c>
      <c r="MO3" s="5">
        <v>0</v>
      </c>
      <c r="MP3" s="5">
        <v>0</v>
      </c>
      <c r="MQ3" s="2">
        <v>0</v>
      </c>
      <c r="MR3" s="2">
        <v>0</v>
      </c>
      <c r="MS3" s="2">
        <v>0</v>
      </c>
      <c r="MT3" s="5">
        <v>2950000</v>
      </c>
      <c r="MU3" s="5">
        <v>0</v>
      </c>
      <c r="MV3" s="5">
        <v>4600000</v>
      </c>
      <c r="MW3" s="5">
        <v>0</v>
      </c>
      <c r="MY3" s="5">
        <v>0</v>
      </c>
      <c r="MZ3" s="5">
        <v>0</v>
      </c>
      <c r="NA3" s="5">
        <v>0</v>
      </c>
      <c r="NB3" s="5">
        <v>2500000</v>
      </c>
      <c r="NC3" s="5">
        <v>0</v>
      </c>
      <c r="ND3" s="5">
        <v>5000000</v>
      </c>
      <c r="NE3" s="5">
        <v>0</v>
      </c>
      <c r="NF3" s="5">
        <v>0</v>
      </c>
      <c r="NG3" s="5">
        <v>0</v>
      </c>
      <c r="NH3" s="5"/>
      <c r="NI3" s="5">
        <v>0</v>
      </c>
      <c r="NJ3" s="5">
        <v>1693671</v>
      </c>
      <c r="NK3" s="2" t="s">
        <v>17</v>
      </c>
      <c r="NL3" s="2">
        <v>2023</v>
      </c>
      <c r="NM3" s="2" t="s">
        <v>17</v>
      </c>
      <c r="NO3" s="2" t="s">
        <v>17</v>
      </c>
      <c r="NR3" s="2" t="s">
        <v>17</v>
      </c>
      <c r="NT3" s="2" t="s">
        <v>9</v>
      </c>
      <c r="NU3" s="2" t="s">
        <v>450</v>
      </c>
      <c r="NV3" s="2">
        <v>19.010000000000002</v>
      </c>
      <c r="NW3" s="2" t="s">
        <v>3342</v>
      </c>
      <c r="NX3" s="2" t="s">
        <v>118</v>
      </c>
      <c r="NY3" s="2" t="s">
        <v>118</v>
      </c>
      <c r="NZ3" s="2" t="s">
        <v>118</v>
      </c>
      <c r="OA3" s="2" t="s">
        <v>17</v>
      </c>
      <c r="OB3" s="2" t="s">
        <v>119</v>
      </c>
      <c r="OF3" s="2" t="s">
        <v>17</v>
      </c>
      <c r="OG3" s="2" t="s">
        <v>17</v>
      </c>
      <c r="OH3" s="2" t="s">
        <v>85</v>
      </c>
      <c r="OI3" s="6">
        <v>0</v>
      </c>
      <c r="OJ3" s="6">
        <v>90000</v>
      </c>
      <c r="OK3" s="2" t="s">
        <v>17</v>
      </c>
      <c r="OL3" s="2" t="s">
        <v>17</v>
      </c>
      <c r="OM3" s="6">
        <v>0</v>
      </c>
      <c r="ON3" s="6">
        <v>0</v>
      </c>
      <c r="OO3" s="6">
        <v>0</v>
      </c>
      <c r="OP3" s="6">
        <v>0</v>
      </c>
      <c r="OQ3" s="4">
        <v>0</v>
      </c>
      <c r="OR3" s="6">
        <v>0</v>
      </c>
      <c r="OS3" s="4">
        <v>0</v>
      </c>
      <c r="OT3" s="2" t="s">
        <v>17</v>
      </c>
      <c r="OU3" s="2" t="s">
        <v>17</v>
      </c>
      <c r="OW3" s="2" t="s">
        <v>17</v>
      </c>
      <c r="OX3" s="5">
        <v>2461230</v>
      </c>
      <c r="OY3" s="6">
        <v>18231.330000000002</v>
      </c>
      <c r="OZ3" s="8">
        <v>165000</v>
      </c>
      <c r="PA3" s="8">
        <v>165000</v>
      </c>
      <c r="PD3" s="8">
        <v>19431184</v>
      </c>
      <c r="PF3" s="8">
        <v>19431184</v>
      </c>
      <c r="PG3" s="8">
        <v>675000</v>
      </c>
      <c r="PH3" s="8">
        <v>75000</v>
      </c>
      <c r="PI3" s="8">
        <v>750000</v>
      </c>
      <c r="PL3" s="8">
        <v>357920</v>
      </c>
      <c r="PN3" s="8">
        <v>357920</v>
      </c>
      <c r="PO3" s="8">
        <v>20464104</v>
      </c>
      <c r="PP3" s="8">
        <v>240000</v>
      </c>
      <c r="PQ3" s="8">
        <v>20704104</v>
      </c>
      <c r="PR3" s="8">
        <v>2848466</v>
      </c>
      <c r="PT3" s="8">
        <v>2848466</v>
      </c>
      <c r="PU3" s="6">
        <v>2898574</v>
      </c>
      <c r="PV3" s="8">
        <v>23312570</v>
      </c>
      <c r="PW3" s="8">
        <v>240000</v>
      </c>
      <c r="PX3" s="8">
        <v>23552570</v>
      </c>
      <c r="PY3" s="8">
        <v>1177128</v>
      </c>
      <c r="QA3" s="8">
        <v>1177128</v>
      </c>
      <c r="QB3" s="6">
        <v>1177628.5</v>
      </c>
      <c r="QC3" s="8">
        <v>954850</v>
      </c>
      <c r="QD3" s="8">
        <v>112500</v>
      </c>
      <c r="QE3" s="8">
        <v>1067350</v>
      </c>
      <c r="QF3" s="8">
        <v>125259</v>
      </c>
      <c r="QG3" s="8">
        <v>2687</v>
      </c>
      <c r="QH3" s="8">
        <v>127946</v>
      </c>
      <c r="QI3" s="8">
        <v>379501</v>
      </c>
      <c r="QK3" s="8">
        <v>379501</v>
      </c>
      <c r="QM3" s="8">
        <v>275356</v>
      </c>
      <c r="QN3" s="8">
        <v>275356</v>
      </c>
      <c r="QR3" s="8">
        <v>295810</v>
      </c>
      <c r="QS3" s="8">
        <v>249102</v>
      </c>
      <c r="QT3" s="8">
        <v>544912</v>
      </c>
      <c r="QU3" s="8">
        <v>1755420</v>
      </c>
      <c r="QV3" s="8">
        <v>639645</v>
      </c>
      <c r="QW3" s="8">
        <v>2395065</v>
      </c>
      <c r="QY3" s="8">
        <v>119618</v>
      </c>
      <c r="QZ3" s="8">
        <v>119618</v>
      </c>
      <c r="RA3" s="6">
        <v>119753.25</v>
      </c>
      <c r="RB3" s="8">
        <v>1010800</v>
      </c>
      <c r="RC3" s="8">
        <v>985883</v>
      </c>
      <c r="RD3" s="8">
        <v>1996683</v>
      </c>
      <c r="RE3" s="8">
        <v>271250</v>
      </c>
      <c r="RF3" s="8">
        <v>271250</v>
      </c>
      <c r="RJ3" s="8">
        <v>1010800</v>
      </c>
      <c r="RK3" s="8">
        <v>1257133</v>
      </c>
      <c r="RL3" s="8">
        <v>2267933</v>
      </c>
      <c r="RT3" s="8">
        <v>27255918</v>
      </c>
      <c r="RU3" s="8">
        <v>2256396</v>
      </c>
      <c r="RV3" s="8">
        <v>29512314</v>
      </c>
      <c r="RY3" s="2">
        <v>0</v>
      </c>
      <c r="RZ3" s="6">
        <v>0</v>
      </c>
      <c r="SA3" s="8">
        <v>5312000</v>
      </c>
      <c r="SC3" s="8">
        <v>5312000</v>
      </c>
      <c r="SD3" s="6">
        <v>5312216</v>
      </c>
      <c r="SE3" s="8">
        <v>5312000</v>
      </c>
      <c r="SF3" s="8">
        <v>5312000</v>
      </c>
      <c r="SG3" s="6">
        <v>5312216</v>
      </c>
      <c r="SH3" s="8">
        <v>472500</v>
      </c>
      <c r="SI3" s="8">
        <v>472500</v>
      </c>
      <c r="SJ3" s="6">
        <v>472500</v>
      </c>
      <c r="SM3" s="8">
        <v>32567918</v>
      </c>
      <c r="SN3" s="8">
        <v>2728896</v>
      </c>
      <c r="SO3" s="8">
        <v>35296814</v>
      </c>
      <c r="SP3" s="8">
        <v>17000000</v>
      </c>
      <c r="SQ3" s="2" t="s">
        <v>4220</v>
      </c>
      <c r="SR3" s="8">
        <v>2500000</v>
      </c>
      <c r="SS3" s="2" t="s">
        <v>180</v>
      </c>
      <c r="SX3" s="8">
        <v>3750000</v>
      </c>
      <c r="SY3" s="2" t="s">
        <v>96</v>
      </c>
      <c r="SZ3" s="2" t="s">
        <v>96</v>
      </c>
      <c r="TA3" s="2" t="s">
        <v>96</v>
      </c>
      <c r="TB3" s="8">
        <v>9652961</v>
      </c>
      <c r="TF3" s="8">
        <v>2393853</v>
      </c>
      <c r="TG3" s="8">
        <v>35296814</v>
      </c>
      <c r="TH3" s="2">
        <v>0</v>
      </c>
      <c r="TI3" s="8">
        <v>11875000</v>
      </c>
      <c r="TJ3" s="2" t="s">
        <v>95</v>
      </c>
      <c r="TK3" s="8">
        <v>2500000</v>
      </c>
      <c r="TL3" s="2" t="s">
        <v>180</v>
      </c>
      <c r="TR3" s="8">
        <v>3750000</v>
      </c>
      <c r="TS3" s="8">
        <v>16088270</v>
      </c>
      <c r="TZ3" s="8">
        <v>1083544</v>
      </c>
      <c r="UA3" s="8">
        <v>35296814</v>
      </c>
      <c r="UB3" s="6">
        <v>18125000</v>
      </c>
      <c r="UC3" s="2">
        <v>0</v>
      </c>
      <c r="UD3" s="2">
        <v>135</v>
      </c>
      <c r="UE3" s="5">
        <v>310000</v>
      </c>
      <c r="UF3" s="6">
        <v>413333.33</v>
      </c>
      <c r="UG3" s="6">
        <v>420833.33</v>
      </c>
      <c r="UH3" s="6">
        <v>446083.33</v>
      </c>
      <c r="UI3" s="6">
        <v>60221250</v>
      </c>
      <c r="UJ3" s="6">
        <v>10839825</v>
      </c>
      <c r="UK3" s="2" t="s">
        <v>97</v>
      </c>
      <c r="UL3" s="6">
        <v>10839825</v>
      </c>
      <c r="UM3" s="6">
        <v>71061075</v>
      </c>
      <c r="UN3" s="6">
        <v>34659314</v>
      </c>
      <c r="UT3" s="6">
        <v>565404.30000000005</v>
      </c>
      <c r="UW3" s="6">
        <v>565404.30000000005</v>
      </c>
      <c r="UX3" s="6">
        <v>0</v>
      </c>
      <c r="UY3" s="6">
        <v>0</v>
      </c>
      <c r="UZ3" s="2" t="s">
        <v>3387</v>
      </c>
      <c r="VA3" s="2" t="s">
        <v>3288</v>
      </c>
      <c r="VB3" s="2" t="s">
        <v>17</v>
      </c>
      <c r="VI3" s="2" t="s">
        <v>4225</v>
      </c>
      <c r="VJ3" s="2" t="s">
        <v>98</v>
      </c>
      <c r="VK3" s="2" t="s">
        <v>4249</v>
      </c>
      <c r="VL3" s="23">
        <f t="shared" si="0"/>
        <v>162</v>
      </c>
      <c r="VM3" s="17">
        <f t="shared" si="1"/>
        <v>1.2</v>
      </c>
      <c r="VN3" s="17" t="str">
        <f t="shared" si="2"/>
        <v>NC-HR-F</v>
      </c>
      <c r="VO3" s="17" t="str">
        <f t="shared" ref="VO3:VO62" si="15">VN3&amp;"-"&amp;RIGHT(VX3,3)</f>
        <v>NC-HR-F-ESS</v>
      </c>
      <c r="VP3" s="57">
        <v>1</v>
      </c>
      <c r="VQ3" s="17">
        <f t="shared" si="3"/>
        <v>1.1100000000000001</v>
      </c>
      <c r="VR3" s="14">
        <f t="shared" si="4"/>
        <v>1</v>
      </c>
      <c r="VS3" s="14">
        <f t="shared" si="5"/>
        <v>1</v>
      </c>
      <c r="VT3" s="12">
        <f t="shared" si="6"/>
        <v>0.83519999999999994</v>
      </c>
      <c r="VU3" s="29">
        <f t="shared" si="7"/>
        <v>2781216</v>
      </c>
      <c r="VV3" s="29">
        <f t="shared" si="8"/>
        <v>20601.599999999999</v>
      </c>
      <c r="VW3" s="351" t="str">
        <f t="shared" ref="VW3:VW62" si="16">IF(RANK(VV3,VV$2:VV$62,1)&lt;=ROUNDUP(80%*VW$1,0),"A","B")</f>
        <v>A</v>
      </c>
      <c r="VX3" s="12" t="str">
        <f t="shared" si="9"/>
        <v>NC-HR-ESS</v>
      </c>
      <c r="VY3" s="23">
        <f t="shared" ref="VY3:VY61" si="17">IF(RANK(VV3,VV$2:VV$62,1)&lt;=ROUNDUP(10%*VW$1,0),1,IF(RANK(VV3,VV$2:VV$62,1)&lt;=ROUNDUP(30%*VW$1,0),2,IF(RANK(VV3,VV$2:VV$62,1)&lt;=ROUNDUP(50%*VW$1,0),3,IF(RANK(VV3,VV$2:VV$62,1)&lt;=ROUNDUP(70%*VW$1,0),4,5))))</f>
        <v>1</v>
      </c>
      <c r="WA3" s="12">
        <f t="shared" ref="WA3:WA62" si="18">IF(BW3="Elderly Non-ALF",1,0)</f>
        <v>0</v>
      </c>
      <c r="WB3" s="12">
        <f t="shared" ref="WB3:WD62" si="19">IF(OR(VQ3=1,N(VQ3)=0),0,1)</f>
        <v>1</v>
      </c>
      <c r="WC3" s="12">
        <f t="shared" si="19"/>
        <v>0</v>
      </c>
      <c r="WD3" s="12">
        <f t="shared" si="19"/>
        <v>0</v>
      </c>
      <c r="WE3" s="12">
        <f t="shared" ref="WE3:WE62" si="20">IF(GG3+GI3+GK3+GL3&gt;0,1,0)</f>
        <v>1</v>
      </c>
      <c r="WF3" s="12">
        <f t="shared" si="10"/>
        <v>0</v>
      </c>
      <c r="WG3" s="12">
        <f t="shared" si="11"/>
        <v>0</v>
      </c>
      <c r="WH3" s="12">
        <f t="shared" si="12"/>
        <v>1</v>
      </c>
      <c r="WI3" s="31">
        <f t="shared" si="13"/>
        <v>3</v>
      </c>
      <c r="WK3" s="444" t="str">
        <f t="shared" si="14"/>
        <v>NC-HR-ESS-BBY-BRN-NPH-F</v>
      </c>
      <c r="WL3" s="444"/>
      <c r="WM3" s="444"/>
      <c r="WN3" s="12"/>
      <c r="WO3" s="380" t="s">
        <v>2627</v>
      </c>
      <c r="WP3" s="144">
        <f>COUNTIFS($WB$2:$WB$72,"=1",$WA$2:$WA$72,"=1")</f>
        <v>25</v>
      </c>
      <c r="WQ3" s="384"/>
      <c r="WR3" s="144">
        <f>COUNTIFS($WB$2:$WB$72,"=1",$WC$2:$WC$72,"=1")</f>
        <v>1</v>
      </c>
      <c r="WS3" s="144">
        <f>COUNTIFS($WB$2:$WB$72,"=1",$WD$2:$WD$72,"=1")</f>
        <v>13</v>
      </c>
      <c r="WT3" s="144">
        <f>COUNTIFS($WB$2:$WB$72,"=1",$WF$2:$WF$72,"=1")</f>
        <v>24</v>
      </c>
      <c r="WU3" s="144">
        <f>COUNTIFS($WB$2:$WB$72,"=1",$WG$2:$WG$72,"=1")</f>
        <v>18</v>
      </c>
      <c r="WV3" s="144">
        <f>COUNTIFS($WB$2:$WB$72,"=1",$WH$2:$WH$72,"=1")</f>
        <v>15</v>
      </c>
      <c r="WW3" s="144">
        <f>COUNTIFS($WB$2:$WB$72,"=1",$WE$2:$WE$72,"=1")</f>
        <v>40</v>
      </c>
      <c r="WX3" s="205">
        <f>COUNTIF($WB$2:$WB$72,"=1")</f>
        <v>55</v>
      </c>
    </row>
    <row r="4" spans="1:622" x14ac:dyDescent="0.25">
      <c r="A4" s="2">
        <v>9326</v>
      </c>
      <c r="B4" s="2" t="s">
        <v>4250</v>
      </c>
      <c r="C4" s="2" t="s">
        <v>4205</v>
      </c>
      <c r="D4" s="3">
        <v>45128</v>
      </c>
      <c r="E4" s="2" t="s">
        <v>9</v>
      </c>
      <c r="F4" s="2">
        <v>1</v>
      </c>
      <c r="G4" s="2" t="s">
        <v>9</v>
      </c>
      <c r="H4" s="2">
        <v>1</v>
      </c>
      <c r="I4" s="2" t="s">
        <v>11</v>
      </c>
      <c r="J4" s="2">
        <v>0</v>
      </c>
      <c r="K4" s="2" t="s">
        <v>9</v>
      </c>
      <c r="L4" s="2">
        <v>1</v>
      </c>
      <c r="M4" s="2" t="s">
        <v>10</v>
      </c>
      <c r="N4" s="2">
        <v>0</v>
      </c>
      <c r="O4" s="2" t="s">
        <v>10</v>
      </c>
      <c r="P4" s="2">
        <v>0</v>
      </c>
      <c r="Q4" s="2" t="s">
        <v>11</v>
      </c>
      <c r="R4" s="2">
        <v>0</v>
      </c>
      <c r="S4" s="2" t="s">
        <v>9</v>
      </c>
      <c r="T4" s="2">
        <v>2</v>
      </c>
      <c r="U4" s="2" t="s">
        <v>9</v>
      </c>
      <c r="V4" s="2">
        <v>2</v>
      </c>
      <c r="W4" s="2" t="s">
        <v>9</v>
      </c>
      <c r="X4" s="2">
        <v>2</v>
      </c>
      <c r="Y4" s="2" t="s">
        <v>12</v>
      </c>
      <c r="Z4" s="2" t="s">
        <v>13</v>
      </c>
      <c r="AA4" s="2" t="s">
        <v>604</v>
      </c>
      <c r="AB4" s="2" t="s">
        <v>1517</v>
      </c>
      <c r="AC4" s="2" t="s">
        <v>15</v>
      </c>
      <c r="AD4" s="2" t="s">
        <v>15</v>
      </c>
      <c r="AE4" s="2" t="s">
        <v>15</v>
      </c>
      <c r="AF4" s="2">
        <v>3</v>
      </c>
      <c r="AG4" s="2" t="s">
        <v>1519</v>
      </c>
      <c r="AH4" s="2" t="s">
        <v>17</v>
      </c>
      <c r="AI4" s="4">
        <v>0.15</v>
      </c>
      <c r="AJ4" s="2" t="s">
        <v>17</v>
      </c>
      <c r="AK4" s="2" t="s">
        <v>9</v>
      </c>
      <c r="AL4" s="2" t="s">
        <v>17</v>
      </c>
      <c r="AM4" s="2" t="s">
        <v>17</v>
      </c>
      <c r="AN4" s="2" t="s">
        <v>17</v>
      </c>
      <c r="AO4" s="2" t="s">
        <v>17</v>
      </c>
      <c r="AP4" s="2" t="s">
        <v>17</v>
      </c>
      <c r="AQ4" s="2" t="s">
        <v>17</v>
      </c>
      <c r="AR4" s="2" t="s">
        <v>17</v>
      </c>
      <c r="AS4" s="2" t="s">
        <v>17</v>
      </c>
      <c r="AT4" s="2">
        <v>5</v>
      </c>
      <c r="AU4" s="5">
        <v>250000</v>
      </c>
      <c r="AV4" s="2" t="s">
        <v>85</v>
      </c>
      <c r="AW4" s="2">
        <v>1</v>
      </c>
      <c r="AX4" s="2">
        <v>7</v>
      </c>
      <c r="AY4" s="2">
        <v>0</v>
      </c>
      <c r="AZ4" s="2">
        <v>17</v>
      </c>
      <c r="BA4" s="2">
        <v>0</v>
      </c>
      <c r="BB4" s="2">
        <v>1</v>
      </c>
      <c r="BC4" s="2">
        <v>1</v>
      </c>
      <c r="BD4" s="2">
        <v>3</v>
      </c>
      <c r="BE4" s="2">
        <v>1</v>
      </c>
      <c r="BF4" s="2">
        <v>1</v>
      </c>
      <c r="BG4" s="2">
        <v>0</v>
      </c>
      <c r="BH4" s="2">
        <v>0</v>
      </c>
      <c r="BI4" s="2">
        <v>13</v>
      </c>
      <c r="BJ4" s="2">
        <v>1</v>
      </c>
      <c r="BK4" s="2">
        <v>0</v>
      </c>
      <c r="BL4" s="2">
        <v>3</v>
      </c>
      <c r="BM4" s="2">
        <v>1</v>
      </c>
      <c r="BN4" s="2">
        <v>11</v>
      </c>
      <c r="BO4" s="2">
        <v>10</v>
      </c>
      <c r="BP4" s="2">
        <v>107.05</v>
      </c>
      <c r="BQ4" s="5">
        <v>11750000</v>
      </c>
      <c r="BR4" s="2">
        <v>1</v>
      </c>
      <c r="BS4" s="4">
        <v>0.06</v>
      </c>
      <c r="BT4" s="2" t="s">
        <v>9</v>
      </c>
      <c r="BU4" s="2" t="s">
        <v>17</v>
      </c>
      <c r="BV4" s="6">
        <v>20336.25</v>
      </c>
      <c r="BW4" s="2" t="s">
        <v>18</v>
      </c>
      <c r="BX4" s="2" t="s">
        <v>17</v>
      </c>
      <c r="BY4" s="2" t="s">
        <v>17</v>
      </c>
      <c r="BZ4" s="2" t="s">
        <v>17</v>
      </c>
      <c r="CA4" s="2" t="s">
        <v>17</v>
      </c>
      <c r="CB4" s="2" t="s">
        <v>17</v>
      </c>
      <c r="CC4" s="2" t="s">
        <v>17</v>
      </c>
      <c r="CE4" s="2" t="s">
        <v>4251</v>
      </c>
      <c r="CF4" s="2" t="s">
        <v>17</v>
      </c>
      <c r="CG4" s="2" t="s">
        <v>17</v>
      </c>
      <c r="DA4" s="2" t="s">
        <v>4252</v>
      </c>
      <c r="DD4" s="2" t="s">
        <v>9</v>
      </c>
      <c r="DE4" s="2" t="s">
        <v>4253</v>
      </c>
      <c r="DF4" s="2" t="s">
        <v>4252</v>
      </c>
      <c r="DG4" s="2" t="s">
        <v>1325</v>
      </c>
      <c r="DH4" s="2" t="s">
        <v>330</v>
      </c>
      <c r="DI4" s="2">
        <v>263</v>
      </c>
      <c r="DJ4" s="2" t="s">
        <v>4254</v>
      </c>
      <c r="DK4" s="2">
        <v>2023</v>
      </c>
      <c r="DL4" s="2" t="s">
        <v>4209</v>
      </c>
      <c r="DM4" s="2" t="s">
        <v>4210</v>
      </c>
      <c r="DN4" s="2" t="s">
        <v>33</v>
      </c>
      <c r="DO4" s="2" t="s">
        <v>336</v>
      </c>
      <c r="DQ4" s="2" t="s">
        <v>338</v>
      </c>
      <c r="DR4" s="2" t="s">
        <v>1964</v>
      </c>
      <c r="DS4" s="2">
        <v>1</v>
      </c>
      <c r="DT4" s="2" t="s">
        <v>4255</v>
      </c>
      <c r="DU4" s="2" t="s">
        <v>38</v>
      </c>
      <c r="DV4" s="2" t="s">
        <v>39</v>
      </c>
      <c r="DW4" s="2">
        <v>32405</v>
      </c>
      <c r="DX4" s="2" t="s">
        <v>4256</v>
      </c>
      <c r="DZ4" s="2" t="s">
        <v>4257</v>
      </c>
      <c r="EA4" s="2" t="s">
        <v>1964</v>
      </c>
      <c r="EB4" s="2" t="s">
        <v>4258</v>
      </c>
      <c r="EC4" s="2" t="s">
        <v>2661</v>
      </c>
      <c r="ED4" s="2" t="s">
        <v>44</v>
      </c>
      <c r="EE4" s="2">
        <v>224</v>
      </c>
      <c r="EF4" s="2" t="s">
        <v>4259</v>
      </c>
      <c r="EG4" s="2">
        <v>4</v>
      </c>
      <c r="EH4" s="2" t="s">
        <v>46</v>
      </c>
      <c r="EI4" s="2" t="s">
        <v>47</v>
      </c>
      <c r="EJ4" s="2" t="s">
        <v>4260</v>
      </c>
      <c r="EK4" s="2" t="s">
        <v>330</v>
      </c>
      <c r="EL4" s="2" t="s">
        <v>44</v>
      </c>
      <c r="EM4" s="2">
        <v>259</v>
      </c>
      <c r="EN4" s="2" t="s">
        <v>4259</v>
      </c>
      <c r="EO4" s="2">
        <v>10</v>
      </c>
      <c r="EP4" s="2" t="s">
        <v>46</v>
      </c>
      <c r="EQ4" s="2" t="s">
        <v>47</v>
      </c>
      <c r="ER4" s="2" t="s">
        <v>4261</v>
      </c>
      <c r="ES4" s="2" t="s">
        <v>951</v>
      </c>
      <c r="ET4" s="2" t="s">
        <v>4262</v>
      </c>
      <c r="EU4" s="2" t="s">
        <v>4251</v>
      </c>
      <c r="EV4" s="2" t="s">
        <v>4263</v>
      </c>
      <c r="EW4" s="2" t="s">
        <v>4264</v>
      </c>
      <c r="EX4" s="2" t="s">
        <v>39</v>
      </c>
      <c r="EY4" s="2">
        <v>33143</v>
      </c>
      <c r="EZ4" s="2" t="s">
        <v>4265</v>
      </c>
      <c r="FB4" s="2" t="s">
        <v>4266</v>
      </c>
      <c r="FC4" s="2" t="s">
        <v>4267</v>
      </c>
      <c r="FE4" s="2" t="s">
        <v>4262</v>
      </c>
      <c r="FF4" s="2" t="s">
        <v>4252</v>
      </c>
      <c r="FG4" s="2" t="s">
        <v>4263</v>
      </c>
      <c r="FH4" s="2" t="s">
        <v>4264</v>
      </c>
      <c r="FI4" s="2" t="s">
        <v>39</v>
      </c>
      <c r="FJ4" s="2">
        <v>33143</v>
      </c>
      <c r="FK4" s="2" t="s">
        <v>4265</v>
      </c>
      <c r="FM4" s="2" t="s">
        <v>4268</v>
      </c>
      <c r="FN4" s="2" t="s">
        <v>4269</v>
      </c>
      <c r="FO4" s="2" t="s">
        <v>63</v>
      </c>
      <c r="FP4" s="2" t="s">
        <v>64</v>
      </c>
      <c r="FQ4" s="2" t="s">
        <v>9</v>
      </c>
      <c r="FR4" s="2" t="s">
        <v>17</v>
      </c>
      <c r="FS4" s="2" t="s">
        <v>17</v>
      </c>
      <c r="FT4" s="2" t="s">
        <v>9</v>
      </c>
      <c r="FX4" s="2">
        <v>0</v>
      </c>
      <c r="FY4" s="2">
        <v>0</v>
      </c>
      <c r="FZ4" s="4">
        <v>0</v>
      </c>
      <c r="GA4" s="4">
        <v>0</v>
      </c>
      <c r="GB4" s="2" t="s">
        <v>65</v>
      </c>
      <c r="GC4" s="2" t="s">
        <v>66</v>
      </c>
      <c r="GD4" s="2" t="s">
        <v>67</v>
      </c>
      <c r="GE4" s="2" t="s">
        <v>1612</v>
      </c>
      <c r="GI4" s="2">
        <v>400</v>
      </c>
      <c r="GQ4" s="2">
        <v>400</v>
      </c>
      <c r="GR4" s="2" t="s">
        <v>3332</v>
      </c>
      <c r="GS4" s="2" t="s">
        <v>2686</v>
      </c>
      <c r="GT4" s="2" t="s">
        <v>4270</v>
      </c>
      <c r="GU4" s="2" t="s">
        <v>4271</v>
      </c>
      <c r="GV4" s="2" t="s">
        <v>17</v>
      </c>
      <c r="GW4" s="2">
        <v>25.492272</v>
      </c>
      <c r="GX4" s="2">
        <v>-80.455487000000005</v>
      </c>
      <c r="GZ4" s="2" t="s">
        <v>17</v>
      </c>
      <c r="HA4" s="2">
        <v>0</v>
      </c>
      <c r="HC4" s="2">
        <v>0</v>
      </c>
      <c r="HD4" s="2">
        <v>25.492342000000001</v>
      </c>
      <c r="HE4" s="2">
        <v>-80.454673999999997</v>
      </c>
      <c r="HF4" s="2">
        <v>0.06</v>
      </c>
      <c r="HG4" s="2">
        <v>5.5</v>
      </c>
      <c r="HH4" s="2">
        <v>25.492457999999999</v>
      </c>
      <c r="HI4" s="2">
        <v>-80.454363000000001</v>
      </c>
      <c r="HJ4" s="2">
        <v>0.08</v>
      </c>
      <c r="HK4" s="2">
        <v>25.492525000000001</v>
      </c>
      <c r="HL4" s="2">
        <v>-80.461157999999998</v>
      </c>
      <c r="HM4" s="2">
        <v>0.35</v>
      </c>
      <c r="HZ4" s="2" t="s">
        <v>167</v>
      </c>
      <c r="IA4" s="2">
        <v>0.62</v>
      </c>
      <c r="IB4" s="2">
        <v>3</v>
      </c>
      <c r="IF4" s="2" t="s">
        <v>1118</v>
      </c>
      <c r="IG4" s="2">
        <v>0.73</v>
      </c>
      <c r="IH4" s="2">
        <v>3</v>
      </c>
      <c r="II4" s="2" t="s">
        <v>4272</v>
      </c>
      <c r="IJ4" s="2">
        <v>0.67</v>
      </c>
      <c r="IK4" s="2">
        <v>3.5</v>
      </c>
      <c r="IL4" s="2" t="s">
        <v>9</v>
      </c>
      <c r="IM4" s="2" t="s">
        <v>17</v>
      </c>
      <c r="IO4" s="2" t="s">
        <v>17</v>
      </c>
      <c r="IP4" s="2" t="s">
        <v>79</v>
      </c>
      <c r="IQ4" s="2" t="s">
        <v>79</v>
      </c>
      <c r="IR4" s="2">
        <v>5.5</v>
      </c>
      <c r="IS4" s="2">
        <v>9.5</v>
      </c>
      <c r="IT4" s="2">
        <v>0</v>
      </c>
      <c r="IU4" s="2">
        <v>15</v>
      </c>
      <c r="IV4" s="2" t="s">
        <v>9</v>
      </c>
      <c r="IW4" s="2" t="s">
        <v>9</v>
      </c>
      <c r="IX4" s="2" t="s">
        <v>9</v>
      </c>
      <c r="IY4" s="2">
        <v>15</v>
      </c>
      <c r="IZ4" s="2">
        <v>400</v>
      </c>
      <c r="JB4" s="2" t="s">
        <v>82</v>
      </c>
      <c r="JH4" s="7">
        <v>0</v>
      </c>
      <c r="JI4" s="2">
        <v>0</v>
      </c>
      <c r="JJ4" s="7">
        <v>0</v>
      </c>
      <c r="JK4" s="2">
        <v>0</v>
      </c>
      <c r="JL4" s="7">
        <v>0</v>
      </c>
      <c r="JN4" s="2">
        <v>60</v>
      </c>
      <c r="JQ4" s="2">
        <v>252</v>
      </c>
      <c r="JS4" s="2">
        <v>88</v>
      </c>
      <c r="JT4" s="2">
        <v>0</v>
      </c>
      <c r="JU4" s="2">
        <v>0</v>
      </c>
      <c r="JV4" s="2">
        <v>400</v>
      </c>
      <c r="JW4" s="4">
        <v>1</v>
      </c>
      <c r="JX4" s="2">
        <v>400</v>
      </c>
      <c r="JY4" s="4">
        <v>0.59899999999999998</v>
      </c>
      <c r="KE4" s="7">
        <v>0</v>
      </c>
      <c r="KF4" s="2">
        <v>0</v>
      </c>
      <c r="KH4" s="2">
        <v>130</v>
      </c>
      <c r="KK4" s="2">
        <v>170</v>
      </c>
      <c r="KL4" s="2">
        <v>100</v>
      </c>
      <c r="KQ4" s="2" t="s">
        <v>83</v>
      </c>
      <c r="KR4" s="2" t="s">
        <v>73</v>
      </c>
      <c r="KT4" s="2">
        <v>5</v>
      </c>
      <c r="KU4" s="2" t="s">
        <v>84</v>
      </c>
      <c r="KW4" s="2" t="s">
        <v>86</v>
      </c>
      <c r="KX4" s="2" t="s">
        <v>17</v>
      </c>
      <c r="KY4" s="2" t="s">
        <v>17</v>
      </c>
      <c r="KZ4" s="2" t="s">
        <v>17</v>
      </c>
      <c r="LA4" s="2" t="s">
        <v>17</v>
      </c>
      <c r="LB4" s="2" t="s">
        <v>17</v>
      </c>
      <c r="LC4" s="2" t="s">
        <v>17</v>
      </c>
      <c r="LD4" s="2" t="s">
        <v>17</v>
      </c>
      <c r="LE4" s="2" t="s">
        <v>17</v>
      </c>
      <c r="LF4" s="2" t="s">
        <v>17</v>
      </c>
      <c r="LG4" s="2" t="s">
        <v>17</v>
      </c>
      <c r="LH4" s="2" t="s">
        <v>17</v>
      </c>
      <c r="LI4" s="2" t="s">
        <v>17</v>
      </c>
      <c r="LJ4" s="2" t="s">
        <v>87</v>
      </c>
      <c r="LK4" s="2" t="s">
        <v>17</v>
      </c>
      <c r="LL4" s="2" t="s">
        <v>17</v>
      </c>
      <c r="LM4" s="2">
        <v>0</v>
      </c>
      <c r="LN4" s="2" t="s">
        <v>17</v>
      </c>
      <c r="LO4" s="2" t="s">
        <v>9</v>
      </c>
      <c r="LP4" s="2" t="s">
        <v>9</v>
      </c>
      <c r="LQ4" s="2" t="s">
        <v>17</v>
      </c>
      <c r="LR4" s="2" t="s">
        <v>9</v>
      </c>
      <c r="LS4" s="2" t="s">
        <v>17</v>
      </c>
      <c r="LT4" s="2" t="s">
        <v>17</v>
      </c>
      <c r="LU4" s="2" t="s">
        <v>17</v>
      </c>
      <c r="LV4" s="2" t="s">
        <v>17</v>
      </c>
      <c r="LW4" s="2" t="s">
        <v>17</v>
      </c>
      <c r="LX4" s="2" t="s">
        <v>17</v>
      </c>
      <c r="LY4" s="5">
        <v>6500000</v>
      </c>
      <c r="LZ4" s="5">
        <v>0</v>
      </c>
      <c r="MA4" s="5">
        <v>11000000</v>
      </c>
      <c r="MB4" s="5">
        <v>11000000</v>
      </c>
      <c r="MC4" s="5">
        <v>11000000</v>
      </c>
      <c r="MD4" s="5">
        <v>750000</v>
      </c>
      <c r="ME4" s="5">
        <v>750000</v>
      </c>
      <c r="MF4" s="5">
        <v>750000</v>
      </c>
      <c r="MG4" s="5">
        <v>10000000</v>
      </c>
      <c r="MH4" s="5">
        <v>0</v>
      </c>
      <c r="MI4" s="5">
        <v>10000000</v>
      </c>
      <c r="MJ4" s="5">
        <v>0</v>
      </c>
      <c r="MK4" s="5">
        <v>4612700</v>
      </c>
      <c r="ML4" s="5">
        <v>0</v>
      </c>
      <c r="MM4" s="5">
        <v>0</v>
      </c>
      <c r="MN4" s="2">
        <v>0</v>
      </c>
      <c r="MO4" s="5">
        <v>0</v>
      </c>
      <c r="MP4" s="5">
        <v>0</v>
      </c>
      <c r="MQ4" s="2">
        <v>0</v>
      </c>
      <c r="MR4" s="2">
        <v>0</v>
      </c>
      <c r="MS4" s="2">
        <v>0</v>
      </c>
      <c r="MT4" s="5">
        <v>2950000</v>
      </c>
      <c r="MU4" s="5">
        <v>0</v>
      </c>
      <c r="MV4" s="5">
        <v>4600000</v>
      </c>
      <c r="MW4" s="5">
        <v>0</v>
      </c>
      <c r="MY4" s="5">
        <v>0</v>
      </c>
      <c r="MZ4" s="5">
        <v>0</v>
      </c>
      <c r="NA4" s="5">
        <v>0</v>
      </c>
      <c r="NB4" s="5">
        <v>2500000</v>
      </c>
      <c r="NC4" s="5">
        <v>0</v>
      </c>
      <c r="ND4" s="5">
        <v>5000000</v>
      </c>
      <c r="NE4" s="5">
        <v>0</v>
      </c>
      <c r="NF4" s="5">
        <v>0</v>
      </c>
      <c r="NG4" s="5">
        <v>0</v>
      </c>
      <c r="NH4" s="5"/>
      <c r="NI4" s="5">
        <v>0</v>
      </c>
      <c r="NJ4" s="5">
        <v>3579600</v>
      </c>
      <c r="NK4" s="2" t="s">
        <v>17</v>
      </c>
      <c r="NL4" s="2">
        <v>2023</v>
      </c>
      <c r="NM4" s="2" t="s">
        <v>17</v>
      </c>
      <c r="NO4" s="2" t="s">
        <v>17</v>
      </c>
      <c r="NR4" s="2" t="s">
        <v>17</v>
      </c>
      <c r="NT4" s="2" t="s">
        <v>17</v>
      </c>
      <c r="NX4" s="2" t="s">
        <v>118</v>
      </c>
      <c r="NY4" s="2" t="s">
        <v>118</v>
      </c>
      <c r="NZ4" s="2" t="s">
        <v>118</v>
      </c>
      <c r="OA4" s="2" t="s">
        <v>17</v>
      </c>
      <c r="OC4" s="5">
        <v>0</v>
      </c>
      <c r="OF4" s="2" t="s">
        <v>17</v>
      </c>
      <c r="OG4" s="2" t="s">
        <v>17</v>
      </c>
      <c r="OH4" s="2" t="s">
        <v>85</v>
      </c>
      <c r="OI4" s="6">
        <v>0</v>
      </c>
      <c r="OJ4" s="6">
        <v>330000</v>
      </c>
      <c r="OK4" s="2" t="s">
        <v>17</v>
      </c>
      <c r="OL4" s="2" t="s">
        <v>17</v>
      </c>
      <c r="OM4" s="6">
        <v>0</v>
      </c>
      <c r="ON4" s="6">
        <v>0</v>
      </c>
      <c r="OO4" s="6">
        <v>0</v>
      </c>
      <c r="OP4" s="6">
        <v>0</v>
      </c>
      <c r="OQ4" s="4">
        <v>0</v>
      </c>
      <c r="OR4" s="6">
        <v>0</v>
      </c>
      <c r="OS4" s="4">
        <v>0</v>
      </c>
      <c r="OT4" s="2" t="s">
        <v>17</v>
      </c>
      <c r="OU4" s="2" t="s">
        <v>17</v>
      </c>
      <c r="OW4" s="2" t="s">
        <v>17</v>
      </c>
      <c r="OX4" s="5">
        <v>8134500</v>
      </c>
      <c r="OY4" s="6">
        <v>20336.25</v>
      </c>
      <c r="PD4" s="8">
        <v>41700758</v>
      </c>
      <c r="PF4" s="8">
        <v>41700758</v>
      </c>
      <c r="PG4" s="8">
        <v>5316895</v>
      </c>
      <c r="PI4" s="8">
        <v>5316895</v>
      </c>
      <c r="PO4" s="8">
        <v>47017653</v>
      </c>
      <c r="PQ4" s="8">
        <v>47017653</v>
      </c>
      <c r="PR4" s="8">
        <v>5912326</v>
      </c>
      <c r="PT4" s="8">
        <v>5912326</v>
      </c>
      <c r="PU4" s="6">
        <v>6582471</v>
      </c>
      <c r="PV4" s="8">
        <v>52929979</v>
      </c>
      <c r="PX4" s="8">
        <v>52929979</v>
      </c>
      <c r="PY4" s="8">
        <v>2646498</v>
      </c>
      <c r="QA4" s="8">
        <v>2646498</v>
      </c>
      <c r="QB4" s="6">
        <v>2646498.9500000002</v>
      </c>
      <c r="QC4" s="8">
        <v>2889813</v>
      </c>
      <c r="QE4" s="8">
        <v>2889813</v>
      </c>
      <c r="QF4" s="8">
        <v>1463650</v>
      </c>
      <c r="QH4" s="8">
        <v>1463650</v>
      </c>
      <c r="QI4" s="8">
        <v>3719400</v>
      </c>
      <c r="QK4" s="8">
        <v>3719400</v>
      </c>
      <c r="QM4" s="8">
        <v>422295</v>
      </c>
      <c r="QN4" s="8">
        <v>422295</v>
      </c>
      <c r="QR4" s="8">
        <v>527000</v>
      </c>
      <c r="QS4" s="8">
        <v>72000</v>
      </c>
      <c r="QT4" s="8">
        <v>599000</v>
      </c>
      <c r="QU4" s="8">
        <v>8599863</v>
      </c>
      <c r="QV4" s="8">
        <v>494295</v>
      </c>
      <c r="QW4" s="8">
        <v>9094158</v>
      </c>
      <c r="QX4" s="8">
        <v>363658</v>
      </c>
      <c r="QZ4" s="8">
        <v>363658</v>
      </c>
      <c r="RA4" s="6">
        <v>454707.9</v>
      </c>
      <c r="RB4" s="8">
        <v>9064804</v>
      </c>
      <c r="RC4" s="8">
        <v>852832</v>
      </c>
      <c r="RD4" s="8">
        <v>9917636</v>
      </c>
      <c r="RE4" s="8">
        <v>2900703</v>
      </c>
      <c r="RF4" s="8">
        <v>2900703</v>
      </c>
      <c r="RJ4" s="8">
        <v>9064804</v>
      </c>
      <c r="RK4" s="8">
        <v>3753535</v>
      </c>
      <c r="RL4" s="8">
        <v>12818339</v>
      </c>
      <c r="RT4" s="8">
        <v>73604802</v>
      </c>
      <c r="RU4" s="8">
        <v>4247830</v>
      </c>
      <c r="RV4" s="8">
        <v>77852632</v>
      </c>
      <c r="RY4" s="2">
        <v>0</v>
      </c>
      <c r="RZ4" s="6">
        <v>0</v>
      </c>
      <c r="SA4" s="8">
        <v>14000000</v>
      </c>
      <c r="SC4" s="8">
        <v>14000000</v>
      </c>
      <c r="SD4" s="6">
        <v>14013473</v>
      </c>
      <c r="SE4" s="8">
        <v>14000000</v>
      </c>
      <c r="SF4" s="8">
        <v>14000000</v>
      </c>
      <c r="SG4" s="6">
        <v>14013473</v>
      </c>
      <c r="SH4" s="8">
        <v>1400000</v>
      </c>
      <c r="SI4" s="8">
        <v>1400000</v>
      </c>
      <c r="SJ4" s="6">
        <v>1400000</v>
      </c>
      <c r="SK4" s="8">
        <v>6662500</v>
      </c>
      <c r="SL4" s="8">
        <v>6662500</v>
      </c>
      <c r="SM4" s="8">
        <v>87604802</v>
      </c>
      <c r="SN4" s="8">
        <v>12310330</v>
      </c>
      <c r="SO4" s="8">
        <v>99915132</v>
      </c>
      <c r="SP4" s="8">
        <v>66500000</v>
      </c>
      <c r="SQ4" s="2" t="s">
        <v>4220</v>
      </c>
      <c r="SX4" s="8">
        <v>11750000</v>
      </c>
      <c r="SY4" s="2" t="s">
        <v>96</v>
      </c>
      <c r="SZ4" s="2" t="s">
        <v>96</v>
      </c>
      <c r="TA4" s="2" t="s">
        <v>96</v>
      </c>
      <c r="TB4" s="8">
        <v>17001400</v>
      </c>
      <c r="TF4" s="8">
        <v>4663732</v>
      </c>
      <c r="TG4" s="8">
        <v>99915132</v>
      </c>
      <c r="TH4" s="2">
        <v>0</v>
      </c>
      <c r="TI4" s="8">
        <v>48000000</v>
      </c>
      <c r="TJ4" s="2" t="s">
        <v>4220</v>
      </c>
      <c r="TR4" s="8">
        <v>11750000</v>
      </c>
      <c r="TS4" s="8">
        <v>34002799</v>
      </c>
      <c r="TZ4" s="8">
        <v>6162333</v>
      </c>
      <c r="UA4" s="8">
        <v>99915132</v>
      </c>
      <c r="UB4" s="6">
        <v>59750000</v>
      </c>
      <c r="UC4" s="2">
        <v>0</v>
      </c>
      <c r="UD4" s="2">
        <v>400</v>
      </c>
      <c r="UE4" s="5">
        <v>290000</v>
      </c>
      <c r="UF4" s="6">
        <v>386666.67</v>
      </c>
      <c r="UG4" s="6">
        <v>394166.67</v>
      </c>
      <c r="UH4" s="6">
        <v>417816.67</v>
      </c>
      <c r="UI4" s="6">
        <v>167126666.66999999</v>
      </c>
      <c r="UJ4" s="6">
        <v>30082800</v>
      </c>
      <c r="UK4" s="2" t="s">
        <v>97</v>
      </c>
      <c r="UL4" s="6">
        <v>30082800</v>
      </c>
      <c r="UM4" s="6">
        <v>197209466.66999999</v>
      </c>
      <c r="UN4" s="6">
        <v>91852632</v>
      </c>
      <c r="UT4" s="6">
        <v>2835180</v>
      </c>
      <c r="UW4" s="6">
        <v>2835180</v>
      </c>
      <c r="UX4" s="6">
        <v>0</v>
      </c>
      <c r="UY4" s="6">
        <v>0</v>
      </c>
      <c r="UZ4" s="2" t="s">
        <v>3387</v>
      </c>
      <c r="VA4" s="2" t="s">
        <v>3288</v>
      </c>
      <c r="VB4" s="2" t="s">
        <v>17</v>
      </c>
      <c r="VI4" s="2" t="s">
        <v>4273</v>
      </c>
      <c r="VJ4" s="2" t="s">
        <v>98</v>
      </c>
      <c r="VK4" s="2" t="s">
        <v>4274</v>
      </c>
      <c r="VL4" s="23">
        <f t="shared" si="0"/>
        <v>770</v>
      </c>
      <c r="VM4" s="17">
        <f t="shared" si="1"/>
        <v>1.925</v>
      </c>
      <c r="VN4" s="17" t="str">
        <f t="shared" si="2"/>
        <v>NC-MR-F</v>
      </c>
      <c r="VO4" s="17" t="str">
        <f t="shared" si="15"/>
        <v>NC-MR-F-ESS</v>
      </c>
      <c r="VP4" s="57">
        <v>1</v>
      </c>
      <c r="VQ4" s="17">
        <f t="shared" si="3"/>
        <v>1</v>
      </c>
      <c r="VR4" s="14">
        <f t="shared" si="4"/>
        <v>1</v>
      </c>
      <c r="VS4" s="14">
        <f t="shared" si="5"/>
        <v>1</v>
      </c>
      <c r="VT4" s="12">
        <f t="shared" si="6"/>
        <v>0.84479999999999988</v>
      </c>
      <c r="VU4" s="29">
        <f t="shared" si="7"/>
        <v>9292799.9999999981</v>
      </c>
      <c r="VV4" s="29">
        <f t="shared" si="8"/>
        <v>23232</v>
      </c>
      <c r="VW4" s="351" t="str">
        <f t="shared" si="16"/>
        <v>A</v>
      </c>
      <c r="VX4" s="12" t="str">
        <f t="shared" si="9"/>
        <v>NC-MR-ESS</v>
      </c>
      <c r="VY4" s="23">
        <f t="shared" si="17"/>
        <v>1</v>
      </c>
      <c r="WA4" s="12">
        <f t="shared" si="18"/>
        <v>0</v>
      </c>
      <c r="WB4" s="12">
        <f t="shared" si="19"/>
        <v>0</v>
      </c>
      <c r="WC4" s="12">
        <f t="shared" si="19"/>
        <v>0</v>
      </c>
      <c r="WD4" s="12">
        <f t="shared" si="19"/>
        <v>0</v>
      </c>
      <c r="WE4" s="12">
        <f t="shared" si="20"/>
        <v>1</v>
      </c>
      <c r="WF4" s="12">
        <f t="shared" si="10"/>
        <v>0</v>
      </c>
      <c r="WG4" s="12">
        <f t="shared" si="11"/>
        <v>1</v>
      </c>
      <c r="WH4" s="12">
        <f t="shared" si="12"/>
        <v>0</v>
      </c>
      <c r="WI4" s="31">
        <f t="shared" si="13"/>
        <v>2</v>
      </c>
      <c r="WK4" s="444" t="str">
        <f t="shared" si="14"/>
        <v>NC-MR-ESS-BBN-BRN-NPH-F</v>
      </c>
      <c r="WL4" s="444"/>
      <c r="WM4" s="444"/>
      <c r="WN4" s="12"/>
      <c r="WO4" s="380" t="s">
        <v>2617</v>
      </c>
      <c r="WP4" s="144">
        <f>COUNTIFS($WC$2:$WC$72,"=1",$WA$2:$WA$72,"=1")</f>
        <v>0</v>
      </c>
      <c r="WQ4" s="144">
        <f>COUNTIFS($WC$2:$WC$72,"=1",$WB$2:$WB$72,"=1")</f>
        <v>1</v>
      </c>
      <c r="WR4" s="384"/>
      <c r="WS4" s="144">
        <f>COUNTIFS($WC$2:$WC$72,"=1",$WD$2:$WD$72,"=1")</f>
        <v>0</v>
      </c>
      <c r="WT4" s="144">
        <f>COUNTIFS($WC$2:$WC$72,"=1",$WF$2:$WF$72,"=1")</f>
        <v>0</v>
      </c>
      <c r="WU4" s="144">
        <f>COUNTIFS($WC$2:$WC$72,"=1",$WG$2:$WG$72,"=1")</f>
        <v>1</v>
      </c>
      <c r="WV4" s="144">
        <f>COUNTIFS($WC$2:$WC$72,"=1",$WH$2:$WH$72,"=1")</f>
        <v>0</v>
      </c>
      <c r="WW4" s="144">
        <f>COUNTIFS($WA$2:$WA$72,"=1",$WE$2:$WE$72,"=1")</f>
        <v>22</v>
      </c>
      <c r="WX4" s="205">
        <f>COUNTIF($WC$2:$WC$72,"=1")</f>
        <v>1</v>
      </c>
    </row>
    <row r="5" spans="1:622" x14ac:dyDescent="0.25">
      <c r="A5" s="2">
        <v>9238</v>
      </c>
      <c r="B5" s="2" t="s">
        <v>4275</v>
      </c>
      <c r="C5" s="2" t="s">
        <v>4205</v>
      </c>
      <c r="D5" s="3">
        <v>45128</v>
      </c>
      <c r="E5" s="2" t="s">
        <v>9</v>
      </c>
      <c r="F5" s="2">
        <v>1</v>
      </c>
      <c r="G5" s="2" t="s">
        <v>9</v>
      </c>
      <c r="H5" s="2">
        <v>1</v>
      </c>
      <c r="I5" s="2" t="s">
        <v>11</v>
      </c>
      <c r="J5" s="2">
        <v>0</v>
      </c>
      <c r="K5" s="2" t="s">
        <v>9</v>
      </c>
      <c r="L5" s="2">
        <v>1</v>
      </c>
      <c r="M5" s="2" t="s">
        <v>10</v>
      </c>
      <c r="N5" s="2">
        <v>0</v>
      </c>
      <c r="O5" s="2" t="s">
        <v>10</v>
      </c>
      <c r="P5" s="2">
        <v>0</v>
      </c>
      <c r="Q5" s="2" t="s">
        <v>11</v>
      </c>
      <c r="R5" s="2">
        <v>0</v>
      </c>
      <c r="S5" s="2" t="s">
        <v>9</v>
      </c>
      <c r="T5" s="2">
        <v>2</v>
      </c>
      <c r="U5" s="2" t="s">
        <v>9</v>
      </c>
      <c r="V5" s="2">
        <v>2</v>
      </c>
      <c r="W5" s="2" t="s">
        <v>9</v>
      </c>
      <c r="X5" s="2">
        <v>2</v>
      </c>
      <c r="Y5" s="2" t="s">
        <v>12</v>
      </c>
      <c r="Z5" s="2" t="s">
        <v>15</v>
      </c>
      <c r="AA5" s="2" t="s">
        <v>15</v>
      </c>
      <c r="AB5" s="2" t="s">
        <v>15</v>
      </c>
      <c r="AC5" s="2" t="s">
        <v>842</v>
      </c>
      <c r="AD5" s="2" t="s">
        <v>15</v>
      </c>
      <c r="AE5" s="2" t="s">
        <v>15</v>
      </c>
      <c r="AF5" s="2">
        <v>0</v>
      </c>
      <c r="AG5" s="2" t="s">
        <v>234</v>
      </c>
      <c r="AH5" s="2" t="s">
        <v>9</v>
      </c>
      <c r="AI5" s="4">
        <v>0.31158999999999998</v>
      </c>
      <c r="AJ5" s="2" t="s">
        <v>9</v>
      </c>
      <c r="AK5" s="2" t="s">
        <v>9</v>
      </c>
      <c r="AL5" s="2" t="s">
        <v>9</v>
      </c>
      <c r="AM5" s="2" t="s">
        <v>17</v>
      </c>
      <c r="AN5" s="2" t="s">
        <v>17</v>
      </c>
      <c r="AO5" s="2" t="s">
        <v>9</v>
      </c>
      <c r="AP5" s="2" t="s">
        <v>17</v>
      </c>
      <c r="AQ5" s="2" t="s">
        <v>17</v>
      </c>
      <c r="AR5" s="2" t="s">
        <v>17</v>
      </c>
      <c r="AS5" s="2" t="s">
        <v>17</v>
      </c>
      <c r="AT5" s="2">
        <v>5</v>
      </c>
      <c r="AU5" s="5">
        <v>250000</v>
      </c>
      <c r="AV5" s="2" t="s">
        <v>85</v>
      </c>
      <c r="AW5" s="2">
        <v>1</v>
      </c>
      <c r="AX5" s="2">
        <v>7</v>
      </c>
      <c r="AY5" s="2">
        <v>0</v>
      </c>
      <c r="AZ5" s="2">
        <v>16</v>
      </c>
      <c r="BA5" s="2">
        <v>0</v>
      </c>
      <c r="BB5" s="2">
        <v>1</v>
      </c>
      <c r="BC5" s="2">
        <v>1</v>
      </c>
      <c r="BD5" s="2">
        <v>5</v>
      </c>
      <c r="BE5" s="2">
        <v>1</v>
      </c>
      <c r="BF5" s="2">
        <v>1</v>
      </c>
      <c r="BG5" s="2">
        <v>0</v>
      </c>
      <c r="BH5" s="2">
        <v>0</v>
      </c>
      <c r="BI5" s="2">
        <v>13</v>
      </c>
      <c r="BJ5" s="2">
        <v>1</v>
      </c>
      <c r="BK5" s="2">
        <v>0</v>
      </c>
      <c r="BL5" s="2">
        <v>3</v>
      </c>
      <c r="BM5" s="2">
        <v>1</v>
      </c>
      <c r="BN5" s="2">
        <v>8</v>
      </c>
      <c r="BO5" s="2">
        <v>10</v>
      </c>
      <c r="BP5" s="2">
        <v>112.08</v>
      </c>
      <c r="BQ5" s="5">
        <v>8000000</v>
      </c>
      <c r="BR5" s="2">
        <v>1</v>
      </c>
      <c r="BS5" s="4">
        <v>0.06</v>
      </c>
      <c r="BT5" s="2" t="s">
        <v>9</v>
      </c>
      <c r="BU5" s="2" t="s">
        <v>17</v>
      </c>
      <c r="BV5" s="6">
        <v>20927.86</v>
      </c>
      <c r="BW5" s="2" t="s">
        <v>18</v>
      </c>
      <c r="BX5" s="2" t="s">
        <v>17</v>
      </c>
      <c r="BY5" s="2" t="s">
        <v>17</v>
      </c>
      <c r="BZ5" s="2" t="s">
        <v>17</v>
      </c>
      <c r="CA5" s="2" t="s">
        <v>17</v>
      </c>
      <c r="CB5" s="2" t="s">
        <v>17</v>
      </c>
      <c r="CC5" s="2" t="s">
        <v>17</v>
      </c>
      <c r="CE5" s="2" t="s">
        <v>4276</v>
      </c>
      <c r="CF5" s="2" t="s">
        <v>17</v>
      </c>
      <c r="CG5" s="2" t="s">
        <v>17</v>
      </c>
      <c r="DA5" s="2" t="s">
        <v>4277</v>
      </c>
      <c r="DD5" s="2" t="s">
        <v>9</v>
      </c>
      <c r="DE5" s="2" t="s">
        <v>2657</v>
      </c>
      <c r="DF5" s="2" t="s">
        <v>4277</v>
      </c>
      <c r="DG5" s="2" t="s">
        <v>2660</v>
      </c>
      <c r="DH5" s="2" t="s">
        <v>2661</v>
      </c>
      <c r="DI5" s="2">
        <v>204</v>
      </c>
      <c r="DJ5" s="2" t="s">
        <v>4278</v>
      </c>
      <c r="DK5" s="2">
        <v>2020</v>
      </c>
      <c r="DL5" s="2" t="s">
        <v>4209</v>
      </c>
      <c r="DM5" s="2" t="s">
        <v>4210</v>
      </c>
      <c r="DN5" s="2" t="s">
        <v>33</v>
      </c>
      <c r="DO5" s="2" t="s">
        <v>4279</v>
      </c>
      <c r="DQ5" s="2" t="s">
        <v>2665</v>
      </c>
      <c r="DR5" s="2" t="s">
        <v>4280</v>
      </c>
      <c r="DS5" s="2">
        <v>1</v>
      </c>
      <c r="DT5" s="2" t="s">
        <v>4281</v>
      </c>
      <c r="DU5" s="2" t="s">
        <v>2668</v>
      </c>
      <c r="DV5" s="2" t="s">
        <v>39</v>
      </c>
      <c r="DW5" s="2">
        <v>33326</v>
      </c>
      <c r="DX5" s="2" t="s">
        <v>4282</v>
      </c>
      <c r="DZ5" s="2" t="s">
        <v>2670</v>
      </c>
      <c r="EA5" s="2" t="s">
        <v>4280</v>
      </c>
      <c r="EB5" s="2" t="s">
        <v>2671</v>
      </c>
      <c r="EC5" s="2" t="s">
        <v>2661</v>
      </c>
      <c r="ED5" s="2" t="s">
        <v>44</v>
      </c>
      <c r="EE5" s="2">
        <v>182</v>
      </c>
      <c r="EF5" s="2" t="s">
        <v>4283</v>
      </c>
      <c r="EG5" s="2">
        <v>5</v>
      </c>
      <c r="EH5" s="2" t="s">
        <v>46</v>
      </c>
      <c r="EI5" s="2" t="s">
        <v>47</v>
      </c>
      <c r="EJ5" s="2" t="s">
        <v>2673</v>
      </c>
      <c r="EK5" s="2" t="s">
        <v>2661</v>
      </c>
      <c r="EL5" s="2" t="s">
        <v>44</v>
      </c>
      <c r="EM5" s="2">
        <v>194</v>
      </c>
      <c r="EN5" s="2" t="s">
        <v>4283</v>
      </c>
      <c r="EO5" s="2">
        <v>7</v>
      </c>
      <c r="EP5" s="2" t="s">
        <v>46</v>
      </c>
      <c r="EQ5" s="2" t="s">
        <v>47</v>
      </c>
      <c r="ER5" s="2" t="s">
        <v>2674</v>
      </c>
      <c r="ET5" s="2" t="s">
        <v>2675</v>
      </c>
      <c r="EU5" s="2" t="s">
        <v>4277</v>
      </c>
      <c r="EV5" s="2" t="s">
        <v>2676</v>
      </c>
      <c r="EW5" s="2" t="s">
        <v>299</v>
      </c>
      <c r="EX5" s="2" t="s">
        <v>39</v>
      </c>
      <c r="EY5" s="2">
        <v>33133</v>
      </c>
      <c r="EZ5" s="2" t="s">
        <v>4284</v>
      </c>
      <c r="FB5" s="2" t="s">
        <v>2678</v>
      </c>
      <c r="FC5" s="2" t="s">
        <v>4285</v>
      </c>
      <c r="FD5" s="2" t="s">
        <v>1660</v>
      </c>
      <c r="FE5" s="2" t="s">
        <v>4286</v>
      </c>
      <c r="FF5" s="2" t="s">
        <v>4277</v>
      </c>
      <c r="FG5" s="2" t="s">
        <v>2676</v>
      </c>
      <c r="FH5" s="2" t="s">
        <v>4287</v>
      </c>
      <c r="FI5" s="2" t="s">
        <v>39</v>
      </c>
      <c r="FJ5" s="2">
        <v>33133</v>
      </c>
      <c r="FK5" s="2" t="s">
        <v>4284</v>
      </c>
      <c r="FM5" s="2" t="s">
        <v>4288</v>
      </c>
      <c r="FN5" s="2" t="s">
        <v>4289</v>
      </c>
      <c r="FO5" s="2" t="s">
        <v>63</v>
      </c>
      <c r="FP5" s="2" t="s">
        <v>64</v>
      </c>
      <c r="FQ5" s="2" t="s">
        <v>9</v>
      </c>
      <c r="FR5" s="2" t="s">
        <v>17</v>
      </c>
      <c r="FS5" s="2" t="s">
        <v>17</v>
      </c>
      <c r="FT5" s="2" t="s">
        <v>9</v>
      </c>
      <c r="FX5" s="2">
        <v>0</v>
      </c>
      <c r="FY5" s="2">
        <v>0</v>
      </c>
      <c r="FZ5" s="4">
        <v>0</v>
      </c>
      <c r="GA5" s="4">
        <v>0</v>
      </c>
      <c r="GB5" s="2" t="s">
        <v>65</v>
      </c>
      <c r="GC5" s="2" t="s">
        <v>66</v>
      </c>
      <c r="GD5" s="2" t="s">
        <v>67</v>
      </c>
      <c r="GE5" s="2" t="s">
        <v>2684</v>
      </c>
      <c r="GK5" s="2">
        <v>268</v>
      </c>
      <c r="GL5" s="2">
        <v>8</v>
      </c>
      <c r="GQ5" s="2">
        <v>276</v>
      </c>
      <c r="GR5" s="2" t="s">
        <v>3332</v>
      </c>
      <c r="GS5" s="2" t="s">
        <v>2686</v>
      </c>
      <c r="GT5" s="2" t="s">
        <v>4290</v>
      </c>
      <c r="GU5" s="2" t="s">
        <v>299</v>
      </c>
      <c r="GV5" s="2" t="s">
        <v>17</v>
      </c>
      <c r="GW5" s="2">
        <v>25.832125999999999</v>
      </c>
      <c r="GX5" s="2">
        <v>-80.222256999999999</v>
      </c>
      <c r="GZ5" s="2" t="s">
        <v>9</v>
      </c>
      <c r="HA5" s="2">
        <v>3</v>
      </c>
      <c r="HC5" s="2">
        <v>0</v>
      </c>
      <c r="HN5" s="2">
        <v>25.832013</v>
      </c>
      <c r="HO5" s="2">
        <v>-80.218980999999999</v>
      </c>
      <c r="HP5" s="2">
        <v>0.21</v>
      </c>
      <c r="HQ5" s="2">
        <v>6</v>
      </c>
      <c r="HZ5" s="2" t="s">
        <v>3164</v>
      </c>
      <c r="IA5" s="2">
        <v>0.92</v>
      </c>
      <c r="IB5" s="2">
        <v>2.5</v>
      </c>
      <c r="IC5" s="2" t="s">
        <v>4291</v>
      </c>
      <c r="ID5" s="2">
        <v>0.52</v>
      </c>
      <c r="IE5" s="2">
        <v>3</v>
      </c>
      <c r="IF5" s="2" t="s">
        <v>1118</v>
      </c>
      <c r="IG5" s="2">
        <v>0.83</v>
      </c>
      <c r="IH5" s="2">
        <v>2.5</v>
      </c>
      <c r="IL5" s="2" t="s">
        <v>9</v>
      </c>
      <c r="IM5" s="2" t="s">
        <v>9</v>
      </c>
      <c r="IO5" s="2" t="s">
        <v>17</v>
      </c>
      <c r="IP5" s="2" t="s">
        <v>79</v>
      </c>
      <c r="IQ5" s="2" t="s">
        <v>79</v>
      </c>
      <c r="IR5" s="2">
        <v>6</v>
      </c>
      <c r="IS5" s="2">
        <v>8</v>
      </c>
      <c r="IT5" s="2">
        <v>3</v>
      </c>
      <c r="IU5" s="2">
        <v>17</v>
      </c>
      <c r="IV5" s="2" t="s">
        <v>9</v>
      </c>
      <c r="IW5" s="2" t="s">
        <v>9</v>
      </c>
      <c r="IX5" s="2" t="s">
        <v>9</v>
      </c>
      <c r="IY5" s="2">
        <v>14</v>
      </c>
      <c r="IZ5" s="2">
        <v>276</v>
      </c>
      <c r="JB5" s="2" t="s">
        <v>82</v>
      </c>
      <c r="JH5" s="7">
        <v>0</v>
      </c>
      <c r="JI5" s="2">
        <v>0</v>
      </c>
      <c r="JJ5" s="7">
        <v>0</v>
      </c>
      <c r="JK5" s="2">
        <v>0</v>
      </c>
      <c r="JL5" s="7">
        <v>0</v>
      </c>
      <c r="JM5" s="2">
        <v>86</v>
      </c>
      <c r="JQ5" s="2">
        <v>8</v>
      </c>
      <c r="JS5" s="2">
        <v>172</v>
      </c>
      <c r="JT5" s="2">
        <v>10</v>
      </c>
      <c r="JU5" s="2">
        <v>10</v>
      </c>
      <c r="JV5" s="2">
        <v>266</v>
      </c>
      <c r="JW5" s="4">
        <v>0.96377000000000002</v>
      </c>
      <c r="JX5" s="2">
        <v>276</v>
      </c>
      <c r="JY5" s="4">
        <v>0.6</v>
      </c>
      <c r="KE5" s="7">
        <v>0</v>
      </c>
      <c r="KF5" s="2">
        <v>0</v>
      </c>
      <c r="KH5" s="2">
        <v>106</v>
      </c>
      <c r="KK5" s="2">
        <v>169</v>
      </c>
      <c r="KL5" s="2">
        <v>1</v>
      </c>
      <c r="KQ5" s="2" t="s">
        <v>83</v>
      </c>
      <c r="KR5" s="2" t="s">
        <v>73</v>
      </c>
      <c r="KT5" s="2">
        <v>2</v>
      </c>
      <c r="KU5" s="2" t="s">
        <v>84</v>
      </c>
      <c r="KW5" s="2" t="s">
        <v>86</v>
      </c>
      <c r="KX5" s="2" t="s">
        <v>17</v>
      </c>
      <c r="KY5" s="2" t="s">
        <v>17</v>
      </c>
      <c r="KZ5" s="2" t="s">
        <v>17</v>
      </c>
      <c r="LA5" s="2" t="s">
        <v>17</v>
      </c>
      <c r="LB5" s="2" t="s">
        <v>17</v>
      </c>
      <c r="LC5" s="2" t="s">
        <v>17</v>
      </c>
      <c r="LD5" s="2" t="s">
        <v>17</v>
      </c>
      <c r="LE5" s="2" t="s">
        <v>17</v>
      </c>
      <c r="LF5" s="2" t="s">
        <v>17</v>
      </c>
      <c r="LG5" s="2" t="s">
        <v>17</v>
      </c>
      <c r="LH5" s="2" t="s">
        <v>17</v>
      </c>
      <c r="LI5" s="2" t="s">
        <v>17</v>
      </c>
      <c r="LJ5" s="2" t="s">
        <v>87</v>
      </c>
      <c r="LK5" s="2" t="s">
        <v>17</v>
      </c>
      <c r="LL5" s="2" t="s">
        <v>17</v>
      </c>
      <c r="LM5" s="2">
        <v>0</v>
      </c>
      <c r="LN5" s="2" t="s">
        <v>17</v>
      </c>
      <c r="LO5" s="2" t="s">
        <v>9</v>
      </c>
      <c r="LP5" s="2" t="s">
        <v>17</v>
      </c>
      <c r="LQ5" s="2" t="s">
        <v>17</v>
      </c>
      <c r="LR5" s="2" t="s">
        <v>9</v>
      </c>
      <c r="LS5" s="2" t="s">
        <v>9</v>
      </c>
      <c r="LT5" s="2" t="s">
        <v>17</v>
      </c>
      <c r="LU5" s="2" t="s">
        <v>17</v>
      </c>
      <c r="LV5" s="2" t="s">
        <v>17</v>
      </c>
      <c r="LW5" s="2" t="s">
        <v>17</v>
      </c>
      <c r="LX5" s="2" t="s">
        <v>17</v>
      </c>
      <c r="LY5" s="5">
        <v>6500000</v>
      </c>
      <c r="LZ5" s="5">
        <v>0</v>
      </c>
      <c r="MA5" s="5">
        <v>11000000</v>
      </c>
      <c r="MB5" s="5">
        <v>7250000</v>
      </c>
      <c r="MC5" s="5">
        <v>7250000</v>
      </c>
      <c r="MD5" s="5">
        <v>750000</v>
      </c>
      <c r="ME5" s="5">
        <v>750000</v>
      </c>
      <c r="MF5" s="5">
        <v>750000</v>
      </c>
      <c r="MG5" s="5">
        <v>10000000</v>
      </c>
      <c r="MH5" s="5">
        <v>0</v>
      </c>
      <c r="MI5" s="5">
        <v>10000000</v>
      </c>
      <c r="MJ5" s="5">
        <v>0</v>
      </c>
      <c r="MK5" s="5">
        <v>3090700</v>
      </c>
      <c r="ML5" s="5">
        <v>0</v>
      </c>
      <c r="MM5" s="5">
        <v>0</v>
      </c>
      <c r="MN5" s="2">
        <v>0</v>
      </c>
      <c r="MO5" s="5">
        <v>0</v>
      </c>
      <c r="MP5" s="5">
        <v>0</v>
      </c>
      <c r="MQ5" s="2">
        <v>0</v>
      </c>
      <c r="MR5" s="2">
        <v>0</v>
      </c>
      <c r="MS5" s="2">
        <v>0</v>
      </c>
      <c r="MT5" s="5">
        <v>2950000</v>
      </c>
      <c r="MU5" s="5">
        <v>0</v>
      </c>
      <c r="MV5" s="5">
        <v>4600000</v>
      </c>
      <c r="MW5" s="5">
        <v>0</v>
      </c>
      <c r="MY5" s="5">
        <v>0</v>
      </c>
      <c r="MZ5" s="5">
        <v>0</v>
      </c>
      <c r="NA5" s="5">
        <v>0</v>
      </c>
      <c r="NB5" s="5">
        <v>2500000</v>
      </c>
      <c r="NC5" s="5">
        <v>0</v>
      </c>
      <c r="ND5" s="5">
        <v>5000000</v>
      </c>
      <c r="NE5" s="5">
        <v>0</v>
      </c>
      <c r="NF5" s="5">
        <v>0</v>
      </c>
      <c r="NG5" s="5">
        <v>0</v>
      </c>
      <c r="NH5" s="5"/>
      <c r="NI5" s="5">
        <v>0</v>
      </c>
      <c r="NJ5" s="5">
        <v>4914139</v>
      </c>
      <c r="NK5" s="2" t="s">
        <v>17</v>
      </c>
      <c r="NL5" s="2" t="s">
        <v>4292</v>
      </c>
      <c r="NM5" s="2" t="s">
        <v>9</v>
      </c>
      <c r="NN5" s="2" t="s">
        <v>4293</v>
      </c>
      <c r="NO5" s="2" t="s">
        <v>17</v>
      </c>
      <c r="NR5" s="2" t="s">
        <v>17</v>
      </c>
      <c r="NT5" s="2" t="s">
        <v>9</v>
      </c>
      <c r="NU5" s="2" t="s">
        <v>450</v>
      </c>
      <c r="NV5" s="2">
        <v>15.01</v>
      </c>
      <c r="NW5" s="2" t="s">
        <v>3342</v>
      </c>
      <c r="NX5" s="2" t="s">
        <v>118</v>
      </c>
      <c r="NY5" s="2" t="s">
        <v>118</v>
      </c>
      <c r="NZ5" s="2" t="s">
        <v>118</v>
      </c>
      <c r="OA5" s="2" t="s">
        <v>17</v>
      </c>
      <c r="OB5" s="2" t="s">
        <v>119</v>
      </c>
      <c r="OC5" s="5">
        <v>75000000</v>
      </c>
      <c r="OF5" s="2" t="s">
        <v>17</v>
      </c>
      <c r="OG5" s="2" t="s">
        <v>17</v>
      </c>
      <c r="OH5" s="2" t="s">
        <v>85</v>
      </c>
      <c r="OI5" s="6">
        <v>0</v>
      </c>
      <c r="OJ5" s="6">
        <v>217500</v>
      </c>
      <c r="OK5" s="2" t="s">
        <v>17</v>
      </c>
      <c r="OL5" s="2" t="s">
        <v>17</v>
      </c>
      <c r="OM5" s="6">
        <v>0</v>
      </c>
      <c r="ON5" s="6">
        <v>0</v>
      </c>
      <c r="OO5" s="6">
        <v>0</v>
      </c>
      <c r="OP5" s="6">
        <v>0</v>
      </c>
      <c r="OQ5" s="4">
        <v>0</v>
      </c>
      <c r="OR5" s="6">
        <v>0</v>
      </c>
      <c r="OS5" s="4">
        <v>0</v>
      </c>
      <c r="OT5" s="2" t="s">
        <v>9</v>
      </c>
      <c r="OU5" s="2" t="s">
        <v>17</v>
      </c>
      <c r="OV5" s="2" t="s">
        <v>4294</v>
      </c>
      <c r="OW5" s="2" t="s">
        <v>17</v>
      </c>
      <c r="OX5" s="5">
        <v>5566810</v>
      </c>
      <c r="OY5" s="6">
        <v>20927.86</v>
      </c>
      <c r="OZ5" s="8">
        <v>500000</v>
      </c>
      <c r="PA5" s="8">
        <v>500000</v>
      </c>
      <c r="PB5" s="8">
        <v>1000000</v>
      </c>
      <c r="PC5" s="8">
        <v>1000000</v>
      </c>
      <c r="PD5" s="8">
        <v>54878000</v>
      </c>
      <c r="PF5" s="8">
        <v>54878000</v>
      </c>
      <c r="PG5" s="8">
        <v>1750000</v>
      </c>
      <c r="PI5" s="8">
        <v>1750000</v>
      </c>
      <c r="PO5" s="8">
        <v>56628000</v>
      </c>
      <c r="PP5" s="8">
        <v>1500000</v>
      </c>
      <c r="PQ5" s="8">
        <v>58128000</v>
      </c>
      <c r="PR5" s="8">
        <v>8067920</v>
      </c>
      <c r="PT5" s="8">
        <v>8067920</v>
      </c>
      <c r="PU5" s="6">
        <v>8137920</v>
      </c>
      <c r="PV5" s="8">
        <v>64695920</v>
      </c>
      <c r="PW5" s="8">
        <v>1500000</v>
      </c>
      <c r="PX5" s="8">
        <v>66195920</v>
      </c>
      <c r="PY5" s="8">
        <v>3284796</v>
      </c>
      <c r="QA5" s="8">
        <v>3284796</v>
      </c>
      <c r="QB5" s="6">
        <v>3309796</v>
      </c>
      <c r="QC5" s="8">
        <v>5575701</v>
      </c>
      <c r="QD5" s="8">
        <v>702825</v>
      </c>
      <c r="QE5" s="8">
        <v>6278526</v>
      </c>
      <c r="QF5" s="8">
        <v>758788</v>
      </c>
      <c r="QH5" s="8">
        <v>758788</v>
      </c>
      <c r="QI5" s="8">
        <v>1205034</v>
      </c>
      <c r="QJ5" s="8">
        <v>34840</v>
      </c>
      <c r="QK5" s="8">
        <v>1239874</v>
      </c>
      <c r="QM5" s="8">
        <v>715272</v>
      </c>
      <c r="QN5" s="8">
        <v>715272</v>
      </c>
      <c r="QR5" s="8">
        <v>250000</v>
      </c>
      <c r="QT5" s="8">
        <v>250000</v>
      </c>
      <c r="QU5" s="8">
        <v>7789523</v>
      </c>
      <c r="QV5" s="8">
        <v>1452937</v>
      </c>
      <c r="QW5" s="8">
        <v>9242460</v>
      </c>
      <c r="QX5" s="8">
        <v>387510</v>
      </c>
      <c r="QY5" s="8">
        <v>3750</v>
      </c>
      <c r="QZ5" s="8">
        <v>391260</v>
      </c>
      <c r="RA5" s="6">
        <v>462123</v>
      </c>
      <c r="RB5" s="8">
        <v>6104366</v>
      </c>
      <c r="RC5" s="8">
        <v>4896634</v>
      </c>
      <c r="RD5" s="8">
        <v>11001000</v>
      </c>
      <c r="RE5" s="8">
        <v>1172450</v>
      </c>
      <c r="RF5" s="8">
        <v>1172450</v>
      </c>
      <c r="RJ5" s="8">
        <v>6104366</v>
      </c>
      <c r="RK5" s="8">
        <v>6069084</v>
      </c>
      <c r="RL5" s="8">
        <v>12173450</v>
      </c>
      <c r="RT5" s="8">
        <v>82262115</v>
      </c>
      <c r="RU5" s="8">
        <v>9025771</v>
      </c>
      <c r="RV5" s="8">
        <v>91287886</v>
      </c>
      <c r="RY5" s="2">
        <v>0</v>
      </c>
      <c r="RZ5" s="6">
        <v>0</v>
      </c>
      <c r="SA5" s="8">
        <v>15793282</v>
      </c>
      <c r="SC5" s="8">
        <v>15793282</v>
      </c>
      <c r="SD5" s="6">
        <v>16431819</v>
      </c>
      <c r="SE5" s="8">
        <v>15793282</v>
      </c>
      <c r="SF5" s="8">
        <v>15793282</v>
      </c>
      <c r="SG5" s="6">
        <v>16431819</v>
      </c>
      <c r="SH5" s="8">
        <v>966000</v>
      </c>
      <c r="SI5" s="8">
        <v>966000</v>
      </c>
      <c r="SJ5" s="6">
        <v>966000</v>
      </c>
      <c r="SK5" s="8">
        <v>690000</v>
      </c>
      <c r="SL5" s="8">
        <v>690000</v>
      </c>
      <c r="SM5" s="8">
        <v>98055397</v>
      </c>
      <c r="SN5" s="8">
        <v>10681771</v>
      </c>
      <c r="SO5" s="8">
        <v>108737168</v>
      </c>
      <c r="SP5" s="8">
        <v>75000000</v>
      </c>
      <c r="SQ5" s="2" t="s">
        <v>4295</v>
      </c>
      <c r="SX5" s="8">
        <v>8000000</v>
      </c>
      <c r="SY5" s="2" t="s">
        <v>96</v>
      </c>
      <c r="SZ5" s="2" t="s">
        <v>96</v>
      </c>
      <c r="TA5" s="2" t="s">
        <v>96</v>
      </c>
      <c r="TB5" s="8">
        <v>11669913</v>
      </c>
      <c r="TF5" s="8">
        <v>14067255</v>
      </c>
      <c r="TG5" s="8">
        <v>108737168</v>
      </c>
      <c r="TH5" s="2">
        <v>0</v>
      </c>
      <c r="TI5" s="8">
        <v>42300000</v>
      </c>
      <c r="TJ5" s="2" t="s">
        <v>4295</v>
      </c>
      <c r="TR5" s="8">
        <v>8000000</v>
      </c>
      <c r="TS5" s="8">
        <v>46679652</v>
      </c>
      <c r="TZ5" s="8">
        <v>11757516</v>
      </c>
      <c r="UA5" s="8">
        <v>108737168</v>
      </c>
      <c r="UB5" s="6">
        <v>50300000</v>
      </c>
      <c r="UC5" s="2">
        <v>0</v>
      </c>
      <c r="UD5" s="2">
        <v>276</v>
      </c>
      <c r="UE5" s="5">
        <v>308551</v>
      </c>
      <c r="UF5" s="6">
        <v>411400.97</v>
      </c>
      <c r="UG5" s="6">
        <v>426400.97</v>
      </c>
      <c r="UH5" s="6">
        <v>451985.02</v>
      </c>
      <c r="UI5" s="6">
        <v>124747866.67</v>
      </c>
      <c r="UJ5" s="6">
        <v>22454616</v>
      </c>
      <c r="UK5" s="2" t="s">
        <v>97</v>
      </c>
      <c r="UL5" s="6">
        <v>22454616</v>
      </c>
      <c r="UM5" s="6">
        <v>147202482.66999999</v>
      </c>
      <c r="UN5" s="6">
        <v>105581168</v>
      </c>
      <c r="UT5" s="6">
        <v>1155937.68</v>
      </c>
      <c r="UW5" s="6">
        <v>1155937.68</v>
      </c>
      <c r="UX5" s="6">
        <v>0</v>
      </c>
      <c r="UY5" s="6">
        <v>0</v>
      </c>
      <c r="UZ5" s="2" t="s">
        <v>3387</v>
      </c>
      <c r="VA5" s="2" t="s">
        <v>3288</v>
      </c>
      <c r="VB5" s="2" t="s">
        <v>17</v>
      </c>
      <c r="VI5" s="2" t="s">
        <v>2657</v>
      </c>
      <c r="VJ5" s="2" t="s">
        <v>98</v>
      </c>
      <c r="VK5" s="2" t="s">
        <v>4296</v>
      </c>
      <c r="VL5" s="23">
        <f t="shared" si="0"/>
        <v>447</v>
      </c>
      <c r="VM5" s="17">
        <f t="shared" si="1"/>
        <v>1.6195652173913044</v>
      </c>
      <c r="VN5" s="17" t="str">
        <f t="shared" si="2"/>
        <v>NC-HR-F</v>
      </c>
      <c r="VO5" s="17" t="str">
        <f t="shared" si="15"/>
        <v>NC-HR-F-ESS</v>
      </c>
      <c r="VP5" s="57">
        <v>1</v>
      </c>
      <c r="VQ5" s="17">
        <f t="shared" si="3"/>
        <v>1.1100000000000001</v>
      </c>
      <c r="VR5" s="14">
        <f t="shared" si="4"/>
        <v>1</v>
      </c>
      <c r="VS5" s="14">
        <f t="shared" si="5"/>
        <v>0.87</v>
      </c>
      <c r="VT5" s="12">
        <f t="shared" si="6"/>
        <v>0.83881739130434785</v>
      </c>
      <c r="VU5" s="29">
        <f t="shared" si="7"/>
        <v>5872833.1721739136</v>
      </c>
      <c r="VV5" s="29">
        <f t="shared" si="8"/>
        <v>22078.32</v>
      </c>
      <c r="VW5" s="351" t="str">
        <f t="shared" si="16"/>
        <v>A</v>
      </c>
      <c r="VX5" s="12" t="str">
        <f t="shared" si="9"/>
        <v>NC-HR-ESS</v>
      </c>
      <c r="VY5" s="23">
        <f t="shared" si="17"/>
        <v>1</v>
      </c>
      <c r="WA5" s="12">
        <f t="shared" si="18"/>
        <v>0</v>
      </c>
      <c r="WB5" s="12">
        <f t="shared" si="19"/>
        <v>1</v>
      </c>
      <c r="WC5" s="12">
        <f t="shared" si="19"/>
        <v>0</v>
      </c>
      <c r="WD5" s="12">
        <f t="shared" si="19"/>
        <v>1</v>
      </c>
      <c r="WE5" s="12">
        <f t="shared" si="20"/>
        <v>1</v>
      </c>
      <c r="WF5" s="12">
        <f t="shared" si="10"/>
        <v>0</v>
      </c>
      <c r="WG5" s="12">
        <f t="shared" si="11"/>
        <v>0</v>
      </c>
      <c r="WH5" s="12">
        <f t="shared" si="12"/>
        <v>1</v>
      </c>
      <c r="WI5" s="31">
        <f t="shared" si="13"/>
        <v>4</v>
      </c>
      <c r="WK5" s="444" t="str">
        <f t="shared" si="14"/>
        <v>NC-HR-ESS-BBY-BRN-PHA-F</v>
      </c>
      <c r="WL5" s="444"/>
      <c r="WM5" s="444"/>
      <c r="WN5" s="12"/>
      <c r="WO5" s="380" t="s">
        <v>2618</v>
      </c>
      <c r="WP5" s="144">
        <f>COUNTIFS($WD$2:$WD$72,"=1",$WA$2:$WA$72,"=1")</f>
        <v>6</v>
      </c>
      <c r="WQ5" s="144">
        <f>COUNTIFS($WD$2:$WD$72,"=1",$WB$2:$WB$72,"=1")</f>
        <v>13</v>
      </c>
      <c r="WR5" s="144">
        <f>COUNTIFS($WD$2:$WD$72,"=1",$WC$2:$WC$72,"=1")</f>
        <v>0</v>
      </c>
      <c r="WS5" s="384"/>
      <c r="WT5" s="144">
        <f>COUNTIFS($WD$2:$WD$72,"=1",$WF$2:$WF$72,"=1")</f>
        <v>10</v>
      </c>
      <c r="WU5" s="144">
        <f>COUNTIFS($WD$2:$WD$72,"=1",$WG$2:$WG$72,"=1")</f>
        <v>3</v>
      </c>
      <c r="WV5" s="144">
        <f>COUNTIFS($WD$2:$WD$72,"=1",$WH$2:$WH$72,"=1")</f>
        <v>3</v>
      </c>
      <c r="WW5" s="144">
        <f>COUNTIFS($WD$2:$WD$72,"=1",$WE$2:$WE$72,"=1")</f>
        <v>11</v>
      </c>
      <c r="WX5" s="205">
        <f>COUNTIF($WD$2:$WD$72,"=1")</f>
        <v>16</v>
      </c>
    </row>
    <row r="6" spans="1:622" x14ac:dyDescent="0.25">
      <c r="A6" s="2">
        <v>9250</v>
      </c>
      <c r="B6" s="2" t="s">
        <v>4297</v>
      </c>
      <c r="C6" s="2" t="s">
        <v>4205</v>
      </c>
      <c r="D6" s="3">
        <v>45128</v>
      </c>
      <c r="E6" s="2" t="s">
        <v>9</v>
      </c>
      <c r="F6" s="2">
        <v>1</v>
      </c>
      <c r="G6" s="2" t="s">
        <v>9</v>
      </c>
      <c r="H6" s="2">
        <v>1</v>
      </c>
      <c r="I6" s="2" t="s">
        <v>11</v>
      </c>
      <c r="J6" s="2">
        <v>0</v>
      </c>
      <c r="K6" s="2" t="s">
        <v>9</v>
      </c>
      <c r="L6" s="2">
        <v>1</v>
      </c>
      <c r="M6" s="2" t="s">
        <v>10</v>
      </c>
      <c r="N6" s="2">
        <v>0</v>
      </c>
      <c r="O6" s="2" t="s">
        <v>10</v>
      </c>
      <c r="P6" s="2">
        <v>0</v>
      </c>
      <c r="Q6" s="2" t="s">
        <v>11</v>
      </c>
      <c r="R6" s="2">
        <v>0</v>
      </c>
      <c r="S6" s="2" t="s">
        <v>9</v>
      </c>
      <c r="T6" s="2">
        <v>2</v>
      </c>
      <c r="U6" s="2" t="s">
        <v>9</v>
      </c>
      <c r="V6" s="2">
        <v>2</v>
      </c>
      <c r="W6" s="2" t="s">
        <v>9</v>
      </c>
      <c r="X6" s="2">
        <v>2</v>
      </c>
      <c r="Y6" s="2" t="s">
        <v>12</v>
      </c>
      <c r="Z6" s="2" t="s">
        <v>15</v>
      </c>
      <c r="AA6" s="2" t="s">
        <v>15</v>
      </c>
      <c r="AB6" s="2" t="s">
        <v>15</v>
      </c>
      <c r="AC6" s="2" t="s">
        <v>15</v>
      </c>
      <c r="AD6" s="2" t="s">
        <v>1666</v>
      </c>
      <c r="AE6" s="2" t="s">
        <v>15</v>
      </c>
      <c r="AF6" s="2">
        <v>0</v>
      </c>
      <c r="AG6" s="2" t="s">
        <v>234</v>
      </c>
      <c r="AH6" s="2" t="s">
        <v>17</v>
      </c>
      <c r="AI6" s="4">
        <v>0.1</v>
      </c>
      <c r="AJ6" s="2" t="s">
        <v>17</v>
      </c>
      <c r="AK6" s="2" t="s">
        <v>9</v>
      </c>
      <c r="AL6" s="2" t="s">
        <v>17</v>
      </c>
      <c r="AM6" s="2" t="s">
        <v>17</v>
      </c>
      <c r="AN6" s="2" t="s">
        <v>17</v>
      </c>
      <c r="AO6" s="2" t="s">
        <v>9</v>
      </c>
      <c r="AP6" s="2" t="s">
        <v>17</v>
      </c>
      <c r="AQ6" s="2" t="s">
        <v>17</v>
      </c>
      <c r="AR6" s="2" t="s">
        <v>17</v>
      </c>
      <c r="AS6" s="2" t="s">
        <v>17</v>
      </c>
      <c r="AT6" s="2">
        <v>5</v>
      </c>
      <c r="AU6" s="5">
        <v>250000</v>
      </c>
      <c r="AV6" s="2" t="s">
        <v>85</v>
      </c>
      <c r="AW6" s="2">
        <v>1</v>
      </c>
      <c r="AX6" s="2">
        <v>17</v>
      </c>
      <c r="AY6" s="2">
        <v>0</v>
      </c>
      <c r="AZ6" s="2">
        <v>17</v>
      </c>
      <c r="BA6" s="2">
        <v>0</v>
      </c>
      <c r="BB6" s="2">
        <v>1</v>
      </c>
      <c r="BC6" s="2">
        <v>2</v>
      </c>
      <c r="BD6" s="2">
        <v>5</v>
      </c>
      <c r="BE6" s="2">
        <v>0</v>
      </c>
      <c r="BF6" s="2">
        <v>1</v>
      </c>
      <c r="BG6" s="2">
        <v>0</v>
      </c>
      <c r="BH6" s="2">
        <v>0</v>
      </c>
      <c r="BI6" s="2">
        <v>13</v>
      </c>
      <c r="BJ6" s="2">
        <v>1</v>
      </c>
      <c r="BK6" s="2">
        <v>0</v>
      </c>
      <c r="BL6" s="2">
        <v>3</v>
      </c>
      <c r="BM6" s="2">
        <v>1</v>
      </c>
      <c r="BN6" s="2">
        <v>10</v>
      </c>
      <c r="BO6" s="2">
        <v>10</v>
      </c>
      <c r="BP6" s="2">
        <v>117.76</v>
      </c>
      <c r="BQ6" s="5">
        <v>7500000</v>
      </c>
      <c r="BR6" s="2">
        <v>1</v>
      </c>
      <c r="BS6" s="4">
        <v>0.06</v>
      </c>
      <c r="BT6" s="2" t="s">
        <v>9</v>
      </c>
      <c r="BU6" s="2" t="s">
        <v>17</v>
      </c>
      <c r="BV6" s="6">
        <v>25637.81</v>
      </c>
      <c r="BW6" s="2" t="s">
        <v>18</v>
      </c>
      <c r="BX6" s="2" t="s">
        <v>17</v>
      </c>
      <c r="BY6" s="2" t="s">
        <v>17</v>
      </c>
      <c r="BZ6" s="2" t="s">
        <v>17</v>
      </c>
      <c r="CA6" s="2" t="s">
        <v>17</v>
      </c>
      <c r="CB6" s="2" t="s">
        <v>17</v>
      </c>
      <c r="CC6" s="2" t="s">
        <v>17</v>
      </c>
      <c r="CE6" s="2" t="s">
        <v>4298</v>
      </c>
      <c r="CF6" s="2" t="s">
        <v>17</v>
      </c>
      <c r="CG6" s="2" t="s">
        <v>17</v>
      </c>
      <c r="DA6" s="2" t="s">
        <v>4299</v>
      </c>
      <c r="DD6" s="2" t="s">
        <v>9</v>
      </c>
      <c r="DE6" s="2" t="s">
        <v>3534</v>
      </c>
      <c r="DF6" s="2" t="s">
        <v>4299</v>
      </c>
      <c r="DG6" s="2" t="s">
        <v>3536</v>
      </c>
      <c r="DH6" s="2" t="s">
        <v>2661</v>
      </c>
      <c r="DI6" s="2">
        <v>271</v>
      </c>
      <c r="DJ6" s="2" t="s">
        <v>4300</v>
      </c>
      <c r="DK6" s="2">
        <v>2022</v>
      </c>
      <c r="DL6" s="2" t="s">
        <v>4209</v>
      </c>
      <c r="DM6" s="2" t="s">
        <v>4210</v>
      </c>
      <c r="DN6" s="2" t="s">
        <v>33</v>
      </c>
      <c r="DO6" s="2" t="s">
        <v>1179</v>
      </c>
      <c r="DP6" s="2" t="s">
        <v>483</v>
      </c>
      <c r="DQ6" s="2" t="s">
        <v>1180</v>
      </c>
      <c r="DR6" s="2" t="s">
        <v>1181</v>
      </c>
      <c r="DS6" s="2">
        <v>1</v>
      </c>
      <c r="DT6" s="2" t="s">
        <v>1182</v>
      </c>
      <c r="DU6" s="2" t="s">
        <v>299</v>
      </c>
      <c r="DV6" s="2" t="s">
        <v>39</v>
      </c>
      <c r="DW6" s="2">
        <v>33176</v>
      </c>
      <c r="DX6" s="2" t="s">
        <v>3541</v>
      </c>
      <c r="DZ6" s="2" t="s">
        <v>1184</v>
      </c>
      <c r="EA6" s="2" t="s">
        <v>3540</v>
      </c>
      <c r="EB6" s="2" t="s">
        <v>3542</v>
      </c>
      <c r="EC6" s="2" t="s">
        <v>330</v>
      </c>
      <c r="ED6" s="2" t="s">
        <v>44</v>
      </c>
      <c r="EE6" s="2">
        <v>179</v>
      </c>
      <c r="EF6" s="2" t="s">
        <v>4301</v>
      </c>
      <c r="EG6" s="2">
        <v>16</v>
      </c>
      <c r="EH6" s="2" t="s">
        <v>46</v>
      </c>
      <c r="EI6" s="2" t="s">
        <v>47</v>
      </c>
      <c r="EJ6" s="2" t="s">
        <v>3543</v>
      </c>
      <c r="EK6" s="2" t="s">
        <v>330</v>
      </c>
      <c r="EL6" s="2" t="s">
        <v>44</v>
      </c>
      <c r="EM6" s="2">
        <v>176</v>
      </c>
      <c r="EN6" s="2" t="s">
        <v>4301</v>
      </c>
      <c r="EO6" s="2">
        <v>7</v>
      </c>
      <c r="EP6" s="2" t="s">
        <v>46</v>
      </c>
      <c r="EQ6" s="2" t="s">
        <v>47</v>
      </c>
      <c r="ER6" s="2" t="s">
        <v>1300</v>
      </c>
      <c r="ET6" s="2" t="s">
        <v>3544</v>
      </c>
      <c r="EU6" s="2" t="s">
        <v>4298</v>
      </c>
      <c r="EV6" s="2" t="s">
        <v>3545</v>
      </c>
      <c r="EW6" s="2" t="s">
        <v>299</v>
      </c>
      <c r="EX6" s="2" t="s">
        <v>39</v>
      </c>
      <c r="EY6" s="2">
        <v>33131</v>
      </c>
      <c r="EZ6" s="2" t="s">
        <v>3546</v>
      </c>
      <c r="FB6" s="2" t="s">
        <v>3547</v>
      </c>
      <c r="FN6" s="2" t="s">
        <v>4302</v>
      </c>
      <c r="FO6" s="2" t="s">
        <v>63</v>
      </c>
      <c r="FP6" s="2" t="s">
        <v>64</v>
      </c>
      <c r="FQ6" s="2" t="s">
        <v>9</v>
      </c>
      <c r="FR6" s="2" t="s">
        <v>17</v>
      </c>
      <c r="FS6" s="2" t="s">
        <v>17</v>
      </c>
      <c r="FT6" s="2" t="s">
        <v>9</v>
      </c>
      <c r="FX6" s="2">
        <v>0</v>
      </c>
      <c r="FY6" s="2">
        <v>0</v>
      </c>
      <c r="FZ6" s="4">
        <v>0</v>
      </c>
      <c r="GA6" s="4">
        <v>0</v>
      </c>
      <c r="GB6" s="2" t="s">
        <v>65</v>
      </c>
      <c r="GC6" s="2" t="s">
        <v>66</v>
      </c>
      <c r="GD6" s="2" t="s">
        <v>67</v>
      </c>
      <c r="GE6" s="2" t="s">
        <v>2684</v>
      </c>
      <c r="GK6" s="2">
        <v>270</v>
      </c>
      <c r="GQ6" s="2">
        <v>270</v>
      </c>
      <c r="GR6" s="2" t="s">
        <v>3332</v>
      </c>
      <c r="GS6" s="2" t="s">
        <v>2686</v>
      </c>
      <c r="GT6" s="2" t="s">
        <v>4303</v>
      </c>
      <c r="GU6" s="2" t="s">
        <v>3555</v>
      </c>
      <c r="GV6" s="2" t="s">
        <v>17</v>
      </c>
      <c r="GW6" s="2">
        <v>25.604866000000001</v>
      </c>
      <c r="GX6" s="2">
        <v>-80.353407000000004</v>
      </c>
      <c r="GZ6" s="2" t="s">
        <v>17</v>
      </c>
      <c r="HA6" s="2">
        <v>0</v>
      </c>
      <c r="HC6" s="2">
        <v>0</v>
      </c>
      <c r="HR6" s="2">
        <v>25.603545</v>
      </c>
      <c r="HS6" s="2">
        <v>-80.353296</v>
      </c>
      <c r="HT6" s="2">
        <v>0.1</v>
      </c>
      <c r="HU6" s="2">
        <v>6</v>
      </c>
      <c r="HZ6" s="2" t="s">
        <v>112</v>
      </c>
      <c r="IA6" s="2">
        <v>0.55000000000000004</v>
      </c>
      <c r="IB6" s="2">
        <v>3</v>
      </c>
      <c r="IF6" s="2" t="s">
        <v>115</v>
      </c>
      <c r="IG6" s="2">
        <v>0.55000000000000004</v>
      </c>
      <c r="IH6" s="2">
        <v>3</v>
      </c>
      <c r="II6" s="2" t="s">
        <v>4304</v>
      </c>
      <c r="IJ6" s="2">
        <v>0.21</v>
      </c>
      <c r="IK6" s="2">
        <v>4</v>
      </c>
      <c r="IL6" s="2" t="s">
        <v>9</v>
      </c>
      <c r="IO6" s="2" t="s">
        <v>17</v>
      </c>
      <c r="IP6" s="2" t="s">
        <v>79</v>
      </c>
      <c r="IQ6" s="2" t="s">
        <v>79</v>
      </c>
      <c r="IR6" s="2">
        <v>6</v>
      </c>
      <c r="IS6" s="2">
        <v>10</v>
      </c>
      <c r="IT6" s="2">
        <v>0</v>
      </c>
      <c r="IU6" s="2">
        <v>16</v>
      </c>
      <c r="IV6" s="2" t="s">
        <v>9</v>
      </c>
      <c r="IW6" s="2" t="s">
        <v>9</v>
      </c>
      <c r="IX6" s="2" t="s">
        <v>9</v>
      </c>
      <c r="IY6" s="2">
        <v>16</v>
      </c>
      <c r="IZ6" s="2">
        <v>270</v>
      </c>
      <c r="JB6" s="2" t="s">
        <v>173</v>
      </c>
      <c r="JC6" s="7">
        <v>0.1</v>
      </c>
      <c r="JG6" s="7">
        <v>0.7</v>
      </c>
      <c r="JH6" s="7">
        <v>0.2</v>
      </c>
      <c r="JI6" s="2">
        <v>216</v>
      </c>
      <c r="JJ6" s="7">
        <v>0.8</v>
      </c>
      <c r="JK6" s="2">
        <v>270</v>
      </c>
      <c r="JL6" s="7">
        <v>1</v>
      </c>
      <c r="JT6" s="2">
        <v>0</v>
      </c>
      <c r="JU6" s="2">
        <v>0</v>
      </c>
      <c r="JV6" s="2">
        <v>0</v>
      </c>
      <c r="JW6" s="4">
        <v>0</v>
      </c>
      <c r="JX6" s="2">
        <v>0</v>
      </c>
      <c r="JY6" s="4">
        <v>0</v>
      </c>
      <c r="JZ6" s="7">
        <v>0.1</v>
      </c>
      <c r="KD6" s="7">
        <v>0.7</v>
      </c>
      <c r="KE6" s="7">
        <v>0.8</v>
      </c>
      <c r="KF6" s="2">
        <v>270</v>
      </c>
      <c r="KH6" s="2">
        <v>168</v>
      </c>
      <c r="KK6" s="2">
        <v>90</v>
      </c>
      <c r="KL6" s="2">
        <v>12</v>
      </c>
      <c r="KQ6" s="2" t="s">
        <v>83</v>
      </c>
      <c r="KR6" s="2" t="s">
        <v>73</v>
      </c>
      <c r="KT6" s="2">
        <v>1</v>
      </c>
      <c r="KU6" s="2" t="s">
        <v>84</v>
      </c>
      <c r="KW6" s="2" t="s">
        <v>86</v>
      </c>
      <c r="KX6" s="2" t="s">
        <v>17</v>
      </c>
      <c r="KY6" s="2" t="s">
        <v>17</v>
      </c>
      <c r="KZ6" s="2" t="s">
        <v>17</v>
      </c>
      <c r="LA6" s="2" t="s">
        <v>17</v>
      </c>
      <c r="LB6" s="2" t="s">
        <v>17</v>
      </c>
      <c r="LC6" s="2" t="s">
        <v>17</v>
      </c>
      <c r="LD6" s="2" t="s">
        <v>17</v>
      </c>
      <c r="LE6" s="2" t="s">
        <v>17</v>
      </c>
      <c r="LF6" s="2" t="s">
        <v>17</v>
      </c>
      <c r="LG6" s="2" t="s">
        <v>17</v>
      </c>
      <c r="LH6" s="2" t="s">
        <v>17</v>
      </c>
      <c r="LI6" s="2" t="s">
        <v>17</v>
      </c>
      <c r="LJ6" s="2" t="s">
        <v>87</v>
      </c>
      <c r="LK6" s="2" t="s">
        <v>17</v>
      </c>
      <c r="LL6" s="2" t="s">
        <v>17</v>
      </c>
      <c r="LM6" s="2">
        <v>0</v>
      </c>
      <c r="LN6" s="2" t="s">
        <v>17</v>
      </c>
      <c r="LO6" s="2" t="s">
        <v>9</v>
      </c>
      <c r="LP6" s="2" t="s">
        <v>9</v>
      </c>
      <c r="LQ6" s="2" t="s">
        <v>17</v>
      </c>
      <c r="LR6" s="2" t="s">
        <v>9</v>
      </c>
      <c r="LS6" s="2" t="s">
        <v>17</v>
      </c>
      <c r="LT6" s="2" t="s">
        <v>17</v>
      </c>
      <c r="LU6" s="2" t="s">
        <v>17</v>
      </c>
      <c r="LV6" s="2" t="s">
        <v>17</v>
      </c>
      <c r="LW6" s="2" t="s">
        <v>17</v>
      </c>
      <c r="LX6" s="2" t="s">
        <v>17</v>
      </c>
      <c r="LY6" s="5">
        <v>6500000</v>
      </c>
      <c r="LZ6" s="5">
        <v>0</v>
      </c>
      <c r="MA6" s="5">
        <v>11000000</v>
      </c>
      <c r="MB6" s="5">
        <v>6750000</v>
      </c>
      <c r="MC6" s="5">
        <v>6750000</v>
      </c>
      <c r="MD6" s="5">
        <v>750000</v>
      </c>
      <c r="ME6" s="5">
        <v>750000</v>
      </c>
      <c r="MF6" s="5">
        <v>750000</v>
      </c>
      <c r="MG6" s="5">
        <v>10000000</v>
      </c>
      <c r="MH6" s="5">
        <v>0</v>
      </c>
      <c r="MI6" s="5">
        <v>10000000</v>
      </c>
      <c r="MJ6" s="5">
        <v>0</v>
      </c>
      <c r="MK6" s="5">
        <v>2886100</v>
      </c>
      <c r="ML6" s="5">
        <v>0</v>
      </c>
      <c r="MM6" s="5">
        <v>0</v>
      </c>
      <c r="MN6" s="2">
        <v>0</v>
      </c>
      <c r="MO6" s="5">
        <v>0</v>
      </c>
      <c r="MP6" s="5">
        <v>0</v>
      </c>
      <c r="MQ6" s="2">
        <v>0</v>
      </c>
      <c r="MR6" s="2">
        <v>0</v>
      </c>
      <c r="MS6" s="2">
        <v>0</v>
      </c>
      <c r="MT6" s="5">
        <v>2950000</v>
      </c>
      <c r="MU6" s="5">
        <v>0</v>
      </c>
      <c r="MV6" s="5">
        <v>4600000</v>
      </c>
      <c r="MW6" s="5">
        <v>0</v>
      </c>
      <c r="MY6" s="5">
        <v>0</v>
      </c>
      <c r="MZ6" s="5">
        <v>0</v>
      </c>
      <c r="NA6" s="5">
        <v>0</v>
      </c>
      <c r="NB6" s="5">
        <v>2500000</v>
      </c>
      <c r="NC6" s="5">
        <v>0</v>
      </c>
      <c r="ND6" s="5">
        <v>5000000</v>
      </c>
      <c r="NE6" s="5">
        <v>0</v>
      </c>
      <c r="NF6" s="5">
        <v>0</v>
      </c>
      <c r="NG6" s="5">
        <v>0</v>
      </c>
      <c r="NH6" s="5"/>
      <c r="NI6" s="5">
        <v>0</v>
      </c>
      <c r="NJ6" s="5">
        <v>2915000</v>
      </c>
      <c r="NK6" s="2" t="s">
        <v>17</v>
      </c>
      <c r="NL6" s="2">
        <v>2023</v>
      </c>
      <c r="NM6" s="2" t="s">
        <v>17</v>
      </c>
      <c r="NO6" s="2" t="s">
        <v>17</v>
      </c>
      <c r="NR6" s="2" t="s">
        <v>17</v>
      </c>
      <c r="NT6" s="2" t="s">
        <v>9</v>
      </c>
      <c r="NU6" s="2" t="s">
        <v>450</v>
      </c>
      <c r="NV6" s="2">
        <v>83.09</v>
      </c>
      <c r="NW6" s="2" t="s">
        <v>3342</v>
      </c>
      <c r="NX6" s="2" t="s">
        <v>118</v>
      </c>
      <c r="NY6" s="2" t="s">
        <v>118</v>
      </c>
      <c r="NZ6" s="2" t="s">
        <v>118</v>
      </c>
      <c r="OA6" s="2" t="s">
        <v>17</v>
      </c>
      <c r="OB6" s="2" t="s">
        <v>119</v>
      </c>
      <c r="OF6" s="2" t="s">
        <v>17</v>
      </c>
      <c r="OG6" s="2" t="s">
        <v>17</v>
      </c>
      <c r="OH6" s="2" t="s">
        <v>85</v>
      </c>
      <c r="OI6" s="6">
        <v>0</v>
      </c>
      <c r="OJ6" s="6">
        <v>202500</v>
      </c>
      <c r="OK6" s="2" t="s">
        <v>17</v>
      </c>
      <c r="OL6" s="2" t="s">
        <v>17</v>
      </c>
      <c r="OM6" s="6">
        <v>0</v>
      </c>
      <c r="ON6" s="6">
        <v>0</v>
      </c>
      <c r="OO6" s="6">
        <v>0</v>
      </c>
      <c r="OP6" s="6">
        <v>0</v>
      </c>
      <c r="OQ6" s="4">
        <v>0</v>
      </c>
      <c r="OR6" s="6">
        <v>0</v>
      </c>
      <c r="OS6" s="4">
        <v>0</v>
      </c>
      <c r="OT6" s="2" t="s">
        <v>17</v>
      </c>
      <c r="OU6" s="2" t="s">
        <v>17</v>
      </c>
      <c r="OW6" s="2" t="s">
        <v>17</v>
      </c>
      <c r="OX6" s="5">
        <v>5537768</v>
      </c>
      <c r="OY6" s="6">
        <v>25637.81</v>
      </c>
      <c r="OZ6" s="8">
        <v>50000</v>
      </c>
      <c r="PA6" s="8">
        <v>50000</v>
      </c>
      <c r="PB6" s="8">
        <v>300000</v>
      </c>
      <c r="PC6" s="8">
        <v>300000</v>
      </c>
      <c r="PD6" s="8">
        <v>42500000</v>
      </c>
      <c r="PE6" s="8">
        <v>150000</v>
      </c>
      <c r="PF6" s="8">
        <v>42650000</v>
      </c>
      <c r="PL6" s="8">
        <v>750000</v>
      </c>
      <c r="PN6" s="8">
        <v>750000</v>
      </c>
      <c r="PO6" s="8">
        <v>43250000</v>
      </c>
      <c r="PP6" s="8">
        <v>500000</v>
      </c>
      <c r="PQ6" s="8">
        <v>43750000</v>
      </c>
      <c r="PR6" s="8">
        <v>6000000</v>
      </c>
      <c r="PT6" s="8">
        <v>6000000</v>
      </c>
      <c r="PU6" s="6">
        <v>6125000</v>
      </c>
      <c r="PV6" s="8">
        <v>49250000</v>
      </c>
      <c r="PW6" s="8">
        <v>500000</v>
      </c>
      <c r="PX6" s="8">
        <v>49750000</v>
      </c>
      <c r="PY6" s="8">
        <v>2487500</v>
      </c>
      <c r="QA6" s="8">
        <v>2487500</v>
      </c>
      <c r="QB6" s="6">
        <v>2487500</v>
      </c>
      <c r="QC6" s="8">
        <v>2115000</v>
      </c>
      <c r="QD6" s="8">
        <v>113500</v>
      </c>
      <c r="QE6" s="8">
        <v>2228500</v>
      </c>
      <c r="QF6" s="8">
        <v>850000</v>
      </c>
      <c r="QH6" s="8">
        <v>850000</v>
      </c>
      <c r="QI6" s="8">
        <v>1030000</v>
      </c>
      <c r="QJ6" s="8">
        <v>17000</v>
      </c>
      <c r="QK6" s="8">
        <v>1047000</v>
      </c>
      <c r="QM6" s="8">
        <v>614739</v>
      </c>
      <c r="QN6" s="8">
        <v>614739</v>
      </c>
      <c r="QO6" s="2">
        <v>0</v>
      </c>
      <c r="QS6" s="8">
        <v>450000</v>
      </c>
      <c r="QT6" s="8">
        <v>450000</v>
      </c>
      <c r="QU6" s="8">
        <v>3995000</v>
      </c>
      <c r="QV6" s="8">
        <v>1195239</v>
      </c>
      <c r="QW6" s="8">
        <v>5190239</v>
      </c>
      <c r="QX6" s="8">
        <v>259511</v>
      </c>
      <c r="QZ6" s="8">
        <v>259511</v>
      </c>
      <c r="RA6" s="6">
        <v>259511.95</v>
      </c>
      <c r="RB6" s="8">
        <v>2860000</v>
      </c>
      <c r="RD6" s="8">
        <v>2860000</v>
      </c>
      <c r="RE6" s="8">
        <v>1548400</v>
      </c>
      <c r="RF6" s="8">
        <v>1548400</v>
      </c>
      <c r="RH6" s="8">
        <v>587500</v>
      </c>
      <c r="RI6" s="8">
        <v>587500</v>
      </c>
      <c r="RJ6" s="8">
        <v>2860000</v>
      </c>
      <c r="RK6" s="8">
        <v>2135900</v>
      </c>
      <c r="RL6" s="8">
        <v>4995900</v>
      </c>
      <c r="RT6" s="8">
        <v>58852011</v>
      </c>
      <c r="RU6" s="8">
        <v>3831139</v>
      </c>
      <c r="RV6" s="8">
        <v>62683150</v>
      </c>
      <c r="RY6" s="2">
        <v>0</v>
      </c>
      <c r="RZ6" s="6">
        <v>0</v>
      </c>
      <c r="SA6" s="8">
        <v>11282967</v>
      </c>
      <c r="SC6" s="8">
        <v>11282967</v>
      </c>
      <c r="SD6" s="6">
        <v>11282967</v>
      </c>
      <c r="SE6" s="8">
        <v>11282967</v>
      </c>
      <c r="SF6" s="8">
        <v>11282967</v>
      </c>
      <c r="SG6" s="6">
        <v>11282967</v>
      </c>
      <c r="SH6" s="8">
        <v>945000</v>
      </c>
      <c r="SI6" s="8">
        <v>945000</v>
      </c>
      <c r="SJ6" s="6">
        <v>945000</v>
      </c>
      <c r="SK6" s="8">
        <v>3888500</v>
      </c>
      <c r="SL6" s="8">
        <v>3888500</v>
      </c>
      <c r="SM6" s="8">
        <v>70134978</v>
      </c>
      <c r="SN6" s="8">
        <v>8664639</v>
      </c>
      <c r="SO6" s="8">
        <v>78799617</v>
      </c>
      <c r="SP6" s="8">
        <v>50000000</v>
      </c>
      <c r="SQ6" s="2" t="s">
        <v>4220</v>
      </c>
      <c r="SX6" s="8">
        <v>7500000</v>
      </c>
      <c r="SY6" s="2" t="s">
        <v>96</v>
      </c>
      <c r="SZ6" s="2" t="s">
        <v>96</v>
      </c>
      <c r="TA6" s="2" t="s">
        <v>96</v>
      </c>
      <c r="TB6" s="8">
        <v>12460379</v>
      </c>
      <c r="TF6" s="8">
        <v>8839238</v>
      </c>
      <c r="TG6" s="8">
        <v>78799617</v>
      </c>
      <c r="TH6" s="2">
        <v>0</v>
      </c>
      <c r="TI6" s="8">
        <v>37000000</v>
      </c>
      <c r="TJ6" s="2" t="s">
        <v>4220</v>
      </c>
      <c r="TR6" s="8">
        <v>7500000</v>
      </c>
      <c r="TS6" s="8">
        <v>27689731</v>
      </c>
      <c r="TZ6" s="8">
        <v>6609886</v>
      </c>
      <c r="UA6" s="8">
        <v>78799617</v>
      </c>
      <c r="UB6" s="6">
        <v>44500000</v>
      </c>
      <c r="UC6" s="2">
        <v>0</v>
      </c>
      <c r="UD6" s="2">
        <v>270</v>
      </c>
      <c r="UE6" s="5">
        <v>310000</v>
      </c>
      <c r="UF6" s="6">
        <v>413333.33</v>
      </c>
      <c r="UG6" s="6">
        <v>420833.33</v>
      </c>
      <c r="UH6" s="6">
        <v>446083.33</v>
      </c>
      <c r="UI6" s="6">
        <v>120442500</v>
      </c>
      <c r="UJ6" s="6">
        <v>21679650</v>
      </c>
      <c r="UK6" s="2" t="s">
        <v>97</v>
      </c>
      <c r="UL6" s="6">
        <v>21679650</v>
      </c>
      <c r="UM6" s="6">
        <v>142122150</v>
      </c>
      <c r="UN6" s="6">
        <v>73616117</v>
      </c>
      <c r="UT6" s="6">
        <v>1447564.65</v>
      </c>
      <c r="UW6" s="6">
        <v>1447564.65</v>
      </c>
      <c r="UX6" s="6">
        <v>0</v>
      </c>
      <c r="UY6" s="6">
        <v>0</v>
      </c>
      <c r="UZ6" s="2" t="s">
        <v>3387</v>
      </c>
      <c r="VA6" s="2" t="s">
        <v>3288</v>
      </c>
      <c r="VB6" s="2" t="s">
        <v>17</v>
      </c>
      <c r="VI6" s="2" t="s">
        <v>3560</v>
      </c>
      <c r="VJ6" s="2" t="s">
        <v>98</v>
      </c>
      <c r="VK6" s="2" t="s">
        <v>685</v>
      </c>
      <c r="VL6" s="23">
        <f t="shared" si="0"/>
        <v>384</v>
      </c>
      <c r="VM6" s="17">
        <f t="shared" si="1"/>
        <v>1.4222222222222223</v>
      </c>
      <c r="VN6" s="17" t="str">
        <f t="shared" si="2"/>
        <v>NC-HR-F</v>
      </c>
      <c r="VO6" s="17" t="str">
        <f t="shared" si="15"/>
        <v>NC-HR-F-ESS</v>
      </c>
      <c r="VP6" s="57">
        <v>1</v>
      </c>
      <c r="VQ6" s="17">
        <f t="shared" si="3"/>
        <v>1.1100000000000001</v>
      </c>
      <c r="VR6" s="14">
        <f t="shared" si="4"/>
        <v>1</v>
      </c>
      <c r="VS6" s="14">
        <f t="shared" si="5"/>
        <v>1</v>
      </c>
      <c r="VT6" s="12">
        <f t="shared" si="6"/>
        <v>0.83519999999999994</v>
      </c>
      <c r="VU6" s="29">
        <f t="shared" si="7"/>
        <v>6257736</v>
      </c>
      <c r="VV6" s="29">
        <f t="shared" si="8"/>
        <v>28971</v>
      </c>
      <c r="VW6" s="351" t="str">
        <f t="shared" si="16"/>
        <v>A</v>
      </c>
      <c r="VX6" s="12" t="str">
        <f t="shared" si="9"/>
        <v>NC-HR-ESS</v>
      </c>
      <c r="VY6" s="23">
        <f t="shared" si="17"/>
        <v>1</v>
      </c>
      <c r="WA6" s="12">
        <f t="shared" si="18"/>
        <v>0</v>
      </c>
      <c r="WB6" s="12">
        <f t="shared" si="19"/>
        <v>1</v>
      </c>
      <c r="WC6" s="12">
        <f t="shared" si="19"/>
        <v>0</v>
      </c>
      <c r="WD6" s="12">
        <f t="shared" si="19"/>
        <v>0</v>
      </c>
      <c r="WE6" s="12">
        <f t="shared" si="20"/>
        <v>1</v>
      </c>
      <c r="WF6" s="12">
        <f t="shared" si="10"/>
        <v>0</v>
      </c>
      <c r="WG6" s="12">
        <f t="shared" si="11"/>
        <v>0</v>
      </c>
      <c r="WH6" s="12">
        <f t="shared" si="12"/>
        <v>1</v>
      </c>
      <c r="WI6" s="31">
        <f t="shared" si="13"/>
        <v>3</v>
      </c>
      <c r="WK6" s="444" t="str">
        <f t="shared" si="14"/>
        <v>NC-HR-ESS-BBY-BRN-NPH-F</v>
      </c>
      <c r="WL6" s="444"/>
      <c r="WM6" s="444"/>
      <c r="WN6" s="12"/>
      <c r="WO6" s="380" t="s">
        <v>5415</v>
      </c>
      <c r="WP6" s="144">
        <f>COUNTIFS($WF$2:$WF$72,"=1",$WA$2:$WA$72,"=1")</f>
        <v>8</v>
      </c>
      <c r="WQ6" s="144">
        <f>COUNTIFS($WF$2:$WF$72,"=1",$WB$2:$WB$72,"=1")</f>
        <v>24</v>
      </c>
      <c r="WR6" s="144">
        <f>COUNTIFS($WF$2:$WF$72,"=1",$WC$2:$WC$72,"=1")</f>
        <v>0</v>
      </c>
      <c r="WS6" s="144">
        <f>COUNTIFS($WF$2:$WF$72,"=1",$WD$2:$WD$72,"=1")</f>
        <v>10</v>
      </c>
      <c r="WT6" s="384"/>
      <c r="WU6" s="144">
        <f>COUNTIFS($WF$2:$WF$72,"=1",$WG$2:$WG$72,"=1")</f>
        <v>1</v>
      </c>
      <c r="WV6" s="144">
        <f>COUNTIFS($WF$2:$WF$72,"=1",$WH$2:$WH$72,"=1")</f>
        <v>1</v>
      </c>
      <c r="WW6" s="144">
        <f>COUNTIFS($WF$2:$WF$72,"=1",$WE$2:$WE$72,"=1")</f>
        <v>16</v>
      </c>
      <c r="WX6" s="205">
        <f>COUNTIF($WF$2:$WF$72,"=1")</f>
        <v>26</v>
      </c>
    </row>
    <row r="7" spans="1:622" x14ac:dyDescent="0.25">
      <c r="A7" s="2">
        <v>9279</v>
      </c>
      <c r="B7" s="2" t="s">
        <v>4305</v>
      </c>
      <c r="C7" s="2" t="s">
        <v>4205</v>
      </c>
      <c r="D7" s="3">
        <v>45128</v>
      </c>
      <c r="E7" s="2" t="s">
        <v>9</v>
      </c>
      <c r="F7" s="2">
        <v>1</v>
      </c>
      <c r="G7" s="2" t="s">
        <v>9</v>
      </c>
      <c r="H7" s="2">
        <v>1</v>
      </c>
      <c r="I7" s="2" t="s">
        <v>11</v>
      </c>
      <c r="J7" s="2">
        <v>0</v>
      </c>
      <c r="K7" s="2" t="s">
        <v>9</v>
      </c>
      <c r="L7" s="2">
        <v>1</v>
      </c>
      <c r="M7" s="2" t="s">
        <v>10</v>
      </c>
      <c r="N7" s="2">
        <v>0</v>
      </c>
      <c r="O7" s="2" t="s">
        <v>10</v>
      </c>
      <c r="P7" s="2">
        <v>0</v>
      </c>
      <c r="Q7" s="2" t="s">
        <v>11</v>
      </c>
      <c r="R7" s="2">
        <v>0</v>
      </c>
      <c r="S7" s="2" t="s">
        <v>9</v>
      </c>
      <c r="T7" s="2">
        <v>2</v>
      </c>
      <c r="U7" s="2" t="s">
        <v>9</v>
      </c>
      <c r="V7" s="2">
        <v>2</v>
      </c>
      <c r="W7" s="2" t="s">
        <v>9</v>
      </c>
      <c r="X7" s="2">
        <v>2</v>
      </c>
      <c r="Y7" s="2" t="s">
        <v>12</v>
      </c>
      <c r="Z7" s="2" t="s">
        <v>15</v>
      </c>
      <c r="AA7" s="2" t="s">
        <v>15</v>
      </c>
      <c r="AB7" s="2" t="s">
        <v>15</v>
      </c>
      <c r="AC7" s="2" t="s">
        <v>15</v>
      </c>
      <c r="AD7" s="2" t="s">
        <v>15</v>
      </c>
      <c r="AE7" s="2" t="s">
        <v>2008</v>
      </c>
      <c r="AF7" s="2">
        <v>0</v>
      </c>
      <c r="AG7" s="2" t="s">
        <v>234</v>
      </c>
      <c r="AH7" s="2" t="s">
        <v>17</v>
      </c>
      <c r="AI7" s="4">
        <v>0.20213</v>
      </c>
      <c r="AJ7" s="2" t="s">
        <v>17</v>
      </c>
      <c r="AK7" s="2" t="s">
        <v>9</v>
      </c>
      <c r="AL7" s="2" t="s">
        <v>17</v>
      </c>
      <c r="AM7" s="2" t="s">
        <v>17</v>
      </c>
      <c r="AN7" s="2" t="s">
        <v>17</v>
      </c>
      <c r="AO7" s="2" t="s">
        <v>9</v>
      </c>
      <c r="AP7" s="2" t="s">
        <v>17</v>
      </c>
      <c r="AQ7" s="2" t="s">
        <v>17</v>
      </c>
      <c r="AR7" s="2" t="s">
        <v>17</v>
      </c>
      <c r="AS7" s="2" t="s">
        <v>17</v>
      </c>
      <c r="AT7" s="2">
        <v>5</v>
      </c>
      <c r="AU7" s="5">
        <v>250000</v>
      </c>
      <c r="AV7" s="2" t="s">
        <v>85</v>
      </c>
      <c r="AW7" s="2">
        <v>0</v>
      </c>
      <c r="AX7" s="2">
        <v>3</v>
      </c>
      <c r="AY7" s="2">
        <v>0</v>
      </c>
      <c r="AZ7" s="2">
        <v>17</v>
      </c>
      <c r="BA7" s="2">
        <v>0</v>
      </c>
      <c r="BB7" s="2">
        <v>1</v>
      </c>
      <c r="BC7" s="2">
        <v>1</v>
      </c>
      <c r="BD7" s="2">
        <v>5</v>
      </c>
      <c r="BE7" s="2">
        <v>1</v>
      </c>
      <c r="BF7" s="2">
        <v>1</v>
      </c>
      <c r="BG7" s="2">
        <v>0</v>
      </c>
      <c r="BH7" s="2">
        <v>0</v>
      </c>
      <c r="BI7" s="2">
        <v>13</v>
      </c>
      <c r="BJ7" s="2">
        <v>1</v>
      </c>
      <c r="BK7" s="2">
        <v>0</v>
      </c>
      <c r="BL7" s="2">
        <v>2</v>
      </c>
      <c r="BM7" s="2">
        <v>1</v>
      </c>
      <c r="BN7" s="2">
        <v>10</v>
      </c>
      <c r="BO7" s="2">
        <v>10</v>
      </c>
      <c r="BP7" s="2">
        <v>92.25</v>
      </c>
      <c r="BQ7" s="5">
        <v>3750000</v>
      </c>
      <c r="BR7" s="2">
        <v>1</v>
      </c>
      <c r="BS7" s="4">
        <v>0.06</v>
      </c>
      <c r="BT7" s="2" t="s">
        <v>9</v>
      </c>
      <c r="BU7" s="2" t="s">
        <v>17</v>
      </c>
      <c r="BV7" s="6">
        <v>26183.3</v>
      </c>
      <c r="BW7" s="2" t="s">
        <v>126</v>
      </c>
      <c r="BX7" s="2" t="s">
        <v>17</v>
      </c>
      <c r="BY7" s="2" t="s">
        <v>17</v>
      </c>
      <c r="BZ7" s="2" t="s">
        <v>17</v>
      </c>
      <c r="CA7" s="2" t="s">
        <v>17</v>
      </c>
      <c r="CB7" s="2" t="s">
        <v>17</v>
      </c>
      <c r="CC7" s="2" t="s">
        <v>17</v>
      </c>
      <c r="CD7" s="2" t="s">
        <v>9</v>
      </c>
      <c r="CE7" s="2" t="s">
        <v>3783</v>
      </c>
      <c r="CF7" s="2" t="s">
        <v>17</v>
      </c>
      <c r="CG7" s="2" t="s">
        <v>17</v>
      </c>
      <c r="DA7" s="2" t="s">
        <v>3181</v>
      </c>
      <c r="DD7" s="2" t="s">
        <v>9</v>
      </c>
      <c r="DE7" s="2" t="s">
        <v>3182</v>
      </c>
      <c r="DF7" s="2" t="s">
        <v>3181</v>
      </c>
      <c r="DG7" s="2" t="s">
        <v>3183</v>
      </c>
      <c r="DH7" s="2" t="s">
        <v>330</v>
      </c>
      <c r="DI7" s="2">
        <v>108</v>
      </c>
      <c r="DJ7" s="2" t="s">
        <v>849</v>
      </c>
      <c r="DK7" s="2">
        <v>2020</v>
      </c>
      <c r="DL7" s="2" t="s">
        <v>4209</v>
      </c>
      <c r="DM7" s="2" t="s">
        <v>4210</v>
      </c>
      <c r="DN7" s="2" t="s">
        <v>33</v>
      </c>
      <c r="DO7" s="2" t="s">
        <v>3189</v>
      </c>
      <c r="DQ7" s="2" t="s">
        <v>3190</v>
      </c>
      <c r="DR7" s="2" t="s">
        <v>4306</v>
      </c>
      <c r="DS7" s="2">
        <v>1</v>
      </c>
      <c r="DT7" s="2" t="s">
        <v>3838</v>
      </c>
      <c r="DU7" s="2" t="s">
        <v>3079</v>
      </c>
      <c r="DV7" s="2" t="s">
        <v>39</v>
      </c>
      <c r="DW7" s="2">
        <v>33020</v>
      </c>
      <c r="DX7" s="2" t="s">
        <v>3839</v>
      </c>
      <c r="DY7" s="2">
        <v>2256</v>
      </c>
      <c r="DZ7" s="2" t="s">
        <v>4307</v>
      </c>
      <c r="EA7" s="2" t="s">
        <v>3182</v>
      </c>
      <c r="EB7" s="2" t="s">
        <v>3729</v>
      </c>
      <c r="EC7" s="2" t="s">
        <v>2943</v>
      </c>
      <c r="ED7" s="2" t="s">
        <v>44</v>
      </c>
      <c r="EE7" s="2">
        <v>88</v>
      </c>
      <c r="EF7" s="2" t="s">
        <v>862</v>
      </c>
      <c r="EG7" s="2">
        <v>7</v>
      </c>
      <c r="EH7" s="2" t="s">
        <v>46</v>
      </c>
      <c r="EI7" s="2" t="s">
        <v>47</v>
      </c>
      <c r="EJ7" s="2" t="s">
        <v>3730</v>
      </c>
      <c r="EK7" s="2" t="s">
        <v>330</v>
      </c>
      <c r="EL7" s="2" t="s">
        <v>44</v>
      </c>
      <c r="EM7" s="2">
        <v>136</v>
      </c>
      <c r="EN7" s="2" t="s">
        <v>862</v>
      </c>
      <c r="EO7" s="2">
        <v>4</v>
      </c>
      <c r="EP7" s="2" t="s">
        <v>46</v>
      </c>
      <c r="EQ7" s="2" t="s">
        <v>47</v>
      </c>
      <c r="ER7" s="2" t="s">
        <v>3197</v>
      </c>
      <c r="ES7" s="2" t="s">
        <v>672</v>
      </c>
      <c r="ET7" s="2" t="s">
        <v>3198</v>
      </c>
      <c r="EU7" s="2" t="s">
        <v>4308</v>
      </c>
      <c r="EV7" s="2" t="s">
        <v>4309</v>
      </c>
      <c r="EW7" s="2" t="s">
        <v>3079</v>
      </c>
      <c r="EX7" s="2" t="s">
        <v>39</v>
      </c>
      <c r="EY7" s="2">
        <v>33020</v>
      </c>
      <c r="EZ7" s="2" t="s">
        <v>3839</v>
      </c>
      <c r="FA7" s="2">
        <v>2231</v>
      </c>
      <c r="FB7" s="2" t="s">
        <v>3785</v>
      </c>
      <c r="FC7" s="2" t="s">
        <v>3197</v>
      </c>
      <c r="FD7" s="2" t="s">
        <v>672</v>
      </c>
      <c r="FE7" s="2" t="s">
        <v>3198</v>
      </c>
      <c r="FF7" s="2" t="s">
        <v>4308</v>
      </c>
      <c r="FG7" s="2" t="s">
        <v>4309</v>
      </c>
      <c r="FH7" s="2" t="s">
        <v>3079</v>
      </c>
      <c r="FI7" s="2" t="s">
        <v>39</v>
      </c>
      <c r="FJ7" s="2">
        <v>33020</v>
      </c>
      <c r="FK7" s="2" t="s">
        <v>3839</v>
      </c>
      <c r="FL7" s="2">
        <v>2231</v>
      </c>
      <c r="FM7" s="2" t="s">
        <v>3785</v>
      </c>
      <c r="FN7" s="2" t="s">
        <v>3786</v>
      </c>
      <c r="FO7" s="2" t="s">
        <v>63</v>
      </c>
      <c r="FP7" s="2" t="s">
        <v>64</v>
      </c>
      <c r="FQ7" s="2" t="s">
        <v>9</v>
      </c>
      <c r="FR7" s="2" t="s">
        <v>17</v>
      </c>
      <c r="FS7" s="2" t="s">
        <v>17</v>
      </c>
      <c r="FT7" s="2" t="s">
        <v>9</v>
      </c>
      <c r="FX7" s="2">
        <v>0</v>
      </c>
      <c r="FY7" s="2">
        <v>0</v>
      </c>
      <c r="FZ7" s="4">
        <v>0</v>
      </c>
      <c r="GA7" s="4">
        <v>0</v>
      </c>
      <c r="GB7" s="2" t="s">
        <v>65</v>
      </c>
      <c r="GC7" s="2" t="s">
        <v>66</v>
      </c>
      <c r="GD7" s="2" t="s">
        <v>67</v>
      </c>
      <c r="GE7" s="2" t="s">
        <v>2684</v>
      </c>
      <c r="GK7" s="2">
        <v>94</v>
      </c>
      <c r="GQ7" s="2">
        <v>94</v>
      </c>
      <c r="GR7" s="2" t="s">
        <v>3332</v>
      </c>
      <c r="GS7" s="2" t="s">
        <v>2686</v>
      </c>
      <c r="GT7" s="2" t="s">
        <v>3787</v>
      </c>
      <c r="GU7" s="2" t="s">
        <v>3734</v>
      </c>
      <c r="GV7" s="2" t="s">
        <v>17</v>
      </c>
      <c r="GW7" s="2">
        <v>25.839217000000001</v>
      </c>
      <c r="GX7" s="2">
        <v>-80.301340999999994</v>
      </c>
      <c r="GZ7" s="2" t="s">
        <v>17</v>
      </c>
      <c r="HA7" s="2">
        <v>0</v>
      </c>
      <c r="HB7" s="2" t="s">
        <v>17</v>
      </c>
      <c r="HC7" s="2">
        <v>0</v>
      </c>
      <c r="HV7" s="2">
        <v>25.839791999999999</v>
      </c>
      <c r="HW7" s="2">
        <v>-80.301541999999998</v>
      </c>
      <c r="HX7" s="2">
        <v>0.04</v>
      </c>
      <c r="HY7" s="2">
        <v>6</v>
      </c>
      <c r="HZ7" s="2" t="s">
        <v>3164</v>
      </c>
      <c r="IA7" s="2">
        <v>0.6</v>
      </c>
      <c r="IB7" s="2">
        <v>3</v>
      </c>
      <c r="IF7" s="2" t="s">
        <v>224</v>
      </c>
      <c r="IG7" s="2">
        <v>0.62</v>
      </c>
      <c r="IH7" s="2">
        <v>3</v>
      </c>
      <c r="II7" s="2" t="s">
        <v>3736</v>
      </c>
      <c r="IJ7" s="2">
        <v>0.38</v>
      </c>
      <c r="IK7" s="2">
        <v>4</v>
      </c>
      <c r="IL7" s="2" t="s">
        <v>17</v>
      </c>
      <c r="IM7" s="2" t="s">
        <v>17</v>
      </c>
      <c r="IO7" s="2" t="s">
        <v>17</v>
      </c>
      <c r="IP7" s="2" t="s">
        <v>79</v>
      </c>
      <c r="IQ7" s="2" t="s">
        <v>79</v>
      </c>
      <c r="IR7" s="2">
        <v>6</v>
      </c>
      <c r="IS7" s="2">
        <v>10</v>
      </c>
      <c r="IT7" s="2">
        <v>0</v>
      </c>
      <c r="IU7" s="2">
        <v>16</v>
      </c>
      <c r="IV7" s="2" t="s">
        <v>9</v>
      </c>
      <c r="IW7" s="2" t="s">
        <v>9</v>
      </c>
      <c r="IX7" s="2" t="s">
        <v>9</v>
      </c>
      <c r="IY7" s="2">
        <v>16</v>
      </c>
      <c r="IZ7" s="2">
        <v>94</v>
      </c>
      <c r="JB7" s="2" t="s">
        <v>82</v>
      </c>
      <c r="JH7" s="7">
        <v>0</v>
      </c>
      <c r="JI7" s="2">
        <v>0</v>
      </c>
      <c r="JJ7" s="7">
        <v>0</v>
      </c>
      <c r="JK7" s="2">
        <v>0</v>
      </c>
      <c r="JL7" s="7">
        <v>0</v>
      </c>
      <c r="JN7" s="2">
        <v>19</v>
      </c>
      <c r="JP7" s="2">
        <v>14</v>
      </c>
      <c r="JQ7" s="2">
        <v>11</v>
      </c>
      <c r="JR7" s="2">
        <v>34</v>
      </c>
      <c r="JS7" s="2">
        <v>16</v>
      </c>
      <c r="JT7" s="2">
        <v>0</v>
      </c>
      <c r="JU7" s="2">
        <v>0</v>
      </c>
      <c r="JV7" s="2">
        <v>94</v>
      </c>
      <c r="JW7" s="4">
        <v>1</v>
      </c>
      <c r="JX7" s="2">
        <v>94</v>
      </c>
      <c r="JY7" s="4">
        <v>0.59467999999999999</v>
      </c>
      <c r="KE7" s="7">
        <v>0</v>
      </c>
      <c r="KF7" s="2">
        <v>0</v>
      </c>
      <c r="KH7" s="2">
        <v>70</v>
      </c>
      <c r="KK7" s="2">
        <v>24</v>
      </c>
      <c r="KQ7" s="2" t="s">
        <v>83</v>
      </c>
      <c r="KS7" s="2" t="s">
        <v>73</v>
      </c>
      <c r="KT7" s="2">
        <v>1</v>
      </c>
      <c r="KU7" s="2" t="s">
        <v>84</v>
      </c>
      <c r="KW7" s="2" t="s">
        <v>86</v>
      </c>
      <c r="KX7" s="2" t="s">
        <v>17</v>
      </c>
      <c r="KY7" s="2" t="s">
        <v>17</v>
      </c>
      <c r="KZ7" s="2" t="s">
        <v>17</v>
      </c>
      <c r="LA7" s="2" t="s">
        <v>17</v>
      </c>
      <c r="LB7" s="2" t="s">
        <v>17</v>
      </c>
      <c r="LC7" s="2" t="s">
        <v>17</v>
      </c>
      <c r="LD7" s="2" t="s">
        <v>17</v>
      </c>
      <c r="LE7" s="2" t="s">
        <v>17</v>
      </c>
      <c r="LF7" s="2" t="s">
        <v>17</v>
      </c>
      <c r="LG7" s="2" t="s">
        <v>17</v>
      </c>
      <c r="LH7" s="2" t="s">
        <v>17</v>
      </c>
      <c r="LI7" s="2" t="s">
        <v>17</v>
      </c>
      <c r="LJ7" s="2" t="s">
        <v>87</v>
      </c>
      <c r="LK7" s="2" t="s">
        <v>17</v>
      </c>
      <c r="LL7" s="2" t="s">
        <v>17</v>
      </c>
      <c r="LM7" s="2">
        <v>0</v>
      </c>
      <c r="LN7" s="2" t="s">
        <v>17</v>
      </c>
      <c r="LO7" s="2" t="s">
        <v>17</v>
      </c>
      <c r="LP7" s="2" t="s">
        <v>17</v>
      </c>
      <c r="LQ7" s="2" t="s">
        <v>17</v>
      </c>
      <c r="LR7" s="2" t="s">
        <v>17</v>
      </c>
      <c r="LS7" s="2" t="s">
        <v>17</v>
      </c>
      <c r="LT7" s="2" t="s">
        <v>9</v>
      </c>
      <c r="LU7" s="2" t="s">
        <v>9</v>
      </c>
      <c r="LV7" s="2" t="s">
        <v>17</v>
      </c>
      <c r="LW7" s="2" t="s">
        <v>17</v>
      </c>
      <c r="LX7" s="2" t="s">
        <v>9</v>
      </c>
      <c r="LY7" s="5">
        <v>6500000</v>
      </c>
      <c r="LZ7" s="5">
        <v>0</v>
      </c>
      <c r="MA7" s="5">
        <v>8930000</v>
      </c>
      <c r="MB7" s="5">
        <v>3000000</v>
      </c>
      <c r="MC7" s="5">
        <v>3000000</v>
      </c>
      <c r="MD7" s="5">
        <v>750000</v>
      </c>
      <c r="ME7" s="5">
        <v>750000</v>
      </c>
      <c r="MF7" s="5">
        <v>750000</v>
      </c>
      <c r="MG7" s="5">
        <v>9870000</v>
      </c>
      <c r="MH7" s="5">
        <v>0</v>
      </c>
      <c r="MI7" s="5">
        <v>9870000</v>
      </c>
      <c r="MJ7" s="5">
        <v>0</v>
      </c>
      <c r="MK7" s="5">
        <v>1051300</v>
      </c>
      <c r="ML7" s="5">
        <v>0</v>
      </c>
      <c r="MM7" s="5">
        <v>0</v>
      </c>
      <c r="MN7" s="2">
        <v>0</v>
      </c>
      <c r="MO7" s="5">
        <v>0</v>
      </c>
      <c r="MP7" s="5">
        <v>0</v>
      </c>
      <c r="MQ7" s="2">
        <v>0</v>
      </c>
      <c r="MR7" s="2">
        <v>0</v>
      </c>
      <c r="MS7" s="2">
        <v>0</v>
      </c>
      <c r="MT7" s="5">
        <v>2950000</v>
      </c>
      <c r="MU7" s="5">
        <v>0</v>
      </c>
      <c r="MV7" s="5">
        <v>4600000</v>
      </c>
      <c r="MW7" s="5">
        <v>0</v>
      </c>
      <c r="MY7" s="5">
        <v>0</v>
      </c>
      <c r="MZ7" s="5">
        <v>0</v>
      </c>
      <c r="NA7" s="5">
        <v>0</v>
      </c>
      <c r="NB7" s="5">
        <v>2500000</v>
      </c>
      <c r="NC7" s="5">
        <v>0</v>
      </c>
      <c r="ND7" s="5">
        <v>5000000</v>
      </c>
      <c r="NE7" s="5">
        <v>0</v>
      </c>
      <c r="NF7" s="5">
        <v>0</v>
      </c>
      <c r="NG7" s="5">
        <v>0</v>
      </c>
      <c r="NH7" s="5"/>
      <c r="NI7" s="5">
        <v>0</v>
      </c>
      <c r="NJ7" s="5">
        <v>1813835</v>
      </c>
      <c r="NK7" s="2" t="s">
        <v>17</v>
      </c>
      <c r="NL7" s="2">
        <v>2022</v>
      </c>
      <c r="NM7" s="2" t="s">
        <v>17</v>
      </c>
      <c r="NO7" s="2" t="s">
        <v>17</v>
      </c>
      <c r="NR7" s="2" t="s">
        <v>17</v>
      </c>
      <c r="NT7" s="2" t="s">
        <v>9</v>
      </c>
      <c r="NU7" s="2" t="s">
        <v>450</v>
      </c>
      <c r="NV7" s="2">
        <v>7.12</v>
      </c>
      <c r="NW7" s="2" t="s">
        <v>4310</v>
      </c>
      <c r="NX7" s="2" t="s">
        <v>118</v>
      </c>
      <c r="NY7" s="2" t="s">
        <v>118</v>
      </c>
      <c r="NZ7" s="2" t="s">
        <v>118</v>
      </c>
      <c r="OA7" s="2" t="s">
        <v>17</v>
      </c>
      <c r="OB7" s="2" t="s">
        <v>119</v>
      </c>
      <c r="OC7" s="5">
        <v>0</v>
      </c>
      <c r="OF7" s="2" t="s">
        <v>17</v>
      </c>
      <c r="OG7" s="2" t="s">
        <v>17</v>
      </c>
      <c r="OH7" s="2" t="s">
        <v>85</v>
      </c>
      <c r="OI7" s="6">
        <v>0</v>
      </c>
      <c r="OJ7" s="6">
        <v>90000</v>
      </c>
      <c r="OK7" s="2" t="s">
        <v>17</v>
      </c>
      <c r="OL7" s="2" t="s">
        <v>17</v>
      </c>
      <c r="OM7" s="6">
        <v>0</v>
      </c>
      <c r="ON7" s="6">
        <v>0</v>
      </c>
      <c r="OO7" s="6">
        <v>0</v>
      </c>
      <c r="OP7" s="6">
        <v>0</v>
      </c>
      <c r="OQ7" s="4">
        <v>0</v>
      </c>
      <c r="OR7" s="6">
        <v>0</v>
      </c>
      <c r="OS7" s="4">
        <v>0</v>
      </c>
      <c r="OT7" s="2" t="s">
        <v>17</v>
      </c>
      <c r="OU7" s="2" t="s">
        <v>17</v>
      </c>
      <c r="OW7" s="2" t="s">
        <v>17</v>
      </c>
      <c r="OX7" s="5">
        <v>2461230</v>
      </c>
      <c r="OY7" s="6">
        <v>26183.3</v>
      </c>
      <c r="PD7" s="8">
        <v>18527100</v>
      </c>
      <c r="PE7" s="8">
        <v>420500</v>
      </c>
      <c r="PF7" s="8">
        <v>18947600</v>
      </c>
      <c r="PG7" s="8">
        <v>2077400</v>
      </c>
      <c r="PI7" s="8">
        <v>2077400</v>
      </c>
      <c r="PL7" s="8">
        <v>250000</v>
      </c>
      <c r="PM7" s="8">
        <v>250000</v>
      </c>
      <c r="PN7" s="8">
        <v>500000</v>
      </c>
      <c r="PO7" s="8">
        <v>20854500</v>
      </c>
      <c r="PP7" s="8">
        <v>670500</v>
      </c>
      <c r="PQ7" s="8">
        <v>21525000</v>
      </c>
      <c r="PR7" s="8">
        <v>3006000</v>
      </c>
      <c r="PT7" s="8">
        <v>3006000</v>
      </c>
      <c r="PU7" s="6">
        <v>3013500</v>
      </c>
      <c r="PV7" s="8">
        <v>23860500</v>
      </c>
      <c r="PW7" s="8">
        <v>670500</v>
      </c>
      <c r="PX7" s="8">
        <v>24531000</v>
      </c>
      <c r="PY7" s="8">
        <v>1226550</v>
      </c>
      <c r="QA7" s="8">
        <v>1226550</v>
      </c>
      <c r="QB7" s="6">
        <v>1226550</v>
      </c>
      <c r="QC7" s="8">
        <v>2074021</v>
      </c>
      <c r="QD7" s="8">
        <v>367900</v>
      </c>
      <c r="QE7" s="8">
        <v>2441921</v>
      </c>
      <c r="QF7" s="8">
        <v>94000</v>
      </c>
      <c r="QG7" s="8">
        <v>75200</v>
      </c>
      <c r="QH7" s="8">
        <v>169200</v>
      </c>
      <c r="QI7" s="8">
        <v>406918</v>
      </c>
      <c r="QK7" s="8">
        <v>406918</v>
      </c>
      <c r="QL7" s="8">
        <v>35000</v>
      </c>
      <c r="QM7" s="8">
        <v>396250</v>
      </c>
      <c r="QN7" s="8">
        <v>431250</v>
      </c>
      <c r="QU7" s="8">
        <v>2609939</v>
      </c>
      <c r="QV7" s="8">
        <v>839350</v>
      </c>
      <c r="QW7" s="8">
        <v>3449289</v>
      </c>
      <c r="QX7" s="8">
        <v>171000</v>
      </c>
      <c r="QZ7" s="8">
        <v>171000</v>
      </c>
      <c r="RA7" s="6">
        <v>172464.45</v>
      </c>
      <c r="RB7" s="8">
        <v>1321200</v>
      </c>
      <c r="RC7" s="8">
        <v>335000</v>
      </c>
      <c r="RD7" s="8">
        <v>1656200</v>
      </c>
      <c r="RE7" s="8">
        <v>589669</v>
      </c>
      <c r="RF7" s="8">
        <v>589669</v>
      </c>
      <c r="RJ7" s="8">
        <v>1321200</v>
      </c>
      <c r="RK7" s="8">
        <v>924669</v>
      </c>
      <c r="RL7" s="8">
        <v>2245869</v>
      </c>
      <c r="RT7" s="8">
        <v>29189189</v>
      </c>
      <c r="RU7" s="8">
        <v>2434519</v>
      </c>
      <c r="RV7" s="8">
        <v>31623708</v>
      </c>
      <c r="RY7" s="2">
        <v>0</v>
      </c>
      <c r="RZ7" s="6">
        <v>0</v>
      </c>
      <c r="SA7" s="8">
        <v>5692266</v>
      </c>
      <c r="SC7" s="8">
        <v>5692266</v>
      </c>
      <c r="SD7" s="6">
        <v>5692267</v>
      </c>
      <c r="SE7" s="8">
        <v>5692266</v>
      </c>
      <c r="SF7" s="8">
        <v>5692266</v>
      </c>
      <c r="SG7" s="6">
        <v>5692267</v>
      </c>
      <c r="SJ7" s="6">
        <v>329000</v>
      </c>
      <c r="SK7" s="8">
        <v>100000</v>
      </c>
      <c r="SL7" s="8">
        <v>100000</v>
      </c>
      <c r="SM7" s="8">
        <v>34881455</v>
      </c>
      <c r="SN7" s="8">
        <v>2534519</v>
      </c>
      <c r="SO7" s="8">
        <v>37415974</v>
      </c>
      <c r="SP7" s="8">
        <v>17500000</v>
      </c>
      <c r="SQ7" s="2" t="s">
        <v>4220</v>
      </c>
      <c r="SR7" s="8">
        <v>5640000</v>
      </c>
      <c r="SS7" s="2" t="s">
        <v>180</v>
      </c>
      <c r="SX7" s="8">
        <v>3750000</v>
      </c>
      <c r="SY7" s="2" t="s">
        <v>96</v>
      </c>
      <c r="SZ7" s="2" t="s">
        <v>96</v>
      </c>
      <c r="TA7" s="2" t="s">
        <v>96</v>
      </c>
      <c r="TB7" s="8">
        <v>4897000</v>
      </c>
      <c r="TF7" s="8">
        <v>5628974</v>
      </c>
      <c r="TG7" s="8">
        <v>37415974</v>
      </c>
      <c r="TH7" s="2">
        <v>0</v>
      </c>
      <c r="TI7" s="8">
        <v>8500000</v>
      </c>
      <c r="TJ7" s="2" t="s">
        <v>95</v>
      </c>
      <c r="TK7" s="8">
        <v>5640000</v>
      </c>
      <c r="TL7" s="2" t="s">
        <v>180</v>
      </c>
      <c r="TR7" s="8">
        <v>3750000</v>
      </c>
      <c r="TS7" s="8">
        <v>16323000</v>
      </c>
      <c r="TZ7" s="8">
        <v>3202974</v>
      </c>
      <c r="UA7" s="8">
        <v>37415974</v>
      </c>
      <c r="UB7" s="6">
        <v>17890000</v>
      </c>
      <c r="UC7" s="2">
        <v>0</v>
      </c>
      <c r="UD7" s="2">
        <v>94</v>
      </c>
      <c r="UE7" s="5">
        <v>310000</v>
      </c>
      <c r="UF7" s="6">
        <v>413333.33</v>
      </c>
      <c r="UG7" s="6">
        <v>420833.33</v>
      </c>
      <c r="UH7" s="6">
        <v>446083.33</v>
      </c>
      <c r="UI7" s="6">
        <v>41931833.329999998</v>
      </c>
      <c r="UJ7" s="6">
        <v>7547730</v>
      </c>
      <c r="UK7" s="2" t="s">
        <v>97</v>
      </c>
      <c r="UL7" s="6">
        <v>7547730</v>
      </c>
      <c r="UM7" s="6">
        <v>49479563.329999998</v>
      </c>
      <c r="UN7" s="6">
        <v>37315974</v>
      </c>
      <c r="UT7" s="6">
        <v>408127.53</v>
      </c>
      <c r="UW7" s="6">
        <v>408127.53</v>
      </c>
      <c r="UX7" s="6">
        <v>0</v>
      </c>
      <c r="UY7" s="6">
        <v>0</v>
      </c>
      <c r="UZ7" s="2" t="s">
        <v>3387</v>
      </c>
      <c r="VA7" s="2" t="s">
        <v>3288</v>
      </c>
      <c r="VB7" s="2" t="s">
        <v>17</v>
      </c>
      <c r="VI7" s="388" t="s">
        <v>3209</v>
      </c>
      <c r="VJ7" s="2" t="s">
        <v>98</v>
      </c>
      <c r="VK7" s="2" t="s">
        <v>536</v>
      </c>
      <c r="VL7" s="23">
        <f t="shared" si="0"/>
        <v>118</v>
      </c>
      <c r="VM7" s="17">
        <f t="shared" si="1"/>
        <v>1.2553191489361701</v>
      </c>
      <c r="VN7" s="17" t="str">
        <f t="shared" si="2"/>
        <v>NC-HR-E</v>
      </c>
      <c r="VO7" s="17" t="str">
        <f t="shared" si="15"/>
        <v>NC-HR-E-ESS</v>
      </c>
      <c r="VP7" s="57">
        <v>1</v>
      </c>
      <c r="VQ7" s="17">
        <f t="shared" si="3"/>
        <v>1.1100000000000001</v>
      </c>
      <c r="VR7" s="14">
        <f t="shared" si="4"/>
        <v>1</v>
      </c>
      <c r="VS7" s="14">
        <f t="shared" si="5"/>
        <v>1</v>
      </c>
      <c r="VT7" s="12">
        <f t="shared" si="6"/>
        <v>0.83519999999999994</v>
      </c>
      <c r="VU7" s="29">
        <f t="shared" si="7"/>
        <v>2781216</v>
      </c>
      <c r="VV7" s="29">
        <f t="shared" si="8"/>
        <v>29587.4</v>
      </c>
      <c r="VW7" s="351" t="str">
        <f t="shared" si="16"/>
        <v>A</v>
      </c>
      <c r="VX7" s="12" t="str">
        <f t="shared" si="9"/>
        <v>NC-HR-ESS</v>
      </c>
      <c r="VY7" s="23">
        <f t="shared" si="17"/>
        <v>2</v>
      </c>
      <c r="WA7" s="12">
        <f t="shared" si="18"/>
        <v>1</v>
      </c>
      <c r="WB7" s="12">
        <f t="shared" si="19"/>
        <v>1</v>
      </c>
      <c r="WC7" s="12">
        <f t="shared" si="19"/>
        <v>0</v>
      </c>
      <c r="WD7" s="12">
        <f t="shared" si="19"/>
        <v>0</v>
      </c>
      <c r="WE7" s="12">
        <f t="shared" si="20"/>
        <v>1</v>
      </c>
      <c r="WF7" s="12">
        <f t="shared" si="10"/>
        <v>0</v>
      </c>
      <c r="WG7" s="12">
        <f t="shared" si="11"/>
        <v>0</v>
      </c>
      <c r="WH7" s="12">
        <f t="shared" si="12"/>
        <v>1</v>
      </c>
      <c r="WI7" s="31">
        <f t="shared" si="13"/>
        <v>4</v>
      </c>
      <c r="WK7" s="444" t="str">
        <f t="shared" si="14"/>
        <v>NC-HR-ESS-BBY-BRN-NPH-E</v>
      </c>
      <c r="WL7" s="444"/>
      <c r="WM7" s="444"/>
      <c r="WN7" s="12"/>
      <c r="WO7" s="380" t="s">
        <v>2623</v>
      </c>
      <c r="WP7" s="144">
        <f>COUNTIFS($WG$2:$WG$72,"=1",$WA$2:$WA$72,"=1")</f>
        <v>11</v>
      </c>
      <c r="WQ7" s="144">
        <f>COUNTIFS($WG$2:$WG$72,"=1",$WB$2:$WB$72,"=1")</f>
        <v>18</v>
      </c>
      <c r="WR7" s="144">
        <f>COUNTIFS($WG$2:$WG$72,"=1",$WC$2:$WC$72,"=1")</f>
        <v>1</v>
      </c>
      <c r="WS7" s="144">
        <f>COUNTIFS($WG$2:$WG$72,"=1",$WD$2:$WD$72,"=1")</f>
        <v>3</v>
      </c>
      <c r="WT7" s="144">
        <f>COUNTIFS($WG$2:$WG$72,"=1",$WF$2:$WF$72,"=1")</f>
        <v>1</v>
      </c>
      <c r="WU7" s="384"/>
      <c r="WV7" s="144">
        <f>COUNTIFS($WG$2:$WG$72,"=1",$WH$2:$WH$72,"=1")</f>
        <v>0</v>
      </c>
      <c r="WW7" s="144">
        <f>COUNTIFS($WG$2:$WG$72,"=1",$WE$2:$WE$72,"=1")</f>
        <v>15</v>
      </c>
      <c r="WX7" s="205">
        <f>COUNTIF($WG$2:$WG$72,"=1")</f>
        <v>22</v>
      </c>
    </row>
    <row r="8" spans="1:622" x14ac:dyDescent="0.25">
      <c r="A8" s="2">
        <v>9284</v>
      </c>
      <c r="B8" s="2" t="s">
        <v>4311</v>
      </c>
      <c r="C8" s="2" t="s">
        <v>4205</v>
      </c>
      <c r="D8" s="3">
        <v>45128</v>
      </c>
      <c r="E8" s="2" t="s">
        <v>9</v>
      </c>
      <c r="F8" s="2">
        <v>1</v>
      </c>
      <c r="G8" s="2" t="s">
        <v>9</v>
      </c>
      <c r="H8" s="2">
        <v>1</v>
      </c>
      <c r="I8" s="2" t="s">
        <v>11</v>
      </c>
      <c r="J8" s="2">
        <v>0</v>
      </c>
      <c r="K8" s="2" t="s">
        <v>9</v>
      </c>
      <c r="L8" s="2">
        <v>1</v>
      </c>
      <c r="M8" s="2" t="s">
        <v>10</v>
      </c>
      <c r="N8" s="2">
        <v>0</v>
      </c>
      <c r="O8" s="2" t="s">
        <v>10</v>
      </c>
      <c r="P8" s="2">
        <v>0</v>
      </c>
      <c r="Q8" s="2" t="s">
        <v>11</v>
      </c>
      <c r="R8" s="2">
        <v>0</v>
      </c>
      <c r="S8" s="2" t="s">
        <v>9</v>
      </c>
      <c r="T8" s="2">
        <v>2</v>
      </c>
      <c r="U8" s="2" t="s">
        <v>9</v>
      </c>
      <c r="V8" s="2">
        <v>2</v>
      </c>
      <c r="W8" s="2" t="s">
        <v>9</v>
      </c>
      <c r="X8" s="2">
        <v>2</v>
      </c>
      <c r="Y8" s="2" t="s">
        <v>12</v>
      </c>
      <c r="Z8" s="2" t="s">
        <v>15</v>
      </c>
      <c r="AA8" s="2" t="s">
        <v>15</v>
      </c>
      <c r="AB8" s="2" t="s">
        <v>15</v>
      </c>
      <c r="AC8" s="2" t="s">
        <v>2008</v>
      </c>
      <c r="AD8" s="2" t="s">
        <v>15</v>
      </c>
      <c r="AE8" s="2" t="s">
        <v>15</v>
      </c>
      <c r="AF8" s="2">
        <v>0</v>
      </c>
      <c r="AG8" s="2" t="s">
        <v>234</v>
      </c>
      <c r="AH8" s="2" t="s">
        <v>17</v>
      </c>
      <c r="AI8" s="4">
        <v>0.15306</v>
      </c>
      <c r="AJ8" s="2" t="s">
        <v>17</v>
      </c>
      <c r="AK8" s="2" t="s">
        <v>9</v>
      </c>
      <c r="AL8" s="2" t="s">
        <v>17</v>
      </c>
      <c r="AM8" s="2" t="s">
        <v>17</v>
      </c>
      <c r="AN8" s="2" t="s">
        <v>17</v>
      </c>
      <c r="AO8" s="2" t="s">
        <v>9</v>
      </c>
      <c r="AP8" s="2" t="s">
        <v>17</v>
      </c>
      <c r="AQ8" s="2" t="s">
        <v>17</v>
      </c>
      <c r="AR8" s="2" t="s">
        <v>17</v>
      </c>
      <c r="AS8" s="2" t="s">
        <v>17</v>
      </c>
      <c r="AT8" s="2">
        <v>5</v>
      </c>
      <c r="AU8" s="5">
        <v>250000</v>
      </c>
      <c r="AV8" s="2" t="s">
        <v>85</v>
      </c>
      <c r="AW8" s="2">
        <v>0</v>
      </c>
      <c r="AX8" s="2">
        <v>6</v>
      </c>
      <c r="AY8" s="2">
        <v>0</v>
      </c>
      <c r="AZ8" s="2">
        <v>16</v>
      </c>
      <c r="BA8" s="2">
        <v>0</v>
      </c>
      <c r="BB8" s="2">
        <v>1</v>
      </c>
      <c r="BC8" s="2">
        <v>1</v>
      </c>
      <c r="BD8" s="2">
        <v>5</v>
      </c>
      <c r="BE8" s="2">
        <v>1</v>
      </c>
      <c r="BF8" s="2">
        <v>1</v>
      </c>
      <c r="BG8" s="2">
        <v>0</v>
      </c>
      <c r="BH8" s="2">
        <v>0</v>
      </c>
      <c r="BI8" s="2">
        <v>13</v>
      </c>
      <c r="BJ8" s="2">
        <v>1</v>
      </c>
      <c r="BK8" s="2">
        <v>0</v>
      </c>
      <c r="BL8" s="2">
        <v>2</v>
      </c>
      <c r="BM8" s="2">
        <v>1</v>
      </c>
      <c r="BN8" s="2">
        <v>10</v>
      </c>
      <c r="BO8" s="2">
        <v>10</v>
      </c>
      <c r="BP8" s="2">
        <v>96.17</v>
      </c>
      <c r="BQ8" s="5">
        <v>3750000</v>
      </c>
      <c r="BR8" s="2">
        <v>1</v>
      </c>
      <c r="BS8" s="4">
        <v>0.06</v>
      </c>
      <c r="BT8" s="2" t="s">
        <v>9</v>
      </c>
      <c r="BU8" s="2" t="s">
        <v>17</v>
      </c>
      <c r="BV8" s="6">
        <v>26689.72</v>
      </c>
      <c r="BW8" s="2" t="s">
        <v>126</v>
      </c>
      <c r="BX8" s="2" t="s">
        <v>17</v>
      </c>
      <c r="BY8" s="2" t="s">
        <v>17</v>
      </c>
      <c r="BZ8" s="2" t="s">
        <v>17</v>
      </c>
      <c r="CA8" s="2" t="s">
        <v>17</v>
      </c>
      <c r="CB8" s="2" t="s">
        <v>17</v>
      </c>
      <c r="CC8" s="2" t="s">
        <v>17</v>
      </c>
      <c r="CD8" s="2" t="s">
        <v>9</v>
      </c>
      <c r="CE8" s="2" t="s">
        <v>4312</v>
      </c>
      <c r="CF8" s="2" t="s">
        <v>17</v>
      </c>
      <c r="CG8" s="2" t="s">
        <v>17</v>
      </c>
      <c r="DA8" s="2" t="s">
        <v>2702</v>
      </c>
      <c r="DD8" s="2" t="s">
        <v>9</v>
      </c>
      <c r="DE8" s="2" t="s">
        <v>2742</v>
      </c>
      <c r="DF8" s="2" t="s">
        <v>2702</v>
      </c>
      <c r="DG8" s="2" t="s">
        <v>2704</v>
      </c>
      <c r="DH8" s="2" t="s">
        <v>2705</v>
      </c>
      <c r="DI8" s="2">
        <v>190</v>
      </c>
      <c r="DJ8" s="2" t="s">
        <v>4004</v>
      </c>
      <c r="DK8" s="2">
        <v>2021</v>
      </c>
      <c r="DL8" s="2" t="s">
        <v>4209</v>
      </c>
      <c r="DM8" s="2" t="s">
        <v>4210</v>
      </c>
      <c r="DN8" s="2" t="s">
        <v>33</v>
      </c>
      <c r="DO8" s="2" t="s">
        <v>2709</v>
      </c>
      <c r="DP8" s="2" t="s">
        <v>2710</v>
      </c>
      <c r="DQ8" s="2" t="s">
        <v>2711</v>
      </c>
      <c r="DR8" s="2" t="s">
        <v>2712</v>
      </c>
      <c r="DS8" s="2">
        <v>1</v>
      </c>
      <c r="DT8" s="2" t="s">
        <v>2713</v>
      </c>
      <c r="DU8" s="2" t="s">
        <v>2714</v>
      </c>
      <c r="DV8" s="2" t="s">
        <v>39</v>
      </c>
      <c r="DW8" s="2">
        <v>33016</v>
      </c>
      <c r="DX8" s="2" t="s">
        <v>2715</v>
      </c>
      <c r="DZ8" s="2" t="s">
        <v>2716</v>
      </c>
      <c r="EA8" s="2" t="s">
        <v>2717</v>
      </c>
      <c r="EB8" s="2" t="s">
        <v>2718</v>
      </c>
      <c r="EC8" s="2" t="s">
        <v>330</v>
      </c>
      <c r="ED8" s="2" t="s">
        <v>44</v>
      </c>
      <c r="EE8" s="2">
        <v>336</v>
      </c>
      <c r="EF8" s="2" t="s">
        <v>4005</v>
      </c>
      <c r="EG8" s="2">
        <v>20</v>
      </c>
      <c r="EH8" s="2" t="s">
        <v>46</v>
      </c>
      <c r="EI8" s="2" t="s">
        <v>47</v>
      </c>
      <c r="EJ8" s="2" t="s">
        <v>2719</v>
      </c>
      <c r="EK8" s="2" t="s">
        <v>2705</v>
      </c>
      <c r="EL8" s="2" t="s">
        <v>44</v>
      </c>
      <c r="EM8" s="2">
        <v>150</v>
      </c>
      <c r="EN8" s="2" t="s">
        <v>4005</v>
      </c>
      <c r="EO8" s="2">
        <v>8</v>
      </c>
      <c r="EP8" s="2" t="s">
        <v>46</v>
      </c>
      <c r="EQ8" s="2" t="s">
        <v>47</v>
      </c>
      <c r="ER8" s="2" t="s">
        <v>2709</v>
      </c>
      <c r="ES8" s="2" t="s">
        <v>2710</v>
      </c>
      <c r="ET8" s="2" t="s">
        <v>2711</v>
      </c>
      <c r="EU8" s="2" t="s">
        <v>2712</v>
      </c>
      <c r="EV8" s="2" t="s">
        <v>4313</v>
      </c>
      <c r="EW8" s="2" t="s">
        <v>2714</v>
      </c>
      <c r="EX8" s="2" t="s">
        <v>39</v>
      </c>
      <c r="EY8" s="2">
        <v>33016</v>
      </c>
      <c r="EZ8" s="2" t="s">
        <v>4314</v>
      </c>
      <c r="FB8" s="2" t="s">
        <v>2716</v>
      </c>
      <c r="FC8" s="2" t="s">
        <v>2721</v>
      </c>
      <c r="FD8" s="2" t="s">
        <v>400</v>
      </c>
      <c r="FE8" s="2" t="s">
        <v>2722</v>
      </c>
      <c r="FF8" s="2" t="s">
        <v>2712</v>
      </c>
      <c r="FG8" s="2" t="s">
        <v>4313</v>
      </c>
      <c r="FH8" s="2" t="s">
        <v>2714</v>
      </c>
      <c r="FI8" s="2" t="s">
        <v>39</v>
      </c>
      <c r="FJ8" s="2">
        <v>33016</v>
      </c>
      <c r="FK8" s="2" t="s">
        <v>2723</v>
      </c>
      <c r="FM8" s="2" t="s">
        <v>2724</v>
      </c>
      <c r="FN8" s="2" t="s">
        <v>4315</v>
      </c>
      <c r="FO8" s="2" t="s">
        <v>63</v>
      </c>
      <c r="FP8" s="2" t="s">
        <v>64</v>
      </c>
      <c r="FQ8" s="2" t="s">
        <v>9</v>
      </c>
      <c r="FR8" s="2" t="s">
        <v>17</v>
      </c>
      <c r="FS8" s="2" t="s">
        <v>17</v>
      </c>
      <c r="FT8" s="2" t="s">
        <v>9</v>
      </c>
      <c r="FX8" s="2">
        <v>0</v>
      </c>
      <c r="FY8" s="2">
        <v>0</v>
      </c>
      <c r="FZ8" s="4">
        <v>0</v>
      </c>
      <c r="GA8" s="4">
        <v>0</v>
      </c>
      <c r="GB8" s="2" t="s">
        <v>65</v>
      </c>
      <c r="GC8" s="2" t="s">
        <v>66</v>
      </c>
      <c r="GD8" s="2" t="s">
        <v>67</v>
      </c>
      <c r="GE8" s="2" t="s">
        <v>1612</v>
      </c>
      <c r="GF8" s="2">
        <v>30</v>
      </c>
      <c r="GG8" s="2">
        <v>30</v>
      </c>
      <c r="GI8" s="2">
        <v>68</v>
      </c>
      <c r="GQ8" s="2">
        <v>98</v>
      </c>
      <c r="GR8" s="2" t="s">
        <v>3332</v>
      </c>
      <c r="GS8" s="2" t="s">
        <v>2686</v>
      </c>
      <c r="GT8" s="2" t="s">
        <v>4316</v>
      </c>
      <c r="GU8" s="2" t="s">
        <v>299</v>
      </c>
      <c r="GV8" s="2" t="s">
        <v>9</v>
      </c>
      <c r="GW8" s="2">
        <v>25.831348999999999</v>
      </c>
      <c r="GX8" s="2">
        <v>-80.219099999999997</v>
      </c>
      <c r="GY8" s="2" t="s">
        <v>4317</v>
      </c>
      <c r="GZ8" s="2" t="s">
        <v>17</v>
      </c>
      <c r="HA8" s="2">
        <v>0</v>
      </c>
      <c r="HB8" s="2" t="s">
        <v>17</v>
      </c>
      <c r="HC8" s="2">
        <v>0</v>
      </c>
      <c r="HN8" s="2">
        <v>25.831852999999999</v>
      </c>
      <c r="HO8" s="2">
        <v>-80.218892999999994</v>
      </c>
      <c r="HP8" s="2">
        <v>0.04</v>
      </c>
      <c r="HQ8" s="2">
        <v>6</v>
      </c>
      <c r="HZ8" s="2" t="s">
        <v>167</v>
      </c>
      <c r="IA8" s="2">
        <v>0.57999999999999996</v>
      </c>
      <c r="IB8" s="2">
        <v>3</v>
      </c>
      <c r="IF8" s="2" t="s">
        <v>224</v>
      </c>
      <c r="IG8" s="2">
        <v>0.63</v>
      </c>
      <c r="IH8" s="2">
        <v>3</v>
      </c>
      <c r="II8" s="2" t="s">
        <v>4318</v>
      </c>
      <c r="IJ8" s="2">
        <v>0.25</v>
      </c>
      <c r="IK8" s="2">
        <v>4</v>
      </c>
      <c r="IL8" s="2" t="s">
        <v>9</v>
      </c>
      <c r="IM8" s="2" t="s">
        <v>17</v>
      </c>
      <c r="IO8" s="2" t="s">
        <v>17</v>
      </c>
      <c r="IP8" s="2" t="s">
        <v>79</v>
      </c>
      <c r="IQ8" s="2" t="s">
        <v>79</v>
      </c>
      <c r="IR8" s="2">
        <v>6</v>
      </c>
      <c r="IS8" s="2">
        <v>10</v>
      </c>
      <c r="IT8" s="2">
        <v>0</v>
      </c>
      <c r="IU8" s="2">
        <v>16</v>
      </c>
      <c r="IV8" s="2" t="s">
        <v>9</v>
      </c>
      <c r="IW8" s="2" t="s">
        <v>9</v>
      </c>
      <c r="IX8" s="2" t="s">
        <v>9</v>
      </c>
      <c r="IY8" s="2">
        <v>16</v>
      </c>
      <c r="IZ8" s="2">
        <v>98</v>
      </c>
      <c r="JB8" s="2" t="s">
        <v>82</v>
      </c>
      <c r="JH8" s="7">
        <v>0</v>
      </c>
      <c r="JI8" s="2">
        <v>0</v>
      </c>
      <c r="JJ8" s="7">
        <v>0</v>
      </c>
      <c r="JK8" s="2">
        <v>0</v>
      </c>
      <c r="JL8" s="7">
        <v>0</v>
      </c>
      <c r="JN8" s="2">
        <v>15</v>
      </c>
      <c r="JQ8" s="2">
        <v>38</v>
      </c>
      <c r="JR8" s="2">
        <v>45</v>
      </c>
      <c r="JT8" s="2">
        <v>0</v>
      </c>
      <c r="JU8" s="2">
        <v>0</v>
      </c>
      <c r="JV8" s="2">
        <v>98</v>
      </c>
      <c r="JW8" s="4">
        <v>1</v>
      </c>
      <c r="JX8" s="2">
        <v>98</v>
      </c>
      <c r="JY8" s="4">
        <v>0.6</v>
      </c>
      <c r="KE8" s="7">
        <v>0</v>
      </c>
      <c r="KF8" s="2">
        <v>0</v>
      </c>
      <c r="KH8" s="2">
        <v>68</v>
      </c>
      <c r="KK8" s="2">
        <v>30</v>
      </c>
      <c r="KQ8" s="2" t="s">
        <v>83</v>
      </c>
      <c r="KS8" s="2" t="s">
        <v>73</v>
      </c>
      <c r="KT8" s="2">
        <v>2</v>
      </c>
      <c r="KU8" s="2" t="s">
        <v>84</v>
      </c>
      <c r="KW8" s="2" t="s">
        <v>86</v>
      </c>
      <c r="KX8" s="2" t="s">
        <v>17</v>
      </c>
      <c r="KY8" s="2" t="s">
        <v>17</v>
      </c>
      <c r="KZ8" s="2" t="s">
        <v>17</v>
      </c>
      <c r="LA8" s="2" t="s">
        <v>17</v>
      </c>
      <c r="LB8" s="2" t="s">
        <v>17</v>
      </c>
      <c r="LC8" s="2" t="s">
        <v>17</v>
      </c>
      <c r="LD8" s="2" t="s">
        <v>17</v>
      </c>
      <c r="LE8" s="2" t="s">
        <v>17</v>
      </c>
      <c r="LF8" s="2" t="s">
        <v>17</v>
      </c>
      <c r="LG8" s="2" t="s">
        <v>17</v>
      </c>
      <c r="LH8" s="2" t="s">
        <v>17</v>
      </c>
      <c r="LI8" s="2" t="s">
        <v>17</v>
      </c>
      <c r="LJ8" s="2" t="s">
        <v>87</v>
      </c>
      <c r="LK8" s="2" t="s">
        <v>17</v>
      </c>
      <c r="LL8" s="2" t="s">
        <v>17</v>
      </c>
      <c r="LM8" s="2">
        <v>0</v>
      </c>
      <c r="LN8" s="2" t="s">
        <v>17</v>
      </c>
      <c r="LO8" s="2" t="s">
        <v>17</v>
      </c>
      <c r="LP8" s="2" t="s">
        <v>17</v>
      </c>
      <c r="LQ8" s="2" t="s">
        <v>17</v>
      </c>
      <c r="LR8" s="2" t="s">
        <v>17</v>
      </c>
      <c r="LS8" s="2" t="s">
        <v>17</v>
      </c>
      <c r="LT8" s="2" t="s">
        <v>9</v>
      </c>
      <c r="LU8" s="2" t="s">
        <v>9</v>
      </c>
      <c r="LV8" s="2" t="s">
        <v>17</v>
      </c>
      <c r="LW8" s="2" t="s">
        <v>17</v>
      </c>
      <c r="LX8" s="2" t="s">
        <v>9</v>
      </c>
      <c r="LY8" s="5">
        <v>6500000</v>
      </c>
      <c r="LZ8" s="5">
        <v>0</v>
      </c>
      <c r="MA8" s="5">
        <v>9310000</v>
      </c>
      <c r="MB8" s="5">
        <v>3000000</v>
      </c>
      <c r="MC8" s="5">
        <v>3000000</v>
      </c>
      <c r="MD8" s="5">
        <v>750000</v>
      </c>
      <c r="ME8" s="5">
        <v>750000</v>
      </c>
      <c r="MF8" s="5">
        <v>750000</v>
      </c>
      <c r="MG8" s="5">
        <v>10000000</v>
      </c>
      <c r="MH8" s="5">
        <v>0</v>
      </c>
      <c r="MI8" s="5">
        <v>10000000</v>
      </c>
      <c r="MJ8" s="5">
        <v>0</v>
      </c>
      <c r="MK8" s="5">
        <v>1051300</v>
      </c>
      <c r="ML8" s="5">
        <v>0</v>
      </c>
      <c r="MM8" s="5">
        <v>0</v>
      </c>
      <c r="MN8" s="2">
        <v>0</v>
      </c>
      <c r="MO8" s="5">
        <v>0</v>
      </c>
      <c r="MP8" s="5">
        <v>0</v>
      </c>
      <c r="MQ8" s="2">
        <v>0</v>
      </c>
      <c r="MR8" s="2">
        <v>0</v>
      </c>
      <c r="MS8" s="2">
        <v>0</v>
      </c>
      <c r="MT8" s="5">
        <v>2950000</v>
      </c>
      <c r="MU8" s="5">
        <v>0</v>
      </c>
      <c r="MV8" s="5">
        <v>4600000</v>
      </c>
      <c r="MW8" s="5">
        <v>0</v>
      </c>
      <c r="MY8" s="5">
        <v>0</v>
      </c>
      <c r="MZ8" s="5">
        <v>0</v>
      </c>
      <c r="NA8" s="5">
        <v>0</v>
      </c>
      <c r="NB8" s="5">
        <v>2500000</v>
      </c>
      <c r="NC8" s="5">
        <v>0</v>
      </c>
      <c r="ND8" s="5">
        <v>5000000</v>
      </c>
      <c r="NE8" s="5">
        <v>0</v>
      </c>
      <c r="NF8" s="5">
        <v>0</v>
      </c>
      <c r="NG8" s="5">
        <v>0</v>
      </c>
      <c r="NH8" s="5"/>
      <c r="NI8" s="5">
        <v>0</v>
      </c>
      <c r="NJ8" s="5">
        <v>1441319</v>
      </c>
      <c r="NK8" s="2" t="s">
        <v>17</v>
      </c>
      <c r="NM8" s="2" t="s">
        <v>17</v>
      </c>
      <c r="NO8" s="2" t="s">
        <v>17</v>
      </c>
      <c r="NR8" s="2" t="s">
        <v>17</v>
      </c>
      <c r="NT8" s="2" t="s">
        <v>9</v>
      </c>
      <c r="NU8" s="2" t="s">
        <v>450</v>
      </c>
      <c r="NV8" s="2">
        <v>19.03</v>
      </c>
      <c r="NW8" s="2" t="s">
        <v>3342</v>
      </c>
      <c r="NX8" s="2" t="s">
        <v>118</v>
      </c>
      <c r="NY8" s="2" t="s">
        <v>118</v>
      </c>
      <c r="NZ8" s="2" t="s">
        <v>118</v>
      </c>
      <c r="OA8" s="2" t="s">
        <v>17</v>
      </c>
      <c r="OB8" s="2" t="s">
        <v>119</v>
      </c>
      <c r="OC8" s="5">
        <v>18000000</v>
      </c>
      <c r="OF8" s="2" t="s">
        <v>17</v>
      </c>
      <c r="OG8" s="2" t="s">
        <v>17</v>
      </c>
      <c r="OH8" s="2" t="s">
        <v>85</v>
      </c>
      <c r="OI8" s="6">
        <v>0</v>
      </c>
      <c r="OJ8" s="6">
        <v>90000</v>
      </c>
      <c r="OK8" s="2" t="s">
        <v>17</v>
      </c>
      <c r="OL8" s="2" t="s">
        <v>17</v>
      </c>
      <c r="OM8" s="6">
        <v>0</v>
      </c>
      <c r="ON8" s="6">
        <v>0</v>
      </c>
      <c r="OO8" s="6">
        <v>0</v>
      </c>
      <c r="OP8" s="6">
        <v>0</v>
      </c>
      <c r="OQ8" s="4">
        <v>0</v>
      </c>
      <c r="OR8" s="6">
        <v>0</v>
      </c>
      <c r="OS8" s="4">
        <v>0</v>
      </c>
      <c r="OT8" s="2" t="s">
        <v>17</v>
      </c>
      <c r="OU8" s="2" t="s">
        <v>17</v>
      </c>
      <c r="OW8" s="2" t="s">
        <v>17</v>
      </c>
      <c r="OX8" s="5">
        <v>2615593</v>
      </c>
      <c r="OY8" s="6">
        <v>26689.72</v>
      </c>
      <c r="PD8" s="8">
        <v>17170000</v>
      </c>
      <c r="PE8" s="8">
        <v>180000</v>
      </c>
      <c r="PF8" s="8">
        <v>17350000</v>
      </c>
      <c r="PO8" s="8">
        <v>17170000</v>
      </c>
      <c r="PP8" s="8">
        <v>180000</v>
      </c>
      <c r="PQ8" s="8">
        <v>17350000</v>
      </c>
      <c r="PR8" s="8">
        <v>2403799</v>
      </c>
      <c r="PS8" s="8">
        <v>25200</v>
      </c>
      <c r="PT8" s="8">
        <v>2428999</v>
      </c>
      <c r="PU8" s="6">
        <v>2429000</v>
      </c>
      <c r="PV8" s="8">
        <v>19573799</v>
      </c>
      <c r="PW8" s="8">
        <v>205200</v>
      </c>
      <c r="PX8" s="8">
        <v>19778999</v>
      </c>
      <c r="PY8" s="8">
        <v>988949</v>
      </c>
      <c r="QA8" s="8">
        <v>988949</v>
      </c>
      <c r="QB8" s="6">
        <v>988949.95</v>
      </c>
      <c r="QC8" s="8">
        <v>914500</v>
      </c>
      <c r="QD8" s="8">
        <v>165000</v>
      </c>
      <c r="QE8" s="8">
        <v>1079500</v>
      </c>
      <c r="QF8" s="8">
        <v>107800</v>
      </c>
      <c r="QH8" s="8">
        <v>107800</v>
      </c>
      <c r="QI8" s="8">
        <v>581012</v>
      </c>
      <c r="QK8" s="8">
        <v>581012</v>
      </c>
      <c r="QM8" s="8">
        <v>299400</v>
      </c>
      <c r="QN8" s="8">
        <v>299400</v>
      </c>
      <c r="QR8" s="8">
        <v>177653</v>
      </c>
      <c r="QT8" s="8">
        <v>177653</v>
      </c>
      <c r="QU8" s="8">
        <v>1780965</v>
      </c>
      <c r="QV8" s="8">
        <v>464400</v>
      </c>
      <c r="QW8" s="8">
        <v>2245365</v>
      </c>
      <c r="QY8" s="8">
        <v>112267</v>
      </c>
      <c r="QZ8" s="8">
        <v>112267</v>
      </c>
      <c r="RA8" s="6">
        <v>112268.25</v>
      </c>
      <c r="RB8" s="8">
        <v>972000</v>
      </c>
      <c r="RD8" s="8">
        <v>972000</v>
      </c>
      <c r="RE8" s="8">
        <v>317750</v>
      </c>
      <c r="RF8" s="8">
        <v>317750</v>
      </c>
      <c r="RH8" s="8">
        <v>40000</v>
      </c>
      <c r="RI8" s="8">
        <v>40000</v>
      </c>
      <c r="RJ8" s="8">
        <v>972000</v>
      </c>
      <c r="RK8" s="8">
        <v>357750</v>
      </c>
      <c r="RL8" s="8">
        <v>1329750</v>
      </c>
      <c r="RT8" s="8">
        <v>23315713</v>
      </c>
      <c r="RU8" s="8">
        <v>1139617</v>
      </c>
      <c r="RV8" s="8">
        <v>24455330</v>
      </c>
      <c r="RY8" s="2">
        <v>0</v>
      </c>
      <c r="RZ8" s="6">
        <v>0</v>
      </c>
      <c r="SA8" s="8">
        <v>4401959</v>
      </c>
      <c r="SC8" s="8">
        <v>4401959</v>
      </c>
      <c r="SD8" s="6">
        <v>4401959</v>
      </c>
      <c r="SE8" s="8">
        <v>4401959</v>
      </c>
      <c r="SF8" s="8">
        <v>4401959</v>
      </c>
      <c r="SG8" s="6">
        <v>4401959</v>
      </c>
      <c r="SH8" s="8">
        <v>285504</v>
      </c>
      <c r="SI8" s="8">
        <v>285504</v>
      </c>
      <c r="SJ8" s="6">
        <v>343000</v>
      </c>
      <c r="SK8" s="8">
        <v>364530</v>
      </c>
      <c r="SL8" s="8">
        <v>364530</v>
      </c>
      <c r="SM8" s="8">
        <v>27717672</v>
      </c>
      <c r="SN8" s="8">
        <v>1789651</v>
      </c>
      <c r="SO8" s="8">
        <v>29507323</v>
      </c>
      <c r="SP8" s="8">
        <v>18000000</v>
      </c>
      <c r="SQ8" s="2" t="s">
        <v>4295</v>
      </c>
      <c r="SX8" s="8">
        <v>3750000</v>
      </c>
      <c r="SY8" s="2" t="s">
        <v>96</v>
      </c>
      <c r="SZ8" s="2" t="s">
        <v>96</v>
      </c>
      <c r="TA8" s="2" t="s">
        <v>96</v>
      </c>
      <c r="TB8" s="8">
        <v>5418816</v>
      </c>
      <c r="TF8" s="8">
        <v>2338507</v>
      </c>
      <c r="TG8" s="8">
        <v>29507323</v>
      </c>
      <c r="TH8" s="2">
        <v>0</v>
      </c>
      <c r="TI8" s="8">
        <v>8500000</v>
      </c>
      <c r="TJ8" s="2" t="s">
        <v>4295</v>
      </c>
      <c r="TR8" s="8">
        <v>3750000</v>
      </c>
      <c r="TS8" s="8">
        <v>13547043</v>
      </c>
      <c r="TZ8" s="8">
        <v>3710280</v>
      </c>
      <c r="UA8" s="8">
        <v>29507323</v>
      </c>
      <c r="UB8" s="6">
        <v>12250000</v>
      </c>
      <c r="UC8" s="2">
        <v>0</v>
      </c>
      <c r="UD8" s="2">
        <v>98</v>
      </c>
      <c r="UE8" s="5">
        <v>280816</v>
      </c>
      <c r="UF8" s="6">
        <v>374421.77</v>
      </c>
      <c r="UG8" s="6">
        <v>381921.77</v>
      </c>
      <c r="UH8" s="6">
        <v>404837.07</v>
      </c>
      <c r="UI8" s="6">
        <v>39674033.329999998</v>
      </c>
      <c r="UJ8" s="6">
        <v>7141326</v>
      </c>
      <c r="UK8" s="2" t="s">
        <v>97</v>
      </c>
      <c r="UL8" s="6">
        <v>7141326</v>
      </c>
      <c r="UM8" s="6">
        <v>46815359.329999998</v>
      </c>
      <c r="UN8" s="6">
        <v>28857289</v>
      </c>
      <c r="UT8" s="6">
        <v>402233.16</v>
      </c>
      <c r="UW8" s="6">
        <v>402233.16</v>
      </c>
      <c r="UX8" s="6">
        <v>0</v>
      </c>
      <c r="UY8" s="6">
        <v>0</v>
      </c>
      <c r="UZ8" s="2" t="s">
        <v>3387</v>
      </c>
      <c r="VA8" s="2" t="s">
        <v>3288</v>
      </c>
      <c r="VB8" s="2" t="s">
        <v>17</v>
      </c>
      <c r="VI8" s="388" t="s">
        <v>2742</v>
      </c>
      <c r="VJ8" s="2" t="s">
        <v>98</v>
      </c>
      <c r="VK8" s="2" t="s">
        <v>1168</v>
      </c>
      <c r="VL8" s="23">
        <f t="shared" si="0"/>
        <v>128</v>
      </c>
      <c r="VM8" s="17">
        <f t="shared" si="1"/>
        <v>1.3061224489795917</v>
      </c>
      <c r="VN8" s="17" t="str">
        <f t="shared" si="2"/>
        <v>NC-MR-E</v>
      </c>
      <c r="VO8" s="17" t="str">
        <f t="shared" si="15"/>
        <v>NC-MR-E-ESS</v>
      </c>
      <c r="VP8" s="57">
        <v>1</v>
      </c>
      <c r="VQ8" s="17">
        <f t="shared" si="3"/>
        <v>1.1100000000000001</v>
      </c>
      <c r="VR8" s="14">
        <f t="shared" si="4"/>
        <v>1</v>
      </c>
      <c r="VS8" s="14">
        <f t="shared" si="5"/>
        <v>1</v>
      </c>
      <c r="VT8" s="12">
        <f t="shared" si="6"/>
        <v>0.84773877551020416</v>
      </c>
      <c r="VU8" s="29">
        <f t="shared" si="7"/>
        <v>2822970.1224489803</v>
      </c>
      <c r="VV8" s="29">
        <f t="shared" si="8"/>
        <v>28805.82</v>
      </c>
      <c r="VW8" s="351" t="str">
        <f t="shared" si="16"/>
        <v>A</v>
      </c>
      <c r="VX8" s="12" t="str">
        <f t="shared" si="9"/>
        <v>NC-MR-ESS</v>
      </c>
      <c r="VY8" s="23">
        <f t="shared" si="17"/>
        <v>1</v>
      </c>
      <c r="WA8" s="12">
        <f t="shared" si="18"/>
        <v>1</v>
      </c>
      <c r="WB8" s="12">
        <f t="shared" si="19"/>
        <v>1</v>
      </c>
      <c r="WC8" s="12">
        <f t="shared" si="19"/>
        <v>0</v>
      </c>
      <c r="WD8" s="12">
        <f t="shared" si="19"/>
        <v>0</v>
      </c>
      <c r="WE8" s="12">
        <f t="shared" si="20"/>
        <v>1</v>
      </c>
      <c r="WF8" s="12">
        <f t="shared" si="10"/>
        <v>1</v>
      </c>
      <c r="WG8" s="12">
        <f t="shared" si="11"/>
        <v>1</v>
      </c>
      <c r="WH8" s="12">
        <f t="shared" si="12"/>
        <v>0</v>
      </c>
      <c r="WI8" s="31">
        <f t="shared" si="13"/>
        <v>5</v>
      </c>
      <c r="WK8" s="444" t="str">
        <f t="shared" si="14"/>
        <v>NC-MR-ESS-BBY-BRN-NPH-E</v>
      </c>
      <c r="WL8" s="444"/>
      <c r="WM8" s="444"/>
      <c r="WN8" s="12"/>
      <c r="WO8" s="380" t="s">
        <v>2621</v>
      </c>
      <c r="WP8" s="144">
        <f>COUNTIFS($WH$2:$WH$72,"=1",$WA$2:$WA$72,"=1")</f>
        <v>8</v>
      </c>
      <c r="WQ8" s="144">
        <f>COUNTIFS($WH$2:$WH$72,"=1",$WB$2:$WB$72,"=1")</f>
        <v>15</v>
      </c>
      <c r="WR8" s="144">
        <f>COUNTIFS($WH$2:$WH$72,"=1",$WC$2:$WC$72,"=1")</f>
        <v>0</v>
      </c>
      <c r="WS8" s="144">
        <f>COUNTIFS($WH$2:$WH$72,"=1",$WD$2:$WD$72,"=1")</f>
        <v>3</v>
      </c>
      <c r="WT8" s="144">
        <f>COUNTIFS($WH$2:$WH$72,"=1",$WF$2:$WF$72,"=1")</f>
        <v>1</v>
      </c>
      <c r="WU8" s="144">
        <f>COUNTIFS($WH$2:$WH$72,"=1",$WG$2:$WG$72,"=1")</f>
        <v>0</v>
      </c>
      <c r="WV8" s="384"/>
      <c r="WW8" s="144">
        <f>COUNTIFS($WH$2:$WH$72,"=1",$WE$2:$WE$72,"=1")</f>
        <v>15</v>
      </c>
      <c r="WX8" s="205">
        <f>COUNTIF($WH$2:$WH$72,"=1")</f>
        <v>15</v>
      </c>
    </row>
    <row r="9" spans="1:622" x14ac:dyDescent="0.25">
      <c r="A9" s="2">
        <v>9309</v>
      </c>
      <c r="B9" s="2" t="s">
        <v>4319</v>
      </c>
      <c r="C9" s="2" t="s">
        <v>4205</v>
      </c>
      <c r="D9" s="3">
        <v>45128</v>
      </c>
      <c r="E9" s="2" t="s">
        <v>9</v>
      </c>
      <c r="F9" s="2">
        <v>1</v>
      </c>
      <c r="G9" s="2" t="s">
        <v>9</v>
      </c>
      <c r="H9" s="2">
        <v>1</v>
      </c>
      <c r="I9" s="2" t="s">
        <v>11</v>
      </c>
      <c r="J9" s="2">
        <v>0</v>
      </c>
      <c r="K9" s="2" t="s">
        <v>9</v>
      </c>
      <c r="L9" s="2">
        <v>1</v>
      </c>
      <c r="M9" s="2" t="s">
        <v>10</v>
      </c>
      <c r="N9" s="2">
        <v>0</v>
      </c>
      <c r="O9" s="2" t="s">
        <v>10</v>
      </c>
      <c r="P9" s="2">
        <v>0</v>
      </c>
      <c r="Q9" s="2" t="s">
        <v>11</v>
      </c>
      <c r="R9" s="2">
        <v>0</v>
      </c>
      <c r="S9" s="2" t="s">
        <v>9</v>
      </c>
      <c r="T9" s="2">
        <v>2</v>
      </c>
      <c r="U9" s="2" t="s">
        <v>9</v>
      </c>
      <c r="V9" s="2">
        <v>2</v>
      </c>
      <c r="W9" s="2" t="s">
        <v>9</v>
      </c>
      <c r="X9" s="2">
        <v>2</v>
      </c>
      <c r="Y9" s="2" t="s">
        <v>12</v>
      </c>
      <c r="Z9" s="2" t="s">
        <v>978</v>
      </c>
      <c r="AA9" s="2" t="s">
        <v>786</v>
      </c>
      <c r="AB9" s="2" t="s">
        <v>1620</v>
      </c>
      <c r="AC9" s="2" t="s">
        <v>15</v>
      </c>
      <c r="AD9" s="2" t="s">
        <v>15</v>
      </c>
      <c r="AE9" s="2" t="s">
        <v>15</v>
      </c>
      <c r="AF9" s="2">
        <v>3</v>
      </c>
      <c r="AG9" s="2" t="s">
        <v>1621</v>
      </c>
      <c r="AH9" s="2" t="s">
        <v>17</v>
      </c>
      <c r="AI9" s="4">
        <v>0.16667000000000001</v>
      </c>
      <c r="AJ9" s="2" t="s">
        <v>17</v>
      </c>
      <c r="AK9" s="2" t="s">
        <v>9</v>
      </c>
      <c r="AL9" s="2" t="s">
        <v>17</v>
      </c>
      <c r="AM9" s="2" t="s">
        <v>9</v>
      </c>
      <c r="AN9" s="2" t="s">
        <v>17</v>
      </c>
      <c r="AO9" s="2" t="s">
        <v>17</v>
      </c>
      <c r="AP9" s="2" t="s">
        <v>17</v>
      </c>
      <c r="AQ9" s="2" t="s">
        <v>17</v>
      </c>
      <c r="AR9" s="2" t="s">
        <v>17</v>
      </c>
      <c r="AS9" s="2" t="s">
        <v>17</v>
      </c>
      <c r="AT9" s="2">
        <v>5</v>
      </c>
      <c r="AU9" s="5">
        <v>250000</v>
      </c>
      <c r="AV9" s="2" t="s">
        <v>85</v>
      </c>
      <c r="AW9" s="2">
        <v>1</v>
      </c>
      <c r="AX9" s="2">
        <v>2</v>
      </c>
      <c r="AY9" s="2">
        <v>0</v>
      </c>
      <c r="AZ9" s="2">
        <v>17</v>
      </c>
      <c r="BA9" s="2">
        <v>0</v>
      </c>
      <c r="BB9" s="2">
        <v>1</v>
      </c>
      <c r="BC9" s="2">
        <v>1</v>
      </c>
      <c r="BD9" s="2">
        <v>3</v>
      </c>
      <c r="BE9" s="2">
        <v>1</v>
      </c>
      <c r="BF9" s="2">
        <v>1</v>
      </c>
      <c r="BG9" s="2">
        <v>0</v>
      </c>
      <c r="BH9" s="2">
        <v>0</v>
      </c>
      <c r="BI9" s="2">
        <v>13</v>
      </c>
      <c r="BJ9" s="2">
        <v>1</v>
      </c>
      <c r="BK9" s="2">
        <v>0</v>
      </c>
      <c r="BL9" s="2">
        <v>3</v>
      </c>
      <c r="BM9" s="2">
        <v>2</v>
      </c>
      <c r="BN9" s="2">
        <v>10</v>
      </c>
      <c r="BO9" s="2">
        <v>10</v>
      </c>
      <c r="BP9" s="2">
        <v>100.1</v>
      </c>
      <c r="BQ9" s="5">
        <v>3750000</v>
      </c>
      <c r="BR9" s="2">
        <v>1</v>
      </c>
      <c r="BS9" s="4">
        <v>0.06</v>
      </c>
      <c r="BT9" s="2" t="s">
        <v>9</v>
      </c>
      <c r="BU9" s="2" t="s">
        <v>17</v>
      </c>
      <c r="BV9" s="6">
        <v>27072.35</v>
      </c>
      <c r="BW9" s="2" t="s">
        <v>18</v>
      </c>
      <c r="BX9" s="2" t="s">
        <v>17</v>
      </c>
      <c r="BY9" s="2" t="s">
        <v>17</v>
      </c>
      <c r="BZ9" s="2" t="s">
        <v>17</v>
      </c>
      <c r="CA9" s="2" t="s">
        <v>17</v>
      </c>
      <c r="CB9" s="2" t="s">
        <v>17</v>
      </c>
      <c r="CC9" s="2" t="s">
        <v>17</v>
      </c>
      <c r="CE9" s="2" t="s">
        <v>4320</v>
      </c>
      <c r="CF9" s="2" t="s">
        <v>17</v>
      </c>
      <c r="CG9" s="2" t="s">
        <v>17</v>
      </c>
      <c r="DA9" s="2" t="s">
        <v>3181</v>
      </c>
      <c r="DB9" s="2" t="s">
        <v>4321</v>
      </c>
      <c r="DD9" s="2" t="s">
        <v>9</v>
      </c>
      <c r="DE9" s="2" t="s">
        <v>3182</v>
      </c>
      <c r="DF9" s="2" t="s">
        <v>4322</v>
      </c>
      <c r="DG9" s="2" t="s">
        <v>3183</v>
      </c>
      <c r="DH9" s="2" t="s">
        <v>330</v>
      </c>
      <c r="DI9" s="2">
        <v>108</v>
      </c>
      <c r="DJ9" s="2" t="s">
        <v>3827</v>
      </c>
      <c r="DK9" s="2">
        <v>2020</v>
      </c>
      <c r="DL9" s="2" t="s">
        <v>4209</v>
      </c>
      <c r="DM9" s="2" t="s">
        <v>4210</v>
      </c>
      <c r="DN9" s="2" t="s">
        <v>33</v>
      </c>
      <c r="DO9" s="2" t="s">
        <v>3189</v>
      </c>
      <c r="DQ9" s="2" t="s">
        <v>3190</v>
      </c>
      <c r="DR9" s="2" t="s">
        <v>3191</v>
      </c>
      <c r="DS9" s="2">
        <v>1</v>
      </c>
      <c r="DT9" s="2" t="s">
        <v>3838</v>
      </c>
      <c r="DU9" s="2" t="s">
        <v>3079</v>
      </c>
      <c r="DV9" s="2" t="s">
        <v>39</v>
      </c>
      <c r="DW9" s="2">
        <v>33020</v>
      </c>
      <c r="DX9" s="2" t="s">
        <v>4323</v>
      </c>
      <c r="DY9" s="2">
        <v>2256</v>
      </c>
      <c r="DZ9" s="2" t="s">
        <v>4307</v>
      </c>
      <c r="EA9" s="2" t="s">
        <v>3182</v>
      </c>
      <c r="EB9" s="2" t="s">
        <v>3729</v>
      </c>
      <c r="EC9" s="2" t="s">
        <v>2943</v>
      </c>
      <c r="ED9" s="2" t="s">
        <v>44</v>
      </c>
      <c r="EE9" s="2">
        <v>88</v>
      </c>
      <c r="EF9" s="2" t="s">
        <v>3828</v>
      </c>
      <c r="EG9" s="2">
        <v>7</v>
      </c>
      <c r="EH9" s="2" t="s">
        <v>46</v>
      </c>
      <c r="EI9" s="2" t="s">
        <v>47</v>
      </c>
      <c r="EJ9" s="2" t="s">
        <v>3730</v>
      </c>
      <c r="EK9" s="2" t="s">
        <v>330</v>
      </c>
      <c r="EL9" s="2" t="s">
        <v>44</v>
      </c>
      <c r="EM9" s="2">
        <v>136</v>
      </c>
      <c r="EN9" s="2" t="s">
        <v>3828</v>
      </c>
      <c r="EO9" s="2">
        <v>4</v>
      </c>
      <c r="EP9" s="2" t="s">
        <v>46</v>
      </c>
      <c r="EQ9" s="2" t="s">
        <v>47</v>
      </c>
      <c r="ER9" s="2" t="s">
        <v>3197</v>
      </c>
      <c r="ES9" s="2" t="s">
        <v>1415</v>
      </c>
      <c r="ET9" s="2" t="s">
        <v>3198</v>
      </c>
      <c r="EU9" s="2" t="s">
        <v>4320</v>
      </c>
      <c r="EV9" s="2" t="s">
        <v>3838</v>
      </c>
      <c r="EW9" s="2" t="s">
        <v>3079</v>
      </c>
      <c r="EX9" s="2" t="s">
        <v>39</v>
      </c>
      <c r="EY9" s="2">
        <v>33020</v>
      </c>
      <c r="EZ9" s="2" t="s">
        <v>3839</v>
      </c>
      <c r="FA9" s="2">
        <v>2231</v>
      </c>
      <c r="FB9" s="2" t="s">
        <v>3785</v>
      </c>
      <c r="FC9" s="2" t="s">
        <v>3197</v>
      </c>
      <c r="FD9" s="2" t="s">
        <v>1415</v>
      </c>
      <c r="FE9" s="2" t="s">
        <v>3198</v>
      </c>
      <c r="FF9" s="2" t="s">
        <v>4320</v>
      </c>
      <c r="FG9" s="2" t="s">
        <v>3838</v>
      </c>
      <c r="FH9" s="2" t="s">
        <v>3079</v>
      </c>
      <c r="FI9" s="2" t="s">
        <v>39</v>
      </c>
      <c r="FJ9" s="2">
        <v>33020</v>
      </c>
      <c r="FK9" s="2" t="s">
        <v>4323</v>
      </c>
      <c r="FL9" s="2">
        <v>2231</v>
      </c>
      <c r="FM9" s="2" t="s">
        <v>3785</v>
      </c>
      <c r="FN9" s="2" t="s">
        <v>4324</v>
      </c>
      <c r="FO9" s="2" t="s">
        <v>63</v>
      </c>
      <c r="FP9" s="2" t="s">
        <v>64</v>
      </c>
      <c r="FQ9" s="2" t="s">
        <v>9</v>
      </c>
      <c r="FR9" s="2" t="s">
        <v>17</v>
      </c>
      <c r="FS9" s="2" t="s">
        <v>17</v>
      </c>
      <c r="FT9" s="2" t="s">
        <v>9</v>
      </c>
      <c r="FX9" s="2">
        <v>0</v>
      </c>
      <c r="FY9" s="2">
        <v>0</v>
      </c>
      <c r="FZ9" s="4">
        <v>0</v>
      </c>
      <c r="GA9" s="4">
        <v>0</v>
      </c>
      <c r="GB9" s="2" t="s">
        <v>65</v>
      </c>
      <c r="GC9" s="2" t="s">
        <v>66</v>
      </c>
      <c r="GD9" s="2" t="s">
        <v>67</v>
      </c>
      <c r="GE9" s="2" t="s">
        <v>68</v>
      </c>
      <c r="GF9" s="2">
        <v>102</v>
      </c>
      <c r="GG9" s="2">
        <v>102</v>
      </c>
      <c r="GQ9" s="2">
        <v>102</v>
      </c>
      <c r="GR9" s="2" t="s">
        <v>3332</v>
      </c>
      <c r="GS9" s="2" t="s">
        <v>2686</v>
      </c>
      <c r="GT9" s="2" t="s">
        <v>4325</v>
      </c>
      <c r="GU9" s="2" t="s">
        <v>4155</v>
      </c>
      <c r="GV9" s="2" t="s">
        <v>17</v>
      </c>
      <c r="GW9" s="2">
        <v>25.630956000000001</v>
      </c>
      <c r="GX9" s="2">
        <v>-80.377005999999994</v>
      </c>
      <c r="GZ9" s="2" t="s">
        <v>17</v>
      </c>
      <c r="HA9" s="2">
        <v>0</v>
      </c>
      <c r="HC9" s="2">
        <v>0</v>
      </c>
      <c r="HD9" s="2">
        <v>25.631231</v>
      </c>
      <c r="HE9" s="2">
        <v>-80.374932999999999</v>
      </c>
      <c r="HF9" s="2">
        <v>0.13</v>
      </c>
      <c r="HG9" s="2">
        <v>6</v>
      </c>
      <c r="HH9" s="2">
        <v>25.631063999999999</v>
      </c>
      <c r="HI9" s="2">
        <v>-80.374235999999996</v>
      </c>
      <c r="HJ9" s="2">
        <v>0.17</v>
      </c>
      <c r="HK9" s="2">
        <v>25.627459000000002</v>
      </c>
      <c r="HL9" s="2">
        <v>-80.375759000000002</v>
      </c>
      <c r="HM9" s="2">
        <v>0.25</v>
      </c>
      <c r="HZ9" s="2" t="s">
        <v>3281</v>
      </c>
      <c r="IA9" s="2">
        <v>0.18</v>
      </c>
      <c r="IB9" s="2">
        <v>4</v>
      </c>
      <c r="IF9" s="2" t="s">
        <v>641</v>
      </c>
      <c r="IG9" s="2">
        <v>0.2</v>
      </c>
      <c r="IH9" s="2">
        <v>4</v>
      </c>
      <c r="II9" s="2" t="s">
        <v>4326</v>
      </c>
      <c r="IJ9" s="2">
        <v>0.89</v>
      </c>
      <c r="IK9" s="2">
        <v>3</v>
      </c>
      <c r="IL9" s="2" t="s">
        <v>17</v>
      </c>
      <c r="IM9" s="2" t="s">
        <v>17</v>
      </c>
      <c r="IO9" s="2" t="s">
        <v>17</v>
      </c>
      <c r="IP9" s="2" t="s">
        <v>79</v>
      </c>
      <c r="IQ9" s="2" t="s">
        <v>79</v>
      </c>
      <c r="IR9" s="2">
        <v>6</v>
      </c>
      <c r="IS9" s="2">
        <v>11</v>
      </c>
      <c r="IT9" s="2">
        <v>0</v>
      </c>
      <c r="IU9" s="2">
        <v>17</v>
      </c>
      <c r="IV9" s="2" t="s">
        <v>9</v>
      </c>
      <c r="IW9" s="2" t="s">
        <v>9</v>
      </c>
      <c r="IX9" s="2" t="s">
        <v>9</v>
      </c>
      <c r="IY9" s="2">
        <v>17</v>
      </c>
      <c r="IZ9" s="2">
        <v>102</v>
      </c>
      <c r="JB9" s="2" t="s">
        <v>82</v>
      </c>
      <c r="JH9" s="7">
        <v>0</v>
      </c>
      <c r="JI9" s="2">
        <v>0</v>
      </c>
      <c r="JJ9" s="7">
        <v>0</v>
      </c>
      <c r="JK9" s="2">
        <v>0</v>
      </c>
      <c r="JL9" s="7">
        <v>0</v>
      </c>
      <c r="JN9" s="2">
        <v>17</v>
      </c>
      <c r="JQ9" s="2">
        <v>38</v>
      </c>
      <c r="JR9" s="2">
        <v>47</v>
      </c>
      <c r="JT9" s="2">
        <v>0</v>
      </c>
      <c r="JU9" s="2">
        <v>0</v>
      </c>
      <c r="JV9" s="2">
        <v>102</v>
      </c>
      <c r="JW9" s="4">
        <v>1</v>
      </c>
      <c r="JX9" s="2">
        <v>102</v>
      </c>
      <c r="JY9" s="4">
        <v>0.59608000000000005</v>
      </c>
      <c r="KE9" s="7">
        <v>0</v>
      </c>
      <c r="KF9" s="2">
        <v>0</v>
      </c>
      <c r="KH9" s="2">
        <v>30</v>
      </c>
      <c r="KK9" s="2">
        <v>60</v>
      </c>
      <c r="KL9" s="2">
        <v>12</v>
      </c>
      <c r="KQ9" s="2" t="s">
        <v>83</v>
      </c>
      <c r="KR9" s="2" t="s">
        <v>73</v>
      </c>
      <c r="KT9" s="2">
        <v>4</v>
      </c>
      <c r="KU9" s="2" t="s">
        <v>84</v>
      </c>
      <c r="KW9" s="2" t="s">
        <v>86</v>
      </c>
      <c r="KX9" s="2" t="s">
        <v>17</v>
      </c>
      <c r="KY9" s="2" t="s">
        <v>17</v>
      </c>
      <c r="KZ9" s="2" t="s">
        <v>17</v>
      </c>
      <c r="LA9" s="2" t="s">
        <v>17</v>
      </c>
      <c r="LB9" s="2" t="s">
        <v>17</v>
      </c>
      <c r="LC9" s="2" t="s">
        <v>17</v>
      </c>
      <c r="LD9" s="2" t="s">
        <v>17</v>
      </c>
      <c r="LE9" s="2" t="s">
        <v>17</v>
      </c>
      <c r="LF9" s="2" t="s">
        <v>17</v>
      </c>
      <c r="LG9" s="2" t="s">
        <v>17</v>
      </c>
      <c r="LH9" s="2" t="s">
        <v>17</v>
      </c>
      <c r="LI9" s="2" t="s">
        <v>17</v>
      </c>
      <c r="LJ9" s="2" t="s">
        <v>87</v>
      </c>
      <c r="LK9" s="2" t="s">
        <v>17</v>
      </c>
      <c r="LL9" s="2" t="s">
        <v>17</v>
      </c>
      <c r="LM9" s="2">
        <v>0</v>
      </c>
      <c r="LN9" s="2" t="s">
        <v>17</v>
      </c>
      <c r="LO9" s="2" t="s">
        <v>9</v>
      </c>
      <c r="LP9" s="2" t="s">
        <v>9</v>
      </c>
      <c r="LQ9" s="2" t="s">
        <v>17</v>
      </c>
      <c r="LR9" s="2" t="s">
        <v>9</v>
      </c>
      <c r="LS9" s="2" t="s">
        <v>17</v>
      </c>
      <c r="LT9" s="2" t="s">
        <v>17</v>
      </c>
      <c r="LU9" s="2" t="s">
        <v>17</v>
      </c>
      <c r="LV9" s="2" t="s">
        <v>17</v>
      </c>
      <c r="LW9" s="2" t="s">
        <v>17</v>
      </c>
      <c r="LX9" s="2" t="s">
        <v>17</v>
      </c>
      <c r="LY9" s="5">
        <v>6500000</v>
      </c>
      <c r="LZ9" s="5">
        <v>0</v>
      </c>
      <c r="MA9" s="5">
        <v>9690000</v>
      </c>
      <c r="MB9" s="5">
        <v>3000000</v>
      </c>
      <c r="MC9" s="5">
        <v>3000000</v>
      </c>
      <c r="MD9" s="5">
        <v>750000</v>
      </c>
      <c r="ME9" s="5">
        <v>750000</v>
      </c>
      <c r="MF9" s="5">
        <v>750000</v>
      </c>
      <c r="MG9" s="5">
        <v>10000000</v>
      </c>
      <c r="MH9" s="5">
        <v>0</v>
      </c>
      <c r="MI9" s="5">
        <v>10000000</v>
      </c>
      <c r="MJ9" s="5">
        <v>0</v>
      </c>
      <c r="MK9" s="5">
        <v>1267000</v>
      </c>
      <c r="ML9" s="5">
        <v>0</v>
      </c>
      <c r="MM9" s="5">
        <v>0</v>
      </c>
      <c r="MN9" s="2">
        <v>0</v>
      </c>
      <c r="MO9" s="5">
        <v>0</v>
      </c>
      <c r="MP9" s="5">
        <v>0</v>
      </c>
      <c r="MQ9" s="2">
        <v>0</v>
      </c>
      <c r="MR9" s="2">
        <v>0</v>
      </c>
      <c r="MS9" s="2">
        <v>0</v>
      </c>
      <c r="MT9" s="5">
        <v>2950000</v>
      </c>
      <c r="MU9" s="5">
        <v>0</v>
      </c>
      <c r="MV9" s="5">
        <v>4600000</v>
      </c>
      <c r="MW9" s="5">
        <v>0</v>
      </c>
      <c r="MY9" s="5">
        <v>0</v>
      </c>
      <c r="MZ9" s="5">
        <v>0</v>
      </c>
      <c r="NA9" s="5">
        <v>0</v>
      </c>
      <c r="NB9" s="5">
        <v>2500000</v>
      </c>
      <c r="NC9" s="5">
        <v>0</v>
      </c>
      <c r="ND9" s="5">
        <v>5000000</v>
      </c>
      <c r="NE9" s="5">
        <v>0</v>
      </c>
      <c r="NF9" s="5">
        <v>0</v>
      </c>
      <c r="NG9" s="5">
        <v>0</v>
      </c>
      <c r="NH9" s="5"/>
      <c r="NI9" s="5">
        <v>0</v>
      </c>
      <c r="NJ9" s="5">
        <v>1438422</v>
      </c>
      <c r="NK9" s="2" t="s">
        <v>17</v>
      </c>
      <c r="NL9" s="2">
        <v>2023</v>
      </c>
      <c r="NO9" s="2" t="s">
        <v>9</v>
      </c>
      <c r="NP9" s="2">
        <v>33176</v>
      </c>
      <c r="NQ9" s="2" t="s">
        <v>3573</v>
      </c>
      <c r="NR9" s="2" t="s">
        <v>17</v>
      </c>
      <c r="NT9" s="2" t="s">
        <v>17</v>
      </c>
      <c r="NX9" s="2" t="s">
        <v>118</v>
      </c>
      <c r="NY9" s="2" t="s">
        <v>118</v>
      </c>
      <c r="NZ9" s="2" t="s">
        <v>118</v>
      </c>
      <c r="OA9" s="2" t="s">
        <v>17</v>
      </c>
      <c r="OB9" s="2" t="s">
        <v>119</v>
      </c>
      <c r="OF9" s="2" t="s">
        <v>17</v>
      </c>
      <c r="OG9" s="2" t="s">
        <v>17</v>
      </c>
      <c r="OH9" s="2" t="s">
        <v>85</v>
      </c>
      <c r="OI9" s="6">
        <v>0</v>
      </c>
      <c r="OJ9" s="6">
        <v>90000</v>
      </c>
      <c r="OK9" s="2" t="s">
        <v>17</v>
      </c>
      <c r="OL9" s="2" t="s">
        <v>17</v>
      </c>
      <c r="OM9" s="6">
        <v>0</v>
      </c>
      <c r="ON9" s="6">
        <v>0</v>
      </c>
      <c r="OO9" s="6">
        <v>0</v>
      </c>
      <c r="OP9" s="6">
        <v>0</v>
      </c>
      <c r="OQ9" s="4">
        <v>0</v>
      </c>
      <c r="OR9" s="6">
        <v>0</v>
      </c>
      <c r="OS9" s="4">
        <v>0</v>
      </c>
      <c r="OT9" s="2" t="s">
        <v>17</v>
      </c>
      <c r="OU9" s="2" t="s">
        <v>17</v>
      </c>
      <c r="OW9" s="2" t="s">
        <v>17</v>
      </c>
      <c r="OX9" s="5">
        <v>2761380</v>
      </c>
      <c r="OY9" s="6">
        <v>27072.35</v>
      </c>
      <c r="PD9" s="8">
        <v>14775100</v>
      </c>
      <c r="PE9" s="8">
        <v>96900</v>
      </c>
      <c r="PF9" s="8">
        <v>14872000</v>
      </c>
      <c r="PG9" s="8">
        <v>2142000</v>
      </c>
      <c r="PI9" s="8">
        <v>2142000</v>
      </c>
      <c r="PO9" s="8">
        <v>16917100</v>
      </c>
      <c r="PP9" s="8">
        <v>96900</v>
      </c>
      <c r="PQ9" s="8">
        <v>17014000</v>
      </c>
      <c r="PR9" s="8">
        <v>2381000</v>
      </c>
      <c r="PT9" s="8">
        <v>2381000</v>
      </c>
      <c r="PU9" s="6">
        <v>2381960</v>
      </c>
      <c r="PV9" s="8">
        <v>19298100</v>
      </c>
      <c r="PW9" s="8">
        <v>96900</v>
      </c>
      <c r="PX9" s="8">
        <v>19395000</v>
      </c>
      <c r="PY9" s="8">
        <v>969750</v>
      </c>
      <c r="QA9" s="8">
        <v>969750</v>
      </c>
      <c r="QB9" s="6">
        <v>969750</v>
      </c>
      <c r="QC9" s="8">
        <v>893350</v>
      </c>
      <c r="QD9" s="8">
        <v>451450</v>
      </c>
      <c r="QE9" s="8">
        <v>1344800</v>
      </c>
      <c r="QF9" s="8">
        <v>76500</v>
      </c>
      <c r="QH9" s="8">
        <v>76500</v>
      </c>
      <c r="QI9" s="8">
        <v>490463</v>
      </c>
      <c r="QJ9" s="8">
        <v>39780</v>
      </c>
      <c r="QK9" s="8">
        <v>530243</v>
      </c>
      <c r="QM9" s="8">
        <v>392458</v>
      </c>
      <c r="QN9" s="8">
        <v>392458</v>
      </c>
      <c r="QU9" s="8">
        <v>1460313</v>
      </c>
      <c r="QV9" s="8">
        <v>883688</v>
      </c>
      <c r="QW9" s="8">
        <v>2344001</v>
      </c>
      <c r="QX9" s="8">
        <v>113500</v>
      </c>
      <c r="QZ9" s="8">
        <v>113500</v>
      </c>
      <c r="RA9" s="6">
        <v>117200.05</v>
      </c>
      <c r="RB9" s="8">
        <v>1317500</v>
      </c>
      <c r="RD9" s="8">
        <v>1317500</v>
      </c>
      <c r="RE9" s="8">
        <v>930828</v>
      </c>
      <c r="RF9" s="8">
        <v>930828</v>
      </c>
      <c r="RJ9" s="8">
        <v>1317500</v>
      </c>
      <c r="RK9" s="8">
        <v>930828</v>
      </c>
      <c r="RL9" s="8">
        <v>2248328</v>
      </c>
      <c r="RT9" s="8">
        <v>23159163</v>
      </c>
      <c r="RU9" s="8">
        <v>1911416</v>
      </c>
      <c r="RV9" s="8">
        <v>25070579</v>
      </c>
      <c r="RY9" s="2">
        <v>0</v>
      </c>
      <c r="RZ9" s="6">
        <v>0</v>
      </c>
      <c r="SA9" s="8">
        <v>4502804</v>
      </c>
      <c r="SC9" s="8">
        <v>4502804</v>
      </c>
      <c r="SD9" s="6">
        <v>4512704</v>
      </c>
      <c r="SE9" s="8">
        <v>4502804</v>
      </c>
      <c r="SF9" s="8">
        <v>4502804</v>
      </c>
      <c r="SG9" s="6">
        <v>4512704</v>
      </c>
      <c r="SJ9" s="6">
        <v>357000</v>
      </c>
      <c r="SK9" s="8">
        <v>2295000</v>
      </c>
      <c r="SL9" s="8">
        <v>2295000</v>
      </c>
      <c r="SM9" s="8">
        <v>27661967</v>
      </c>
      <c r="SN9" s="8">
        <v>4206416</v>
      </c>
      <c r="SO9" s="8">
        <v>31868383</v>
      </c>
      <c r="SP9" s="8">
        <v>16400000</v>
      </c>
      <c r="SQ9" s="2" t="s">
        <v>4220</v>
      </c>
      <c r="SV9" s="8" t="s">
        <v>5358</v>
      </c>
      <c r="SW9" s="2" t="s">
        <v>180</v>
      </c>
      <c r="SX9" s="8">
        <v>3750000</v>
      </c>
      <c r="SY9" s="2" t="s">
        <v>96</v>
      </c>
      <c r="SZ9" s="2" t="s">
        <v>96</v>
      </c>
      <c r="TA9" s="2" t="s">
        <v>96</v>
      </c>
      <c r="TB9" s="8">
        <v>3293000</v>
      </c>
      <c r="TF9" s="8">
        <v>3325383</v>
      </c>
      <c r="TG9" s="8">
        <v>31868383</v>
      </c>
      <c r="TH9" s="2">
        <v>0</v>
      </c>
      <c r="TI9" s="8">
        <v>7700000</v>
      </c>
      <c r="TJ9" s="2" t="s">
        <v>95</v>
      </c>
      <c r="TO9" s="8" t="s">
        <v>5358</v>
      </c>
      <c r="TP9" s="2" t="s">
        <v>180</v>
      </c>
      <c r="TR9" s="8">
        <v>3750000</v>
      </c>
      <c r="TS9" s="8">
        <v>13520000</v>
      </c>
      <c r="TZ9" s="8">
        <v>1798383</v>
      </c>
      <c r="UA9" s="8">
        <v>31868383</v>
      </c>
      <c r="UB9" s="6">
        <v>16550000</v>
      </c>
      <c r="UC9" s="2">
        <v>0</v>
      </c>
      <c r="UD9" s="2">
        <v>102</v>
      </c>
      <c r="UE9" s="5">
        <v>260000</v>
      </c>
      <c r="UF9" s="6">
        <v>346666.67</v>
      </c>
      <c r="UG9" s="6">
        <v>354166.67</v>
      </c>
      <c r="UH9" s="6">
        <v>375416.67</v>
      </c>
      <c r="UI9" s="6">
        <v>38292500</v>
      </c>
      <c r="UJ9" s="6">
        <v>6892650</v>
      </c>
      <c r="UK9" s="2" t="s">
        <v>97</v>
      </c>
      <c r="UL9" s="6">
        <v>6892650</v>
      </c>
      <c r="UM9" s="6">
        <v>45185150</v>
      </c>
      <c r="UN9" s="6">
        <v>29573383</v>
      </c>
      <c r="UT9" s="6">
        <v>965699.14</v>
      </c>
      <c r="UW9" s="6">
        <v>965699.14</v>
      </c>
      <c r="UX9" s="6">
        <v>0</v>
      </c>
      <c r="UY9" s="6">
        <v>0</v>
      </c>
      <c r="UZ9" s="2" t="s">
        <v>3387</v>
      </c>
      <c r="VA9" s="2" t="s">
        <v>3288</v>
      </c>
      <c r="VB9" s="2" t="s">
        <v>17</v>
      </c>
      <c r="VI9" s="388" t="s">
        <v>3209</v>
      </c>
      <c r="VJ9" s="2" t="s">
        <v>98</v>
      </c>
      <c r="VK9" s="2" t="s">
        <v>536</v>
      </c>
      <c r="VL9" s="23">
        <f t="shared" si="0"/>
        <v>186</v>
      </c>
      <c r="VM9" s="17">
        <f t="shared" si="1"/>
        <v>1.8235294117647058</v>
      </c>
      <c r="VN9" s="17" t="str">
        <f t="shared" si="2"/>
        <v>NC-GA-F</v>
      </c>
      <c r="VO9" s="17" t="str">
        <f t="shared" si="15"/>
        <v>NC-GA-F-ESS</v>
      </c>
      <c r="VP9" s="57">
        <v>1</v>
      </c>
      <c r="VQ9" s="17">
        <f t="shared" si="3"/>
        <v>1.1100000000000001</v>
      </c>
      <c r="VR9" s="14">
        <f t="shared" si="4"/>
        <v>1</v>
      </c>
      <c r="VS9" s="14">
        <f t="shared" si="5"/>
        <v>1</v>
      </c>
      <c r="VT9" s="12">
        <f t="shared" si="6"/>
        <v>0.85439999999999994</v>
      </c>
      <c r="VU9" s="29">
        <f t="shared" si="7"/>
        <v>2845152</v>
      </c>
      <c r="VV9" s="29">
        <f t="shared" si="8"/>
        <v>27893.65</v>
      </c>
      <c r="VW9" s="351" t="str">
        <f t="shared" si="16"/>
        <v>A</v>
      </c>
      <c r="VX9" s="12" t="str">
        <f t="shared" si="9"/>
        <v>NC-GA-ESS</v>
      </c>
      <c r="VY9" s="23">
        <f t="shared" si="17"/>
        <v>1</v>
      </c>
      <c r="WA9" s="12">
        <f t="shared" si="18"/>
        <v>0</v>
      </c>
      <c r="WB9" s="12">
        <f t="shared" si="19"/>
        <v>1</v>
      </c>
      <c r="WC9" s="12">
        <f t="shared" si="19"/>
        <v>0</v>
      </c>
      <c r="WD9" s="12">
        <f t="shared" si="19"/>
        <v>0</v>
      </c>
      <c r="WE9" s="12">
        <f t="shared" si="20"/>
        <v>1</v>
      </c>
      <c r="WF9" s="12">
        <f t="shared" si="10"/>
        <v>1</v>
      </c>
      <c r="WG9" s="12">
        <f t="shared" si="11"/>
        <v>0</v>
      </c>
      <c r="WH9" s="12">
        <f t="shared" si="12"/>
        <v>0</v>
      </c>
      <c r="WI9" s="31">
        <f t="shared" si="13"/>
        <v>3</v>
      </c>
      <c r="WK9" s="444" t="str">
        <f t="shared" si="14"/>
        <v>NC-GA-ESS-BBY-BRN-NPH-F</v>
      </c>
      <c r="WL9" s="444"/>
      <c r="WM9" s="444"/>
      <c r="WN9" s="12"/>
      <c r="WO9" s="380" t="s">
        <v>2628</v>
      </c>
      <c r="WP9" s="144">
        <f>COUNTIFS($WE$2:$WE$72,"=1",$WA$2:$WA$72,"=1")</f>
        <v>22</v>
      </c>
      <c r="WQ9" s="144">
        <f>COUNTIFS($WE$2:$WE$72,"=1",$WB$2:$WB$72,"=1")</f>
        <v>40</v>
      </c>
      <c r="WR9" s="144">
        <f>COUNTIFS($WE$2:$WE$72,"=1",$WC$2:$WC$72,"=1")</f>
        <v>1</v>
      </c>
      <c r="WS9" s="144">
        <f>COUNTIFS($WE$2:$WE$72,"=1",$WD$2:$WD$72,"=1")</f>
        <v>11</v>
      </c>
      <c r="WT9" s="144">
        <f>COUNTIFS($WE$2:$WE$72,"=1",$WF$2:$WF$72,"=1")</f>
        <v>16</v>
      </c>
      <c r="WU9" s="144">
        <f>COUNTIFS($WE$2:$WE$72,"=1",$WG$2:$WG$72,"=1")</f>
        <v>15</v>
      </c>
      <c r="WV9" s="144">
        <f>COUNTIFS($WE$2:$WE$72,"=1",$WH$2:$WH$72,"=1")</f>
        <v>15</v>
      </c>
      <c r="WW9" s="384"/>
      <c r="WX9" s="205">
        <f>COUNTIF($WE$2:$WE$72,"=1")</f>
        <v>44</v>
      </c>
    </row>
    <row r="10" spans="1:622" x14ac:dyDescent="0.25">
      <c r="A10" s="2">
        <v>9265</v>
      </c>
      <c r="B10" s="2" t="s">
        <v>4327</v>
      </c>
      <c r="C10" s="2" t="s">
        <v>4205</v>
      </c>
      <c r="D10" s="3">
        <v>45135</v>
      </c>
      <c r="E10" s="2" t="s">
        <v>9</v>
      </c>
      <c r="F10" s="2">
        <v>1</v>
      </c>
      <c r="G10" s="2" t="s">
        <v>9</v>
      </c>
      <c r="H10" s="2">
        <v>1</v>
      </c>
      <c r="I10" s="2" t="s">
        <v>11</v>
      </c>
      <c r="J10" s="2">
        <v>0</v>
      </c>
      <c r="K10" s="2" t="s">
        <v>9</v>
      </c>
      <c r="L10" s="2">
        <v>1</v>
      </c>
      <c r="M10" s="2" t="s">
        <v>10</v>
      </c>
      <c r="N10" s="2">
        <v>0</v>
      </c>
      <c r="O10" s="2" t="s">
        <v>10</v>
      </c>
      <c r="P10" s="2">
        <v>0</v>
      </c>
      <c r="Q10" s="2" t="s">
        <v>11</v>
      </c>
      <c r="R10" s="2">
        <v>0</v>
      </c>
      <c r="S10" s="2" t="s">
        <v>9</v>
      </c>
      <c r="T10" s="2">
        <v>2</v>
      </c>
      <c r="U10" s="2" t="s">
        <v>9</v>
      </c>
      <c r="V10" s="2">
        <v>2</v>
      </c>
      <c r="W10" s="2" t="s">
        <v>9</v>
      </c>
      <c r="X10" s="2">
        <v>2</v>
      </c>
      <c r="Y10" s="2" t="s">
        <v>12</v>
      </c>
      <c r="Z10" s="2" t="s">
        <v>435</v>
      </c>
      <c r="AA10" s="2" t="s">
        <v>15</v>
      </c>
      <c r="AB10" s="2" t="s">
        <v>15</v>
      </c>
      <c r="AC10" s="2" t="s">
        <v>15</v>
      </c>
      <c r="AD10" s="2" t="s">
        <v>15</v>
      </c>
      <c r="AE10" s="2" t="s">
        <v>15</v>
      </c>
      <c r="AF10" s="2">
        <v>1</v>
      </c>
      <c r="AG10" s="2" t="s">
        <v>4328</v>
      </c>
      <c r="AH10" s="2" t="s">
        <v>17</v>
      </c>
      <c r="AI10" s="4">
        <v>0.1573</v>
      </c>
      <c r="AJ10" s="2" t="s">
        <v>17</v>
      </c>
      <c r="AK10" s="2" t="s">
        <v>9</v>
      </c>
      <c r="AL10" s="2" t="s">
        <v>17</v>
      </c>
      <c r="AM10" s="2" t="s">
        <v>17</v>
      </c>
      <c r="AN10" s="2" t="s">
        <v>17</v>
      </c>
      <c r="AO10" s="2" t="s">
        <v>17</v>
      </c>
      <c r="AP10" s="2" t="s">
        <v>17</v>
      </c>
      <c r="AQ10" s="2" t="s">
        <v>17</v>
      </c>
      <c r="AR10" s="2" t="s">
        <v>17</v>
      </c>
      <c r="AS10" s="2" t="s">
        <v>17</v>
      </c>
      <c r="AT10" s="2">
        <v>5</v>
      </c>
      <c r="AU10" s="5">
        <v>50000</v>
      </c>
      <c r="AV10" s="5">
        <v>460000</v>
      </c>
      <c r="AW10" s="2">
        <v>1</v>
      </c>
      <c r="AX10" s="2">
        <v>16</v>
      </c>
      <c r="AY10" s="2">
        <v>0</v>
      </c>
      <c r="AZ10" s="2">
        <v>17</v>
      </c>
      <c r="BA10" s="2">
        <v>0</v>
      </c>
      <c r="BB10" s="2">
        <v>1</v>
      </c>
      <c r="BC10" s="2">
        <v>1</v>
      </c>
      <c r="BD10" s="2">
        <v>0</v>
      </c>
      <c r="BE10" s="2">
        <v>1</v>
      </c>
      <c r="BF10" s="2">
        <v>1</v>
      </c>
      <c r="BG10" s="2">
        <v>0</v>
      </c>
      <c r="BH10" s="2">
        <v>0</v>
      </c>
      <c r="BI10" s="2">
        <v>13</v>
      </c>
      <c r="BJ10" s="2">
        <v>1</v>
      </c>
      <c r="BK10" s="2">
        <v>0</v>
      </c>
      <c r="BL10" s="2">
        <v>3</v>
      </c>
      <c r="BM10" s="2">
        <v>1</v>
      </c>
      <c r="BN10" s="2">
        <v>10</v>
      </c>
      <c r="BO10" s="2">
        <v>10</v>
      </c>
      <c r="BP10" s="2">
        <v>75.489999999999995</v>
      </c>
      <c r="BQ10" s="5">
        <v>4099700</v>
      </c>
      <c r="BR10" s="2">
        <v>1</v>
      </c>
      <c r="BS10" s="4">
        <v>0.06</v>
      </c>
      <c r="BT10" s="2" t="s">
        <v>9</v>
      </c>
      <c r="BU10" s="2" t="s">
        <v>17</v>
      </c>
      <c r="BV10" s="6">
        <v>33150</v>
      </c>
      <c r="BW10" s="2" t="s">
        <v>18</v>
      </c>
      <c r="BX10" s="2" t="s">
        <v>17</v>
      </c>
      <c r="BY10" s="2" t="s">
        <v>17</v>
      </c>
      <c r="BZ10" s="2" t="s">
        <v>17</v>
      </c>
      <c r="CA10" s="2" t="s">
        <v>17</v>
      </c>
      <c r="CB10" s="2" t="s">
        <v>17</v>
      </c>
      <c r="CC10" s="2" t="s">
        <v>17</v>
      </c>
      <c r="CE10" s="2" t="s">
        <v>731</v>
      </c>
      <c r="CF10" s="2" t="s">
        <v>9</v>
      </c>
      <c r="CG10" s="2" t="s">
        <v>17</v>
      </c>
      <c r="DA10" s="2" t="s">
        <v>732</v>
      </c>
      <c r="DD10" s="2" t="s">
        <v>9</v>
      </c>
      <c r="DE10" s="2" t="s">
        <v>733</v>
      </c>
      <c r="DF10" s="2" t="s">
        <v>732</v>
      </c>
      <c r="DG10" s="2" t="s">
        <v>734</v>
      </c>
      <c r="DH10" s="2" t="s">
        <v>374</v>
      </c>
      <c r="DI10" s="2">
        <v>104</v>
      </c>
      <c r="DJ10" s="2" t="s">
        <v>4329</v>
      </c>
      <c r="DK10" s="2">
        <v>2014</v>
      </c>
      <c r="DL10" s="2" t="s">
        <v>4209</v>
      </c>
      <c r="DM10" s="2" t="s">
        <v>4210</v>
      </c>
      <c r="DN10" s="2" t="s">
        <v>33</v>
      </c>
      <c r="DO10" s="2" t="s">
        <v>738</v>
      </c>
      <c r="DQ10" s="2" t="s">
        <v>739</v>
      </c>
      <c r="DR10" s="2" t="s">
        <v>740</v>
      </c>
      <c r="DS10" s="2">
        <v>1</v>
      </c>
      <c r="DT10" s="2" t="s">
        <v>741</v>
      </c>
      <c r="DU10" s="2" t="s">
        <v>661</v>
      </c>
      <c r="DV10" s="2" t="s">
        <v>39</v>
      </c>
      <c r="DW10" s="2">
        <v>32751</v>
      </c>
      <c r="DX10" s="2" t="s">
        <v>742</v>
      </c>
      <c r="DZ10" s="2" t="s">
        <v>743</v>
      </c>
      <c r="EA10" s="2" t="s">
        <v>740</v>
      </c>
      <c r="EB10" s="2" t="s">
        <v>4330</v>
      </c>
      <c r="EC10" s="2" t="s">
        <v>737</v>
      </c>
      <c r="ED10" s="2" t="s">
        <v>44</v>
      </c>
      <c r="EE10" s="2">
        <v>106</v>
      </c>
      <c r="EF10" s="2" t="s">
        <v>4331</v>
      </c>
      <c r="EG10" s="2">
        <v>13</v>
      </c>
      <c r="EH10" s="2" t="s">
        <v>46</v>
      </c>
      <c r="EI10" s="2" t="s">
        <v>47</v>
      </c>
      <c r="EJ10" s="2" t="s">
        <v>745</v>
      </c>
      <c r="EK10" s="2" t="s">
        <v>746</v>
      </c>
      <c r="EL10" s="2" t="s">
        <v>44</v>
      </c>
      <c r="EM10" s="2">
        <v>76</v>
      </c>
      <c r="EN10" s="2" t="s">
        <v>4331</v>
      </c>
      <c r="EO10" s="2">
        <v>14</v>
      </c>
      <c r="EP10" s="2" t="s">
        <v>46</v>
      </c>
      <c r="EQ10" s="2" t="s">
        <v>47</v>
      </c>
      <c r="ER10" s="2" t="s">
        <v>747</v>
      </c>
      <c r="ES10" s="2" t="s">
        <v>748</v>
      </c>
      <c r="ET10" s="2" t="s">
        <v>749</v>
      </c>
      <c r="EU10" s="2" t="s">
        <v>750</v>
      </c>
      <c r="EV10" s="2" t="s">
        <v>4332</v>
      </c>
      <c r="EW10" s="2" t="s">
        <v>752</v>
      </c>
      <c r="EX10" s="2" t="s">
        <v>39</v>
      </c>
      <c r="EY10" s="2">
        <v>32789</v>
      </c>
      <c r="EZ10" s="2" t="s">
        <v>753</v>
      </c>
      <c r="FB10" s="2" t="s">
        <v>754</v>
      </c>
      <c r="FN10" s="2" t="s">
        <v>755</v>
      </c>
      <c r="FO10" s="2" t="s">
        <v>63</v>
      </c>
      <c r="FP10" s="2" t="s">
        <v>64</v>
      </c>
      <c r="FQ10" s="2" t="s">
        <v>9</v>
      </c>
      <c r="FR10" s="2" t="s">
        <v>17</v>
      </c>
      <c r="FS10" s="2" t="s">
        <v>17</v>
      </c>
      <c r="FT10" s="2" t="s">
        <v>9</v>
      </c>
      <c r="FX10" s="2">
        <v>0</v>
      </c>
      <c r="FY10" s="2">
        <v>0</v>
      </c>
      <c r="FZ10" s="4">
        <v>0</v>
      </c>
      <c r="GA10" s="4">
        <v>0</v>
      </c>
      <c r="GB10" s="2" t="s">
        <v>65</v>
      </c>
      <c r="GC10" s="2" t="s">
        <v>66</v>
      </c>
      <c r="GD10" s="2" t="s">
        <v>67</v>
      </c>
      <c r="GE10" s="2" t="s">
        <v>108</v>
      </c>
      <c r="GJ10" s="2">
        <v>89</v>
      </c>
      <c r="GQ10" s="2">
        <v>89</v>
      </c>
      <c r="GR10" s="2" t="s">
        <v>756</v>
      </c>
      <c r="GS10" s="2" t="s">
        <v>70</v>
      </c>
      <c r="GT10" s="2" t="s">
        <v>757</v>
      </c>
      <c r="GU10" s="2" t="s">
        <v>758</v>
      </c>
      <c r="GV10" s="2" t="s">
        <v>17</v>
      </c>
      <c r="GW10" s="2">
        <v>28.787856000000001</v>
      </c>
      <c r="GX10" s="2">
        <v>-81.220033000000001</v>
      </c>
      <c r="GZ10" s="2" t="s">
        <v>17</v>
      </c>
      <c r="HA10" s="2">
        <v>0</v>
      </c>
      <c r="HC10" s="2">
        <v>0</v>
      </c>
      <c r="HD10" s="2">
        <v>28.786849</v>
      </c>
      <c r="HE10" s="2">
        <v>-81.223422999999997</v>
      </c>
      <c r="HF10" s="2">
        <v>0.2</v>
      </c>
      <c r="HG10" s="2">
        <v>2</v>
      </c>
      <c r="IC10" s="2" t="s">
        <v>759</v>
      </c>
      <c r="ID10" s="2">
        <v>0.5</v>
      </c>
      <c r="IE10" s="2">
        <v>3.5</v>
      </c>
      <c r="IF10" s="2" t="s">
        <v>759</v>
      </c>
      <c r="IG10" s="2">
        <v>0.5</v>
      </c>
      <c r="IH10" s="2">
        <v>3.5</v>
      </c>
      <c r="II10" s="2" t="s">
        <v>760</v>
      </c>
      <c r="IJ10" s="2">
        <v>1.23</v>
      </c>
      <c r="IK10" s="2">
        <v>2.5</v>
      </c>
      <c r="IL10" s="2" t="s">
        <v>17</v>
      </c>
      <c r="IM10" s="2" t="s">
        <v>17</v>
      </c>
      <c r="IO10" s="2" t="s">
        <v>17</v>
      </c>
      <c r="IP10" s="2" t="s">
        <v>79</v>
      </c>
      <c r="IQ10" s="2" t="s">
        <v>79</v>
      </c>
      <c r="IR10" s="2">
        <v>2</v>
      </c>
      <c r="IS10" s="2">
        <v>9.5</v>
      </c>
      <c r="IT10" s="2">
        <v>0</v>
      </c>
      <c r="IU10" s="2">
        <v>11.5</v>
      </c>
      <c r="IV10" s="2" t="s">
        <v>80</v>
      </c>
      <c r="IW10" s="2" t="s">
        <v>9</v>
      </c>
      <c r="IX10" s="2" t="s">
        <v>9</v>
      </c>
      <c r="IY10" s="2">
        <v>11.5</v>
      </c>
      <c r="IZ10" s="2">
        <v>89</v>
      </c>
      <c r="JB10" s="2" t="s">
        <v>82</v>
      </c>
      <c r="JH10" s="7">
        <v>0</v>
      </c>
      <c r="JI10" s="2">
        <v>0</v>
      </c>
      <c r="JJ10" s="7">
        <v>0</v>
      </c>
      <c r="JK10" s="2">
        <v>0</v>
      </c>
      <c r="JL10" s="7">
        <v>0</v>
      </c>
      <c r="JN10" s="2">
        <v>14</v>
      </c>
      <c r="JQ10" s="2">
        <v>54</v>
      </c>
      <c r="JS10" s="2">
        <v>21</v>
      </c>
      <c r="JT10" s="2">
        <v>0</v>
      </c>
      <c r="JU10" s="2">
        <v>0</v>
      </c>
      <c r="JV10" s="2">
        <v>89</v>
      </c>
      <c r="JW10" s="4">
        <v>1</v>
      </c>
      <c r="JX10" s="2">
        <v>89</v>
      </c>
      <c r="JY10" s="4">
        <v>0.6</v>
      </c>
      <c r="KE10" s="7">
        <v>0</v>
      </c>
      <c r="KF10" s="2">
        <v>0</v>
      </c>
      <c r="KH10" s="2">
        <v>46</v>
      </c>
      <c r="KK10" s="2">
        <v>23</v>
      </c>
      <c r="KL10" s="2">
        <v>20</v>
      </c>
      <c r="KQ10" s="2" t="s">
        <v>83</v>
      </c>
      <c r="KR10" s="2" t="s">
        <v>73</v>
      </c>
      <c r="KT10" s="2">
        <v>1</v>
      </c>
      <c r="KU10" s="2" t="s">
        <v>84</v>
      </c>
      <c r="KV10" s="2" t="s">
        <v>9</v>
      </c>
      <c r="KW10" s="2" t="s">
        <v>530</v>
      </c>
      <c r="KX10" s="2" t="s">
        <v>17</v>
      </c>
      <c r="KY10" s="2" t="s">
        <v>17</v>
      </c>
      <c r="KZ10" s="2" t="s">
        <v>17</v>
      </c>
      <c r="LA10" s="2" t="s">
        <v>17</v>
      </c>
      <c r="LB10" s="2" t="s">
        <v>17</v>
      </c>
      <c r="LC10" s="2" t="s">
        <v>17</v>
      </c>
      <c r="LD10" s="2" t="s">
        <v>17</v>
      </c>
      <c r="LE10" s="2" t="s">
        <v>17</v>
      </c>
      <c r="LF10" s="2" t="s">
        <v>17</v>
      </c>
      <c r="LG10" s="2" t="s">
        <v>17</v>
      </c>
      <c r="LH10" s="2" t="s">
        <v>17</v>
      </c>
      <c r="LI10" s="2" t="s">
        <v>17</v>
      </c>
      <c r="LJ10" s="2" t="s">
        <v>87</v>
      </c>
      <c r="LK10" s="2" t="s">
        <v>17</v>
      </c>
      <c r="LL10" s="2" t="s">
        <v>17</v>
      </c>
      <c r="LM10" s="2">
        <v>0</v>
      </c>
      <c r="LN10" s="2" t="s">
        <v>17</v>
      </c>
      <c r="LO10" s="2" t="s">
        <v>9</v>
      </c>
      <c r="LP10" s="2" t="s">
        <v>9</v>
      </c>
      <c r="LQ10" s="2" t="s">
        <v>17</v>
      </c>
      <c r="LR10" s="2" t="s">
        <v>9</v>
      </c>
      <c r="LS10" s="2" t="s">
        <v>17</v>
      </c>
      <c r="LT10" s="2" t="s">
        <v>17</v>
      </c>
      <c r="LU10" s="2" t="s">
        <v>17</v>
      </c>
      <c r="LV10" s="2" t="s">
        <v>17</v>
      </c>
      <c r="LW10" s="2" t="s">
        <v>17</v>
      </c>
      <c r="LX10" s="2" t="s">
        <v>17</v>
      </c>
      <c r="LY10" s="5">
        <v>6500000</v>
      </c>
      <c r="LZ10" s="5">
        <v>0</v>
      </c>
      <c r="MA10" s="5">
        <v>3649000</v>
      </c>
      <c r="MB10" s="5">
        <v>3471000</v>
      </c>
      <c r="MC10" s="5">
        <v>3471000</v>
      </c>
      <c r="MD10" s="5">
        <v>628700</v>
      </c>
      <c r="ME10" s="5">
        <v>628700</v>
      </c>
      <c r="MF10" s="5">
        <v>628700</v>
      </c>
      <c r="MG10" s="5">
        <v>9345000</v>
      </c>
      <c r="MH10" s="5">
        <v>0</v>
      </c>
      <c r="MI10" s="5">
        <v>9345000</v>
      </c>
      <c r="MJ10" s="5">
        <v>0</v>
      </c>
      <c r="MK10" s="5">
        <v>628700</v>
      </c>
      <c r="ML10" s="5">
        <v>0</v>
      </c>
      <c r="MM10" s="5">
        <v>0</v>
      </c>
      <c r="MN10" s="2">
        <v>0</v>
      </c>
      <c r="MO10" s="5">
        <v>0</v>
      </c>
      <c r="MP10" s="5">
        <v>0</v>
      </c>
      <c r="MQ10" s="2">
        <v>0</v>
      </c>
      <c r="MR10" s="2">
        <v>0</v>
      </c>
      <c r="MS10" s="2">
        <v>0</v>
      </c>
      <c r="MT10" s="5">
        <v>2950000</v>
      </c>
      <c r="MU10" s="5">
        <v>0</v>
      </c>
      <c r="MV10" s="5">
        <v>4600000</v>
      </c>
      <c r="MW10" s="5">
        <v>0</v>
      </c>
      <c r="MX10" s="2" t="s">
        <v>17</v>
      </c>
      <c r="MY10" s="5">
        <v>0</v>
      </c>
      <c r="MZ10" s="5">
        <v>0</v>
      </c>
      <c r="NA10" s="5">
        <v>0</v>
      </c>
      <c r="NB10" s="5">
        <v>2500000</v>
      </c>
      <c r="NC10" s="5">
        <v>0</v>
      </c>
      <c r="ND10" s="5">
        <v>5000000</v>
      </c>
      <c r="NE10" s="5">
        <v>0</v>
      </c>
      <c r="NF10" s="5">
        <v>0</v>
      </c>
      <c r="NG10" s="5">
        <v>0</v>
      </c>
      <c r="NH10" s="5"/>
      <c r="NI10" s="5">
        <v>0</v>
      </c>
      <c r="NJ10" s="5">
        <v>919951</v>
      </c>
      <c r="NK10" s="2" t="s">
        <v>17</v>
      </c>
      <c r="NL10" s="2">
        <v>2023</v>
      </c>
      <c r="NM10" s="2" t="s">
        <v>17</v>
      </c>
      <c r="NO10" s="2" t="s">
        <v>17</v>
      </c>
      <c r="NR10" s="2" t="s">
        <v>17</v>
      </c>
      <c r="NT10" s="2" t="s">
        <v>17</v>
      </c>
      <c r="NX10" s="2" t="s">
        <v>118</v>
      </c>
      <c r="NY10" s="2" t="s">
        <v>118</v>
      </c>
      <c r="NZ10" s="2" t="s">
        <v>118</v>
      </c>
      <c r="OA10" s="2" t="s">
        <v>17</v>
      </c>
      <c r="OB10" s="2" t="s">
        <v>2810</v>
      </c>
      <c r="OF10" s="2" t="s">
        <v>17</v>
      </c>
      <c r="OG10" s="2" t="s">
        <v>17</v>
      </c>
      <c r="OH10" s="2">
        <v>2</v>
      </c>
      <c r="OI10" s="6">
        <v>0</v>
      </c>
      <c r="OJ10" s="6">
        <v>104130</v>
      </c>
      <c r="OK10" s="2" t="s">
        <v>17</v>
      </c>
      <c r="OL10" s="2" t="s">
        <v>17</v>
      </c>
      <c r="OM10" s="6">
        <v>0</v>
      </c>
      <c r="ON10" s="6">
        <v>0</v>
      </c>
      <c r="OO10" s="6">
        <v>0</v>
      </c>
      <c r="OP10" s="6">
        <v>0</v>
      </c>
      <c r="OQ10" s="4">
        <v>0</v>
      </c>
      <c r="OR10" s="6">
        <v>0</v>
      </c>
      <c r="OS10" s="4">
        <v>0</v>
      </c>
      <c r="OT10" s="2" t="s">
        <v>17</v>
      </c>
      <c r="OU10" s="2" t="s">
        <v>17</v>
      </c>
      <c r="OW10" s="2" t="s">
        <v>17</v>
      </c>
      <c r="OX10" s="5">
        <v>2950350</v>
      </c>
      <c r="OY10" s="6">
        <v>33150</v>
      </c>
      <c r="PD10" s="8">
        <v>14078000</v>
      </c>
      <c r="PE10" s="8">
        <v>236133</v>
      </c>
      <c r="PF10" s="8">
        <v>14314133</v>
      </c>
      <c r="PO10" s="8">
        <v>14078000</v>
      </c>
      <c r="PP10" s="8">
        <v>236133</v>
      </c>
      <c r="PQ10" s="8">
        <v>14314133</v>
      </c>
      <c r="PR10" s="8">
        <v>2003978</v>
      </c>
      <c r="PT10" s="8">
        <v>2003978</v>
      </c>
      <c r="PU10" s="6">
        <v>2003978</v>
      </c>
      <c r="PV10" s="8">
        <v>16081978</v>
      </c>
      <c r="PW10" s="8">
        <v>236133</v>
      </c>
      <c r="PX10" s="8">
        <v>16318111</v>
      </c>
      <c r="PY10" s="8">
        <v>815905</v>
      </c>
      <c r="QA10" s="8">
        <v>815905</v>
      </c>
      <c r="QB10" s="6">
        <v>815905.55</v>
      </c>
      <c r="QC10" s="8">
        <v>566392</v>
      </c>
      <c r="QD10" s="8">
        <v>55000</v>
      </c>
      <c r="QE10" s="8">
        <v>621392</v>
      </c>
      <c r="QF10" s="8">
        <v>90280</v>
      </c>
      <c r="QH10" s="8">
        <v>90280</v>
      </c>
      <c r="QI10" s="8">
        <v>666756</v>
      </c>
      <c r="QK10" s="8">
        <v>666756</v>
      </c>
      <c r="QM10" s="8">
        <v>231795</v>
      </c>
      <c r="QN10" s="8">
        <v>231795</v>
      </c>
      <c r="QU10" s="8">
        <v>1323428</v>
      </c>
      <c r="QV10" s="8">
        <v>286795</v>
      </c>
      <c r="QW10" s="8">
        <v>1610223</v>
      </c>
      <c r="QX10" s="8">
        <v>80511</v>
      </c>
      <c r="QZ10" s="8">
        <v>80511</v>
      </c>
      <c r="RA10" s="6">
        <v>80511.149999999994</v>
      </c>
      <c r="RB10" s="8">
        <v>995300</v>
      </c>
      <c r="RD10" s="8">
        <v>995300</v>
      </c>
      <c r="RE10" s="8">
        <v>41000</v>
      </c>
      <c r="RF10" s="8">
        <v>41000</v>
      </c>
      <c r="RG10" s="8">
        <v>73652</v>
      </c>
      <c r="RH10" s="8">
        <v>220958</v>
      </c>
      <c r="RI10" s="8">
        <v>294610</v>
      </c>
      <c r="RJ10" s="8">
        <v>1068952</v>
      </c>
      <c r="RK10" s="8">
        <v>261958</v>
      </c>
      <c r="RL10" s="8">
        <v>1330910</v>
      </c>
      <c r="RT10" s="8">
        <v>19370774</v>
      </c>
      <c r="RU10" s="8">
        <v>784886</v>
      </c>
      <c r="RV10" s="8">
        <v>20155660</v>
      </c>
      <c r="RY10" s="2">
        <v>0</v>
      </c>
      <c r="RZ10" s="6">
        <v>0</v>
      </c>
      <c r="SA10" s="8">
        <v>3628018</v>
      </c>
      <c r="SC10" s="8">
        <v>3628018</v>
      </c>
      <c r="SD10" s="6">
        <v>3628018</v>
      </c>
      <c r="SE10" s="8">
        <v>3628018</v>
      </c>
      <c r="SF10" s="8">
        <v>3628018</v>
      </c>
      <c r="SG10" s="6">
        <v>3628018</v>
      </c>
      <c r="SJ10" s="6">
        <v>311500</v>
      </c>
      <c r="SK10" s="8">
        <v>1780000</v>
      </c>
      <c r="SL10" s="8">
        <v>1780000</v>
      </c>
      <c r="SM10" s="8">
        <v>22998792</v>
      </c>
      <c r="SN10" s="8">
        <v>2564886</v>
      </c>
      <c r="SO10" s="8">
        <v>25563678</v>
      </c>
      <c r="SP10" s="8">
        <v>13450000</v>
      </c>
      <c r="SQ10" s="2" t="s">
        <v>4220</v>
      </c>
      <c r="ST10" s="8">
        <v>3471000</v>
      </c>
      <c r="SU10" s="2" t="s">
        <v>4221</v>
      </c>
      <c r="SX10" s="8">
        <v>4099700</v>
      </c>
      <c r="SY10" s="2" t="s">
        <v>96</v>
      </c>
      <c r="SZ10" s="2" t="s">
        <v>96</v>
      </c>
      <c r="TA10" s="2" t="s">
        <v>96</v>
      </c>
      <c r="TB10" s="8">
        <v>7450858</v>
      </c>
      <c r="TC10" s="2" t="s">
        <v>767</v>
      </c>
      <c r="TD10" s="8">
        <v>50000</v>
      </c>
      <c r="TE10" s="2" t="s">
        <v>453</v>
      </c>
      <c r="TF10" s="2">
        <v>0</v>
      </c>
      <c r="TG10" s="8">
        <v>28521558</v>
      </c>
      <c r="TH10" s="8">
        <v>2957880</v>
      </c>
      <c r="TI10" s="8">
        <v>6779000</v>
      </c>
      <c r="TJ10" s="2" t="s">
        <v>4220</v>
      </c>
      <c r="TM10" s="8">
        <v>3471000</v>
      </c>
      <c r="TN10" s="2" t="s">
        <v>4221</v>
      </c>
      <c r="TR10" s="8">
        <v>4099700</v>
      </c>
      <c r="TS10" s="8">
        <v>8278731</v>
      </c>
      <c r="TT10" s="2" t="s">
        <v>767</v>
      </c>
      <c r="TU10" s="8">
        <v>50000</v>
      </c>
      <c r="TV10" s="2" t="s">
        <v>453</v>
      </c>
      <c r="TZ10" s="8">
        <v>2885247</v>
      </c>
      <c r="UA10" s="8">
        <v>25563678</v>
      </c>
      <c r="UB10" s="6">
        <v>14399700</v>
      </c>
      <c r="UC10" s="2">
        <v>0</v>
      </c>
      <c r="UD10" s="2">
        <v>89</v>
      </c>
      <c r="UE10" s="5">
        <v>240000</v>
      </c>
      <c r="UF10" s="6">
        <v>320000</v>
      </c>
      <c r="UG10" s="6">
        <v>327500</v>
      </c>
      <c r="UH10" s="6">
        <v>347150</v>
      </c>
      <c r="UI10" s="6">
        <v>30896350</v>
      </c>
      <c r="UJ10" s="6">
        <v>5561343</v>
      </c>
      <c r="UK10" s="2" t="s">
        <v>97</v>
      </c>
      <c r="UL10" s="6">
        <v>5561343</v>
      </c>
      <c r="UM10" s="6">
        <v>36457693</v>
      </c>
      <c r="UN10" s="6">
        <v>23783678</v>
      </c>
      <c r="UQ10" s="6">
        <v>0</v>
      </c>
      <c r="UR10" s="6">
        <v>50000</v>
      </c>
      <c r="US10" s="6">
        <v>50000</v>
      </c>
      <c r="UV10" s="6">
        <v>0</v>
      </c>
      <c r="UW10" s="6">
        <v>50000</v>
      </c>
      <c r="UX10" s="6">
        <v>0</v>
      </c>
      <c r="UY10" s="6">
        <v>50000</v>
      </c>
      <c r="UZ10" s="2" t="s">
        <v>767</v>
      </c>
      <c r="VA10" s="2" t="s">
        <v>453</v>
      </c>
      <c r="VB10" s="2" t="s">
        <v>17</v>
      </c>
      <c r="VI10" s="388" t="s">
        <v>768</v>
      </c>
      <c r="VJ10" s="2" t="s">
        <v>98</v>
      </c>
      <c r="VK10" s="2" t="s">
        <v>769</v>
      </c>
      <c r="VL10" s="23">
        <f t="shared" si="0"/>
        <v>152</v>
      </c>
      <c r="VM10" s="17">
        <f t="shared" si="1"/>
        <v>1.7078651685393258</v>
      </c>
      <c r="VN10" s="17" t="str">
        <f t="shared" si="2"/>
        <v>NC-MR-F</v>
      </c>
      <c r="VO10" s="17" t="str">
        <f t="shared" si="15"/>
        <v>NC-MR-F-Non</v>
      </c>
      <c r="VP10" s="57">
        <v>1</v>
      </c>
      <c r="VQ10" s="17">
        <f t="shared" si="3"/>
        <v>1</v>
      </c>
      <c r="VR10" s="14">
        <f t="shared" si="4"/>
        <v>1</v>
      </c>
      <c r="VS10" s="14">
        <f t="shared" si="5"/>
        <v>1</v>
      </c>
      <c r="VT10" s="12">
        <f t="shared" si="6"/>
        <v>0.88000000000000012</v>
      </c>
      <c r="VU10" s="29">
        <f t="shared" si="7"/>
        <v>3054480.0000000005</v>
      </c>
      <c r="VV10" s="29">
        <f t="shared" si="8"/>
        <v>34320</v>
      </c>
      <c r="VW10" s="351" t="str">
        <f t="shared" si="16"/>
        <v>A</v>
      </c>
      <c r="VX10" s="12" t="str">
        <f t="shared" si="9"/>
        <v>NC-MR-Non</v>
      </c>
      <c r="VY10" s="23">
        <f t="shared" si="17"/>
        <v>2</v>
      </c>
      <c r="WA10" s="12">
        <f t="shared" si="18"/>
        <v>0</v>
      </c>
      <c r="WB10" s="12">
        <f t="shared" si="19"/>
        <v>0</v>
      </c>
      <c r="WC10" s="12">
        <f t="shared" si="19"/>
        <v>0</v>
      </c>
      <c r="WD10" s="12">
        <f t="shared" si="19"/>
        <v>0</v>
      </c>
      <c r="WE10" s="12">
        <f t="shared" si="20"/>
        <v>0</v>
      </c>
      <c r="WF10" s="12">
        <f t="shared" si="10"/>
        <v>0</v>
      </c>
      <c r="WG10" s="12">
        <f t="shared" si="11"/>
        <v>1</v>
      </c>
      <c r="WH10" s="12">
        <f t="shared" si="12"/>
        <v>0</v>
      </c>
      <c r="WI10" s="31">
        <f t="shared" si="13"/>
        <v>1</v>
      </c>
      <c r="WK10" s="444" t="str">
        <f t="shared" si="14"/>
        <v>NC-MR-Non-BBN-BRN-NPH-F</v>
      </c>
      <c r="WL10" s="444"/>
      <c r="WM10" s="444"/>
      <c r="WN10" s="12"/>
      <c r="WO10" s="381" t="s">
        <v>4945</v>
      </c>
      <c r="WP10" s="206">
        <f>COUNTIF($WA$2:$WA$72,"=1")</f>
        <v>26</v>
      </c>
      <c r="WQ10" s="204">
        <f>COUNTIF($WB$2:$WB$72,"=1")</f>
        <v>55</v>
      </c>
      <c r="WR10" s="204">
        <f>COUNTIF($WC$2:$WC$72,"=1")</f>
        <v>1</v>
      </c>
      <c r="WS10" s="204">
        <f>COUNTIF($WD$2:$WD$72,"=1")</f>
        <v>16</v>
      </c>
      <c r="WT10" s="204">
        <f>COUNTIF($WF$2:$WF$72,"=1")</f>
        <v>26</v>
      </c>
      <c r="WU10" s="204">
        <f>COUNTIF($WG$2:$WG$72,"=1")</f>
        <v>22</v>
      </c>
      <c r="WV10" s="204">
        <f>COUNTIF($WH$2:$WH$72,"=1")</f>
        <v>15</v>
      </c>
      <c r="WW10" s="208">
        <f>COUNTIF($WE$2:$WE$72,"=1")</f>
        <v>44</v>
      </c>
      <c r="WX10" s="385"/>
    </row>
    <row r="11" spans="1:622" x14ac:dyDescent="0.25">
      <c r="A11" s="2">
        <v>9298</v>
      </c>
      <c r="B11" s="2" t="s">
        <v>4333</v>
      </c>
      <c r="C11" s="2" t="s">
        <v>4205</v>
      </c>
      <c r="D11" s="3">
        <v>45128</v>
      </c>
      <c r="E11" s="2" t="s">
        <v>9</v>
      </c>
      <c r="F11" s="2">
        <v>1</v>
      </c>
      <c r="G11" s="2" t="s">
        <v>9</v>
      </c>
      <c r="H11" s="2">
        <v>1</v>
      </c>
      <c r="I11" s="2" t="s">
        <v>11</v>
      </c>
      <c r="J11" s="2">
        <v>0</v>
      </c>
      <c r="K11" s="2" t="s">
        <v>9</v>
      </c>
      <c r="L11" s="2">
        <v>1</v>
      </c>
      <c r="M11" s="2" t="s">
        <v>10</v>
      </c>
      <c r="N11" s="2">
        <v>0</v>
      </c>
      <c r="O11" s="2" t="s">
        <v>10</v>
      </c>
      <c r="P11" s="2">
        <v>0</v>
      </c>
      <c r="Q11" s="2" t="s">
        <v>11</v>
      </c>
      <c r="R11" s="2">
        <v>0</v>
      </c>
      <c r="S11" s="2" t="s">
        <v>9</v>
      </c>
      <c r="T11" s="2">
        <v>2</v>
      </c>
      <c r="U11" s="2" t="s">
        <v>9</v>
      </c>
      <c r="V11" s="2">
        <v>2</v>
      </c>
      <c r="W11" s="2" t="s">
        <v>9</v>
      </c>
      <c r="X11" s="2">
        <v>2</v>
      </c>
      <c r="Y11" s="2" t="s">
        <v>12</v>
      </c>
      <c r="Z11" s="2" t="s">
        <v>188</v>
      </c>
      <c r="AA11" s="2" t="s">
        <v>188</v>
      </c>
      <c r="AB11" s="2" t="s">
        <v>3418</v>
      </c>
      <c r="AC11" s="2" t="s">
        <v>15</v>
      </c>
      <c r="AD11" s="2" t="s">
        <v>15</v>
      </c>
      <c r="AE11" s="2" t="s">
        <v>15</v>
      </c>
      <c r="AF11" s="2">
        <v>3</v>
      </c>
      <c r="AG11" s="2" t="s">
        <v>3419</v>
      </c>
      <c r="AH11" s="2" t="s">
        <v>17</v>
      </c>
      <c r="AI11" s="4">
        <v>0.16345999999999999</v>
      </c>
      <c r="AJ11" s="2" t="s">
        <v>17</v>
      </c>
      <c r="AK11" s="2" t="s">
        <v>9</v>
      </c>
      <c r="AL11" s="2" t="s">
        <v>17</v>
      </c>
      <c r="AM11" s="2" t="s">
        <v>17</v>
      </c>
      <c r="AN11" s="2" t="s">
        <v>17</v>
      </c>
      <c r="AO11" s="2" t="s">
        <v>9</v>
      </c>
      <c r="AP11" s="2" t="s">
        <v>17</v>
      </c>
      <c r="AQ11" s="2" t="s">
        <v>17</v>
      </c>
      <c r="AR11" s="2" t="s">
        <v>17</v>
      </c>
      <c r="AS11" s="2" t="s">
        <v>17</v>
      </c>
      <c r="AT11" s="2">
        <v>5</v>
      </c>
      <c r="AU11" s="5">
        <v>250000</v>
      </c>
      <c r="AV11" s="2" t="s">
        <v>85</v>
      </c>
      <c r="AW11" s="2">
        <v>1</v>
      </c>
      <c r="AX11" s="2">
        <v>7</v>
      </c>
      <c r="AY11" s="2">
        <v>0</v>
      </c>
      <c r="AZ11" s="2">
        <v>17</v>
      </c>
      <c r="BA11" s="2">
        <v>0</v>
      </c>
      <c r="BB11" s="2">
        <v>1</v>
      </c>
      <c r="BC11" s="2">
        <v>1</v>
      </c>
      <c r="BD11" s="2">
        <v>3</v>
      </c>
      <c r="BE11" s="2">
        <v>1</v>
      </c>
      <c r="BF11" s="2">
        <v>1</v>
      </c>
      <c r="BG11" s="2">
        <v>0</v>
      </c>
      <c r="BH11" s="2">
        <v>0</v>
      </c>
      <c r="BI11" s="2">
        <v>13</v>
      </c>
      <c r="BJ11" s="2">
        <v>1</v>
      </c>
      <c r="BK11" s="2">
        <v>0</v>
      </c>
      <c r="BL11" s="2">
        <v>3</v>
      </c>
      <c r="BM11" s="2">
        <v>1</v>
      </c>
      <c r="BN11" s="2">
        <v>8</v>
      </c>
      <c r="BO11" s="2">
        <v>10</v>
      </c>
      <c r="BP11" s="2">
        <v>72.23</v>
      </c>
      <c r="BQ11" s="5">
        <v>9228000</v>
      </c>
      <c r="BR11" s="2">
        <v>1</v>
      </c>
      <c r="BS11" s="4">
        <v>0.06</v>
      </c>
      <c r="BT11" s="2" t="s">
        <v>9</v>
      </c>
      <c r="BU11" s="2" t="s">
        <v>17</v>
      </c>
      <c r="BV11" s="6">
        <v>33439.599999999999</v>
      </c>
      <c r="BW11" s="2" t="s">
        <v>18</v>
      </c>
      <c r="BX11" s="2" t="s">
        <v>17</v>
      </c>
      <c r="BY11" s="2" t="s">
        <v>17</v>
      </c>
      <c r="BZ11" s="2" t="s">
        <v>17</v>
      </c>
      <c r="CA11" s="2" t="s">
        <v>17</v>
      </c>
      <c r="CB11" s="2" t="s">
        <v>17</v>
      </c>
      <c r="CC11" s="2" t="s">
        <v>17</v>
      </c>
      <c r="CE11" s="2" t="s">
        <v>3420</v>
      </c>
      <c r="CF11" s="2" t="s">
        <v>9</v>
      </c>
      <c r="CG11" s="2" t="s">
        <v>17</v>
      </c>
      <c r="DA11" s="2" t="s">
        <v>4334</v>
      </c>
      <c r="DD11" s="2" t="s">
        <v>9</v>
      </c>
      <c r="DE11" s="2" t="s">
        <v>1125</v>
      </c>
      <c r="DF11" s="2" t="s">
        <v>3421</v>
      </c>
      <c r="DG11" s="2" t="s">
        <v>4335</v>
      </c>
      <c r="DH11" s="2" t="s">
        <v>4336</v>
      </c>
      <c r="DI11" s="2">
        <v>110</v>
      </c>
      <c r="DJ11" s="2" t="s">
        <v>4337</v>
      </c>
      <c r="DK11" s="2">
        <v>2023</v>
      </c>
      <c r="DL11" s="2" t="s">
        <v>4209</v>
      </c>
      <c r="DM11" s="2" t="s">
        <v>4210</v>
      </c>
      <c r="DN11" s="2" t="s">
        <v>33</v>
      </c>
      <c r="DO11" s="2" t="s">
        <v>4338</v>
      </c>
      <c r="DQ11" s="2" t="s">
        <v>3360</v>
      </c>
      <c r="DR11" s="2" t="s">
        <v>4339</v>
      </c>
      <c r="DS11" s="2">
        <v>1</v>
      </c>
      <c r="DT11" s="2" t="s">
        <v>4340</v>
      </c>
      <c r="DU11" s="2" t="s">
        <v>4341</v>
      </c>
      <c r="DV11" s="2" t="s">
        <v>4342</v>
      </c>
      <c r="DW11" s="2">
        <v>85028</v>
      </c>
      <c r="DX11" s="2" t="s">
        <v>4343</v>
      </c>
      <c r="DZ11" s="2" t="s">
        <v>4344</v>
      </c>
      <c r="EA11" s="2" t="s">
        <v>4345</v>
      </c>
      <c r="EB11" s="2" t="s">
        <v>3365</v>
      </c>
      <c r="EC11" s="2" t="s">
        <v>3366</v>
      </c>
      <c r="ED11" s="2" t="s">
        <v>44</v>
      </c>
      <c r="EE11" s="2">
        <v>110</v>
      </c>
      <c r="EF11" s="2" t="s">
        <v>4346</v>
      </c>
      <c r="EG11" s="2">
        <v>2</v>
      </c>
      <c r="EH11" s="2" t="s">
        <v>46</v>
      </c>
      <c r="EI11" s="2" t="s">
        <v>47</v>
      </c>
      <c r="EJ11" s="2" t="s">
        <v>4347</v>
      </c>
      <c r="EK11" s="2" t="s">
        <v>3369</v>
      </c>
      <c r="EL11" s="2" t="s">
        <v>44</v>
      </c>
      <c r="EM11" s="2">
        <v>104</v>
      </c>
      <c r="EN11" s="2" t="s">
        <v>4346</v>
      </c>
      <c r="EO11" s="2">
        <v>5</v>
      </c>
      <c r="EP11" s="2" t="s">
        <v>46</v>
      </c>
      <c r="EQ11" s="2" t="s">
        <v>47</v>
      </c>
      <c r="ER11" s="2" t="s">
        <v>1100</v>
      </c>
      <c r="ES11" s="2" t="s">
        <v>951</v>
      </c>
      <c r="ET11" s="2" t="s">
        <v>1101</v>
      </c>
      <c r="EU11" s="2" t="s">
        <v>1102</v>
      </c>
      <c r="EV11" s="2" t="s">
        <v>1103</v>
      </c>
      <c r="EW11" s="2" t="s">
        <v>299</v>
      </c>
      <c r="EX11" s="2" t="s">
        <v>39</v>
      </c>
      <c r="EY11" s="2">
        <v>33131</v>
      </c>
      <c r="EZ11" s="2" t="s">
        <v>1390</v>
      </c>
      <c r="FB11" s="2" t="s">
        <v>1105</v>
      </c>
      <c r="FC11" s="2" t="s">
        <v>3423</v>
      </c>
      <c r="FE11" s="2" t="s">
        <v>1294</v>
      </c>
      <c r="FF11" s="2" t="s">
        <v>1102</v>
      </c>
      <c r="FG11" s="2" t="s">
        <v>1103</v>
      </c>
      <c r="FH11" s="2" t="s">
        <v>299</v>
      </c>
      <c r="FI11" s="2" t="s">
        <v>39</v>
      </c>
      <c r="FJ11" s="2">
        <v>33131</v>
      </c>
      <c r="FK11" s="2" t="s">
        <v>4348</v>
      </c>
      <c r="FM11" s="2" t="s">
        <v>1904</v>
      </c>
      <c r="FN11" s="2" t="s">
        <v>3424</v>
      </c>
      <c r="FO11" s="2" t="s">
        <v>63</v>
      </c>
      <c r="FP11" s="2" t="s">
        <v>64</v>
      </c>
      <c r="FQ11" s="2" t="s">
        <v>9</v>
      </c>
      <c r="FR11" s="2" t="s">
        <v>17</v>
      </c>
      <c r="FS11" s="2" t="s">
        <v>17</v>
      </c>
      <c r="FT11" s="2" t="s">
        <v>9</v>
      </c>
      <c r="FX11" s="2">
        <v>0</v>
      </c>
      <c r="FY11" s="2">
        <v>0</v>
      </c>
      <c r="FZ11" s="4">
        <v>0</v>
      </c>
      <c r="GA11" s="4">
        <v>0</v>
      </c>
      <c r="GB11" s="2" t="s">
        <v>65</v>
      </c>
      <c r="GC11" s="2" t="s">
        <v>66</v>
      </c>
      <c r="GD11" s="2" t="s">
        <v>67</v>
      </c>
      <c r="GE11" s="2" t="s">
        <v>2684</v>
      </c>
      <c r="GK11" s="2">
        <v>208</v>
      </c>
      <c r="GQ11" s="2">
        <v>208</v>
      </c>
      <c r="GR11" s="2" t="s">
        <v>3332</v>
      </c>
      <c r="GS11" s="2" t="s">
        <v>2686</v>
      </c>
      <c r="GT11" s="2" t="s">
        <v>4349</v>
      </c>
      <c r="GU11" s="2" t="s">
        <v>2720</v>
      </c>
      <c r="GV11" s="2" t="s">
        <v>17</v>
      </c>
      <c r="GW11" s="2">
        <v>25.568556000000001</v>
      </c>
      <c r="GX11" s="2">
        <v>-80.381072000000003</v>
      </c>
      <c r="GZ11" s="2" t="s">
        <v>17</v>
      </c>
      <c r="HA11" s="2">
        <v>0</v>
      </c>
      <c r="HC11" s="2">
        <v>0</v>
      </c>
      <c r="HD11" s="2">
        <v>25.566210999999999</v>
      </c>
      <c r="HE11" s="2">
        <v>-80.380595999999997</v>
      </c>
      <c r="HF11" s="2">
        <v>0.17</v>
      </c>
      <c r="HG11" s="2">
        <v>5.5</v>
      </c>
      <c r="HH11" s="2">
        <v>25.566420000000001</v>
      </c>
      <c r="HI11" s="2">
        <v>-80.380218999999997</v>
      </c>
      <c r="HJ11" s="2">
        <v>0.16</v>
      </c>
      <c r="HK11" s="2">
        <v>25.571038000000001</v>
      </c>
      <c r="HL11" s="2">
        <v>-80.374775999999997</v>
      </c>
      <c r="HM11" s="2">
        <v>0.43</v>
      </c>
      <c r="HZ11" s="2" t="s">
        <v>74</v>
      </c>
      <c r="IA11" s="2">
        <v>0.38</v>
      </c>
      <c r="IB11" s="2">
        <v>3.5</v>
      </c>
      <c r="IF11" s="2" t="s">
        <v>76</v>
      </c>
      <c r="IG11" s="2">
        <v>0.38</v>
      </c>
      <c r="IH11" s="2">
        <v>3.5</v>
      </c>
      <c r="II11" s="2" t="s">
        <v>3427</v>
      </c>
      <c r="IJ11" s="2">
        <v>0.28999999999999998</v>
      </c>
      <c r="IK11" s="2">
        <v>4</v>
      </c>
      <c r="IL11" s="2" t="s">
        <v>9</v>
      </c>
      <c r="IM11" s="2" t="s">
        <v>17</v>
      </c>
      <c r="IO11" s="2" t="s">
        <v>17</v>
      </c>
      <c r="IP11" s="2" t="s">
        <v>79</v>
      </c>
      <c r="IQ11" s="2" t="s">
        <v>79</v>
      </c>
      <c r="IR11" s="2">
        <v>5.5</v>
      </c>
      <c r="IS11" s="2">
        <v>11</v>
      </c>
      <c r="IT11" s="2">
        <v>0</v>
      </c>
      <c r="IU11" s="2">
        <v>16.5</v>
      </c>
      <c r="IV11" s="2" t="s">
        <v>9</v>
      </c>
      <c r="IW11" s="2" t="s">
        <v>9</v>
      </c>
      <c r="IX11" s="2" t="s">
        <v>9</v>
      </c>
      <c r="IY11" s="2">
        <v>16.5</v>
      </c>
      <c r="IZ11" s="2">
        <v>208</v>
      </c>
      <c r="JB11" s="2" t="s">
        <v>82</v>
      </c>
      <c r="JH11" s="7">
        <v>0</v>
      </c>
      <c r="JI11" s="2">
        <v>0</v>
      </c>
      <c r="JJ11" s="7">
        <v>0</v>
      </c>
      <c r="JK11" s="2">
        <v>0</v>
      </c>
      <c r="JL11" s="7">
        <v>0</v>
      </c>
      <c r="JN11" s="2">
        <v>34</v>
      </c>
      <c r="JQ11" s="2">
        <v>72</v>
      </c>
      <c r="JR11" s="2">
        <v>102</v>
      </c>
      <c r="JT11" s="2">
        <v>0</v>
      </c>
      <c r="JU11" s="2">
        <v>0</v>
      </c>
      <c r="JV11" s="2">
        <v>208</v>
      </c>
      <c r="JW11" s="4">
        <v>1</v>
      </c>
      <c r="JX11" s="2">
        <v>208</v>
      </c>
      <c r="JY11" s="4">
        <v>0.6</v>
      </c>
      <c r="KE11" s="7">
        <v>0</v>
      </c>
      <c r="KF11" s="2">
        <v>0</v>
      </c>
      <c r="KG11" s="2">
        <v>41</v>
      </c>
      <c r="KH11" s="2">
        <v>157</v>
      </c>
      <c r="KK11" s="2">
        <v>10</v>
      </c>
      <c r="KQ11" s="2" t="s">
        <v>83</v>
      </c>
      <c r="KR11" s="2" t="s">
        <v>73</v>
      </c>
      <c r="KT11" s="2">
        <v>1</v>
      </c>
      <c r="KU11" s="2" t="s">
        <v>84</v>
      </c>
      <c r="KV11" s="2" t="s">
        <v>9</v>
      </c>
      <c r="KW11" s="2" t="s">
        <v>86</v>
      </c>
      <c r="KX11" s="2" t="s">
        <v>17</v>
      </c>
      <c r="KY11" s="2" t="s">
        <v>17</v>
      </c>
      <c r="KZ11" s="2" t="s">
        <v>17</v>
      </c>
      <c r="LA11" s="2" t="s">
        <v>17</v>
      </c>
      <c r="LB11" s="2" t="s">
        <v>17</v>
      </c>
      <c r="LC11" s="2" t="s">
        <v>17</v>
      </c>
      <c r="LD11" s="2" t="s">
        <v>17</v>
      </c>
      <c r="LE11" s="2" t="s">
        <v>17</v>
      </c>
      <c r="LF11" s="2" t="s">
        <v>17</v>
      </c>
      <c r="LG11" s="2" t="s">
        <v>17</v>
      </c>
      <c r="LH11" s="2" t="s">
        <v>17</v>
      </c>
      <c r="LI11" s="2" t="s">
        <v>17</v>
      </c>
      <c r="LJ11" s="2" t="s">
        <v>87</v>
      </c>
      <c r="LK11" s="2" t="s">
        <v>17</v>
      </c>
      <c r="LL11" s="2" t="s">
        <v>17</v>
      </c>
      <c r="LM11" s="2">
        <v>0</v>
      </c>
      <c r="LN11" s="2" t="s">
        <v>17</v>
      </c>
      <c r="LO11" s="2" t="s">
        <v>9</v>
      </c>
      <c r="LP11" s="2" t="s">
        <v>9</v>
      </c>
      <c r="LQ11" s="2" t="s">
        <v>17</v>
      </c>
      <c r="LR11" s="2" t="s">
        <v>9</v>
      </c>
      <c r="LS11" s="2" t="s">
        <v>17</v>
      </c>
      <c r="LT11" s="2" t="s">
        <v>17</v>
      </c>
      <c r="LU11" s="2" t="s">
        <v>17</v>
      </c>
      <c r="LV11" s="2" t="s">
        <v>17</v>
      </c>
      <c r="LW11" s="2" t="s">
        <v>17</v>
      </c>
      <c r="LX11" s="2" t="s">
        <v>17</v>
      </c>
      <c r="LY11" s="5">
        <v>6500000</v>
      </c>
      <c r="LZ11" s="5">
        <v>0</v>
      </c>
      <c r="MA11" s="5">
        <v>8528000</v>
      </c>
      <c r="MB11" s="5">
        <v>8478000</v>
      </c>
      <c r="MC11" s="5">
        <v>8478000</v>
      </c>
      <c r="MD11" s="5">
        <v>750000</v>
      </c>
      <c r="ME11" s="5">
        <v>750000</v>
      </c>
      <c r="MF11" s="5">
        <v>750000</v>
      </c>
      <c r="MG11" s="5">
        <v>10000000</v>
      </c>
      <c r="MH11" s="5">
        <v>0</v>
      </c>
      <c r="MI11" s="5">
        <v>10000000</v>
      </c>
      <c r="MJ11" s="5">
        <v>0</v>
      </c>
      <c r="MK11" s="5">
        <v>2117100</v>
      </c>
      <c r="ML11" s="5">
        <v>0</v>
      </c>
      <c r="MM11" s="5">
        <v>0</v>
      </c>
      <c r="MN11" s="2">
        <v>0</v>
      </c>
      <c r="MO11" s="5">
        <v>0</v>
      </c>
      <c r="MP11" s="5">
        <v>0</v>
      </c>
      <c r="MQ11" s="2">
        <v>0</v>
      </c>
      <c r="MR11" s="2">
        <v>0</v>
      </c>
      <c r="MS11" s="2">
        <v>0</v>
      </c>
      <c r="MT11" s="5">
        <v>2950000</v>
      </c>
      <c r="MU11" s="5">
        <v>0</v>
      </c>
      <c r="MV11" s="5">
        <v>4600000</v>
      </c>
      <c r="MW11" s="5">
        <v>0</v>
      </c>
      <c r="MX11" s="2" t="s">
        <v>17</v>
      </c>
      <c r="MY11" s="5">
        <v>0</v>
      </c>
      <c r="MZ11" s="5">
        <v>0</v>
      </c>
      <c r="NA11" s="5">
        <v>0</v>
      </c>
      <c r="NB11" s="5">
        <v>2500000</v>
      </c>
      <c r="NC11" s="5">
        <v>0</v>
      </c>
      <c r="ND11" s="5">
        <v>5000000</v>
      </c>
      <c r="NE11" s="5">
        <v>0</v>
      </c>
      <c r="NF11" s="5">
        <v>0</v>
      </c>
      <c r="NG11" s="5">
        <v>0</v>
      </c>
      <c r="NH11" s="5"/>
      <c r="NI11" s="5">
        <v>0</v>
      </c>
      <c r="NJ11" s="5">
        <v>2680342</v>
      </c>
      <c r="NK11" s="2" t="s">
        <v>17</v>
      </c>
      <c r="NL11" s="2">
        <v>2023</v>
      </c>
      <c r="NM11" s="2" t="s">
        <v>17</v>
      </c>
      <c r="NN11" s="2" t="s">
        <v>4350</v>
      </c>
      <c r="NO11" s="2" t="s">
        <v>17</v>
      </c>
      <c r="NR11" s="2" t="s">
        <v>17</v>
      </c>
      <c r="NT11" s="2" t="s">
        <v>9</v>
      </c>
      <c r="NU11" s="2" t="s">
        <v>450</v>
      </c>
      <c r="NV11" s="2">
        <v>102.13</v>
      </c>
      <c r="NW11" s="2" t="s">
        <v>3342</v>
      </c>
      <c r="NX11" s="2" t="s">
        <v>118</v>
      </c>
      <c r="NY11" s="2" t="s">
        <v>118</v>
      </c>
      <c r="NZ11" s="2" t="s">
        <v>118</v>
      </c>
      <c r="OA11" s="2" t="s">
        <v>17</v>
      </c>
      <c r="OB11" s="2" t="s">
        <v>119</v>
      </c>
      <c r="OF11" s="2" t="s">
        <v>17</v>
      </c>
      <c r="OG11" s="2" t="s">
        <v>17</v>
      </c>
      <c r="OH11" s="2">
        <v>0</v>
      </c>
      <c r="OI11" s="6">
        <v>0</v>
      </c>
      <c r="OJ11" s="6">
        <v>254340</v>
      </c>
      <c r="OK11" s="2" t="s">
        <v>17</v>
      </c>
      <c r="OL11" s="2" t="s">
        <v>17</v>
      </c>
      <c r="OM11" s="6">
        <v>0</v>
      </c>
      <c r="ON11" s="6">
        <v>0</v>
      </c>
      <c r="OO11" s="6">
        <v>0</v>
      </c>
      <c r="OP11" s="6">
        <v>0</v>
      </c>
      <c r="OQ11" s="4">
        <v>0</v>
      </c>
      <c r="OR11" s="6">
        <v>0</v>
      </c>
      <c r="OS11" s="4">
        <v>0</v>
      </c>
      <c r="OT11" s="2" t="s">
        <v>17</v>
      </c>
      <c r="OU11" s="2" t="s">
        <v>17</v>
      </c>
      <c r="OW11" s="2" t="s">
        <v>17</v>
      </c>
      <c r="OX11" s="5">
        <v>6955436</v>
      </c>
      <c r="OY11" s="6">
        <v>33439.599999999999</v>
      </c>
      <c r="PD11" s="8">
        <v>31746880</v>
      </c>
      <c r="PF11" s="8">
        <v>31746880</v>
      </c>
      <c r="PL11" s="8">
        <v>300000</v>
      </c>
      <c r="PN11" s="8">
        <v>300000</v>
      </c>
      <c r="PO11" s="8">
        <v>32046880</v>
      </c>
      <c r="PQ11" s="8">
        <v>32046880</v>
      </c>
      <c r="PR11" s="8">
        <v>4444563</v>
      </c>
      <c r="PT11" s="8">
        <v>4444563</v>
      </c>
      <c r="PU11" s="6">
        <v>4486563</v>
      </c>
      <c r="PV11" s="8">
        <v>36491443</v>
      </c>
      <c r="PX11" s="8">
        <v>36491443</v>
      </c>
      <c r="PY11" s="8">
        <v>1809572</v>
      </c>
      <c r="QA11" s="8">
        <v>1809572</v>
      </c>
      <c r="QB11" s="6">
        <v>1824572.15</v>
      </c>
      <c r="QC11" s="8">
        <v>989064</v>
      </c>
      <c r="QD11" s="8">
        <v>62000</v>
      </c>
      <c r="QE11" s="8">
        <v>1051064</v>
      </c>
      <c r="QF11" s="8">
        <v>321436</v>
      </c>
      <c r="QH11" s="8">
        <v>321436</v>
      </c>
      <c r="QI11" s="8">
        <v>1128400</v>
      </c>
      <c r="QK11" s="8">
        <v>1128400</v>
      </c>
      <c r="QM11" s="8">
        <v>382813</v>
      </c>
      <c r="QN11" s="8">
        <v>382813</v>
      </c>
      <c r="QO11" s="2">
        <v>0</v>
      </c>
      <c r="QR11" s="8">
        <v>494700</v>
      </c>
      <c r="QS11" s="8">
        <v>807680</v>
      </c>
      <c r="QT11" s="8">
        <v>1302380</v>
      </c>
      <c r="QU11" s="8">
        <v>2933600</v>
      </c>
      <c r="QV11" s="8">
        <v>1252493</v>
      </c>
      <c r="QW11" s="8">
        <v>4186093</v>
      </c>
      <c r="QX11" s="8">
        <v>135667</v>
      </c>
      <c r="QZ11" s="8">
        <v>135667</v>
      </c>
      <c r="RA11" s="6">
        <v>209304.65</v>
      </c>
      <c r="RB11" s="8">
        <v>396364</v>
      </c>
      <c r="RD11" s="8">
        <v>396364</v>
      </c>
      <c r="RE11" s="8">
        <v>387375</v>
      </c>
      <c r="RF11" s="8">
        <v>387375</v>
      </c>
      <c r="RG11" s="8">
        <v>1500597</v>
      </c>
      <c r="RH11" s="8">
        <v>2211817</v>
      </c>
      <c r="RI11" s="8">
        <v>3712414</v>
      </c>
      <c r="RJ11" s="8">
        <v>1896961</v>
      </c>
      <c r="RK11" s="8">
        <v>2599192</v>
      </c>
      <c r="RL11" s="8">
        <v>4496153</v>
      </c>
      <c r="RT11" s="8">
        <v>43267243</v>
      </c>
      <c r="RU11" s="8">
        <v>3851685</v>
      </c>
      <c r="RV11" s="8">
        <v>47118928</v>
      </c>
      <c r="RY11" s="2">
        <v>0</v>
      </c>
      <c r="RZ11" s="6">
        <v>0</v>
      </c>
      <c r="SA11" s="8">
        <v>8481407</v>
      </c>
      <c r="SC11" s="8">
        <v>8481407</v>
      </c>
      <c r="SD11" s="6">
        <v>8481407</v>
      </c>
      <c r="SE11" s="8">
        <v>8481407</v>
      </c>
      <c r="SF11" s="8">
        <v>8481407</v>
      </c>
      <c r="SG11" s="6">
        <v>8481407</v>
      </c>
      <c r="SH11" s="8">
        <v>721294</v>
      </c>
      <c r="SI11" s="8">
        <v>721294</v>
      </c>
      <c r="SJ11" s="6">
        <v>728000</v>
      </c>
      <c r="SK11" s="8">
        <v>5800000</v>
      </c>
      <c r="SL11" s="8">
        <v>5800000</v>
      </c>
      <c r="SM11" s="8">
        <v>51748650</v>
      </c>
      <c r="SN11" s="8">
        <v>10372979</v>
      </c>
      <c r="SO11" s="8">
        <v>62121629</v>
      </c>
      <c r="SP11" s="8">
        <v>37000000</v>
      </c>
      <c r="SQ11" s="2" t="s">
        <v>4220</v>
      </c>
      <c r="SR11" s="8">
        <v>4239000</v>
      </c>
      <c r="SS11" s="2" t="s">
        <v>4221</v>
      </c>
      <c r="SX11" s="8">
        <v>9228000</v>
      </c>
      <c r="SY11" s="2" t="s">
        <v>96</v>
      </c>
      <c r="SZ11" s="2" t="s">
        <v>96</v>
      </c>
      <c r="TA11" s="2" t="s">
        <v>96</v>
      </c>
      <c r="TB11" s="8">
        <v>6499179</v>
      </c>
      <c r="TF11" s="8">
        <v>5155450</v>
      </c>
      <c r="TG11" s="8">
        <v>62121629</v>
      </c>
      <c r="TH11" s="2">
        <v>0</v>
      </c>
      <c r="TI11" s="8">
        <v>20000000</v>
      </c>
      <c r="TJ11" s="2" t="s">
        <v>4220</v>
      </c>
      <c r="TK11" s="8">
        <v>4239000</v>
      </c>
      <c r="TL11" s="2" t="s">
        <v>4221</v>
      </c>
      <c r="TR11" s="8">
        <v>9228000</v>
      </c>
      <c r="TS11" s="8">
        <v>25996717</v>
      </c>
      <c r="TZ11" s="8">
        <v>2657912</v>
      </c>
      <c r="UA11" s="8">
        <v>62121629</v>
      </c>
      <c r="UB11" s="6">
        <v>33467000</v>
      </c>
      <c r="UC11" s="2">
        <v>0</v>
      </c>
      <c r="UD11" s="2">
        <v>208</v>
      </c>
      <c r="UE11" s="5">
        <v>310000</v>
      </c>
      <c r="UF11" s="6">
        <v>413333.33</v>
      </c>
      <c r="UG11" s="6">
        <v>420833.33</v>
      </c>
      <c r="UH11" s="6">
        <v>446083.33</v>
      </c>
      <c r="UI11" s="6">
        <v>92785333.329999998</v>
      </c>
      <c r="UJ11" s="6">
        <v>16701360</v>
      </c>
      <c r="UK11" s="2" t="s">
        <v>97</v>
      </c>
      <c r="UL11" s="6">
        <v>16701360</v>
      </c>
      <c r="UM11" s="6">
        <v>109486693.33</v>
      </c>
      <c r="UN11" s="6">
        <v>55600335</v>
      </c>
      <c r="UT11" s="6">
        <v>1472606.72</v>
      </c>
      <c r="UW11" s="6">
        <v>1472606.72</v>
      </c>
      <c r="UX11" s="6">
        <v>0</v>
      </c>
      <c r="UY11" s="6">
        <v>0</v>
      </c>
      <c r="UZ11" s="2" t="s">
        <v>4010</v>
      </c>
      <c r="VA11" s="2" t="s">
        <v>3288</v>
      </c>
      <c r="VB11" s="2" t="s">
        <v>17</v>
      </c>
      <c r="VI11" s="388" t="s">
        <v>1125</v>
      </c>
      <c r="VJ11" s="2" t="s">
        <v>98</v>
      </c>
      <c r="VK11" s="2" t="s">
        <v>4351</v>
      </c>
      <c r="VL11" s="23">
        <f t="shared" si="0"/>
        <v>218</v>
      </c>
      <c r="VM11" s="17">
        <f t="shared" si="1"/>
        <v>1.0480769230769231</v>
      </c>
      <c r="VN11" s="17" t="str">
        <f t="shared" si="2"/>
        <v>NC-HR-F</v>
      </c>
      <c r="VO11" s="17" t="str">
        <f t="shared" si="15"/>
        <v>NC-HR-F-ESS</v>
      </c>
      <c r="VP11" s="57">
        <v>1</v>
      </c>
      <c r="VQ11" s="17">
        <f t="shared" si="3"/>
        <v>1.1100000000000001</v>
      </c>
      <c r="VR11" s="14">
        <f t="shared" si="4"/>
        <v>1</v>
      </c>
      <c r="VS11" s="14">
        <f t="shared" si="5"/>
        <v>1</v>
      </c>
      <c r="VT11" s="12">
        <f t="shared" si="6"/>
        <v>0.83519999999999994</v>
      </c>
      <c r="VU11" s="29">
        <f t="shared" si="7"/>
        <v>7859716.4159999993</v>
      </c>
      <c r="VV11" s="29">
        <f t="shared" si="8"/>
        <v>37787.1</v>
      </c>
      <c r="VW11" s="351" t="str">
        <f t="shared" si="16"/>
        <v>A</v>
      </c>
      <c r="VX11" s="12" t="str">
        <f t="shared" si="9"/>
        <v>NC-HR-ESS</v>
      </c>
      <c r="VY11" s="23">
        <f t="shared" si="17"/>
        <v>2</v>
      </c>
      <c r="WA11" s="12">
        <f t="shared" si="18"/>
        <v>0</v>
      </c>
      <c r="WB11" s="12">
        <f t="shared" si="19"/>
        <v>1</v>
      </c>
      <c r="WC11" s="12">
        <f t="shared" si="19"/>
        <v>0</v>
      </c>
      <c r="WD11" s="12">
        <f t="shared" si="19"/>
        <v>0</v>
      </c>
      <c r="WE11" s="12">
        <f t="shared" si="20"/>
        <v>1</v>
      </c>
      <c r="WF11" s="12">
        <f t="shared" si="10"/>
        <v>0</v>
      </c>
      <c r="WG11" s="12">
        <f t="shared" si="11"/>
        <v>0</v>
      </c>
      <c r="WH11" s="12">
        <f t="shared" si="12"/>
        <v>1</v>
      </c>
      <c r="WI11" s="31">
        <f t="shared" si="13"/>
        <v>3</v>
      </c>
      <c r="WK11" s="444" t="str">
        <f t="shared" ref="WK11:WK62" si="21">VX11&amp;"-"&amp;IF(VQ11&gt;1,"BBY","BBN")&amp;"-"&amp;IF(VR11=1,"BRN","BRY")&amp;"-"&amp;IF(VS11=1,"NPH","PHA")&amp;"-"&amp;IF(BW11="Family","F","E")</f>
        <v>NC-HR-ESS-BBY-BRN-NPH-F</v>
      </c>
      <c r="WL11" s="444"/>
      <c r="WM11" s="444"/>
    </row>
    <row r="12" spans="1:622" x14ac:dyDescent="0.25">
      <c r="A12" s="2">
        <v>9225</v>
      </c>
      <c r="B12" s="2" t="s">
        <v>4352</v>
      </c>
      <c r="C12" s="2" t="s">
        <v>4205</v>
      </c>
      <c r="D12" s="3">
        <v>45128</v>
      </c>
      <c r="E12" s="2" t="s">
        <v>9</v>
      </c>
      <c r="F12" s="2">
        <v>1</v>
      </c>
      <c r="G12" s="2" t="s">
        <v>9</v>
      </c>
      <c r="H12" s="2">
        <v>1</v>
      </c>
      <c r="I12" s="2" t="s">
        <v>11</v>
      </c>
      <c r="J12" s="2">
        <v>0</v>
      </c>
      <c r="K12" s="2" t="s">
        <v>9</v>
      </c>
      <c r="L12" s="2">
        <v>1</v>
      </c>
      <c r="M12" s="2" t="s">
        <v>10</v>
      </c>
      <c r="N12" s="2">
        <v>0</v>
      </c>
      <c r="O12" s="2" t="s">
        <v>10</v>
      </c>
      <c r="P12" s="2">
        <v>0</v>
      </c>
      <c r="Q12" s="2" t="s">
        <v>11</v>
      </c>
      <c r="R12" s="2">
        <v>0</v>
      </c>
      <c r="S12" s="2" t="s">
        <v>9</v>
      </c>
      <c r="T12" s="2">
        <v>2</v>
      </c>
      <c r="U12" s="2" t="s">
        <v>9</v>
      </c>
      <c r="V12" s="2">
        <v>2</v>
      </c>
      <c r="W12" s="2" t="s">
        <v>9</v>
      </c>
      <c r="X12" s="2">
        <v>2</v>
      </c>
      <c r="Y12" s="2" t="s">
        <v>12</v>
      </c>
      <c r="Z12" s="2" t="s">
        <v>1128</v>
      </c>
      <c r="AA12" s="2" t="s">
        <v>3890</v>
      </c>
      <c r="AB12" s="2" t="s">
        <v>944</v>
      </c>
      <c r="AC12" s="2" t="s">
        <v>15</v>
      </c>
      <c r="AD12" s="2" t="s">
        <v>15</v>
      </c>
      <c r="AE12" s="2" t="s">
        <v>15</v>
      </c>
      <c r="AF12" s="2">
        <v>3</v>
      </c>
      <c r="AG12" s="2" t="s">
        <v>4353</v>
      </c>
      <c r="AH12" s="2" t="s">
        <v>17</v>
      </c>
      <c r="AI12" s="4">
        <v>0.16552</v>
      </c>
      <c r="AJ12" s="2" t="s">
        <v>17</v>
      </c>
      <c r="AK12" s="2" t="s">
        <v>9</v>
      </c>
      <c r="AL12" s="2" t="s">
        <v>17</v>
      </c>
      <c r="AM12" s="2" t="s">
        <v>9</v>
      </c>
      <c r="AN12" s="2" t="s">
        <v>17</v>
      </c>
      <c r="AO12" s="2" t="s">
        <v>17</v>
      </c>
      <c r="AP12" s="2" t="s">
        <v>17</v>
      </c>
      <c r="AQ12" s="2" t="s">
        <v>17</v>
      </c>
      <c r="AR12" s="2" t="s">
        <v>17</v>
      </c>
      <c r="AS12" s="2" t="s">
        <v>17</v>
      </c>
      <c r="AT12" s="2">
        <v>5</v>
      </c>
      <c r="AU12" s="5">
        <v>250000</v>
      </c>
      <c r="AV12" s="2" t="s">
        <v>85</v>
      </c>
      <c r="AW12" s="2">
        <v>1</v>
      </c>
      <c r="AX12" s="2">
        <v>6</v>
      </c>
      <c r="AY12" s="2">
        <v>0</v>
      </c>
      <c r="AZ12" s="2">
        <v>17</v>
      </c>
      <c r="BA12" s="2">
        <v>0</v>
      </c>
      <c r="BB12" s="2">
        <v>1</v>
      </c>
      <c r="BC12" s="2">
        <v>1</v>
      </c>
      <c r="BD12" s="2">
        <v>3</v>
      </c>
      <c r="BE12" s="2">
        <v>1</v>
      </c>
      <c r="BF12" s="2">
        <v>1</v>
      </c>
      <c r="BG12" s="2">
        <v>0</v>
      </c>
      <c r="BH12" s="2">
        <v>0</v>
      </c>
      <c r="BI12" s="2">
        <v>13</v>
      </c>
      <c r="BJ12" s="2">
        <v>1</v>
      </c>
      <c r="BK12" s="2">
        <v>0</v>
      </c>
      <c r="BL12" s="2">
        <v>3</v>
      </c>
      <c r="BM12" s="2">
        <v>1</v>
      </c>
      <c r="BN12" s="2">
        <v>9</v>
      </c>
      <c r="BO12" s="2">
        <v>10</v>
      </c>
      <c r="BP12" s="2">
        <v>72.17</v>
      </c>
      <c r="BQ12" s="5">
        <v>6665000</v>
      </c>
      <c r="BR12" s="2">
        <v>1</v>
      </c>
      <c r="BS12" s="4">
        <v>0.06</v>
      </c>
      <c r="BT12" s="2" t="s">
        <v>9</v>
      </c>
      <c r="BU12" s="2" t="s">
        <v>17</v>
      </c>
      <c r="BV12" s="6">
        <v>33467.07</v>
      </c>
      <c r="BW12" s="2" t="s">
        <v>18</v>
      </c>
      <c r="BX12" s="2" t="s">
        <v>17</v>
      </c>
      <c r="BY12" s="2" t="s">
        <v>17</v>
      </c>
      <c r="BZ12" s="2" t="s">
        <v>17</v>
      </c>
      <c r="CA12" s="2" t="s">
        <v>17</v>
      </c>
      <c r="CB12" s="2" t="s">
        <v>17</v>
      </c>
      <c r="CC12" s="2" t="s">
        <v>17</v>
      </c>
      <c r="CE12" s="2" t="s">
        <v>4354</v>
      </c>
      <c r="CF12" s="2" t="s">
        <v>9</v>
      </c>
      <c r="CG12" s="2" t="s">
        <v>9</v>
      </c>
      <c r="DA12" s="2" t="s">
        <v>4355</v>
      </c>
      <c r="DB12" s="2" t="s">
        <v>4356</v>
      </c>
      <c r="DD12" s="2" t="s">
        <v>9</v>
      </c>
      <c r="DE12" s="2" t="s">
        <v>1125</v>
      </c>
      <c r="DF12" s="2" t="s">
        <v>4357</v>
      </c>
      <c r="DG12" s="2" t="s">
        <v>4358</v>
      </c>
      <c r="DH12" s="2" t="s">
        <v>1968</v>
      </c>
      <c r="DI12" s="2">
        <v>110</v>
      </c>
      <c r="DJ12" s="2" t="s">
        <v>3311</v>
      </c>
      <c r="DK12" s="2">
        <v>2023</v>
      </c>
      <c r="DL12" s="2" t="s">
        <v>4209</v>
      </c>
      <c r="DM12" s="2" t="s">
        <v>4210</v>
      </c>
      <c r="DN12" s="2" t="s">
        <v>33</v>
      </c>
      <c r="DO12" s="2" t="s">
        <v>656</v>
      </c>
      <c r="DQ12" s="2" t="s">
        <v>3360</v>
      </c>
      <c r="DR12" s="2" t="s">
        <v>3361</v>
      </c>
      <c r="DS12" s="2">
        <v>1</v>
      </c>
      <c r="DT12" s="2" t="s">
        <v>4340</v>
      </c>
      <c r="DU12" s="2" t="s">
        <v>4341</v>
      </c>
      <c r="DV12" s="2" t="s">
        <v>4342</v>
      </c>
      <c r="DW12" s="2">
        <v>85028</v>
      </c>
      <c r="DX12" s="2" t="s">
        <v>4359</v>
      </c>
      <c r="DZ12" s="2" t="s">
        <v>4344</v>
      </c>
      <c r="EA12" s="2" t="s">
        <v>4345</v>
      </c>
      <c r="EB12" s="2" t="s">
        <v>3365</v>
      </c>
      <c r="EC12" s="2" t="s">
        <v>3366</v>
      </c>
      <c r="ED12" s="2" t="s">
        <v>44</v>
      </c>
      <c r="EE12" s="2">
        <v>110</v>
      </c>
      <c r="EF12" s="2" t="s">
        <v>3317</v>
      </c>
      <c r="EG12" s="2">
        <v>2</v>
      </c>
      <c r="EH12" s="2" t="s">
        <v>46</v>
      </c>
      <c r="EI12" s="2" t="s">
        <v>47</v>
      </c>
      <c r="EJ12" s="2" t="s">
        <v>4347</v>
      </c>
      <c r="EK12" s="2" t="s">
        <v>3369</v>
      </c>
      <c r="EL12" s="2" t="s">
        <v>44</v>
      </c>
      <c r="EM12" s="2">
        <v>104</v>
      </c>
      <c r="EN12" s="2" t="s">
        <v>3317</v>
      </c>
      <c r="EO12" s="2">
        <v>5</v>
      </c>
      <c r="EP12" s="2" t="s">
        <v>46</v>
      </c>
      <c r="EQ12" s="2" t="s">
        <v>47</v>
      </c>
      <c r="ER12" s="2" t="s">
        <v>1100</v>
      </c>
      <c r="ES12" s="2" t="s">
        <v>951</v>
      </c>
      <c r="ET12" s="2" t="s">
        <v>1101</v>
      </c>
      <c r="EU12" s="2" t="s">
        <v>1102</v>
      </c>
      <c r="EV12" s="2" t="s">
        <v>1103</v>
      </c>
      <c r="EW12" s="2" t="s">
        <v>299</v>
      </c>
      <c r="EX12" s="2" t="s">
        <v>39</v>
      </c>
      <c r="EY12" s="2">
        <v>33131</v>
      </c>
      <c r="EZ12" s="2" t="s">
        <v>1390</v>
      </c>
      <c r="FB12" s="2" t="s">
        <v>1105</v>
      </c>
      <c r="FC12" s="2" t="s">
        <v>4360</v>
      </c>
      <c r="FE12" s="2" t="s">
        <v>3519</v>
      </c>
      <c r="FF12" s="2" t="s">
        <v>1102</v>
      </c>
      <c r="FG12" s="2" t="s">
        <v>1103</v>
      </c>
      <c r="FH12" s="2" t="s">
        <v>299</v>
      </c>
      <c r="FI12" s="2" t="s">
        <v>39</v>
      </c>
      <c r="FJ12" s="2">
        <v>33131</v>
      </c>
      <c r="FK12" s="2" t="s">
        <v>2784</v>
      </c>
      <c r="FM12" s="2" t="s">
        <v>3520</v>
      </c>
      <c r="FN12" s="2" t="s">
        <v>4361</v>
      </c>
      <c r="FO12" s="2" t="s">
        <v>63</v>
      </c>
      <c r="FP12" s="2" t="s">
        <v>64</v>
      </c>
      <c r="FQ12" s="2" t="s">
        <v>9</v>
      </c>
      <c r="FR12" s="2" t="s">
        <v>17</v>
      </c>
      <c r="FS12" s="2" t="s">
        <v>17</v>
      </c>
      <c r="FT12" s="2" t="s">
        <v>9</v>
      </c>
      <c r="FX12" s="2">
        <v>0</v>
      </c>
      <c r="FY12" s="2">
        <v>0</v>
      </c>
      <c r="FZ12" s="4">
        <v>0</v>
      </c>
      <c r="GA12" s="4">
        <v>0</v>
      </c>
      <c r="GB12" s="2" t="s">
        <v>65</v>
      </c>
      <c r="GC12" s="2" t="s">
        <v>66</v>
      </c>
      <c r="GD12" s="2" t="s">
        <v>67</v>
      </c>
      <c r="GE12" s="2" t="s">
        <v>2684</v>
      </c>
      <c r="GK12" s="2">
        <v>145</v>
      </c>
      <c r="GQ12" s="2">
        <v>145</v>
      </c>
      <c r="GR12" s="2" t="s">
        <v>3332</v>
      </c>
      <c r="GS12" s="2" t="s">
        <v>2686</v>
      </c>
      <c r="GT12" s="2" t="s">
        <v>4362</v>
      </c>
      <c r="GU12" s="2" t="s">
        <v>299</v>
      </c>
      <c r="GV12" s="2" t="s">
        <v>17</v>
      </c>
      <c r="GW12" s="2">
        <v>25.823574000000001</v>
      </c>
      <c r="GX12" s="2">
        <v>-80.195580000000007</v>
      </c>
      <c r="GZ12" s="2" t="s">
        <v>17</v>
      </c>
      <c r="HA12" s="2">
        <v>0</v>
      </c>
      <c r="HC12" s="2">
        <v>0</v>
      </c>
      <c r="HD12" s="2">
        <v>25.821774000000001</v>
      </c>
      <c r="HE12" s="2">
        <v>-80.191811000000001</v>
      </c>
      <c r="HF12" s="2">
        <v>0.27</v>
      </c>
      <c r="HG12" s="2">
        <v>6</v>
      </c>
      <c r="HH12" s="2">
        <v>25.821349000000001</v>
      </c>
      <c r="HI12" s="2">
        <v>-80.191596000000004</v>
      </c>
      <c r="HJ12" s="2">
        <v>0.28999999999999998</v>
      </c>
      <c r="HK12" s="2">
        <v>25.823194000000001</v>
      </c>
      <c r="HL12" s="2">
        <v>-80.191664000000003</v>
      </c>
      <c r="HM12" s="2">
        <v>0.24</v>
      </c>
      <c r="HZ12" s="2" t="s">
        <v>3080</v>
      </c>
      <c r="IA12" s="2">
        <v>0.53</v>
      </c>
      <c r="IB12" s="2">
        <v>3</v>
      </c>
      <c r="IF12" s="2" t="s">
        <v>3524</v>
      </c>
      <c r="IG12" s="2">
        <v>0.26</v>
      </c>
      <c r="IH12" s="2">
        <v>4</v>
      </c>
      <c r="II12" s="2" t="s">
        <v>3525</v>
      </c>
      <c r="IJ12" s="2">
        <v>0.28000000000000003</v>
      </c>
      <c r="IK12" s="2">
        <v>4</v>
      </c>
      <c r="IL12" s="2" t="s">
        <v>9</v>
      </c>
      <c r="IM12" s="2" t="s">
        <v>17</v>
      </c>
      <c r="IO12" s="2" t="s">
        <v>17</v>
      </c>
      <c r="IP12" s="2" t="s">
        <v>79</v>
      </c>
      <c r="IQ12" s="2" t="s">
        <v>79</v>
      </c>
      <c r="IR12" s="2">
        <v>6</v>
      </c>
      <c r="IS12" s="2">
        <v>11</v>
      </c>
      <c r="IT12" s="2">
        <v>0</v>
      </c>
      <c r="IU12" s="2">
        <v>17</v>
      </c>
      <c r="IV12" s="2" t="s">
        <v>9</v>
      </c>
      <c r="IW12" s="2" t="s">
        <v>9</v>
      </c>
      <c r="IX12" s="2" t="s">
        <v>9</v>
      </c>
      <c r="IY12" s="2">
        <v>17</v>
      </c>
      <c r="IZ12" s="2">
        <v>145</v>
      </c>
      <c r="JB12" s="2" t="s">
        <v>82</v>
      </c>
      <c r="JH12" s="7">
        <v>0</v>
      </c>
      <c r="JI12" s="2">
        <v>0</v>
      </c>
      <c r="JJ12" s="7">
        <v>0</v>
      </c>
      <c r="JK12" s="2">
        <v>0</v>
      </c>
      <c r="JL12" s="7">
        <v>0</v>
      </c>
      <c r="JN12" s="2">
        <v>24</v>
      </c>
      <c r="JQ12" s="2">
        <v>85</v>
      </c>
      <c r="JS12" s="2">
        <v>36</v>
      </c>
      <c r="JT12" s="2">
        <v>0</v>
      </c>
      <c r="JU12" s="2">
        <v>0</v>
      </c>
      <c r="JV12" s="2">
        <v>145</v>
      </c>
      <c r="JW12" s="4">
        <v>1</v>
      </c>
      <c r="JX12" s="2">
        <v>145</v>
      </c>
      <c r="JY12" s="4">
        <v>0.6</v>
      </c>
      <c r="KE12" s="7">
        <v>0</v>
      </c>
      <c r="KF12" s="2">
        <v>0</v>
      </c>
      <c r="KH12" s="2">
        <v>85</v>
      </c>
      <c r="KK12" s="2">
        <v>51</v>
      </c>
      <c r="KL12" s="2">
        <v>9</v>
      </c>
      <c r="KQ12" s="2" t="s">
        <v>83</v>
      </c>
      <c r="KR12" s="2" t="s">
        <v>73</v>
      </c>
      <c r="KT12" s="2">
        <v>1</v>
      </c>
      <c r="KU12" s="2" t="s">
        <v>84</v>
      </c>
      <c r="KV12" s="2" t="s">
        <v>9</v>
      </c>
      <c r="KW12" s="2" t="s">
        <v>86</v>
      </c>
      <c r="KX12" s="2" t="s">
        <v>17</v>
      </c>
      <c r="KY12" s="2" t="s">
        <v>17</v>
      </c>
      <c r="KZ12" s="2" t="s">
        <v>17</v>
      </c>
      <c r="LA12" s="2" t="s">
        <v>17</v>
      </c>
      <c r="LB12" s="2" t="s">
        <v>17</v>
      </c>
      <c r="LC12" s="2" t="s">
        <v>17</v>
      </c>
      <c r="LD12" s="2" t="s">
        <v>17</v>
      </c>
      <c r="LE12" s="2" t="s">
        <v>17</v>
      </c>
      <c r="LF12" s="2" t="s">
        <v>17</v>
      </c>
      <c r="LG12" s="2" t="s">
        <v>17</v>
      </c>
      <c r="LH12" s="2" t="s">
        <v>17</v>
      </c>
      <c r="LI12" s="2" t="s">
        <v>17</v>
      </c>
      <c r="LJ12" s="2" t="s">
        <v>87</v>
      </c>
      <c r="LK12" s="2" t="s">
        <v>17</v>
      </c>
      <c r="LL12" s="2" t="s">
        <v>17</v>
      </c>
      <c r="LM12" s="2">
        <v>0</v>
      </c>
      <c r="LN12" s="2" t="s">
        <v>17</v>
      </c>
      <c r="LO12" s="2" t="s">
        <v>9</v>
      </c>
      <c r="LP12" s="2" t="s">
        <v>9</v>
      </c>
      <c r="LQ12" s="2" t="s">
        <v>17</v>
      </c>
      <c r="LR12" s="2" t="s">
        <v>9</v>
      </c>
      <c r="LS12" s="2" t="s">
        <v>17</v>
      </c>
      <c r="LT12" s="2" t="s">
        <v>17</v>
      </c>
      <c r="LU12" s="2" t="s">
        <v>17</v>
      </c>
      <c r="LV12" s="2" t="s">
        <v>17</v>
      </c>
      <c r="LW12" s="2" t="s">
        <v>17</v>
      </c>
      <c r="LX12" s="2" t="s">
        <v>17</v>
      </c>
      <c r="LY12" s="5">
        <v>6500000</v>
      </c>
      <c r="LZ12" s="5">
        <v>0</v>
      </c>
      <c r="MA12" s="5">
        <v>5945000</v>
      </c>
      <c r="MB12" s="5">
        <v>5915000</v>
      </c>
      <c r="MC12" s="5">
        <v>5915000</v>
      </c>
      <c r="MD12" s="5">
        <v>750000</v>
      </c>
      <c r="ME12" s="5">
        <v>750000</v>
      </c>
      <c r="MF12" s="5">
        <v>750000</v>
      </c>
      <c r="MG12" s="5">
        <v>10000000</v>
      </c>
      <c r="MH12" s="5">
        <v>0</v>
      </c>
      <c r="MI12" s="5">
        <v>10000000</v>
      </c>
      <c r="MJ12" s="5">
        <v>0</v>
      </c>
      <c r="MK12" s="5">
        <v>1617700</v>
      </c>
      <c r="ML12" s="5">
        <v>0</v>
      </c>
      <c r="MM12" s="5">
        <v>0</v>
      </c>
      <c r="MN12" s="2">
        <v>0</v>
      </c>
      <c r="MO12" s="5">
        <v>0</v>
      </c>
      <c r="MP12" s="5">
        <v>0</v>
      </c>
      <c r="MQ12" s="2">
        <v>0</v>
      </c>
      <c r="MR12" s="2">
        <v>0</v>
      </c>
      <c r="MS12" s="2">
        <v>0</v>
      </c>
      <c r="MT12" s="5">
        <v>2950000</v>
      </c>
      <c r="MU12" s="5">
        <v>0</v>
      </c>
      <c r="MV12" s="5">
        <v>4600000</v>
      </c>
      <c r="MW12" s="5">
        <v>0</v>
      </c>
      <c r="MX12" s="2" t="s">
        <v>17</v>
      </c>
      <c r="MY12" s="5">
        <v>0</v>
      </c>
      <c r="MZ12" s="5">
        <v>0</v>
      </c>
      <c r="NA12" s="5">
        <v>0</v>
      </c>
      <c r="NB12" s="5">
        <v>2500000</v>
      </c>
      <c r="NC12" s="5">
        <v>0</v>
      </c>
      <c r="ND12" s="5">
        <v>5000000</v>
      </c>
      <c r="NE12" s="5">
        <v>0</v>
      </c>
      <c r="NF12" s="5">
        <v>0</v>
      </c>
      <c r="NG12" s="5">
        <v>0</v>
      </c>
      <c r="NH12" s="5"/>
      <c r="NI12" s="5">
        <v>0</v>
      </c>
      <c r="NJ12" s="5">
        <v>2268234</v>
      </c>
      <c r="NK12" s="2" t="s">
        <v>9</v>
      </c>
      <c r="NL12" s="2">
        <v>2022</v>
      </c>
      <c r="NM12" s="2" t="s">
        <v>17</v>
      </c>
      <c r="NO12" s="2" t="s">
        <v>9</v>
      </c>
      <c r="NP12" s="2">
        <v>33137</v>
      </c>
      <c r="NQ12" s="2" t="s">
        <v>4363</v>
      </c>
      <c r="NR12" s="2" t="s">
        <v>17</v>
      </c>
      <c r="NT12" s="2" t="s">
        <v>17</v>
      </c>
      <c r="NX12" s="2" t="s">
        <v>118</v>
      </c>
      <c r="NY12" s="2" t="s">
        <v>118</v>
      </c>
      <c r="NZ12" s="2" t="s">
        <v>118</v>
      </c>
      <c r="OA12" s="2" t="s">
        <v>17</v>
      </c>
      <c r="OB12" s="2" t="s">
        <v>119</v>
      </c>
      <c r="OF12" s="2" t="s">
        <v>17</v>
      </c>
      <c r="OG12" s="2" t="s">
        <v>17</v>
      </c>
      <c r="OH12" s="2">
        <v>2</v>
      </c>
      <c r="OI12" s="6">
        <v>0</v>
      </c>
      <c r="OJ12" s="6">
        <v>177450</v>
      </c>
      <c r="OK12" s="2" t="s">
        <v>17</v>
      </c>
      <c r="OL12" s="2" t="s">
        <v>17</v>
      </c>
      <c r="OM12" s="6">
        <v>0</v>
      </c>
      <c r="ON12" s="6">
        <v>0</v>
      </c>
      <c r="OO12" s="6">
        <v>0</v>
      </c>
      <c r="OP12" s="6">
        <v>0</v>
      </c>
      <c r="OQ12" s="4">
        <v>0</v>
      </c>
      <c r="OR12" s="6">
        <v>0</v>
      </c>
      <c r="OS12" s="4">
        <v>0</v>
      </c>
      <c r="OT12" s="2" t="s">
        <v>17</v>
      </c>
      <c r="OU12" s="2" t="s">
        <v>17</v>
      </c>
      <c r="OW12" s="2" t="s">
        <v>17</v>
      </c>
      <c r="OX12" s="5">
        <v>4852725</v>
      </c>
      <c r="OY12" s="6">
        <v>33467.07</v>
      </c>
      <c r="PD12" s="8">
        <v>25343043</v>
      </c>
      <c r="PF12" s="8">
        <v>25343043</v>
      </c>
      <c r="PL12" s="8">
        <v>320000</v>
      </c>
      <c r="PN12" s="8">
        <v>320000</v>
      </c>
      <c r="PO12" s="8">
        <v>25663043</v>
      </c>
      <c r="PQ12" s="8">
        <v>25663043</v>
      </c>
      <c r="PR12" s="8">
        <v>3548026</v>
      </c>
      <c r="PT12" s="8">
        <v>3548026</v>
      </c>
      <c r="PU12" s="6">
        <v>3592826</v>
      </c>
      <c r="PV12" s="8">
        <v>29211069</v>
      </c>
      <c r="PX12" s="8">
        <v>29211069</v>
      </c>
      <c r="PY12" s="8">
        <v>1444553</v>
      </c>
      <c r="QA12" s="8">
        <v>1444553</v>
      </c>
      <c r="QB12" s="6">
        <v>1460553.45</v>
      </c>
      <c r="QC12" s="8">
        <v>1608400</v>
      </c>
      <c r="QD12" s="8">
        <v>32025</v>
      </c>
      <c r="QE12" s="8">
        <v>1640425</v>
      </c>
      <c r="QF12" s="8">
        <v>266683</v>
      </c>
      <c r="QH12" s="8">
        <v>266683</v>
      </c>
      <c r="QI12" s="8">
        <v>1370785</v>
      </c>
      <c r="QK12" s="8">
        <v>1370785</v>
      </c>
      <c r="QM12" s="8">
        <v>240705</v>
      </c>
      <c r="QN12" s="8">
        <v>240705</v>
      </c>
      <c r="QR12" s="8">
        <v>664195</v>
      </c>
      <c r="QS12" s="8">
        <v>781349</v>
      </c>
      <c r="QT12" s="8">
        <v>1445544</v>
      </c>
      <c r="QU12" s="8">
        <v>3910063</v>
      </c>
      <c r="QV12" s="8">
        <v>1054079</v>
      </c>
      <c r="QW12" s="8">
        <v>4964142</v>
      </c>
      <c r="QX12" s="8">
        <v>181080</v>
      </c>
      <c r="QZ12" s="8">
        <v>181080</v>
      </c>
      <c r="RA12" s="6">
        <v>248207.1</v>
      </c>
      <c r="RB12" s="8">
        <v>394198</v>
      </c>
      <c r="RD12" s="8">
        <v>394198</v>
      </c>
      <c r="RE12" s="8">
        <v>340163</v>
      </c>
      <c r="RF12" s="8">
        <v>340163</v>
      </c>
      <c r="RG12" s="8">
        <v>1382236</v>
      </c>
      <c r="RH12" s="8">
        <v>1516905</v>
      </c>
      <c r="RI12" s="8">
        <v>2899141</v>
      </c>
      <c r="RJ12" s="8">
        <v>1776434</v>
      </c>
      <c r="RK12" s="8">
        <v>1857068</v>
      </c>
      <c r="RL12" s="8">
        <v>3633502</v>
      </c>
      <c r="RT12" s="8">
        <v>36523199</v>
      </c>
      <c r="RU12" s="8">
        <v>2911147</v>
      </c>
      <c r="RV12" s="8">
        <v>39434346</v>
      </c>
      <c r="RY12" s="2">
        <v>0</v>
      </c>
      <c r="RZ12" s="6">
        <v>0</v>
      </c>
      <c r="SA12" s="8">
        <v>7097954</v>
      </c>
      <c r="SC12" s="8">
        <v>7097954</v>
      </c>
      <c r="SD12" s="6">
        <v>7098182</v>
      </c>
      <c r="SE12" s="8">
        <v>7097954</v>
      </c>
      <c r="SF12" s="8">
        <v>7097954</v>
      </c>
      <c r="SG12" s="6">
        <v>7098182</v>
      </c>
      <c r="SH12" s="8">
        <v>507500</v>
      </c>
      <c r="SI12" s="8">
        <v>507500</v>
      </c>
      <c r="SJ12" s="6">
        <v>507500</v>
      </c>
      <c r="SK12" s="8">
        <v>5915000</v>
      </c>
      <c r="SL12" s="8">
        <v>5915000</v>
      </c>
      <c r="SM12" s="8">
        <v>43621153</v>
      </c>
      <c r="SN12" s="8">
        <v>9333647</v>
      </c>
      <c r="SO12" s="8">
        <v>52954800</v>
      </c>
      <c r="SP12" s="8">
        <v>34525000</v>
      </c>
      <c r="SQ12" s="2" t="s">
        <v>4220</v>
      </c>
      <c r="SR12" s="8">
        <v>5915000</v>
      </c>
      <c r="SS12" s="2" t="s">
        <v>4221</v>
      </c>
      <c r="SX12" s="8">
        <v>6665000</v>
      </c>
      <c r="SY12" s="2" t="s">
        <v>96</v>
      </c>
      <c r="SZ12" s="2" t="s">
        <v>96</v>
      </c>
      <c r="TA12" s="2" t="s">
        <v>96</v>
      </c>
      <c r="TB12" s="8">
        <v>5386517</v>
      </c>
      <c r="TF12" s="8">
        <v>463283</v>
      </c>
      <c r="TG12" s="8">
        <v>52954800</v>
      </c>
      <c r="TH12" s="2">
        <v>0</v>
      </c>
      <c r="TI12" s="8">
        <v>15300000</v>
      </c>
      <c r="TJ12" s="2" t="s">
        <v>95</v>
      </c>
      <c r="TK12" s="8">
        <v>5915000</v>
      </c>
      <c r="TL12" s="2" t="s">
        <v>4221</v>
      </c>
      <c r="TR12" s="8">
        <v>6665000</v>
      </c>
      <c r="TS12" s="8">
        <v>21546068</v>
      </c>
      <c r="TZ12" s="8">
        <v>3528732</v>
      </c>
      <c r="UA12" s="8">
        <v>52954800</v>
      </c>
      <c r="UB12" s="6">
        <v>27880000</v>
      </c>
      <c r="UC12" s="2">
        <v>0</v>
      </c>
      <c r="UD12" s="2">
        <v>145</v>
      </c>
      <c r="UE12" s="5">
        <v>310000</v>
      </c>
      <c r="UF12" s="6">
        <v>413333.33</v>
      </c>
      <c r="UG12" s="6">
        <v>420833.33</v>
      </c>
      <c r="UH12" s="6">
        <v>446083.33</v>
      </c>
      <c r="UI12" s="6">
        <v>64682083.329999998</v>
      </c>
      <c r="UJ12" s="6">
        <v>11642775</v>
      </c>
      <c r="UK12" s="2" t="s">
        <v>97</v>
      </c>
      <c r="UL12" s="6">
        <v>11642775</v>
      </c>
      <c r="UM12" s="6">
        <v>76324858.329999998</v>
      </c>
      <c r="UN12" s="6">
        <v>46532300</v>
      </c>
      <c r="UT12" s="6">
        <v>607286.1</v>
      </c>
      <c r="UW12" s="6">
        <v>607286.1</v>
      </c>
      <c r="UX12" s="6">
        <v>0</v>
      </c>
      <c r="UY12" s="6">
        <v>0</v>
      </c>
      <c r="UZ12" s="2" t="s">
        <v>4010</v>
      </c>
      <c r="VA12" s="2" t="s">
        <v>3288</v>
      </c>
      <c r="VB12" s="2" t="s">
        <v>17</v>
      </c>
      <c r="VI12" s="388" t="s">
        <v>1125</v>
      </c>
      <c r="VJ12" s="2" t="s">
        <v>98</v>
      </c>
      <c r="VK12" s="2" t="s">
        <v>4364</v>
      </c>
      <c r="VL12" s="23">
        <f t="shared" si="0"/>
        <v>214</v>
      </c>
      <c r="VM12" s="17">
        <f t="shared" si="1"/>
        <v>1.4758620689655173</v>
      </c>
      <c r="VN12" s="17" t="str">
        <f t="shared" si="2"/>
        <v>NC-HR-F</v>
      </c>
      <c r="VO12" s="17" t="str">
        <f t="shared" si="15"/>
        <v>NC-HR-F-ESS</v>
      </c>
      <c r="VP12" s="57">
        <v>1</v>
      </c>
      <c r="VQ12" s="17">
        <f t="shared" si="3"/>
        <v>1.1100000000000001</v>
      </c>
      <c r="VR12" s="14">
        <f t="shared" si="4"/>
        <v>1</v>
      </c>
      <c r="VS12" s="14">
        <f t="shared" si="5"/>
        <v>1</v>
      </c>
      <c r="VT12" s="12">
        <f t="shared" si="6"/>
        <v>0.83519999999999994</v>
      </c>
      <c r="VU12" s="29">
        <f t="shared" si="7"/>
        <v>5483630.8800000008</v>
      </c>
      <c r="VV12" s="29">
        <f t="shared" si="8"/>
        <v>37818.14</v>
      </c>
      <c r="VW12" s="351" t="str">
        <f t="shared" si="16"/>
        <v>A</v>
      </c>
      <c r="VX12" s="12" t="str">
        <f t="shared" si="9"/>
        <v>NC-HR-ESS</v>
      </c>
      <c r="VY12" s="23">
        <f t="shared" si="17"/>
        <v>2</v>
      </c>
      <c r="WA12" s="12">
        <f t="shared" si="18"/>
        <v>0</v>
      </c>
      <c r="WB12" s="12">
        <f t="shared" si="19"/>
        <v>1</v>
      </c>
      <c r="WC12" s="12">
        <f t="shared" si="19"/>
        <v>0</v>
      </c>
      <c r="WD12" s="12">
        <f t="shared" si="19"/>
        <v>0</v>
      </c>
      <c r="WE12" s="12">
        <f t="shared" si="20"/>
        <v>1</v>
      </c>
      <c r="WF12" s="12">
        <f t="shared" si="10"/>
        <v>0</v>
      </c>
      <c r="WG12" s="12">
        <f t="shared" si="11"/>
        <v>0</v>
      </c>
      <c r="WH12" s="12">
        <f t="shared" si="12"/>
        <v>1</v>
      </c>
      <c r="WI12" s="31">
        <f t="shared" si="13"/>
        <v>3</v>
      </c>
      <c r="WK12" s="444" t="str">
        <f t="shared" si="21"/>
        <v>NC-HR-ESS-BBY-BRN-NPH-F</v>
      </c>
      <c r="WL12" s="444"/>
      <c r="WM12" s="444"/>
    </row>
    <row r="13" spans="1:622" x14ac:dyDescent="0.25">
      <c r="A13" s="2">
        <v>9291</v>
      </c>
      <c r="B13" s="2" t="s">
        <v>4365</v>
      </c>
      <c r="C13" s="2" t="s">
        <v>4205</v>
      </c>
      <c r="D13" s="3">
        <v>45128</v>
      </c>
      <c r="E13" s="2" t="s">
        <v>9</v>
      </c>
      <c r="F13" s="2">
        <v>1</v>
      </c>
      <c r="G13" s="2" t="s">
        <v>9</v>
      </c>
      <c r="H13" s="2">
        <v>1</v>
      </c>
      <c r="I13" s="2" t="s">
        <v>11</v>
      </c>
      <c r="J13" s="2">
        <v>0</v>
      </c>
      <c r="K13" s="2" t="s">
        <v>9</v>
      </c>
      <c r="L13" s="2">
        <v>1</v>
      </c>
      <c r="M13" s="2" t="s">
        <v>10</v>
      </c>
      <c r="N13" s="2">
        <v>0</v>
      </c>
      <c r="O13" s="2" t="s">
        <v>10</v>
      </c>
      <c r="P13" s="2">
        <v>0</v>
      </c>
      <c r="Q13" s="2" t="s">
        <v>11</v>
      </c>
      <c r="R13" s="2">
        <v>0</v>
      </c>
      <c r="S13" s="2" t="s">
        <v>9</v>
      </c>
      <c r="T13" s="2">
        <v>2</v>
      </c>
      <c r="U13" s="2" t="s">
        <v>9</v>
      </c>
      <c r="V13" s="2">
        <v>2</v>
      </c>
      <c r="W13" s="2" t="s">
        <v>9</v>
      </c>
      <c r="X13" s="2">
        <v>2</v>
      </c>
      <c r="Y13" s="2" t="s">
        <v>12</v>
      </c>
      <c r="Z13" s="2" t="s">
        <v>771</v>
      </c>
      <c r="AA13" s="2" t="s">
        <v>1128</v>
      </c>
      <c r="AB13" s="2" t="s">
        <v>15</v>
      </c>
      <c r="AC13" s="2" t="s">
        <v>15</v>
      </c>
      <c r="AD13" s="2" t="s">
        <v>15</v>
      </c>
      <c r="AE13" s="2" t="s">
        <v>15</v>
      </c>
      <c r="AF13" s="2">
        <v>2</v>
      </c>
      <c r="AG13" s="2" t="s">
        <v>772</v>
      </c>
      <c r="AH13" s="2" t="s">
        <v>17</v>
      </c>
      <c r="AI13" s="4">
        <v>0.15</v>
      </c>
      <c r="AJ13" s="2" t="s">
        <v>17</v>
      </c>
      <c r="AK13" s="2" t="s">
        <v>9</v>
      </c>
      <c r="AL13" s="2" t="s">
        <v>17</v>
      </c>
      <c r="AM13" s="2" t="s">
        <v>9</v>
      </c>
      <c r="AN13" s="2" t="s">
        <v>17</v>
      </c>
      <c r="AO13" s="2" t="s">
        <v>17</v>
      </c>
      <c r="AP13" s="2" t="s">
        <v>17</v>
      </c>
      <c r="AQ13" s="2" t="s">
        <v>17</v>
      </c>
      <c r="AR13" s="2" t="s">
        <v>17</v>
      </c>
      <c r="AS13" s="2" t="s">
        <v>17</v>
      </c>
      <c r="AT13" s="2">
        <v>5</v>
      </c>
      <c r="AU13" s="5">
        <v>100000</v>
      </c>
      <c r="AV13" s="5">
        <v>640000</v>
      </c>
      <c r="AW13" s="2">
        <v>1</v>
      </c>
      <c r="AX13" s="2">
        <v>6</v>
      </c>
      <c r="AY13" s="2">
        <v>0</v>
      </c>
      <c r="AZ13" s="2">
        <v>17</v>
      </c>
      <c r="BA13" s="2">
        <v>0</v>
      </c>
      <c r="BB13" s="2">
        <v>1</v>
      </c>
      <c r="BC13" s="2">
        <v>1</v>
      </c>
      <c r="BD13" s="2">
        <v>4</v>
      </c>
      <c r="BE13" s="2">
        <v>1</v>
      </c>
      <c r="BF13" s="2">
        <v>1</v>
      </c>
      <c r="BG13" s="2">
        <v>0</v>
      </c>
      <c r="BH13" s="2">
        <v>0</v>
      </c>
      <c r="BI13" s="2">
        <v>13</v>
      </c>
      <c r="BJ13" s="2">
        <v>1</v>
      </c>
      <c r="BK13" s="2">
        <v>0</v>
      </c>
      <c r="BL13" s="2">
        <v>3</v>
      </c>
      <c r="BM13" s="2">
        <v>1</v>
      </c>
      <c r="BN13" s="2">
        <v>10</v>
      </c>
      <c r="BO13" s="2">
        <v>10</v>
      </c>
      <c r="BP13" s="2">
        <v>61.33</v>
      </c>
      <c r="BQ13" s="5">
        <v>6509880</v>
      </c>
      <c r="BR13" s="2">
        <v>1</v>
      </c>
      <c r="BS13" s="4">
        <v>0.06</v>
      </c>
      <c r="BT13" s="2" t="s">
        <v>9</v>
      </c>
      <c r="BU13" s="2" t="s">
        <v>17</v>
      </c>
      <c r="BV13" s="6">
        <v>35921.199999999997</v>
      </c>
      <c r="BW13" s="2" t="s">
        <v>18</v>
      </c>
      <c r="BX13" s="2" t="s">
        <v>17</v>
      </c>
      <c r="BY13" s="2" t="s">
        <v>17</v>
      </c>
      <c r="BZ13" s="2" t="s">
        <v>17</v>
      </c>
      <c r="CA13" s="2" t="s">
        <v>17</v>
      </c>
      <c r="CB13" s="2" t="s">
        <v>17</v>
      </c>
      <c r="CC13" s="2" t="s">
        <v>17</v>
      </c>
      <c r="CE13" s="2" t="s">
        <v>2701</v>
      </c>
      <c r="CF13" s="2" t="s">
        <v>17</v>
      </c>
      <c r="CG13" s="2" t="s">
        <v>17</v>
      </c>
      <c r="DA13" s="2" t="s">
        <v>2702</v>
      </c>
      <c r="DD13" s="2" t="s">
        <v>9</v>
      </c>
      <c r="DE13" s="2" t="s">
        <v>2742</v>
      </c>
      <c r="DF13" s="2" t="s">
        <v>2702</v>
      </c>
      <c r="DG13" s="2" t="s">
        <v>2704</v>
      </c>
      <c r="DH13" s="2" t="s">
        <v>2705</v>
      </c>
      <c r="DI13" s="2">
        <v>190</v>
      </c>
      <c r="DJ13" s="2" t="s">
        <v>2659</v>
      </c>
      <c r="DK13" s="2">
        <v>2021</v>
      </c>
      <c r="DL13" s="2" t="s">
        <v>4209</v>
      </c>
      <c r="DM13" s="2" t="s">
        <v>4210</v>
      </c>
      <c r="DN13" s="2" t="s">
        <v>33</v>
      </c>
      <c r="DO13" s="2" t="s">
        <v>2709</v>
      </c>
      <c r="DP13" s="2" t="s">
        <v>2710</v>
      </c>
      <c r="DQ13" s="2" t="s">
        <v>2711</v>
      </c>
      <c r="DR13" s="2" t="s">
        <v>2712</v>
      </c>
      <c r="DS13" s="2">
        <v>1</v>
      </c>
      <c r="DT13" s="2" t="s">
        <v>2713</v>
      </c>
      <c r="DU13" s="2" t="s">
        <v>2714</v>
      </c>
      <c r="DV13" s="2" t="s">
        <v>39</v>
      </c>
      <c r="DW13" s="2">
        <v>33016</v>
      </c>
      <c r="DX13" s="2" t="s">
        <v>2715</v>
      </c>
      <c r="DZ13" s="2" t="s">
        <v>2716</v>
      </c>
      <c r="EA13" s="2" t="s">
        <v>2717</v>
      </c>
      <c r="EB13" s="2" t="s">
        <v>2718</v>
      </c>
      <c r="EC13" s="2" t="s">
        <v>330</v>
      </c>
      <c r="ED13" s="2" t="s">
        <v>44</v>
      </c>
      <c r="EE13" s="2">
        <v>336</v>
      </c>
      <c r="EF13" s="2" t="s">
        <v>2672</v>
      </c>
      <c r="EG13" s="2">
        <v>20</v>
      </c>
      <c r="EH13" s="2" t="s">
        <v>46</v>
      </c>
      <c r="EI13" s="2" t="s">
        <v>47</v>
      </c>
      <c r="EJ13" s="2" t="s">
        <v>2719</v>
      </c>
      <c r="EK13" s="2" t="s">
        <v>2705</v>
      </c>
      <c r="EL13" s="2" t="s">
        <v>44</v>
      </c>
      <c r="EM13" s="2">
        <v>150</v>
      </c>
      <c r="EN13" s="2" t="s">
        <v>2672</v>
      </c>
      <c r="EO13" s="2">
        <v>8</v>
      </c>
      <c r="EP13" s="2" t="s">
        <v>46</v>
      </c>
      <c r="EQ13" s="2" t="s">
        <v>47</v>
      </c>
      <c r="ER13" s="2" t="s">
        <v>2709</v>
      </c>
      <c r="ES13" s="2" t="s">
        <v>2710</v>
      </c>
      <c r="ET13" s="2" t="s">
        <v>2711</v>
      </c>
      <c r="EU13" s="2" t="s">
        <v>2712</v>
      </c>
      <c r="EV13" s="2" t="s">
        <v>4313</v>
      </c>
      <c r="EW13" s="2" t="s">
        <v>2714</v>
      </c>
      <c r="EX13" s="2" t="s">
        <v>39</v>
      </c>
      <c r="EY13" s="2">
        <v>33016</v>
      </c>
      <c r="EZ13" s="2" t="s">
        <v>4314</v>
      </c>
      <c r="FB13" s="2" t="s">
        <v>2716</v>
      </c>
      <c r="FC13" s="2" t="s">
        <v>2721</v>
      </c>
      <c r="FD13" s="2" t="s">
        <v>400</v>
      </c>
      <c r="FE13" s="2" t="s">
        <v>2722</v>
      </c>
      <c r="FF13" s="2" t="s">
        <v>2712</v>
      </c>
      <c r="FG13" s="2" t="s">
        <v>4313</v>
      </c>
      <c r="FH13" s="2" t="s">
        <v>2714</v>
      </c>
      <c r="FI13" s="2" t="s">
        <v>39</v>
      </c>
      <c r="FJ13" s="2">
        <v>33016</v>
      </c>
      <c r="FK13" s="2" t="s">
        <v>2723</v>
      </c>
      <c r="FM13" s="2" t="s">
        <v>2724</v>
      </c>
      <c r="FN13" s="2" t="s">
        <v>2725</v>
      </c>
      <c r="FO13" s="2" t="s">
        <v>63</v>
      </c>
      <c r="FP13" s="2" t="s">
        <v>64</v>
      </c>
      <c r="FQ13" s="2" t="s">
        <v>9</v>
      </c>
      <c r="FR13" s="2" t="s">
        <v>17</v>
      </c>
      <c r="FS13" s="2" t="s">
        <v>17</v>
      </c>
      <c r="FT13" s="2" t="s">
        <v>9</v>
      </c>
      <c r="FX13" s="2">
        <v>0</v>
      </c>
      <c r="FY13" s="2">
        <v>0</v>
      </c>
      <c r="FZ13" s="4">
        <v>0</v>
      </c>
      <c r="GA13" s="4">
        <v>0</v>
      </c>
      <c r="GB13" s="2" t="s">
        <v>65</v>
      </c>
      <c r="GC13" s="2" t="s">
        <v>66</v>
      </c>
      <c r="GD13" s="2" t="s">
        <v>67</v>
      </c>
      <c r="GE13" s="2" t="s">
        <v>1612</v>
      </c>
      <c r="GI13" s="2">
        <v>120</v>
      </c>
      <c r="GQ13" s="2">
        <v>120</v>
      </c>
      <c r="GR13" s="2" t="s">
        <v>2617</v>
      </c>
      <c r="GS13" s="2" t="s">
        <v>2686</v>
      </c>
      <c r="GT13" s="2" t="s">
        <v>4366</v>
      </c>
      <c r="GU13" s="2" t="s">
        <v>2727</v>
      </c>
      <c r="GV13" s="2" t="s">
        <v>17</v>
      </c>
      <c r="GW13" s="2">
        <v>26.177499999999998</v>
      </c>
      <c r="GX13" s="2">
        <v>-80.272188999999997</v>
      </c>
      <c r="GZ13" s="2" t="s">
        <v>17</v>
      </c>
      <c r="HA13" s="2">
        <v>0</v>
      </c>
      <c r="HB13" s="2" t="s">
        <v>17</v>
      </c>
      <c r="HC13" s="2">
        <v>0</v>
      </c>
      <c r="HD13" s="2">
        <v>26.17726</v>
      </c>
      <c r="HE13" s="2">
        <v>-80.267660000000006</v>
      </c>
      <c r="HF13" s="2">
        <v>0.28000000000000003</v>
      </c>
      <c r="HG13" s="2">
        <v>4</v>
      </c>
      <c r="HH13" s="2">
        <v>26.178339000000001</v>
      </c>
      <c r="HI13" s="2">
        <v>-80.268002999999993</v>
      </c>
      <c r="HJ13" s="2">
        <v>0.27</v>
      </c>
      <c r="HZ13" s="2" t="s">
        <v>112</v>
      </c>
      <c r="IA13" s="2">
        <v>0.99</v>
      </c>
      <c r="IB13" s="2">
        <v>2.5</v>
      </c>
      <c r="IC13" s="2" t="s">
        <v>4367</v>
      </c>
      <c r="ID13" s="2">
        <v>0.27</v>
      </c>
      <c r="IE13" s="2">
        <v>4</v>
      </c>
      <c r="II13" s="2" t="s">
        <v>4368</v>
      </c>
      <c r="IJ13" s="2">
        <v>0.62</v>
      </c>
      <c r="IK13" s="2">
        <v>3.5</v>
      </c>
      <c r="IL13" s="2" t="s">
        <v>9</v>
      </c>
      <c r="IM13" s="2" t="s">
        <v>17</v>
      </c>
      <c r="IO13" s="2" t="s">
        <v>17</v>
      </c>
      <c r="IP13" s="2" t="s">
        <v>79</v>
      </c>
      <c r="IQ13" s="2" t="s">
        <v>79</v>
      </c>
      <c r="IR13" s="2">
        <v>4</v>
      </c>
      <c r="IS13" s="2">
        <v>10</v>
      </c>
      <c r="IT13" s="2">
        <v>0</v>
      </c>
      <c r="IU13" s="2">
        <v>14</v>
      </c>
      <c r="IV13" s="2" t="s">
        <v>9</v>
      </c>
      <c r="IW13" s="2" t="s">
        <v>9</v>
      </c>
      <c r="IX13" s="2" t="s">
        <v>9</v>
      </c>
      <c r="IY13" s="2">
        <v>14</v>
      </c>
      <c r="IZ13" s="2">
        <v>120</v>
      </c>
      <c r="JB13" s="2" t="s">
        <v>82</v>
      </c>
      <c r="JH13" s="7">
        <v>0</v>
      </c>
      <c r="JI13" s="2">
        <v>0</v>
      </c>
      <c r="JJ13" s="7">
        <v>0</v>
      </c>
      <c r="JK13" s="2">
        <v>0</v>
      </c>
      <c r="JL13" s="7">
        <v>0</v>
      </c>
      <c r="JN13" s="2">
        <v>18</v>
      </c>
      <c r="JQ13" s="2">
        <v>48</v>
      </c>
      <c r="JR13" s="2">
        <v>54</v>
      </c>
      <c r="JT13" s="2">
        <v>0</v>
      </c>
      <c r="JU13" s="2">
        <v>0</v>
      </c>
      <c r="JV13" s="2">
        <v>120</v>
      </c>
      <c r="JW13" s="4">
        <v>1</v>
      </c>
      <c r="JX13" s="2">
        <v>120</v>
      </c>
      <c r="JY13" s="4">
        <v>0.6</v>
      </c>
      <c r="KE13" s="7">
        <v>0</v>
      </c>
      <c r="KF13" s="2">
        <v>0</v>
      </c>
      <c r="KH13" s="2">
        <v>10</v>
      </c>
      <c r="KK13" s="2">
        <v>100</v>
      </c>
      <c r="KL13" s="2">
        <v>10</v>
      </c>
      <c r="KQ13" s="2" t="s">
        <v>83</v>
      </c>
      <c r="KR13" s="2" t="s">
        <v>73</v>
      </c>
      <c r="KT13" s="2">
        <v>1</v>
      </c>
      <c r="KU13" s="2" t="s">
        <v>84</v>
      </c>
      <c r="KW13" s="2" t="s">
        <v>86</v>
      </c>
      <c r="KX13" s="2" t="s">
        <v>17</v>
      </c>
      <c r="KY13" s="2" t="s">
        <v>17</v>
      </c>
      <c r="KZ13" s="2" t="s">
        <v>17</v>
      </c>
      <c r="LA13" s="2" t="s">
        <v>17</v>
      </c>
      <c r="LB13" s="2" t="s">
        <v>17</v>
      </c>
      <c r="LC13" s="2" t="s">
        <v>17</v>
      </c>
      <c r="LD13" s="2" t="s">
        <v>17</v>
      </c>
      <c r="LE13" s="2" t="s">
        <v>17</v>
      </c>
      <c r="LF13" s="2" t="s">
        <v>17</v>
      </c>
      <c r="LG13" s="2" t="s">
        <v>17</v>
      </c>
      <c r="LH13" s="2" t="s">
        <v>17</v>
      </c>
      <c r="LI13" s="2" t="s">
        <v>17</v>
      </c>
      <c r="LJ13" s="2" t="s">
        <v>87</v>
      </c>
      <c r="LK13" s="2" t="s">
        <v>17</v>
      </c>
      <c r="LL13" s="2" t="s">
        <v>17</v>
      </c>
      <c r="LM13" s="2">
        <v>0</v>
      </c>
      <c r="LN13" s="2" t="s">
        <v>17</v>
      </c>
      <c r="LO13" s="2" t="s">
        <v>9</v>
      </c>
      <c r="LP13" s="2" t="s">
        <v>9</v>
      </c>
      <c r="LQ13" s="2" t="s">
        <v>17</v>
      </c>
      <c r="LR13" s="2" t="s">
        <v>9</v>
      </c>
      <c r="LS13" s="2" t="s">
        <v>17</v>
      </c>
      <c r="LT13" s="2" t="s">
        <v>17</v>
      </c>
      <c r="LU13" s="2" t="s">
        <v>17</v>
      </c>
      <c r="LV13" s="2" t="s">
        <v>17</v>
      </c>
      <c r="LW13" s="2" t="s">
        <v>17</v>
      </c>
      <c r="LX13" s="2" t="s">
        <v>17</v>
      </c>
      <c r="LY13" s="5">
        <v>6500000</v>
      </c>
      <c r="LZ13" s="5">
        <v>0</v>
      </c>
      <c r="MA13" s="5">
        <v>11000000</v>
      </c>
      <c r="MB13" s="5">
        <v>5759880</v>
      </c>
      <c r="MC13" s="5">
        <v>5759880</v>
      </c>
      <c r="MD13" s="5">
        <v>750000</v>
      </c>
      <c r="ME13" s="5">
        <v>750000</v>
      </c>
      <c r="MF13" s="5">
        <v>750000</v>
      </c>
      <c r="MG13" s="5">
        <v>10000000</v>
      </c>
      <c r="MH13" s="5">
        <v>0</v>
      </c>
      <c r="MI13" s="5">
        <v>10000000</v>
      </c>
      <c r="MJ13" s="5">
        <v>0</v>
      </c>
      <c r="MK13" s="5">
        <v>1306800</v>
      </c>
      <c r="ML13" s="5">
        <v>0</v>
      </c>
      <c r="MM13" s="5">
        <v>0</v>
      </c>
      <c r="MN13" s="2">
        <v>0</v>
      </c>
      <c r="MO13" s="5">
        <v>0</v>
      </c>
      <c r="MP13" s="5">
        <v>0</v>
      </c>
      <c r="MQ13" s="2">
        <v>0</v>
      </c>
      <c r="MR13" s="2">
        <v>0</v>
      </c>
      <c r="MS13" s="2">
        <v>0</v>
      </c>
      <c r="MT13" s="5">
        <v>2950000</v>
      </c>
      <c r="MU13" s="5">
        <v>0</v>
      </c>
      <c r="MV13" s="5">
        <v>4600000</v>
      </c>
      <c r="MW13" s="5">
        <v>0</v>
      </c>
      <c r="MY13" s="5">
        <v>0</v>
      </c>
      <c r="MZ13" s="5">
        <v>0</v>
      </c>
      <c r="NA13" s="5">
        <v>0</v>
      </c>
      <c r="NB13" s="5">
        <v>2500000</v>
      </c>
      <c r="NC13" s="5">
        <v>0</v>
      </c>
      <c r="ND13" s="5">
        <v>5000000</v>
      </c>
      <c r="NE13" s="5">
        <v>0</v>
      </c>
      <c r="NF13" s="5">
        <v>0</v>
      </c>
      <c r="NG13" s="5">
        <v>0</v>
      </c>
      <c r="NH13" s="5"/>
      <c r="NI13" s="5">
        <v>0</v>
      </c>
      <c r="NJ13" s="5">
        <v>1694403</v>
      </c>
      <c r="NK13" s="2" t="s">
        <v>17</v>
      </c>
      <c r="NM13" s="2" t="s">
        <v>17</v>
      </c>
      <c r="NO13" s="2" t="s">
        <v>9</v>
      </c>
      <c r="NP13" s="2">
        <v>33351</v>
      </c>
      <c r="NQ13" s="2" t="s">
        <v>2732</v>
      </c>
      <c r="NR13" s="2" t="s">
        <v>17</v>
      </c>
      <c r="NT13" s="2" t="s">
        <v>17</v>
      </c>
      <c r="NX13" s="2" t="s">
        <v>118</v>
      </c>
      <c r="NY13" s="2" t="s">
        <v>118</v>
      </c>
      <c r="NZ13" s="2" t="s">
        <v>118</v>
      </c>
      <c r="OA13" s="2" t="s">
        <v>17</v>
      </c>
      <c r="OB13" s="2" t="s">
        <v>119</v>
      </c>
      <c r="OC13" s="5">
        <v>24000000</v>
      </c>
      <c r="OF13" s="2" t="s">
        <v>17</v>
      </c>
      <c r="OG13" s="2" t="s">
        <v>17</v>
      </c>
      <c r="OH13" s="2" t="s">
        <v>85</v>
      </c>
      <c r="OI13" s="6">
        <v>0</v>
      </c>
      <c r="OJ13" s="6">
        <v>172796.4</v>
      </c>
      <c r="OK13" s="2" t="s">
        <v>17</v>
      </c>
      <c r="OL13" s="2" t="s">
        <v>17</v>
      </c>
      <c r="OM13" s="6">
        <v>0</v>
      </c>
      <c r="ON13" s="6">
        <v>0</v>
      </c>
      <c r="OO13" s="6">
        <v>0</v>
      </c>
      <c r="OP13" s="6">
        <v>0</v>
      </c>
      <c r="OQ13" s="4">
        <v>0</v>
      </c>
      <c r="OR13" s="6">
        <v>0</v>
      </c>
      <c r="OS13" s="4">
        <v>0</v>
      </c>
      <c r="OT13" s="2" t="s">
        <v>17</v>
      </c>
      <c r="OU13" s="2" t="s">
        <v>17</v>
      </c>
      <c r="OW13" s="2" t="s">
        <v>17</v>
      </c>
      <c r="OX13" s="5">
        <v>4310544</v>
      </c>
      <c r="OY13" s="6">
        <v>35921.199999999997</v>
      </c>
      <c r="PD13" s="8">
        <v>19642800</v>
      </c>
      <c r="PE13" s="8">
        <v>450000</v>
      </c>
      <c r="PF13" s="8">
        <v>20092800</v>
      </c>
      <c r="PO13" s="8">
        <v>19642800</v>
      </c>
      <c r="PP13" s="8">
        <v>450000</v>
      </c>
      <c r="PQ13" s="8">
        <v>20092800</v>
      </c>
      <c r="PR13" s="8">
        <v>2749992</v>
      </c>
      <c r="PS13" s="8">
        <v>62999</v>
      </c>
      <c r="PT13" s="8">
        <v>2812991</v>
      </c>
      <c r="PU13" s="6">
        <v>2812992</v>
      </c>
      <c r="PV13" s="8">
        <v>22392792</v>
      </c>
      <c r="PW13" s="8">
        <v>512999</v>
      </c>
      <c r="PX13" s="8">
        <v>22905791</v>
      </c>
      <c r="PY13" s="8">
        <v>1145289</v>
      </c>
      <c r="QA13" s="8">
        <v>1145289</v>
      </c>
      <c r="QB13" s="6">
        <v>1145289.55</v>
      </c>
      <c r="QC13" s="8">
        <v>1148500</v>
      </c>
      <c r="QD13" s="8">
        <v>190000</v>
      </c>
      <c r="QE13" s="8">
        <v>1338500</v>
      </c>
      <c r="QF13" s="8">
        <v>144000</v>
      </c>
      <c r="QH13" s="8">
        <v>144000</v>
      </c>
      <c r="QI13" s="8">
        <v>714000</v>
      </c>
      <c r="QK13" s="8">
        <v>714000</v>
      </c>
      <c r="QM13" s="8">
        <v>352000</v>
      </c>
      <c r="QN13" s="8">
        <v>352000</v>
      </c>
      <c r="QR13" s="8">
        <v>228000</v>
      </c>
      <c r="QT13" s="8">
        <v>228000</v>
      </c>
      <c r="QU13" s="8">
        <v>2234500</v>
      </c>
      <c r="QV13" s="8">
        <v>542000</v>
      </c>
      <c r="QW13" s="8">
        <v>2776500</v>
      </c>
      <c r="QY13" s="8">
        <v>138824</v>
      </c>
      <c r="QZ13" s="8">
        <v>138824</v>
      </c>
      <c r="RA13" s="6">
        <v>138825</v>
      </c>
      <c r="RB13" s="8">
        <v>1622500</v>
      </c>
      <c r="RD13" s="8">
        <v>1622500</v>
      </c>
      <c r="RE13" s="8">
        <v>202150</v>
      </c>
      <c r="RF13" s="8">
        <v>202150</v>
      </c>
      <c r="RH13" s="8">
        <v>40000</v>
      </c>
      <c r="RI13" s="8">
        <v>40000</v>
      </c>
      <c r="RJ13" s="8">
        <v>1622500</v>
      </c>
      <c r="RK13" s="8">
        <v>242150</v>
      </c>
      <c r="RL13" s="8">
        <v>1864650</v>
      </c>
      <c r="RT13" s="8">
        <v>27395081</v>
      </c>
      <c r="RU13" s="8">
        <v>1435973</v>
      </c>
      <c r="RV13" s="8">
        <v>28831054</v>
      </c>
      <c r="RY13" s="2">
        <v>0</v>
      </c>
      <c r="RZ13" s="6">
        <v>0</v>
      </c>
      <c r="SA13" s="8">
        <v>5189589</v>
      </c>
      <c r="SC13" s="8">
        <v>5189589</v>
      </c>
      <c r="SD13" s="6">
        <v>5189589</v>
      </c>
      <c r="SE13" s="8">
        <v>5189589</v>
      </c>
      <c r="SF13" s="8">
        <v>5189589</v>
      </c>
      <c r="SG13" s="6">
        <v>5189589</v>
      </c>
      <c r="SH13" s="8">
        <v>389995</v>
      </c>
      <c r="SI13" s="8">
        <v>389995</v>
      </c>
      <c r="SJ13" s="6">
        <v>420000</v>
      </c>
      <c r="SK13" s="8">
        <v>3200000</v>
      </c>
      <c r="SL13" s="8">
        <v>3200000</v>
      </c>
      <c r="SM13" s="8">
        <v>32584670</v>
      </c>
      <c r="SN13" s="8">
        <v>5025968</v>
      </c>
      <c r="SO13" s="8">
        <v>37610638</v>
      </c>
      <c r="SP13" s="8">
        <v>24000000</v>
      </c>
      <c r="SQ13" s="2" t="s">
        <v>4295</v>
      </c>
      <c r="SX13" s="8">
        <v>6509880</v>
      </c>
      <c r="SY13" s="2" t="s">
        <v>96</v>
      </c>
      <c r="SZ13" s="2" t="s">
        <v>96</v>
      </c>
      <c r="TA13" s="2" t="s">
        <v>96</v>
      </c>
      <c r="TB13" s="8">
        <v>6374342</v>
      </c>
      <c r="TF13" s="8">
        <v>726416</v>
      </c>
      <c r="TG13" s="8">
        <v>37610638</v>
      </c>
      <c r="TH13" s="2">
        <v>0</v>
      </c>
      <c r="TI13" s="8">
        <v>10490000</v>
      </c>
      <c r="TJ13" s="2" t="s">
        <v>4295</v>
      </c>
      <c r="TR13" s="8">
        <v>6509880</v>
      </c>
      <c r="TS13" s="8">
        <v>15935858</v>
      </c>
      <c r="TZ13" s="8">
        <v>4674900</v>
      </c>
      <c r="UA13" s="8">
        <v>37610638</v>
      </c>
      <c r="UB13" s="6">
        <v>16999880</v>
      </c>
      <c r="UC13" s="2">
        <v>0</v>
      </c>
      <c r="UD13" s="2">
        <v>120</v>
      </c>
      <c r="UE13" s="5">
        <v>290000</v>
      </c>
      <c r="UF13" s="6">
        <v>386666.67</v>
      </c>
      <c r="UG13" s="6">
        <v>394166.67</v>
      </c>
      <c r="UH13" s="6">
        <v>417816.67</v>
      </c>
      <c r="UI13" s="6">
        <v>50138000</v>
      </c>
      <c r="UJ13" s="6">
        <v>9024840</v>
      </c>
      <c r="UK13" s="2" t="s">
        <v>97</v>
      </c>
      <c r="UL13" s="6">
        <v>9024840</v>
      </c>
      <c r="UM13" s="6">
        <v>59162840</v>
      </c>
      <c r="UN13" s="6">
        <v>34020643</v>
      </c>
      <c r="UQ13" s="6">
        <v>0</v>
      </c>
      <c r="UR13" s="6">
        <v>100000</v>
      </c>
      <c r="US13" s="6">
        <v>100000</v>
      </c>
      <c r="UV13" s="6">
        <v>0</v>
      </c>
      <c r="UW13" s="6">
        <v>100000</v>
      </c>
      <c r="UX13" s="6">
        <v>0</v>
      </c>
      <c r="UY13" s="6">
        <v>100000</v>
      </c>
      <c r="UZ13" s="2" t="s">
        <v>2739</v>
      </c>
      <c r="VA13" s="2" t="s">
        <v>453</v>
      </c>
      <c r="VB13" s="2" t="s">
        <v>17</v>
      </c>
      <c r="VI13" s="388" t="s">
        <v>2742</v>
      </c>
      <c r="VJ13" s="2" t="s">
        <v>98</v>
      </c>
      <c r="VK13" s="2" t="s">
        <v>536</v>
      </c>
      <c r="VL13" s="23">
        <f t="shared" si="0"/>
        <v>240</v>
      </c>
      <c r="VM13" s="17">
        <f t="shared" si="1"/>
        <v>2</v>
      </c>
      <c r="VN13" s="17" t="str">
        <f t="shared" si="2"/>
        <v>NC-MR-F</v>
      </c>
      <c r="VO13" s="17" t="str">
        <f t="shared" si="15"/>
        <v>NC-MR-F-ESS</v>
      </c>
      <c r="VP13" s="57">
        <v>1</v>
      </c>
      <c r="VQ13" s="17">
        <f t="shared" si="3"/>
        <v>1.1100000000000001</v>
      </c>
      <c r="VR13" s="14">
        <f t="shared" si="4"/>
        <v>0.88</v>
      </c>
      <c r="VS13" s="14">
        <f t="shared" si="5"/>
        <v>1</v>
      </c>
      <c r="VT13" s="12">
        <f t="shared" si="6"/>
        <v>0.84479999999999988</v>
      </c>
      <c r="VU13" s="29">
        <f t="shared" si="7"/>
        <v>4753056.6623232001</v>
      </c>
      <c r="VV13" s="29">
        <f t="shared" si="8"/>
        <v>39608.81</v>
      </c>
      <c r="VW13" s="351" t="str">
        <f t="shared" si="16"/>
        <v>A</v>
      </c>
      <c r="VX13" s="12" t="str">
        <f t="shared" si="9"/>
        <v>NC-MR-ESS</v>
      </c>
      <c r="VY13" s="23">
        <f t="shared" si="17"/>
        <v>2</v>
      </c>
      <c r="WA13" s="12">
        <f t="shared" si="18"/>
        <v>0</v>
      </c>
      <c r="WB13" s="12">
        <f t="shared" si="19"/>
        <v>1</v>
      </c>
      <c r="WC13" s="12">
        <f t="shared" si="19"/>
        <v>1</v>
      </c>
      <c r="WD13" s="12">
        <f t="shared" si="19"/>
        <v>0</v>
      </c>
      <c r="WE13" s="12">
        <f t="shared" si="20"/>
        <v>1</v>
      </c>
      <c r="WF13" s="12">
        <f t="shared" si="10"/>
        <v>0</v>
      </c>
      <c r="WG13" s="12">
        <f t="shared" si="11"/>
        <v>1</v>
      </c>
      <c r="WH13" s="12">
        <f t="shared" si="12"/>
        <v>0</v>
      </c>
      <c r="WI13" s="31">
        <f t="shared" si="13"/>
        <v>4</v>
      </c>
      <c r="WK13" s="444" t="str">
        <f t="shared" si="21"/>
        <v>NC-MR-ESS-BBY-BRY-NPH-F</v>
      </c>
      <c r="WL13" s="444"/>
      <c r="WM13" s="444"/>
    </row>
    <row r="14" spans="1:622" x14ac:dyDescent="0.25">
      <c r="A14" s="2">
        <v>9327</v>
      </c>
      <c r="B14" s="2" t="s">
        <v>4369</v>
      </c>
      <c r="C14" s="2" t="s">
        <v>4205</v>
      </c>
      <c r="D14" s="3">
        <v>45128</v>
      </c>
      <c r="E14" s="2" t="s">
        <v>9</v>
      </c>
      <c r="F14" s="2">
        <v>1</v>
      </c>
      <c r="G14" s="2" t="s">
        <v>9</v>
      </c>
      <c r="H14" s="2">
        <v>1</v>
      </c>
      <c r="I14" s="2" t="s">
        <v>11</v>
      </c>
      <c r="J14" s="2">
        <v>0</v>
      </c>
      <c r="K14" s="2" t="s">
        <v>9</v>
      </c>
      <c r="L14" s="2">
        <v>1</v>
      </c>
      <c r="M14" s="2" t="s">
        <v>10</v>
      </c>
      <c r="N14" s="2">
        <v>0</v>
      </c>
      <c r="O14" s="2" t="s">
        <v>10</v>
      </c>
      <c r="P14" s="2">
        <v>0</v>
      </c>
      <c r="Q14" s="2" t="s">
        <v>11</v>
      </c>
      <c r="R14" s="2">
        <v>0</v>
      </c>
      <c r="S14" s="2" t="s">
        <v>9</v>
      </c>
      <c r="T14" s="2">
        <v>2</v>
      </c>
      <c r="U14" s="2" t="s">
        <v>9</v>
      </c>
      <c r="V14" s="2">
        <v>2</v>
      </c>
      <c r="W14" s="2" t="s">
        <v>9</v>
      </c>
      <c r="X14" s="2">
        <v>2</v>
      </c>
      <c r="Y14" s="2" t="s">
        <v>12</v>
      </c>
      <c r="Z14" s="2" t="s">
        <v>786</v>
      </c>
      <c r="AA14" s="2" t="s">
        <v>605</v>
      </c>
      <c r="AB14" s="2" t="s">
        <v>3901</v>
      </c>
      <c r="AC14" s="2" t="s">
        <v>15</v>
      </c>
      <c r="AD14" s="2" t="s">
        <v>15</v>
      </c>
      <c r="AE14" s="2" t="s">
        <v>15</v>
      </c>
      <c r="AF14" s="2">
        <v>3</v>
      </c>
      <c r="AG14" s="2" t="s">
        <v>4370</v>
      </c>
      <c r="AH14" s="2" t="s">
        <v>17</v>
      </c>
      <c r="AI14" s="4">
        <v>0.2</v>
      </c>
      <c r="AJ14" s="2" t="s">
        <v>17</v>
      </c>
      <c r="AK14" s="2" t="s">
        <v>9</v>
      </c>
      <c r="AL14" s="2" t="s">
        <v>17</v>
      </c>
      <c r="AM14" s="2" t="s">
        <v>17</v>
      </c>
      <c r="AN14" s="2" t="s">
        <v>17</v>
      </c>
      <c r="AO14" s="2" t="s">
        <v>9</v>
      </c>
      <c r="AP14" s="2" t="s">
        <v>17</v>
      </c>
      <c r="AQ14" s="2" t="s">
        <v>17</v>
      </c>
      <c r="AR14" s="2" t="s">
        <v>17</v>
      </c>
      <c r="AS14" s="2" t="s">
        <v>17</v>
      </c>
      <c r="AT14" s="2">
        <v>5</v>
      </c>
      <c r="AU14" s="5">
        <v>75000</v>
      </c>
      <c r="AV14" s="5">
        <v>610000</v>
      </c>
      <c r="AW14" s="2">
        <v>1</v>
      </c>
      <c r="AX14" s="2">
        <v>8</v>
      </c>
      <c r="AY14" s="2">
        <v>0</v>
      </c>
      <c r="AZ14" s="2">
        <v>17</v>
      </c>
      <c r="BA14" s="2">
        <v>0</v>
      </c>
      <c r="BB14" s="2">
        <v>1</v>
      </c>
      <c r="BC14" s="2">
        <v>1</v>
      </c>
      <c r="BD14" s="2">
        <v>3</v>
      </c>
      <c r="BE14" s="2">
        <v>1</v>
      </c>
      <c r="BF14" s="2">
        <v>1</v>
      </c>
      <c r="BG14" s="2">
        <v>0</v>
      </c>
      <c r="BH14" s="2">
        <v>0</v>
      </c>
      <c r="BI14" s="2">
        <v>13</v>
      </c>
      <c r="BJ14" s="2">
        <v>1</v>
      </c>
      <c r="BK14" s="2">
        <v>0</v>
      </c>
      <c r="BL14" s="2">
        <v>3</v>
      </c>
      <c r="BM14" s="2">
        <v>1</v>
      </c>
      <c r="BN14" s="2">
        <v>10</v>
      </c>
      <c r="BO14" s="2">
        <v>10</v>
      </c>
      <c r="BP14" s="2">
        <v>73.599999999999994</v>
      </c>
      <c r="BQ14" s="5">
        <v>7750000</v>
      </c>
      <c r="BR14" s="2">
        <v>1</v>
      </c>
      <c r="BS14" s="4">
        <v>0.06</v>
      </c>
      <c r="BT14" s="2" t="s">
        <v>9</v>
      </c>
      <c r="BU14" s="2" t="s">
        <v>17</v>
      </c>
      <c r="BV14" s="6">
        <v>36818.400000000001</v>
      </c>
      <c r="BW14" s="2" t="s">
        <v>18</v>
      </c>
      <c r="BX14" s="2" t="s">
        <v>17</v>
      </c>
      <c r="BY14" s="2" t="s">
        <v>17</v>
      </c>
      <c r="BZ14" s="2" t="s">
        <v>17</v>
      </c>
      <c r="CA14" s="2" t="s">
        <v>17</v>
      </c>
      <c r="CB14" s="2" t="s">
        <v>17</v>
      </c>
      <c r="CC14" s="2" t="s">
        <v>17</v>
      </c>
      <c r="CE14" s="2" t="s">
        <v>4371</v>
      </c>
      <c r="CF14" s="2" t="s">
        <v>17</v>
      </c>
      <c r="CG14" s="2" t="s">
        <v>17</v>
      </c>
      <c r="DA14" s="2" t="s">
        <v>4372</v>
      </c>
      <c r="DD14" s="2" t="s">
        <v>9</v>
      </c>
      <c r="DE14" s="2" t="s">
        <v>2657</v>
      </c>
      <c r="DF14" s="2" t="s">
        <v>4372</v>
      </c>
      <c r="DG14" s="2" t="s">
        <v>2660</v>
      </c>
      <c r="DH14" s="2" t="s">
        <v>2661</v>
      </c>
      <c r="DI14" s="2">
        <v>204</v>
      </c>
      <c r="DJ14" s="2" t="s">
        <v>4373</v>
      </c>
      <c r="DK14" s="2">
        <v>2020</v>
      </c>
      <c r="DL14" s="2" t="s">
        <v>4209</v>
      </c>
      <c r="DM14" s="2" t="s">
        <v>4210</v>
      </c>
      <c r="DN14" s="2" t="s">
        <v>33</v>
      </c>
      <c r="DO14" s="2" t="s">
        <v>2664</v>
      </c>
      <c r="DQ14" s="2" t="s">
        <v>2665</v>
      </c>
      <c r="DR14" s="2" t="s">
        <v>4280</v>
      </c>
      <c r="DS14" s="2">
        <v>1</v>
      </c>
      <c r="DT14" s="2" t="s">
        <v>2667</v>
      </c>
      <c r="DU14" s="2" t="s">
        <v>2668</v>
      </c>
      <c r="DV14" s="2" t="s">
        <v>39</v>
      </c>
      <c r="DW14" s="2">
        <v>33326</v>
      </c>
      <c r="DX14" s="2" t="s">
        <v>2669</v>
      </c>
      <c r="DZ14" s="2" t="s">
        <v>2670</v>
      </c>
      <c r="EA14" s="2" t="s">
        <v>4280</v>
      </c>
      <c r="EB14" s="2" t="s">
        <v>2671</v>
      </c>
      <c r="EC14" s="2" t="s">
        <v>2661</v>
      </c>
      <c r="ED14" s="2" t="s">
        <v>44</v>
      </c>
      <c r="EE14" s="2">
        <v>182</v>
      </c>
      <c r="EF14" s="2" t="s">
        <v>4374</v>
      </c>
      <c r="EG14" s="2">
        <v>5</v>
      </c>
      <c r="EH14" s="2" t="s">
        <v>46</v>
      </c>
      <c r="EI14" s="2" t="s">
        <v>47</v>
      </c>
      <c r="EJ14" s="2" t="s">
        <v>2673</v>
      </c>
      <c r="EK14" s="2" t="s">
        <v>2661</v>
      </c>
      <c r="EL14" s="2" t="s">
        <v>44</v>
      </c>
      <c r="EM14" s="2">
        <v>194</v>
      </c>
      <c r="EN14" s="2" t="s">
        <v>4374</v>
      </c>
      <c r="EO14" s="2">
        <v>7</v>
      </c>
      <c r="EP14" s="2" t="s">
        <v>46</v>
      </c>
      <c r="EQ14" s="2" t="s">
        <v>47</v>
      </c>
      <c r="ER14" s="2" t="s">
        <v>2674</v>
      </c>
      <c r="ET14" s="2" t="s">
        <v>2675</v>
      </c>
      <c r="EU14" s="2" t="s">
        <v>4372</v>
      </c>
      <c r="EV14" s="2" t="s">
        <v>2676</v>
      </c>
      <c r="EW14" s="2" t="s">
        <v>299</v>
      </c>
      <c r="EX14" s="2" t="s">
        <v>39</v>
      </c>
      <c r="EY14" s="2">
        <v>33133</v>
      </c>
      <c r="EZ14" s="2" t="s">
        <v>2677</v>
      </c>
      <c r="FB14" s="2" t="s">
        <v>2678</v>
      </c>
      <c r="FC14" s="2" t="s">
        <v>4375</v>
      </c>
      <c r="FE14" s="2" t="s">
        <v>4376</v>
      </c>
      <c r="FF14" s="2" t="s">
        <v>4372</v>
      </c>
      <c r="FG14" s="2" t="s">
        <v>2676</v>
      </c>
      <c r="FH14" s="2" t="s">
        <v>299</v>
      </c>
      <c r="FI14" s="2" t="s">
        <v>39</v>
      </c>
      <c r="FJ14" s="2">
        <v>33133</v>
      </c>
      <c r="FK14" s="2" t="s">
        <v>4377</v>
      </c>
      <c r="FM14" s="2" t="s">
        <v>4378</v>
      </c>
      <c r="FN14" s="2" t="s">
        <v>4379</v>
      </c>
      <c r="FO14" s="2" t="s">
        <v>63</v>
      </c>
      <c r="FP14" s="2" t="s">
        <v>64</v>
      </c>
      <c r="FQ14" s="2" t="s">
        <v>9</v>
      </c>
      <c r="FR14" s="2" t="s">
        <v>17</v>
      </c>
      <c r="FS14" s="2" t="s">
        <v>17</v>
      </c>
      <c r="FT14" s="2" t="s">
        <v>9</v>
      </c>
      <c r="FX14" s="2">
        <v>0</v>
      </c>
      <c r="FY14" s="2">
        <v>0</v>
      </c>
      <c r="FZ14" s="4">
        <v>0</v>
      </c>
      <c r="GA14" s="4">
        <v>0</v>
      </c>
      <c r="GB14" s="2" t="s">
        <v>65</v>
      </c>
      <c r="GC14" s="2" t="s">
        <v>66</v>
      </c>
      <c r="GD14" s="2" t="s">
        <v>67</v>
      </c>
      <c r="GE14" s="2" t="s">
        <v>68</v>
      </c>
      <c r="GF14" s="2">
        <v>175</v>
      </c>
      <c r="GG14" s="2">
        <v>175</v>
      </c>
      <c r="GQ14" s="2">
        <v>175</v>
      </c>
      <c r="GR14" s="2" t="s">
        <v>2960</v>
      </c>
      <c r="GS14" s="2" t="s">
        <v>2686</v>
      </c>
      <c r="GT14" s="2" t="s">
        <v>4380</v>
      </c>
      <c r="GU14" s="2" t="s">
        <v>396</v>
      </c>
      <c r="GV14" s="2" t="s">
        <v>17</v>
      </c>
      <c r="GW14" s="2">
        <v>27.998249000000001</v>
      </c>
      <c r="GX14" s="2">
        <v>-82.405698999999998</v>
      </c>
      <c r="GZ14" s="2" t="s">
        <v>17</v>
      </c>
      <c r="HA14" s="2">
        <v>0</v>
      </c>
      <c r="HC14" s="2">
        <v>0</v>
      </c>
      <c r="HD14" s="2">
        <v>27.996020000000001</v>
      </c>
      <c r="HE14" s="2">
        <v>-82.406730999999994</v>
      </c>
      <c r="HF14" s="2">
        <v>0.15</v>
      </c>
      <c r="HG14" s="2">
        <v>5</v>
      </c>
      <c r="HH14" s="2">
        <v>27.996251999999998</v>
      </c>
      <c r="HI14" s="2">
        <v>-82.403617999999994</v>
      </c>
      <c r="HJ14" s="2">
        <v>0.18</v>
      </c>
      <c r="HK14" s="2">
        <v>27.999500000000001</v>
      </c>
      <c r="HL14" s="2">
        <v>-82.413908000000006</v>
      </c>
      <c r="HM14" s="2">
        <v>0.52</v>
      </c>
      <c r="IC14" s="2" t="s">
        <v>4381</v>
      </c>
      <c r="ID14" s="2">
        <v>1.34</v>
      </c>
      <c r="IE14" s="2">
        <v>1.5</v>
      </c>
      <c r="IF14" s="2" t="s">
        <v>4382</v>
      </c>
      <c r="IG14" s="2">
        <v>0.19</v>
      </c>
      <c r="IH14" s="2">
        <v>4</v>
      </c>
      <c r="II14" s="2" t="s">
        <v>4383</v>
      </c>
      <c r="IJ14" s="2">
        <v>0.4</v>
      </c>
      <c r="IK14" s="2">
        <v>4</v>
      </c>
      <c r="IL14" s="2" t="s">
        <v>9</v>
      </c>
      <c r="IM14" s="2" t="s">
        <v>17</v>
      </c>
      <c r="IO14" s="2" t="s">
        <v>17</v>
      </c>
      <c r="IP14" s="2" t="s">
        <v>79</v>
      </c>
      <c r="IQ14" s="2" t="s">
        <v>79</v>
      </c>
      <c r="IR14" s="2">
        <v>5</v>
      </c>
      <c r="IS14" s="2">
        <v>9.5</v>
      </c>
      <c r="IT14" s="2">
        <v>0</v>
      </c>
      <c r="IU14" s="2">
        <v>14.5</v>
      </c>
      <c r="IV14" s="2" t="s">
        <v>9</v>
      </c>
      <c r="IW14" s="2" t="s">
        <v>9</v>
      </c>
      <c r="IX14" s="2" t="s">
        <v>9</v>
      </c>
      <c r="IY14" s="2">
        <v>14.5</v>
      </c>
      <c r="IZ14" s="2">
        <v>175</v>
      </c>
      <c r="JB14" s="2" t="s">
        <v>82</v>
      </c>
      <c r="JH14" s="7">
        <v>0</v>
      </c>
      <c r="JI14" s="2">
        <v>0</v>
      </c>
      <c r="JJ14" s="7">
        <v>0</v>
      </c>
      <c r="JK14" s="2">
        <v>0</v>
      </c>
      <c r="JL14" s="7">
        <v>0</v>
      </c>
      <c r="JN14" s="2">
        <v>35</v>
      </c>
      <c r="JQ14" s="2">
        <v>88</v>
      </c>
      <c r="JS14" s="2">
        <v>52</v>
      </c>
      <c r="JT14" s="2">
        <v>0</v>
      </c>
      <c r="JU14" s="2">
        <v>0</v>
      </c>
      <c r="JV14" s="2">
        <v>175</v>
      </c>
      <c r="JW14" s="4">
        <v>1</v>
      </c>
      <c r="JX14" s="2">
        <v>175</v>
      </c>
      <c r="JY14" s="4">
        <v>0.59943000000000002</v>
      </c>
      <c r="KE14" s="7">
        <v>0</v>
      </c>
      <c r="KF14" s="2">
        <v>0</v>
      </c>
      <c r="KI14" s="2">
        <v>175</v>
      </c>
      <c r="KQ14" s="2" t="s">
        <v>83</v>
      </c>
      <c r="KR14" s="2" t="s">
        <v>73</v>
      </c>
      <c r="KT14" s="2">
        <v>5</v>
      </c>
      <c r="KU14" s="2" t="s">
        <v>84</v>
      </c>
      <c r="KW14" s="2" t="s">
        <v>86</v>
      </c>
      <c r="KX14" s="2" t="s">
        <v>17</v>
      </c>
      <c r="KY14" s="2" t="s">
        <v>17</v>
      </c>
      <c r="KZ14" s="2" t="s">
        <v>17</v>
      </c>
      <c r="LA14" s="2" t="s">
        <v>17</v>
      </c>
      <c r="LB14" s="2" t="s">
        <v>17</v>
      </c>
      <c r="LC14" s="2" t="s">
        <v>17</v>
      </c>
      <c r="LD14" s="2" t="s">
        <v>17</v>
      </c>
      <c r="LE14" s="2" t="s">
        <v>17</v>
      </c>
      <c r="LF14" s="2" t="s">
        <v>17</v>
      </c>
      <c r="LG14" s="2" t="s">
        <v>17</v>
      </c>
      <c r="LH14" s="2" t="s">
        <v>17</v>
      </c>
      <c r="LI14" s="2" t="s">
        <v>17</v>
      </c>
      <c r="LJ14" s="2" t="s">
        <v>87</v>
      </c>
      <c r="LK14" s="2" t="s">
        <v>17</v>
      </c>
      <c r="LL14" s="2" t="s">
        <v>17</v>
      </c>
      <c r="LM14" s="2">
        <v>0</v>
      </c>
      <c r="LN14" s="2" t="s">
        <v>17</v>
      </c>
      <c r="LO14" s="2" t="s">
        <v>9</v>
      </c>
      <c r="LP14" s="2" t="s">
        <v>17</v>
      </c>
      <c r="LQ14" s="2" t="s">
        <v>17</v>
      </c>
      <c r="LR14" s="2" t="s">
        <v>9</v>
      </c>
      <c r="LS14" s="2" t="s">
        <v>9</v>
      </c>
      <c r="LT14" s="2" t="s">
        <v>17</v>
      </c>
      <c r="LU14" s="2" t="s">
        <v>17</v>
      </c>
      <c r="LV14" s="2" t="s">
        <v>17</v>
      </c>
      <c r="LW14" s="2" t="s">
        <v>17</v>
      </c>
      <c r="LX14" s="2" t="s">
        <v>17</v>
      </c>
      <c r="LY14" s="5">
        <v>6500000</v>
      </c>
      <c r="LZ14" s="5">
        <v>0</v>
      </c>
      <c r="MA14" s="5">
        <v>11000000</v>
      </c>
      <c r="MB14" s="5">
        <v>7000000</v>
      </c>
      <c r="MC14" s="5">
        <v>7000000</v>
      </c>
      <c r="MD14" s="5">
        <v>750000</v>
      </c>
      <c r="ME14" s="5">
        <v>750000</v>
      </c>
      <c r="MF14" s="5">
        <v>750000</v>
      </c>
      <c r="MG14" s="5">
        <v>10000000</v>
      </c>
      <c r="MH14" s="5">
        <v>0</v>
      </c>
      <c r="MI14" s="5">
        <v>10000000</v>
      </c>
      <c r="MJ14" s="5">
        <v>0</v>
      </c>
      <c r="MK14" s="5">
        <v>1314000</v>
      </c>
      <c r="ML14" s="5">
        <v>0</v>
      </c>
      <c r="MM14" s="5">
        <v>0</v>
      </c>
      <c r="MN14" s="2">
        <v>0</v>
      </c>
      <c r="MO14" s="5">
        <v>0</v>
      </c>
      <c r="MP14" s="5">
        <v>0</v>
      </c>
      <c r="MQ14" s="2">
        <v>0</v>
      </c>
      <c r="MR14" s="2">
        <v>0</v>
      </c>
      <c r="MS14" s="2">
        <v>0</v>
      </c>
      <c r="MT14" s="5">
        <v>2950000</v>
      </c>
      <c r="MU14" s="5">
        <v>0</v>
      </c>
      <c r="MV14" s="5">
        <v>4600000</v>
      </c>
      <c r="MW14" s="5">
        <v>0</v>
      </c>
      <c r="MY14" s="5">
        <v>0</v>
      </c>
      <c r="MZ14" s="5">
        <v>0</v>
      </c>
      <c r="NA14" s="5">
        <v>0</v>
      </c>
      <c r="NB14" s="5">
        <v>2500000</v>
      </c>
      <c r="NC14" s="5">
        <v>0</v>
      </c>
      <c r="ND14" s="5">
        <v>5000000</v>
      </c>
      <c r="NE14" s="5">
        <v>0</v>
      </c>
      <c r="NF14" s="5">
        <v>0</v>
      </c>
      <c r="NG14" s="5">
        <v>0</v>
      </c>
      <c r="NH14" s="5"/>
      <c r="NI14" s="5">
        <v>0</v>
      </c>
      <c r="NJ14" s="5">
        <v>2299803</v>
      </c>
      <c r="NK14" s="2" t="s">
        <v>17</v>
      </c>
      <c r="NL14" s="2">
        <v>2023</v>
      </c>
      <c r="NM14" s="2" t="s">
        <v>17</v>
      </c>
      <c r="NO14" s="2" t="s">
        <v>17</v>
      </c>
      <c r="NR14" s="2" t="s">
        <v>17</v>
      </c>
      <c r="NT14" s="2" t="s">
        <v>9</v>
      </c>
      <c r="NU14" s="2" t="s">
        <v>450</v>
      </c>
      <c r="NV14" s="2">
        <v>10.02</v>
      </c>
      <c r="NW14" s="2" t="s">
        <v>2967</v>
      </c>
      <c r="NX14" s="2" t="s">
        <v>118</v>
      </c>
      <c r="NY14" s="2" t="s">
        <v>118</v>
      </c>
      <c r="NZ14" s="2" t="s">
        <v>118</v>
      </c>
      <c r="OA14" s="2" t="s">
        <v>17</v>
      </c>
      <c r="OB14" s="2" t="s">
        <v>119</v>
      </c>
      <c r="OF14" s="2" t="s">
        <v>17</v>
      </c>
      <c r="OG14" s="2" t="s">
        <v>17</v>
      </c>
      <c r="OH14" s="2" t="s">
        <v>85</v>
      </c>
      <c r="OI14" s="6">
        <v>0</v>
      </c>
      <c r="OJ14" s="6">
        <v>210000</v>
      </c>
      <c r="OK14" s="2" t="s">
        <v>17</v>
      </c>
      <c r="OL14" s="2" t="s">
        <v>17</v>
      </c>
      <c r="OM14" s="6">
        <v>0</v>
      </c>
      <c r="ON14" s="6">
        <v>0</v>
      </c>
      <c r="OO14" s="6">
        <v>0</v>
      </c>
      <c r="OP14" s="6">
        <v>0</v>
      </c>
      <c r="OQ14" s="4">
        <v>0</v>
      </c>
      <c r="OR14" s="6">
        <v>0</v>
      </c>
      <c r="OS14" s="4">
        <v>0</v>
      </c>
      <c r="OT14" s="2" t="s">
        <v>17</v>
      </c>
      <c r="OU14" s="2" t="s">
        <v>17</v>
      </c>
      <c r="OW14" s="2" t="s">
        <v>17</v>
      </c>
      <c r="OX14" s="5">
        <v>6443220</v>
      </c>
      <c r="OY14" s="6">
        <v>36818.400000000001</v>
      </c>
      <c r="PD14" s="8">
        <v>25112500</v>
      </c>
      <c r="PF14" s="8">
        <v>25112500</v>
      </c>
      <c r="PG14" s="8">
        <v>1300000</v>
      </c>
      <c r="PI14" s="8">
        <v>1300000</v>
      </c>
      <c r="PO14" s="8">
        <v>26412500</v>
      </c>
      <c r="PQ14" s="8">
        <v>26412500</v>
      </c>
      <c r="PR14" s="8">
        <v>3697750</v>
      </c>
      <c r="PT14" s="8">
        <v>3697750</v>
      </c>
      <c r="PU14" s="6">
        <v>3697750</v>
      </c>
      <c r="PV14" s="8">
        <v>30110250</v>
      </c>
      <c r="PX14" s="8">
        <v>30110250</v>
      </c>
      <c r="PY14" s="8">
        <v>1505512</v>
      </c>
      <c r="QA14" s="8">
        <v>1505512</v>
      </c>
      <c r="QB14" s="6">
        <v>1505512.5</v>
      </c>
      <c r="QC14" s="8">
        <v>2880464</v>
      </c>
      <c r="QD14" s="8">
        <v>508771</v>
      </c>
      <c r="QE14" s="8">
        <v>3389235</v>
      </c>
      <c r="QF14" s="8">
        <v>312996</v>
      </c>
      <c r="QH14" s="8">
        <v>312996</v>
      </c>
      <c r="QI14" s="8">
        <v>403725</v>
      </c>
      <c r="QJ14" s="8">
        <v>76750</v>
      </c>
      <c r="QK14" s="8">
        <v>480475</v>
      </c>
      <c r="QM14" s="8">
        <v>404982</v>
      </c>
      <c r="QN14" s="8">
        <v>404982</v>
      </c>
      <c r="QR14" s="8">
        <v>130000</v>
      </c>
      <c r="QT14" s="8">
        <v>130000</v>
      </c>
      <c r="QU14" s="8">
        <v>3727185</v>
      </c>
      <c r="QV14" s="8">
        <v>990503</v>
      </c>
      <c r="QW14" s="8">
        <v>4717688</v>
      </c>
      <c r="QX14" s="8">
        <v>176809</v>
      </c>
      <c r="QY14" s="8">
        <v>8439</v>
      </c>
      <c r="QZ14" s="8">
        <v>185248</v>
      </c>
      <c r="RA14" s="6">
        <v>235884.4</v>
      </c>
      <c r="RB14" s="8">
        <v>1586320</v>
      </c>
      <c r="RC14" s="8">
        <v>1407780</v>
      </c>
      <c r="RD14" s="8">
        <v>2994100</v>
      </c>
      <c r="RE14" s="8">
        <v>529551</v>
      </c>
      <c r="RF14" s="8">
        <v>529551</v>
      </c>
      <c r="RJ14" s="8">
        <v>1586320</v>
      </c>
      <c r="RK14" s="8">
        <v>1937331</v>
      </c>
      <c r="RL14" s="8">
        <v>3523651</v>
      </c>
      <c r="RT14" s="8">
        <v>37106076</v>
      </c>
      <c r="RU14" s="8">
        <v>2936273</v>
      </c>
      <c r="RV14" s="8">
        <v>40042349</v>
      </c>
      <c r="RY14" s="2">
        <v>0</v>
      </c>
      <c r="RZ14" s="6">
        <v>0</v>
      </c>
      <c r="SA14" s="8">
        <v>7120908</v>
      </c>
      <c r="SC14" s="8">
        <v>7120908</v>
      </c>
      <c r="SD14" s="6">
        <v>7207622</v>
      </c>
      <c r="SE14" s="8">
        <v>7120908</v>
      </c>
      <c r="SF14" s="8">
        <v>7120908</v>
      </c>
      <c r="SG14" s="6">
        <v>7207622</v>
      </c>
      <c r="SH14" s="8">
        <v>612500</v>
      </c>
      <c r="SI14" s="8">
        <v>612500</v>
      </c>
      <c r="SJ14" s="6">
        <v>612500</v>
      </c>
      <c r="SK14" s="2">
        <v>1</v>
      </c>
      <c r="SL14" s="2">
        <v>1</v>
      </c>
      <c r="SM14" s="8">
        <v>44226984</v>
      </c>
      <c r="SN14" s="8">
        <v>3548774</v>
      </c>
      <c r="SO14" s="8">
        <v>47775758</v>
      </c>
      <c r="SP14" s="8">
        <v>30750000</v>
      </c>
      <c r="SQ14" s="2" t="s">
        <v>4220</v>
      </c>
      <c r="SR14" s="8">
        <v>75000</v>
      </c>
      <c r="SS14" s="2" t="s">
        <v>453</v>
      </c>
      <c r="SX14" s="8">
        <v>7750000</v>
      </c>
      <c r="SY14" s="2" t="s">
        <v>96</v>
      </c>
      <c r="SZ14" s="2" t="s">
        <v>96</v>
      </c>
      <c r="TA14" s="2" t="s">
        <v>96</v>
      </c>
      <c r="TB14" s="8">
        <v>6346822</v>
      </c>
      <c r="TF14" s="8">
        <v>2853936</v>
      </c>
      <c r="TG14" s="8">
        <v>47775758</v>
      </c>
      <c r="TH14" s="2">
        <v>0</v>
      </c>
      <c r="TI14" s="8">
        <v>15575000</v>
      </c>
      <c r="TJ14" s="2" t="s">
        <v>4220</v>
      </c>
      <c r="TK14" s="8">
        <v>75000</v>
      </c>
      <c r="TL14" s="2" t="s">
        <v>453</v>
      </c>
      <c r="TR14" s="8">
        <v>7750000</v>
      </c>
      <c r="TS14" s="8">
        <v>21156073</v>
      </c>
      <c r="TZ14" s="8">
        <v>3219685</v>
      </c>
      <c r="UA14" s="8">
        <v>47775758</v>
      </c>
      <c r="UB14" s="6">
        <v>23400000</v>
      </c>
      <c r="UC14" s="2">
        <v>0</v>
      </c>
      <c r="UD14" s="2">
        <v>175</v>
      </c>
      <c r="UE14" s="5">
        <v>240000</v>
      </c>
      <c r="UF14" s="6">
        <v>320000</v>
      </c>
      <c r="UG14" s="6">
        <v>327500</v>
      </c>
      <c r="UH14" s="6">
        <v>347150</v>
      </c>
      <c r="UI14" s="6">
        <v>60751250</v>
      </c>
      <c r="UJ14" s="6">
        <v>10935225</v>
      </c>
      <c r="UK14" s="2" t="s">
        <v>97</v>
      </c>
      <c r="UL14" s="6">
        <v>10935225</v>
      </c>
      <c r="UM14" s="6">
        <v>71686475</v>
      </c>
      <c r="UN14" s="6">
        <v>47163257</v>
      </c>
      <c r="UQ14" s="6">
        <v>0</v>
      </c>
      <c r="UR14" s="6">
        <v>75000</v>
      </c>
      <c r="US14" s="6">
        <v>75000</v>
      </c>
      <c r="UV14" s="6">
        <v>0</v>
      </c>
      <c r="UW14" s="6">
        <v>75000</v>
      </c>
      <c r="UX14" s="6">
        <v>0</v>
      </c>
      <c r="UY14" s="6">
        <v>75000</v>
      </c>
      <c r="UZ14" s="2" t="s">
        <v>2968</v>
      </c>
      <c r="VA14" s="2" t="s">
        <v>453</v>
      </c>
      <c r="VB14" s="2" t="s">
        <v>17</v>
      </c>
      <c r="VI14" s="388" t="s">
        <v>2657</v>
      </c>
      <c r="VJ14" s="2" t="s">
        <v>98</v>
      </c>
      <c r="VK14" s="2" t="s">
        <v>4296</v>
      </c>
      <c r="VL14" s="23">
        <f t="shared" si="0"/>
        <v>350</v>
      </c>
      <c r="VM14" s="17">
        <f t="shared" si="1"/>
        <v>2</v>
      </c>
      <c r="VN14" s="17" t="str">
        <f t="shared" si="2"/>
        <v>NC-GA-F</v>
      </c>
      <c r="VO14" s="17" t="str">
        <f t="shared" si="15"/>
        <v>NC-GA-F-ESS</v>
      </c>
      <c r="VP14" s="57">
        <v>1</v>
      </c>
      <c r="VQ14" s="17">
        <f t="shared" si="3"/>
        <v>1.1100000000000001</v>
      </c>
      <c r="VR14" s="14">
        <f t="shared" si="4"/>
        <v>1</v>
      </c>
      <c r="VS14" s="14">
        <f t="shared" si="5"/>
        <v>1</v>
      </c>
      <c r="VT14" s="12">
        <f t="shared" si="6"/>
        <v>0.85439999999999994</v>
      </c>
      <c r="VU14" s="29">
        <f t="shared" si="7"/>
        <v>6638688</v>
      </c>
      <c r="VV14" s="29">
        <f t="shared" si="8"/>
        <v>37935.360000000001</v>
      </c>
      <c r="VW14" s="351" t="str">
        <f t="shared" si="16"/>
        <v>A</v>
      </c>
      <c r="VX14" s="12" t="str">
        <f t="shared" si="9"/>
        <v>NC-GA-ESS</v>
      </c>
      <c r="VY14" s="23">
        <f t="shared" si="17"/>
        <v>2</v>
      </c>
      <c r="WA14" s="12">
        <f t="shared" si="18"/>
        <v>0</v>
      </c>
      <c r="WB14" s="12">
        <f t="shared" si="19"/>
        <v>1</v>
      </c>
      <c r="WC14" s="12">
        <f t="shared" si="19"/>
        <v>0</v>
      </c>
      <c r="WD14" s="12">
        <f t="shared" si="19"/>
        <v>0</v>
      </c>
      <c r="WE14" s="12">
        <f t="shared" si="20"/>
        <v>1</v>
      </c>
      <c r="WF14" s="12">
        <f t="shared" si="10"/>
        <v>1</v>
      </c>
      <c r="WG14" s="12">
        <f t="shared" si="11"/>
        <v>0</v>
      </c>
      <c r="WH14" s="12">
        <f t="shared" si="12"/>
        <v>0</v>
      </c>
      <c r="WI14" s="31">
        <f t="shared" si="13"/>
        <v>3</v>
      </c>
      <c r="WK14" s="444" t="str">
        <f t="shared" si="21"/>
        <v>NC-GA-ESS-BBY-BRN-NPH-F</v>
      </c>
      <c r="WL14" s="444"/>
      <c r="WM14" s="444"/>
    </row>
    <row r="15" spans="1:622" x14ac:dyDescent="0.25">
      <c r="A15" s="2">
        <v>9317</v>
      </c>
      <c r="B15" s="2" t="s">
        <v>4384</v>
      </c>
      <c r="C15" s="2" t="s">
        <v>4205</v>
      </c>
      <c r="D15" s="3">
        <v>45100</v>
      </c>
      <c r="E15" s="2" t="s">
        <v>9</v>
      </c>
      <c r="F15" s="2">
        <v>1</v>
      </c>
      <c r="G15" s="2" t="s">
        <v>9</v>
      </c>
      <c r="H15" s="2">
        <v>1</v>
      </c>
      <c r="I15" s="2" t="s">
        <v>11</v>
      </c>
      <c r="J15" s="2">
        <v>0</v>
      </c>
      <c r="K15" s="2" t="s">
        <v>9</v>
      </c>
      <c r="L15" s="2">
        <v>1</v>
      </c>
      <c r="M15" s="2" t="s">
        <v>10</v>
      </c>
      <c r="N15" s="2">
        <v>0</v>
      </c>
      <c r="O15" s="2" t="s">
        <v>10</v>
      </c>
      <c r="P15" s="2">
        <v>0</v>
      </c>
      <c r="Q15" s="2" t="s">
        <v>11</v>
      </c>
      <c r="R15" s="2">
        <v>0</v>
      </c>
      <c r="S15" s="2" t="s">
        <v>9</v>
      </c>
      <c r="T15" s="2">
        <v>2</v>
      </c>
      <c r="U15" s="2" t="s">
        <v>9</v>
      </c>
      <c r="V15" s="2">
        <v>2</v>
      </c>
      <c r="W15" s="2" t="s">
        <v>9</v>
      </c>
      <c r="X15" s="2">
        <v>1</v>
      </c>
      <c r="Y15" s="2" t="s">
        <v>12</v>
      </c>
      <c r="Z15" s="2" t="s">
        <v>15</v>
      </c>
      <c r="AA15" s="2" t="s">
        <v>15</v>
      </c>
      <c r="AB15" s="2" t="s">
        <v>15</v>
      </c>
      <c r="AC15" s="2" t="s">
        <v>1620</v>
      </c>
      <c r="AD15" s="2" t="s">
        <v>15</v>
      </c>
      <c r="AE15" s="2" t="s">
        <v>15</v>
      </c>
      <c r="AF15" s="2">
        <v>0</v>
      </c>
      <c r="AG15" s="2" t="s">
        <v>234</v>
      </c>
      <c r="AH15" s="2" t="s">
        <v>17</v>
      </c>
      <c r="AI15" s="4">
        <v>0.16667000000000001</v>
      </c>
      <c r="AJ15" s="2" t="s">
        <v>17</v>
      </c>
      <c r="AK15" s="2" t="s">
        <v>9</v>
      </c>
      <c r="AL15" s="2" t="s">
        <v>17</v>
      </c>
      <c r="AM15" s="2" t="s">
        <v>17</v>
      </c>
      <c r="AN15" s="2" t="s">
        <v>17</v>
      </c>
      <c r="AO15" s="2" t="s">
        <v>9</v>
      </c>
      <c r="AP15" s="2" t="s">
        <v>17</v>
      </c>
      <c r="AQ15" s="2" t="s">
        <v>17</v>
      </c>
      <c r="AR15" s="2" t="s">
        <v>17</v>
      </c>
      <c r="AS15" s="2" t="s">
        <v>17</v>
      </c>
      <c r="AT15" s="2">
        <v>5</v>
      </c>
      <c r="AU15" s="5">
        <v>37500</v>
      </c>
      <c r="AV15" s="5">
        <v>460000</v>
      </c>
      <c r="AW15" s="2">
        <v>0</v>
      </c>
      <c r="AX15" s="2">
        <v>8</v>
      </c>
      <c r="AY15" s="2">
        <v>0</v>
      </c>
      <c r="AZ15" s="2">
        <v>16</v>
      </c>
      <c r="BA15" s="2">
        <v>0</v>
      </c>
      <c r="BB15" s="2">
        <v>1</v>
      </c>
      <c r="BC15" s="2">
        <v>1</v>
      </c>
      <c r="BD15" s="2">
        <v>0</v>
      </c>
      <c r="BE15" s="2">
        <v>1</v>
      </c>
      <c r="BF15" s="2">
        <v>1</v>
      </c>
      <c r="BG15" s="2">
        <v>0</v>
      </c>
      <c r="BH15" s="2">
        <v>0</v>
      </c>
      <c r="BI15" s="2">
        <v>13</v>
      </c>
      <c r="BJ15" s="2">
        <v>1</v>
      </c>
      <c r="BK15" s="2">
        <v>0</v>
      </c>
      <c r="BL15" s="2">
        <v>3</v>
      </c>
      <c r="BM15" s="2">
        <v>1</v>
      </c>
      <c r="BN15" s="2">
        <v>10</v>
      </c>
      <c r="BO15" s="2">
        <v>10</v>
      </c>
      <c r="BP15" s="2">
        <v>75.03</v>
      </c>
      <c r="BQ15" s="5">
        <v>9225000</v>
      </c>
      <c r="BR15" s="2">
        <v>1</v>
      </c>
      <c r="BS15" s="4">
        <v>0.06</v>
      </c>
      <c r="BT15" s="2" t="s">
        <v>9</v>
      </c>
      <c r="BU15" s="2" t="s">
        <v>17</v>
      </c>
      <c r="BV15" s="6">
        <v>38353.300000000003</v>
      </c>
      <c r="BW15" s="2" t="s">
        <v>18</v>
      </c>
      <c r="BX15" s="2" t="s">
        <v>17</v>
      </c>
      <c r="BY15" s="2" t="s">
        <v>17</v>
      </c>
      <c r="BZ15" s="2" t="s">
        <v>17</v>
      </c>
      <c r="CA15" s="2" t="s">
        <v>17</v>
      </c>
      <c r="CB15" s="2" t="s">
        <v>17</v>
      </c>
      <c r="CC15" s="2" t="s">
        <v>17</v>
      </c>
      <c r="CD15" s="2" t="s">
        <v>17</v>
      </c>
      <c r="CE15" s="2" t="s">
        <v>4385</v>
      </c>
      <c r="CF15" s="2" t="s">
        <v>17</v>
      </c>
      <c r="CG15" s="2" t="s">
        <v>17</v>
      </c>
      <c r="DA15" s="2" t="s">
        <v>4386</v>
      </c>
      <c r="DD15" s="2" t="s">
        <v>9</v>
      </c>
      <c r="DE15" s="2" t="s">
        <v>4387</v>
      </c>
      <c r="DF15" s="2" t="s">
        <v>4386</v>
      </c>
      <c r="DG15" s="2" t="s">
        <v>4388</v>
      </c>
      <c r="DH15" s="2" t="s">
        <v>4389</v>
      </c>
      <c r="DI15" s="2">
        <v>320</v>
      </c>
      <c r="DJ15" s="2" t="s">
        <v>4390</v>
      </c>
      <c r="DK15" s="2">
        <v>2012</v>
      </c>
      <c r="DL15" s="2" t="s">
        <v>4209</v>
      </c>
      <c r="DM15" s="2" t="s">
        <v>4210</v>
      </c>
      <c r="DN15" s="2" t="s">
        <v>33</v>
      </c>
      <c r="DO15" s="2" t="s">
        <v>4391</v>
      </c>
      <c r="DQ15" s="2" t="s">
        <v>4392</v>
      </c>
      <c r="DR15" s="2" t="s">
        <v>4393</v>
      </c>
      <c r="DS15" s="2">
        <v>1</v>
      </c>
      <c r="DT15" s="2" t="s">
        <v>4394</v>
      </c>
      <c r="DU15" s="2" t="s">
        <v>4395</v>
      </c>
      <c r="DV15" s="2" t="s">
        <v>519</v>
      </c>
      <c r="DW15" s="2">
        <v>44115</v>
      </c>
      <c r="DX15" s="2" t="s">
        <v>4396</v>
      </c>
      <c r="DZ15" s="2" t="s">
        <v>4397</v>
      </c>
      <c r="EA15" s="2" t="s">
        <v>4398</v>
      </c>
      <c r="EB15" s="2" t="s">
        <v>4399</v>
      </c>
      <c r="EC15" s="2" t="s">
        <v>4400</v>
      </c>
      <c r="ED15" s="2" t="s">
        <v>44</v>
      </c>
      <c r="EE15" s="2">
        <v>67</v>
      </c>
      <c r="EF15" s="2" t="s">
        <v>4401</v>
      </c>
      <c r="EG15" s="2">
        <v>12</v>
      </c>
      <c r="EH15" s="2" t="s">
        <v>46</v>
      </c>
      <c r="EI15" s="2" t="s">
        <v>47</v>
      </c>
      <c r="EJ15" s="2" t="s">
        <v>4402</v>
      </c>
      <c r="EK15" s="2" t="s">
        <v>150</v>
      </c>
      <c r="EL15" s="2" t="s">
        <v>44</v>
      </c>
      <c r="EM15" s="2">
        <v>198</v>
      </c>
      <c r="EN15" s="2" t="s">
        <v>4403</v>
      </c>
      <c r="EO15" s="2">
        <v>3</v>
      </c>
      <c r="EP15" s="2" t="s">
        <v>46</v>
      </c>
      <c r="EQ15" s="2" t="s">
        <v>47</v>
      </c>
      <c r="ER15" s="2" t="s">
        <v>4404</v>
      </c>
      <c r="ET15" s="2" t="s">
        <v>4405</v>
      </c>
      <c r="EU15" s="2" t="s">
        <v>4386</v>
      </c>
      <c r="EV15" s="2" t="s">
        <v>4406</v>
      </c>
      <c r="EW15" s="2" t="s">
        <v>4395</v>
      </c>
      <c r="EX15" s="2" t="s">
        <v>519</v>
      </c>
      <c r="EY15" s="2">
        <v>44115</v>
      </c>
      <c r="EZ15" s="2" t="s">
        <v>4396</v>
      </c>
      <c r="FB15" s="2" t="s">
        <v>4407</v>
      </c>
      <c r="FC15" s="2" t="s">
        <v>696</v>
      </c>
      <c r="FE15" s="2" t="s">
        <v>4408</v>
      </c>
      <c r="FF15" s="2" t="s">
        <v>4386</v>
      </c>
      <c r="FG15" s="2" t="s">
        <v>4406</v>
      </c>
      <c r="FH15" s="2" t="s">
        <v>4395</v>
      </c>
      <c r="FI15" s="2" t="s">
        <v>519</v>
      </c>
      <c r="FJ15" s="2">
        <v>44115</v>
      </c>
      <c r="FK15" s="2" t="s">
        <v>4396</v>
      </c>
      <c r="FM15" s="2" t="s">
        <v>4409</v>
      </c>
      <c r="FN15" s="2" t="s">
        <v>4410</v>
      </c>
      <c r="FO15" s="2" t="s">
        <v>63</v>
      </c>
      <c r="FP15" s="2" t="s">
        <v>64</v>
      </c>
      <c r="FQ15" s="2" t="s">
        <v>9</v>
      </c>
      <c r="FR15" s="2" t="s">
        <v>17</v>
      </c>
      <c r="FS15" s="2" t="s">
        <v>17</v>
      </c>
      <c r="FT15" s="2" t="s">
        <v>9</v>
      </c>
      <c r="FX15" s="2">
        <v>0</v>
      </c>
      <c r="FY15" s="2">
        <v>0</v>
      </c>
      <c r="FZ15" s="4">
        <v>0</v>
      </c>
      <c r="GA15" s="4">
        <v>0</v>
      </c>
      <c r="GB15" s="2" t="s">
        <v>65</v>
      </c>
      <c r="GC15" s="2" t="s">
        <v>66</v>
      </c>
      <c r="GD15" s="2" t="s">
        <v>67</v>
      </c>
      <c r="GE15" s="2" t="s">
        <v>108</v>
      </c>
      <c r="GJ15" s="2">
        <v>216</v>
      </c>
      <c r="GQ15" s="2">
        <v>216</v>
      </c>
      <c r="GR15" s="2" t="s">
        <v>4411</v>
      </c>
      <c r="GS15" s="2" t="s">
        <v>70</v>
      </c>
      <c r="GT15" s="2" t="s">
        <v>4412</v>
      </c>
      <c r="GU15" s="2" t="s">
        <v>4413</v>
      </c>
      <c r="GV15" s="2" t="s">
        <v>17</v>
      </c>
      <c r="GW15" s="2">
        <v>27.466885999999999</v>
      </c>
      <c r="GX15" s="2">
        <v>-82.568931000000006</v>
      </c>
      <c r="GZ15" s="2" t="s">
        <v>17</v>
      </c>
      <c r="HA15" s="2">
        <v>0</v>
      </c>
      <c r="HC15" s="2">
        <v>0</v>
      </c>
      <c r="HN15" s="2">
        <v>27.470541999999998</v>
      </c>
      <c r="HO15" s="2">
        <v>-82.568881000000005</v>
      </c>
      <c r="HP15" s="2">
        <v>0.26</v>
      </c>
      <c r="HQ15" s="2">
        <v>6</v>
      </c>
      <c r="HZ15" s="2" t="s">
        <v>4414</v>
      </c>
      <c r="IA15" s="2">
        <v>0.42</v>
      </c>
      <c r="IB15" s="2">
        <v>3.5</v>
      </c>
      <c r="IF15" s="2" t="s">
        <v>224</v>
      </c>
      <c r="IG15" s="2">
        <v>1.22</v>
      </c>
      <c r="IH15" s="2">
        <v>2</v>
      </c>
      <c r="II15" s="2" t="s">
        <v>4415</v>
      </c>
      <c r="IJ15" s="2">
        <v>1.1299999999999999</v>
      </c>
      <c r="IK15" s="2">
        <v>2.5</v>
      </c>
      <c r="IL15" s="2" t="s">
        <v>17</v>
      </c>
      <c r="IM15" s="2" t="s">
        <v>17</v>
      </c>
      <c r="IP15" s="2" t="s">
        <v>79</v>
      </c>
      <c r="IQ15" s="2" t="s">
        <v>79</v>
      </c>
      <c r="IR15" s="2">
        <v>6</v>
      </c>
      <c r="IS15" s="2">
        <v>8</v>
      </c>
      <c r="IT15" s="2">
        <v>0</v>
      </c>
      <c r="IU15" s="2">
        <v>14</v>
      </c>
      <c r="IV15" s="2" t="s">
        <v>80</v>
      </c>
      <c r="IW15" s="2" t="s">
        <v>9</v>
      </c>
      <c r="IX15" s="2" t="s">
        <v>9</v>
      </c>
      <c r="IY15" s="2">
        <v>14</v>
      </c>
      <c r="IZ15" s="2">
        <v>216</v>
      </c>
      <c r="JB15" s="2" t="s">
        <v>82</v>
      </c>
      <c r="JH15" s="7">
        <v>0</v>
      </c>
      <c r="JI15" s="2">
        <v>0</v>
      </c>
      <c r="JJ15" s="7">
        <v>0</v>
      </c>
      <c r="JK15" s="2">
        <v>0</v>
      </c>
      <c r="JL15" s="7">
        <v>0</v>
      </c>
      <c r="JM15" s="2">
        <v>0</v>
      </c>
      <c r="JN15" s="2">
        <v>36</v>
      </c>
      <c r="JO15" s="2">
        <v>0</v>
      </c>
      <c r="JP15" s="2">
        <v>0</v>
      </c>
      <c r="JQ15" s="2">
        <v>134</v>
      </c>
      <c r="JR15" s="2">
        <v>0</v>
      </c>
      <c r="JS15" s="2">
        <v>46</v>
      </c>
      <c r="JT15" s="2">
        <v>0</v>
      </c>
      <c r="JU15" s="2">
        <v>0</v>
      </c>
      <c r="JV15" s="2">
        <v>216</v>
      </c>
      <c r="JW15" s="4">
        <v>1</v>
      </c>
      <c r="JX15" s="2">
        <v>216</v>
      </c>
      <c r="JY15" s="4">
        <v>0.59258999999999995</v>
      </c>
      <c r="JZ15" s="7"/>
      <c r="KA15" s="7"/>
      <c r="KB15" s="7"/>
      <c r="KC15" s="7"/>
      <c r="KD15" s="7"/>
      <c r="KE15" s="7">
        <v>0</v>
      </c>
      <c r="KF15" s="2">
        <v>0</v>
      </c>
      <c r="KH15" s="2">
        <v>43</v>
      </c>
      <c r="KJ15" s="2">
        <v>0</v>
      </c>
      <c r="KK15" s="2">
        <v>108</v>
      </c>
      <c r="KL15" s="2">
        <v>43</v>
      </c>
      <c r="KN15" s="2">
        <v>22</v>
      </c>
      <c r="KQ15" s="2" t="s">
        <v>83</v>
      </c>
      <c r="KR15" s="2" t="s">
        <v>73</v>
      </c>
      <c r="KT15" s="2">
        <v>2</v>
      </c>
      <c r="KU15" s="2" t="s">
        <v>84</v>
      </c>
      <c r="KW15" s="2" t="s">
        <v>86</v>
      </c>
      <c r="KX15" s="2" t="s">
        <v>17</v>
      </c>
      <c r="KY15" s="2" t="s">
        <v>17</v>
      </c>
      <c r="KZ15" s="2" t="s">
        <v>17</v>
      </c>
      <c r="LA15" s="2" t="s">
        <v>17</v>
      </c>
      <c r="LB15" s="2" t="s">
        <v>17</v>
      </c>
      <c r="LC15" s="2" t="s">
        <v>17</v>
      </c>
      <c r="LD15" s="2" t="s">
        <v>17</v>
      </c>
      <c r="LE15" s="2" t="s">
        <v>17</v>
      </c>
      <c r="LF15" s="2" t="s">
        <v>17</v>
      </c>
      <c r="LG15" s="2" t="s">
        <v>17</v>
      </c>
      <c r="LH15" s="2" t="s">
        <v>17</v>
      </c>
      <c r="LI15" s="2" t="s">
        <v>17</v>
      </c>
      <c r="LJ15" s="2" t="s">
        <v>87</v>
      </c>
      <c r="LK15" s="2" t="s">
        <v>17</v>
      </c>
      <c r="LL15" s="2" t="s">
        <v>17</v>
      </c>
      <c r="LM15" s="2">
        <v>0</v>
      </c>
      <c r="LN15" s="2" t="s">
        <v>9</v>
      </c>
      <c r="LO15" s="2" t="s">
        <v>17</v>
      </c>
      <c r="LP15" s="2" t="s">
        <v>17</v>
      </c>
      <c r="LQ15" s="2" t="s">
        <v>9</v>
      </c>
      <c r="LR15" s="2" t="s">
        <v>9</v>
      </c>
      <c r="LS15" s="2" t="s">
        <v>17</v>
      </c>
      <c r="LT15" s="2" t="s">
        <v>17</v>
      </c>
      <c r="LU15" s="2" t="s">
        <v>17</v>
      </c>
      <c r="LV15" s="2" t="s">
        <v>17</v>
      </c>
      <c r="LW15" s="2" t="s">
        <v>17</v>
      </c>
      <c r="LX15" s="2" t="s">
        <v>17</v>
      </c>
      <c r="LY15" s="5">
        <v>6500000</v>
      </c>
      <c r="LZ15" s="5">
        <v>0</v>
      </c>
      <c r="MA15" s="5">
        <v>9500000</v>
      </c>
      <c r="MB15" s="5">
        <v>8475000</v>
      </c>
      <c r="MC15" s="5">
        <v>8475000</v>
      </c>
      <c r="MD15" s="5">
        <v>750000</v>
      </c>
      <c r="ME15" s="5">
        <v>750000</v>
      </c>
      <c r="MF15" s="5">
        <v>750000</v>
      </c>
      <c r="MG15" s="5">
        <v>10000000</v>
      </c>
      <c r="MH15" s="5">
        <v>0</v>
      </c>
      <c r="MI15" s="5">
        <v>10000000</v>
      </c>
      <c r="MJ15" s="5">
        <v>0</v>
      </c>
      <c r="MK15" s="5">
        <v>2115800</v>
      </c>
      <c r="ML15" s="5">
        <v>0</v>
      </c>
      <c r="MM15" s="5">
        <v>0</v>
      </c>
      <c r="MN15" s="2">
        <v>0</v>
      </c>
      <c r="MO15" s="5">
        <v>0</v>
      </c>
      <c r="MP15" s="5">
        <v>0</v>
      </c>
      <c r="MQ15" s="2">
        <v>0</v>
      </c>
      <c r="MR15" s="2">
        <v>0</v>
      </c>
      <c r="MS15" s="2">
        <v>0</v>
      </c>
      <c r="MT15" s="5">
        <v>2950000</v>
      </c>
      <c r="MU15" s="5">
        <v>0</v>
      </c>
      <c r="MV15" s="5">
        <v>4600000</v>
      </c>
      <c r="MW15" s="5">
        <v>0</v>
      </c>
      <c r="MY15" s="5">
        <v>0</v>
      </c>
      <c r="MZ15" s="5">
        <v>0</v>
      </c>
      <c r="NA15" s="5">
        <v>0</v>
      </c>
      <c r="NB15" s="5">
        <v>2500000</v>
      </c>
      <c r="NC15" s="5">
        <v>0</v>
      </c>
      <c r="ND15" s="5">
        <v>5000000</v>
      </c>
      <c r="NE15" s="5">
        <v>0</v>
      </c>
      <c r="NF15" s="5">
        <v>0</v>
      </c>
      <c r="NG15" s="5">
        <v>0</v>
      </c>
      <c r="NH15" s="5"/>
      <c r="NI15" s="5">
        <v>0</v>
      </c>
      <c r="NJ15" s="5">
        <v>2933239</v>
      </c>
      <c r="NK15" s="2" t="s">
        <v>17</v>
      </c>
      <c r="NL15" s="2" t="s">
        <v>4292</v>
      </c>
      <c r="NM15" s="2" t="s">
        <v>17</v>
      </c>
      <c r="NO15" s="2" t="s">
        <v>17</v>
      </c>
      <c r="NR15" s="2" t="s">
        <v>17</v>
      </c>
      <c r="NT15" s="2" t="s">
        <v>9</v>
      </c>
      <c r="NU15" s="2" t="s">
        <v>450</v>
      </c>
      <c r="NV15" s="2">
        <v>1.05</v>
      </c>
      <c r="NW15" s="2" t="s">
        <v>4416</v>
      </c>
      <c r="NX15" s="2" t="s">
        <v>118</v>
      </c>
      <c r="NY15" s="2" t="s">
        <v>118</v>
      </c>
      <c r="NZ15" s="2" t="s">
        <v>118</v>
      </c>
      <c r="OA15" s="2" t="s">
        <v>17</v>
      </c>
      <c r="OB15" s="2" t="s">
        <v>119</v>
      </c>
      <c r="OC15" s="5">
        <v>35100000</v>
      </c>
      <c r="OF15" s="2" t="s">
        <v>17</v>
      </c>
      <c r="OG15" s="2" t="s">
        <v>17</v>
      </c>
      <c r="OH15" s="2" t="s">
        <v>85</v>
      </c>
      <c r="OI15" s="6">
        <v>0</v>
      </c>
      <c r="OJ15" s="6">
        <v>254250</v>
      </c>
      <c r="OK15" s="2" t="s">
        <v>17</v>
      </c>
      <c r="OL15" s="2" t="s">
        <v>17</v>
      </c>
      <c r="OM15" s="6">
        <v>0</v>
      </c>
      <c r="ON15" s="6">
        <v>0</v>
      </c>
      <c r="OO15" s="6">
        <v>0</v>
      </c>
      <c r="OP15" s="6">
        <v>0</v>
      </c>
      <c r="OQ15" s="4">
        <v>0</v>
      </c>
      <c r="OR15" s="6">
        <v>0</v>
      </c>
      <c r="OS15" s="4">
        <v>0</v>
      </c>
      <c r="OT15" s="2" t="s">
        <v>17</v>
      </c>
      <c r="OU15" s="2" t="s">
        <v>17</v>
      </c>
      <c r="OW15" s="2" t="s">
        <v>17</v>
      </c>
      <c r="OX15" s="5">
        <v>8284313</v>
      </c>
      <c r="OY15" s="6">
        <v>38353.300000000003</v>
      </c>
      <c r="PD15" s="8">
        <v>32374421</v>
      </c>
      <c r="PF15" s="8">
        <v>32374421</v>
      </c>
      <c r="PJ15" s="2">
        <v>0</v>
      </c>
      <c r="PO15" s="8">
        <v>32374421</v>
      </c>
      <c r="PQ15" s="8">
        <v>32374421</v>
      </c>
      <c r="PR15" s="8">
        <v>4532418</v>
      </c>
      <c r="PT15" s="8">
        <v>4532418</v>
      </c>
      <c r="PU15" s="6">
        <v>4532418</v>
      </c>
      <c r="PV15" s="8">
        <v>36906839</v>
      </c>
      <c r="PX15" s="8">
        <v>36906839</v>
      </c>
      <c r="PY15" s="8">
        <v>1618722</v>
      </c>
      <c r="QA15" s="8">
        <v>1618722</v>
      </c>
      <c r="QB15" s="6">
        <v>1845341.95</v>
      </c>
      <c r="QC15" s="8">
        <v>2068468</v>
      </c>
      <c r="QD15" s="8">
        <v>699246</v>
      </c>
      <c r="QE15" s="8">
        <v>2767714</v>
      </c>
      <c r="QF15" s="8">
        <v>1400000</v>
      </c>
      <c r="QH15" s="8">
        <v>1400000</v>
      </c>
      <c r="QI15" s="8">
        <v>3346700</v>
      </c>
      <c r="QK15" s="8">
        <v>3346700</v>
      </c>
      <c r="QM15" s="8">
        <v>1120465</v>
      </c>
      <c r="QN15" s="8">
        <v>1120465</v>
      </c>
      <c r="QU15" s="8">
        <v>6815168</v>
      </c>
      <c r="QV15" s="8">
        <v>1819711</v>
      </c>
      <c r="QW15" s="8">
        <v>8634879</v>
      </c>
      <c r="QX15" s="8">
        <v>150000</v>
      </c>
      <c r="QZ15" s="8">
        <v>150000</v>
      </c>
      <c r="RA15" s="6">
        <v>431743.95</v>
      </c>
      <c r="RB15" s="8">
        <v>2434632</v>
      </c>
      <c r="RC15" s="8">
        <v>2505829</v>
      </c>
      <c r="RD15" s="8">
        <v>4940461</v>
      </c>
      <c r="RE15" s="8">
        <v>238500</v>
      </c>
      <c r="RF15" s="8">
        <v>238500</v>
      </c>
      <c r="RJ15" s="8">
        <v>2434632</v>
      </c>
      <c r="RK15" s="8">
        <v>2744329</v>
      </c>
      <c r="RL15" s="8">
        <v>5178961</v>
      </c>
      <c r="RT15" s="8">
        <v>47925361</v>
      </c>
      <c r="RU15" s="8">
        <v>4564040</v>
      </c>
      <c r="RV15" s="8">
        <v>52489401</v>
      </c>
      <c r="RY15" s="2">
        <v>0</v>
      </c>
      <c r="RZ15" s="6">
        <v>0</v>
      </c>
      <c r="SA15" s="8">
        <v>8600000</v>
      </c>
      <c r="SC15" s="8">
        <v>8600000</v>
      </c>
      <c r="SD15" s="6">
        <v>9448092</v>
      </c>
      <c r="SE15" s="8">
        <v>8600000</v>
      </c>
      <c r="SF15" s="8">
        <v>8600000</v>
      </c>
      <c r="SG15" s="6">
        <v>9448092</v>
      </c>
      <c r="SH15" s="8">
        <v>756000</v>
      </c>
      <c r="SI15" s="8">
        <v>756000</v>
      </c>
      <c r="SJ15" s="6">
        <v>756000</v>
      </c>
      <c r="SK15" s="8">
        <v>7000000</v>
      </c>
      <c r="SL15" s="8">
        <v>7000000</v>
      </c>
      <c r="SM15" s="8">
        <v>56525361</v>
      </c>
      <c r="SN15" s="8">
        <v>12320040</v>
      </c>
      <c r="SO15" s="8">
        <v>68845401</v>
      </c>
      <c r="SP15" s="8">
        <v>35100000</v>
      </c>
      <c r="SQ15" s="2" t="s">
        <v>4295</v>
      </c>
      <c r="SR15" s="8">
        <v>1900000</v>
      </c>
      <c r="SS15" s="2" t="s">
        <v>453</v>
      </c>
      <c r="ST15" s="8">
        <v>8850000</v>
      </c>
      <c r="SU15" s="2" t="s">
        <v>95</v>
      </c>
      <c r="SV15" s="8" t="s">
        <v>5357</v>
      </c>
      <c r="SW15" s="2" t="s">
        <v>413</v>
      </c>
      <c r="SX15" s="8">
        <v>9225000</v>
      </c>
      <c r="SY15" s="2" t="s">
        <v>96</v>
      </c>
      <c r="SZ15" s="2" t="s">
        <v>96</v>
      </c>
      <c r="TA15" s="2" t="s">
        <v>96</v>
      </c>
      <c r="TB15" s="8">
        <v>4179866</v>
      </c>
      <c r="TF15" s="8">
        <v>8600000</v>
      </c>
      <c r="TG15" s="8">
        <v>68845401</v>
      </c>
      <c r="TH15" s="2">
        <v>0</v>
      </c>
      <c r="TI15" s="8">
        <v>19720000</v>
      </c>
      <c r="TJ15" s="2" t="s">
        <v>95</v>
      </c>
      <c r="TK15" s="8">
        <v>1025000</v>
      </c>
      <c r="TL15" s="2" t="s">
        <v>413</v>
      </c>
      <c r="TM15" s="8">
        <v>1900000</v>
      </c>
      <c r="TN15" s="2" t="s">
        <v>453</v>
      </c>
      <c r="TO15" s="2" t="s">
        <v>5360</v>
      </c>
      <c r="TP15" s="2" t="s">
        <v>413</v>
      </c>
      <c r="TR15" s="8">
        <v>9225000</v>
      </c>
      <c r="TS15" s="8">
        <v>27865775</v>
      </c>
      <c r="TZ15" s="8">
        <v>7959526</v>
      </c>
      <c r="UA15" s="8">
        <v>68845401</v>
      </c>
      <c r="UB15" s="6">
        <v>33020100</v>
      </c>
      <c r="UC15" s="2">
        <v>0</v>
      </c>
      <c r="UD15" s="2">
        <v>216</v>
      </c>
      <c r="UE15" s="5">
        <v>240000</v>
      </c>
      <c r="UF15" s="6">
        <v>320000</v>
      </c>
      <c r="UG15" s="6">
        <v>327500</v>
      </c>
      <c r="UH15" s="6">
        <v>347150</v>
      </c>
      <c r="UI15" s="6">
        <v>74984400</v>
      </c>
      <c r="UJ15" s="6">
        <v>13497192</v>
      </c>
      <c r="UK15" s="2" t="s">
        <v>97</v>
      </c>
      <c r="UL15" s="6">
        <v>13497192</v>
      </c>
      <c r="UM15" s="6">
        <v>88481592</v>
      </c>
      <c r="UN15" s="6">
        <v>61089401</v>
      </c>
      <c r="UQ15" s="6">
        <v>0</v>
      </c>
      <c r="UR15" s="6">
        <v>1900000</v>
      </c>
      <c r="US15" s="6">
        <v>1900000</v>
      </c>
      <c r="UV15" s="6">
        <v>0</v>
      </c>
      <c r="UW15" s="6">
        <v>1900000</v>
      </c>
      <c r="UX15" s="6">
        <v>0</v>
      </c>
      <c r="UY15" s="6">
        <v>1900000</v>
      </c>
      <c r="UZ15" s="2" t="s">
        <v>4417</v>
      </c>
      <c r="VA15" s="2" t="s">
        <v>453</v>
      </c>
      <c r="VB15" s="2" t="s">
        <v>17</v>
      </c>
      <c r="VI15" s="388" t="s">
        <v>4418</v>
      </c>
      <c r="VJ15" s="2" t="s">
        <v>98</v>
      </c>
      <c r="VK15" s="2" t="s">
        <v>4419</v>
      </c>
      <c r="VL15" s="23">
        <f t="shared" si="0"/>
        <v>476</v>
      </c>
      <c r="VM15" s="17">
        <f t="shared" si="1"/>
        <v>2.2037037037037037</v>
      </c>
      <c r="VN15" s="17" t="str">
        <f t="shared" si="2"/>
        <v>NC-MR-F</v>
      </c>
      <c r="VO15" s="17" t="str">
        <f t="shared" si="15"/>
        <v>NC-MR-F-Non</v>
      </c>
      <c r="VP15" s="57">
        <v>1</v>
      </c>
      <c r="VQ15" s="17">
        <f t="shared" si="3"/>
        <v>1.1100000000000001</v>
      </c>
      <c r="VR15" s="14">
        <f t="shared" si="4"/>
        <v>1</v>
      </c>
      <c r="VS15" s="14">
        <f t="shared" si="5"/>
        <v>1</v>
      </c>
      <c r="VT15" s="12">
        <f t="shared" si="6"/>
        <v>0.88</v>
      </c>
      <c r="VU15" s="29">
        <f t="shared" si="7"/>
        <v>8278380</v>
      </c>
      <c r="VV15" s="29">
        <f t="shared" si="8"/>
        <v>38325.83</v>
      </c>
      <c r="VW15" s="351" t="str">
        <f t="shared" si="16"/>
        <v>A</v>
      </c>
      <c r="VX15" s="12" t="str">
        <f t="shared" si="9"/>
        <v>NC-MR-Non</v>
      </c>
      <c r="VY15" s="23">
        <f t="shared" si="17"/>
        <v>2</v>
      </c>
      <c r="WA15" s="12">
        <f t="shared" si="18"/>
        <v>0</v>
      </c>
      <c r="WB15" s="12">
        <f t="shared" si="19"/>
        <v>1</v>
      </c>
      <c r="WC15" s="12">
        <f t="shared" si="19"/>
        <v>0</v>
      </c>
      <c r="WD15" s="12">
        <f t="shared" si="19"/>
        <v>0</v>
      </c>
      <c r="WE15" s="12">
        <f t="shared" si="20"/>
        <v>0</v>
      </c>
      <c r="WF15" s="12">
        <f t="shared" si="10"/>
        <v>0</v>
      </c>
      <c r="WG15" s="12">
        <f t="shared" si="11"/>
        <v>1</v>
      </c>
      <c r="WH15" s="12">
        <f t="shared" si="12"/>
        <v>0</v>
      </c>
      <c r="WI15" s="31">
        <f t="shared" si="13"/>
        <v>2</v>
      </c>
      <c r="WK15" s="444" t="str">
        <f t="shared" si="21"/>
        <v>NC-MR-Non-BBY-BRN-NPH-F</v>
      </c>
      <c r="WL15" s="444"/>
      <c r="WM15" s="444"/>
    </row>
    <row r="16" spans="1:622" x14ac:dyDescent="0.25">
      <c r="A16" s="2">
        <v>9245</v>
      </c>
      <c r="B16" s="2" t="s">
        <v>4420</v>
      </c>
      <c r="C16" s="2" t="s">
        <v>4205</v>
      </c>
      <c r="D16" s="3">
        <v>45135</v>
      </c>
      <c r="E16" s="2" t="s">
        <v>9</v>
      </c>
      <c r="F16" s="2">
        <v>1</v>
      </c>
      <c r="G16" s="2" t="s">
        <v>9</v>
      </c>
      <c r="H16" s="2">
        <v>1</v>
      </c>
      <c r="I16" s="2" t="s">
        <v>11</v>
      </c>
      <c r="J16" s="2">
        <v>0</v>
      </c>
      <c r="K16" s="2" t="s">
        <v>9</v>
      </c>
      <c r="L16" s="2">
        <v>1</v>
      </c>
      <c r="M16" s="2" t="s">
        <v>10</v>
      </c>
      <c r="N16" s="2">
        <v>0</v>
      </c>
      <c r="O16" s="2" t="s">
        <v>10</v>
      </c>
      <c r="P16" s="2">
        <v>0</v>
      </c>
      <c r="Q16" s="2" t="s">
        <v>11</v>
      </c>
      <c r="R16" s="2">
        <v>0</v>
      </c>
      <c r="S16" s="2" t="s">
        <v>9</v>
      </c>
      <c r="T16" s="2">
        <v>2</v>
      </c>
      <c r="U16" s="2" t="s">
        <v>9</v>
      </c>
      <c r="V16" s="2">
        <v>2</v>
      </c>
      <c r="W16" s="2" t="s">
        <v>9</v>
      </c>
      <c r="X16" s="2">
        <v>2</v>
      </c>
      <c r="Y16" s="2" t="s">
        <v>12</v>
      </c>
      <c r="Z16" s="2" t="s">
        <v>605</v>
      </c>
      <c r="AA16" s="2" t="s">
        <v>842</v>
      </c>
      <c r="AB16" s="2" t="s">
        <v>978</v>
      </c>
      <c r="AC16" s="2" t="s">
        <v>15</v>
      </c>
      <c r="AD16" s="2" t="s">
        <v>15</v>
      </c>
      <c r="AE16" s="2" t="s">
        <v>15</v>
      </c>
      <c r="AF16" s="2">
        <v>3</v>
      </c>
      <c r="AG16" s="2" t="s">
        <v>730</v>
      </c>
      <c r="AH16" s="2" t="s">
        <v>17</v>
      </c>
      <c r="AI16" s="4">
        <v>0.15179000000000001</v>
      </c>
      <c r="AJ16" s="2" t="s">
        <v>17</v>
      </c>
      <c r="AK16" s="2" t="s">
        <v>9</v>
      </c>
      <c r="AL16" s="2" t="s">
        <v>17</v>
      </c>
      <c r="AM16" s="2" t="s">
        <v>9</v>
      </c>
      <c r="AN16" s="2" t="s">
        <v>17</v>
      </c>
      <c r="AO16" s="2" t="s">
        <v>17</v>
      </c>
      <c r="AP16" s="2" t="s">
        <v>17</v>
      </c>
      <c r="AQ16" s="2" t="s">
        <v>17</v>
      </c>
      <c r="AR16" s="2" t="s">
        <v>17</v>
      </c>
      <c r="AS16" s="2" t="s">
        <v>17</v>
      </c>
      <c r="AT16" s="2">
        <v>5</v>
      </c>
      <c r="AU16" s="5">
        <v>75000</v>
      </c>
      <c r="AV16" s="5">
        <v>610000</v>
      </c>
      <c r="AW16" s="2">
        <v>1</v>
      </c>
      <c r="AX16" s="2">
        <v>6</v>
      </c>
      <c r="AY16" s="2">
        <v>0</v>
      </c>
      <c r="AZ16" s="2">
        <v>17</v>
      </c>
      <c r="BA16" s="2">
        <v>0</v>
      </c>
      <c r="BB16" s="2">
        <v>1</v>
      </c>
      <c r="BC16" s="2">
        <v>1</v>
      </c>
      <c r="BD16" s="2">
        <v>3</v>
      </c>
      <c r="BE16" s="2">
        <v>1</v>
      </c>
      <c r="BF16" s="2">
        <v>1</v>
      </c>
      <c r="BG16" s="2">
        <v>0</v>
      </c>
      <c r="BH16" s="2">
        <v>0</v>
      </c>
      <c r="BI16" s="2">
        <v>13</v>
      </c>
      <c r="BJ16" s="2">
        <v>1</v>
      </c>
      <c r="BK16" s="2">
        <v>0</v>
      </c>
      <c r="BL16" s="2">
        <v>3</v>
      </c>
      <c r="BM16" s="2">
        <v>1</v>
      </c>
      <c r="BN16" s="2">
        <v>10</v>
      </c>
      <c r="BO16" s="2">
        <v>10</v>
      </c>
      <c r="BP16" s="2">
        <v>73.27</v>
      </c>
      <c r="BQ16" s="5">
        <v>9750000</v>
      </c>
      <c r="BR16" s="2">
        <v>1</v>
      </c>
      <c r="BS16" s="4">
        <v>0.06</v>
      </c>
      <c r="BT16" s="2" t="s">
        <v>9</v>
      </c>
      <c r="BU16" s="2" t="s">
        <v>17</v>
      </c>
      <c r="BV16" s="6">
        <v>39274.550000000003</v>
      </c>
      <c r="BW16" s="2" t="s">
        <v>18</v>
      </c>
      <c r="BX16" s="2" t="s">
        <v>17</v>
      </c>
      <c r="BY16" s="2" t="s">
        <v>17</v>
      </c>
      <c r="BZ16" s="2" t="s">
        <v>17</v>
      </c>
      <c r="CA16" s="2" t="s">
        <v>17</v>
      </c>
      <c r="CB16" s="2" t="s">
        <v>17</v>
      </c>
      <c r="CC16" s="2" t="s">
        <v>17</v>
      </c>
      <c r="CE16" s="2" t="s">
        <v>4421</v>
      </c>
      <c r="CF16" s="2" t="s">
        <v>17</v>
      </c>
      <c r="CG16" s="2" t="s">
        <v>17</v>
      </c>
      <c r="DA16" s="2" t="s">
        <v>1678</v>
      </c>
      <c r="DD16" s="2" t="s">
        <v>9</v>
      </c>
      <c r="DE16" s="2" t="s">
        <v>1680</v>
      </c>
      <c r="DF16" s="2" t="s">
        <v>1678</v>
      </c>
      <c r="DG16" s="2" t="s">
        <v>1681</v>
      </c>
      <c r="DH16" s="2" t="s">
        <v>1682</v>
      </c>
      <c r="DI16" s="2">
        <v>114</v>
      </c>
      <c r="DJ16" s="2" t="s">
        <v>4422</v>
      </c>
      <c r="DK16" s="2">
        <v>2018</v>
      </c>
      <c r="DL16" s="2" t="s">
        <v>4209</v>
      </c>
      <c r="DM16" s="2" t="s">
        <v>4210</v>
      </c>
      <c r="DN16" s="2" t="s">
        <v>33</v>
      </c>
      <c r="DO16" s="2" t="s">
        <v>1687</v>
      </c>
      <c r="DP16" s="2" t="s">
        <v>665</v>
      </c>
      <c r="DQ16" s="2" t="s">
        <v>1688</v>
      </c>
      <c r="DR16" s="2" t="s">
        <v>1689</v>
      </c>
      <c r="DS16" s="2">
        <v>1</v>
      </c>
      <c r="DT16" s="2" t="s">
        <v>1690</v>
      </c>
      <c r="DU16" s="2" t="s">
        <v>1691</v>
      </c>
      <c r="DV16" s="2" t="s">
        <v>1692</v>
      </c>
      <c r="DW16" s="2">
        <v>98466</v>
      </c>
      <c r="DX16" s="2" t="s">
        <v>1693</v>
      </c>
      <c r="DZ16" s="2" t="s">
        <v>1694</v>
      </c>
      <c r="EA16" s="2" t="s">
        <v>1689</v>
      </c>
      <c r="EB16" s="2" t="s">
        <v>1681</v>
      </c>
      <c r="EC16" s="2" t="s">
        <v>1695</v>
      </c>
      <c r="ED16" s="2" t="s">
        <v>44</v>
      </c>
      <c r="EE16" s="2">
        <v>114</v>
      </c>
      <c r="EF16" s="2" t="s">
        <v>4423</v>
      </c>
      <c r="EG16" s="2">
        <v>5</v>
      </c>
      <c r="EH16" s="2" t="s">
        <v>46</v>
      </c>
      <c r="EI16" s="2" t="s">
        <v>47</v>
      </c>
      <c r="EJ16" s="2" t="s">
        <v>1696</v>
      </c>
      <c r="EK16" s="2" t="s">
        <v>1697</v>
      </c>
      <c r="EL16" s="2" t="s">
        <v>44</v>
      </c>
      <c r="EM16" s="2">
        <v>344</v>
      </c>
      <c r="EN16" s="2" t="s">
        <v>4423</v>
      </c>
      <c r="EO16" s="2">
        <v>9</v>
      </c>
      <c r="EP16" s="2" t="s">
        <v>46</v>
      </c>
      <c r="EQ16" s="2" t="s">
        <v>47</v>
      </c>
      <c r="ER16" s="2" t="s">
        <v>583</v>
      </c>
      <c r="ES16" s="2" t="s">
        <v>656</v>
      </c>
      <c r="ET16" s="2" t="s">
        <v>1698</v>
      </c>
      <c r="EU16" s="2" t="s">
        <v>4421</v>
      </c>
      <c r="EV16" s="2" t="s">
        <v>1699</v>
      </c>
      <c r="EW16" s="2" t="s">
        <v>396</v>
      </c>
      <c r="EX16" s="2" t="s">
        <v>39</v>
      </c>
      <c r="EY16" s="2">
        <v>33609</v>
      </c>
      <c r="EZ16" s="2" t="s">
        <v>1700</v>
      </c>
      <c r="FB16" s="2" t="s">
        <v>1701</v>
      </c>
      <c r="FC16" s="2" t="s">
        <v>1702</v>
      </c>
      <c r="FD16" s="2" t="s">
        <v>400</v>
      </c>
      <c r="FE16" s="2" t="s">
        <v>1703</v>
      </c>
      <c r="FF16" s="2" t="s">
        <v>1678</v>
      </c>
      <c r="FG16" s="2" t="s">
        <v>1699</v>
      </c>
      <c r="FH16" s="2" t="s">
        <v>396</v>
      </c>
      <c r="FI16" s="2" t="s">
        <v>39</v>
      </c>
      <c r="FJ16" s="2">
        <v>33609</v>
      </c>
      <c r="FK16" s="2" t="s">
        <v>1700</v>
      </c>
      <c r="FM16" s="2" t="s">
        <v>1704</v>
      </c>
      <c r="FN16" s="2" t="s">
        <v>4424</v>
      </c>
      <c r="FO16" s="2" t="s">
        <v>63</v>
      </c>
      <c r="FP16" s="2" t="s">
        <v>64</v>
      </c>
      <c r="FQ16" s="2" t="s">
        <v>9</v>
      </c>
      <c r="FR16" s="2" t="s">
        <v>17</v>
      </c>
      <c r="FS16" s="2" t="s">
        <v>17</v>
      </c>
      <c r="FT16" s="2" t="s">
        <v>9</v>
      </c>
      <c r="FX16" s="2">
        <v>0</v>
      </c>
      <c r="FY16" s="2">
        <v>0</v>
      </c>
      <c r="FZ16" s="4">
        <v>0</v>
      </c>
      <c r="GA16" s="4">
        <v>0</v>
      </c>
      <c r="GB16" s="2" t="s">
        <v>65</v>
      </c>
      <c r="GC16" s="2" t="s">
        <v>66</v>
      </c>
      <c r="GD16" s="2" t="s">
        <v>67</v>
      </c>
      <c r="GE16" s="2" t="s">
        <v>108</v>
      </c>
      <c r="GJ16" s="2">
        <v>224</v>
      </c>
      <c r="GQ16" s="2">
        <v>224</v>
      </c>
      <c r="GR16" s="2" t="s">
        <v>2802</v>
      </c>
      <c r="GS16" s="2" t="s">
        <v>2686</v>
      </c>
      <c r="GT16" s="2" t="s">
        <v>4425</v>
      </c>
      <c r="GU16" s="2" t="s">
        <v>4426</v>
      </c>
      <c r="GV16" s="2" t="s">
        <v>17</v>
      </c>
      <c r="GW16" s="2">
        <v>27.854889</v>
      </c>
      <c r="GX16" s="2">
        <v>-82.696963999999994</v>
      </c>
      <c r="GZ16" s="2" t="s">
        <v>17</v>
      </c>
      <c r="HA16" s="2">
        <v>0</v>
      </c>
      <c r="HC16" s="2">
        <v>0</v>
      </c>
      <c r="HD16" s="2">
        <v>27.855136000000002</v>
      </c>
      <c r="HE16" s="2">
        <v>-82.700018999999998</v>
      </c>
      <c r="HF16" s="2">
        <v>0.19</v>
      </c>
      <c r="HG16" s="2">
        <v>6</v>
      </c>
      <c r="HH16" s="2">
        <v>27.854852999999999</v>
      </c>
      <c r="HI16" s="2">
        <v>-82.700314000000006</v>
      </c>
      <c r="HJ16" s="2">
        <v>0.2</v>
      </c>
      <c r="HK16" s="2">
        <v>27.855405999999999</v>
      </c>
      <c r="HL16" s="2">
        <v>-82.694913999999997</v>
      </c>
      <c r="HM16" s="2">
        <v>0.13</v>
      </c>
      <c r="HZ16" s="2" t="s">
        <v>3006</v>
      </c>
      <c r="IA16" s="2">
        <v>0.26</v>
      </c>
      <c r="IB16" s="2">
        <v>4</v>
      </c>
      <c r="IF16" s="2" t="s">
        <v>4428</v>
      </c>
      <c r="IG16" s="2">
        <v>0.87</v>
      </c>
      <c r="IH16" s="2">
        <v>2.5</v>
      </c>
      <c r="II16" s="2" t="s">
        <v>4430</v>
      </c>
      <c r="IJ16" s="2">
        <v>1.2</v>
      </c>
      <c r="IK16" s="2">
        <v>2.5</v>
      </c>
      <c r="IL16" s="2" t="s">
        <v>9</v>
      </c>
      <c r="IM16" s="2" t="s">
        <v>17</v>
      </c>
      <c r="IO16" s="2" t="s">
        <v>17</v>
      </c>
      <c r="IP16" s="2" t="s">
        <v>79</v>
      </c>
      <c r="IQ16" s="2" t="s">
        <v>79</v>
      </c>
      <c r="IR16" s="2">
        <v>6</v>
      </c>
      <c r="IS16" s="2">
        <v>9</v>
      </c>
      <c r="IT16" s="2">
        <v>0</v>
      </c>
      <c r="IU16" s="2">
        <v>15</v>
      </c>
      <c r="IV16" s="2" t="s">
        <v>9</v>
      </c>
      <c r="IW16" s="2" t="s">
        <v>9</v>
      </c>
      <c r="IX16" s="2" t="s">
        <v>9</v>
      </c>
      <c r="IY16" s="2">
        <v>15</v>
      </c>
      <c r="IZ16" s="2">
        <v>224</v>
      </c>
      <c r="JB16" s="2" t="s">
        <v>82</v>
      </c>
      <c r="JH16" s="7">
        <v>0</v>
      </c>
      <c r="JI16" s="2">
        <v>0</v>
      </c>
      <c r="JJ16" s="7">
        <v>0</v>
      </c>
      <c r="JK16" s="2">
        <v>0</v>
      </c>
      <c r="JL16" s="7">
        <v>0</v>
      </c>
      <c r="JN16" s="2">
        <v>34</v>
      </c>
      <c r="JP16" s="2">
        <v>22</v>
      </c>
      <c r="JQ16" s="2">
        <v>90</v>
      </c>
      <c r="JR16" s="2">
        <v>34</v>
      </c>
      <c r="JS16" s="2">
        <v>44</v>
      </c>
      <c r="JT16" s="2">
        <v>0</v>
      </c>
      <c r="JU16" s="2">
        <v>0</v>
      </c>
      <c r="JV16" s="2">
        <v>224</v>
      </c>
      <c r="JW16" s="4">
        <v>1</v>
      </c>
      <c r="JX16" s="2">
        <v>224</v>
      </c>
      <c r="JY16" s="4">
        <v>0.59911000000000003</v>
      </c>
      <c r="KE16" s="7">
        <v>0</v>
      </c>
      <c r="KF16" s="2">
        <v>0</v>
      </c>
      <c r="KH16" s="2">
        <v>39</v>
      </c>
      <c r="KK16" s="2">
        <v>139</v>
      </c>
      <c r="KL16" s="2">
        <v>46</v>
      </c>
      <c r="KQ16" s="2" t="s">
        <v>83</v>
      </c>
      <c r="KR16" s="2" t="s">
        <v>73</v>
      </c>
      <c r="KT16" s="2">
        <v>5</v>
      </c>
      <c r="KU16" s="2" t="s">
        <v>84</v>
      </c>
      <c r="KW16" s="2" t="s">
        <v>530</v>
      </c>
      <c r="KX16" s="2" t="s">
        <v>17</v>
      </c>
      <c r="KY16" s="2" t="s">
        <v>17</v>
      </c>
      <c r="KZ16" s="2" t="s">
        <v>17</v>
      </c>
      <c r="LA16" s="2" t="s">
        <v>17</v>
      </c>
      <c r="LB16" s="2" t="s">
        <v>17</v>
      </c>
      <c r="LC16" s="2" t="s">
        <v>17</v>
      </c>
      <c r="LD16" s="2" t="s">
        <v>17</v>
      </c>
      <c r="LE16" s="2" t="s">
        <v>17</v>
      </c>
      <c r="LF16" s="2" t="s">
        <v>17</v>
      </c>
      <c r="LG16" s="2" t="s">
        <v>17</v>
      </c>
      <c r="LH16" s="2" t="s">
        <v>17</v>
      </c>
      <c r="LI16" s="2" t="s">
        <v>17</v>
      </c>
      <c r="LJ16" s="2" t="s">
        <v>87</v>
      </c>
      <c r="LK16" s="2" t="s">
        <v>17</v>
      </c>
      <c r="LL16" s="2" t="s">
        <v>17</v>
      </c>
      <c r="LM16" s="2">
        <v>0</v>
      </c>
      <c r="LN16" s="2" t="s">
        <v>17</v>
      </c>
      <c r="LO16" s="2" t="s">
        <v>9</v>
      </c>
      <c r="LP16" s="2" t="s">
        <v>9</v>
      </c>
      <c r="LQ16" s="2" t="s">
        <v>17</v>
      </c>
      <c r="LR16" s="2" t="s">
        <v>17</v>
      </c>
      <c r="LS16" s="2" t="s">
        <v>9</v>
      </c>
      <c r="LT16" s="2" t="s">
        <v>17</v>
      </c>
      <c r="LU16" s="2" t="s">
        <v>17</v>
      </c>
      <c r="LV16" s="2" t="s">
        <v>17</v>
      </c>
      <c r="LW16" s="2" t="s">
        <v>17</v>
      </c>
      <c r="LX16" s="2" t="s">
        <v>17</v>
      </c>
      <c r="LY16" s="5">
        <v>6500000</v>
      </c>
      <c r="LZ16" s="5">
        <v>0</v>
      </c>
      <c r="MA16" s="5">
        <v>11000000</v>
      </c>
      <c r="MB16" s="5">
        <v>9000000</v>
      </c>
      <c r="MC16" s="5">
        <v>9000000</v>
      </c>
      <c r="MD16" s="5">
        <v>750000</v>
      </c>
      <c r="ME16" s="5">
        <v>750000</v>
      </c>
      <c r="MF16" s="5">
        <v>750000</v>
      </c>
      <c r="MG16" s="5">
        <v>10000000</v>
      </c>
      <c r="MH16" s="5">
        <v>0</v>
      </c>
      <c r="MI16" s="5">
        <v>10000000</v>
      </c>
      <c r="MJ16" s="5">
        <v>0</v>
      </c>
      <c r="MK16" s="5">
        <v>1683200</v>
      </c>
      <c r="ML16" s="5">
        <v>0</v>
      </c>
      <c r="MM16" s="5">
        <v>0</v>
      </c>
      <c r="MN16" s="2">
        <v>0</v>
      </c>
      <c r="MO16" s="5">
        <v>0</v>
      </c>
      <c r="MP16" s="5">
        <v>0</v>
      </c>
      <c r="MQ16" s="2">
        <v>0</v>
      </c>
      <c r="MR16" s="2">
        <v>0</v>
      </c>
      <c r="MS16" s="2">
        <v>0</v>
      </c>
      <c r="MT16" s="5">
        <v>2950000</v>
      </c>
      <c r="MU16" s="5">
        <v>0</v>
      </c>
      <c r="MV16" s="5">
        <v>4600000</v>
      </c>
      <c r="MW16" s="5">
        <v>0</v>
      </c>
      <c r="MY16" s="5">
        <v>0</v>
      </c>
      <c r="MZ16" s="5">
        <v>0</v>
      </c>
      <c r="NA16" s="5">
        <v>0</v>
      </c>
      <c r="NB16" s="5">
        <v>2500000</v>
      </c>
      <c r="NC16" s="5">
        <v>0</v>
      </c>
      <c r="ND16" s="5">
        <v>5000000</v>
      </c>
      <c r="NE16" s="5">
        <v>0</v>
      </c>
      <c r="NF16" s="5">
        <v>0</v>
      </c>
      <c r="NG16" s="5">
        <v>0</v>
      </c>
      <c r="NH16" s="5"/>
      <c r="NI16" s="5">
        <v>0</v>
      </c>
      <c r="NJ16" s="5">
        <v>2700000</v>
      </c>
      <c r="NK16" s="2" t="s">
        <v>17</v>
      </c>
      <c r="NL16" s="2">
        <v>2022</v>
      </c>
      <c r="NM16" s="2" t="s">
        <v>17</v>
      </c>
      <c r="NO16" s="2" t="s">
        <v>9</v>
      </c>
      <c r="NP16" s="2">
        <v>33782</v>
      </c>
      <c r="NQ16" s="2" t="s">
        <v>4432</v>
      </c>
      <c r="NR16" s="2" t="s">
        <v>17</v>
      </c>
      <c r="NT16" s="2" t="s">
        <v>17</v>
      </c>
      <c r="NX16" s="2" t="s">
        <v>118</v>
      </c>
      <c r="NY16" s="2" t="s">
        <v>118</v>
      </c>
      <c r="NZ16" s="2" t="s">
        <v>118</v>
      </c>
      <c r="OA16" s="2" t="s">
        <v>17</v>
      </c>
      <c r="OB16" s="2" t="s">
        <v>119</v>
      </c>
      <c r="OF16" s="2" t="s">
        <v>17</v>
      </c>
      <c r="OG16" s="2" t="s">
        <v>17</v>
      </c>
      <c r="OH16" s="2" t="s">
        <v>85</v>
      </c>
      <c r="OI16" s="6">
        <v>0</v>
      </c>
      <c r="OJ16" s="6">
        <v>270000</v>
      </c>
      <c r="OK16" s="2" t="s">
        <v>17</v>
      </c>
      <c r="OL16" s="2" t="s">
        <v>17</v>
      </c>
      <c r="OM16" s="6">
        <v>0</v>
      </c>
      <c r="ON16" s="6">
        <v>0</v>
      </c>
      <c r="OO16" s="6">
        <v>0</v>
      </c>
      <c r="OP16" s="6">
        <v>0</v>
      </c>
      <c r="OQ16" s="4">
        <v>0</v>
      </c>
      <c r="OR16" s="6">
        <v>0</v>
      </c>
      <c r="OS16" s="4">
        <v>0</v>
      </c>
      <c r="OT16" s="2" t="s">
        <v>17</v>
      </c>
      <c r="OU16" s="2" t="s">
        <v>17</v>
      </c>
      <c r="OW16" s="2" t="s">
        <v>17</v>
      </c>
      <c r="OX16" s="5">
        <v>8797500</v>
      </c>
      <c r="OY16" s="6">
        <v>39274.550000000003</v>
      </c>
      <c r="PD16" s="8">
        <v>32250000</v>
      </c>
      <c r="PF16" s="8">
        <v>32250000</v>
      </c>
      <c r="PO16" s="8">
        <v>32250000</v>
      </c>
      <c r="PQ16" s="8">
        <v>32250000</v>
      </c>
      <c r="PR16" s="8">
        <v>4500000</v>
      </c>
      <c r="PT16" s="8">
        <v>4500000</v>
      </c>
      <c r="PU16" s="6">
        <v>4515000</v>
      </c>
      <c r="PV16" s="8">
        <v>36750000</v>
      </c>
      <c r="PX16" s="8">
        <v>36750000</v>
      </c>
      <c r="PY16" s="8">
        <v>1800000</v>
      </c>
      <c r="QA16" s="8">
        <v>1800000</v>
      </c>
      <c r="QB16" s="6">
        <v>1837500</v>
      </c>
      <c r="QC16" s="8">
        <v>1079954</v>
      </c>
      <c r="QD16" s="8">
        <v>197500</v>
      </c>
      <c r="QE16" s="8">
        <v>1277454</v>
      </c>
      <c r="QF16" s="8">
        <v>150000</v>
      </c>
      <c r="QG16" s="8">
        <v>25000</v>
      </c>
      <c r="QH16" s="8">
        <v>175000</v>
      </c>
      <c r="QI16" s="8">
        <v>1046239</v>
      </c>
      <c r="QK16" s="8">
        <v>1046239</v>
      </c>
      <c r="QL16" s="8">
        <v>58652</v>
      </c>
      <c r="QM16" s="8">
        <v>244000</v>
      </c>
      <c r="QN16" s="8">
        <v>302652</v>
      </c>
      <c r="QU16" s="8">
        <v>2334845</v>
      </c>
      <c r="QV16" s="8">
        <v>466500</v>
      </c>
      <c r="QW16" s="8">
        <v>2801345</v>
      </c>
      <c r="QX16" s="8">
        <v>140000</v>
      </c>
      <c r="QZ16" s="8">
        <v>140000</v>
      </c>
      <c r="RA16" s="6">
        <v>140067.25</v>
      </c>
      <c r="RB16" s="8">
        <v>1080000</v>
      </c>
      <c r="RD16" s="8">
        <v>1080000</v>
      </c>
      <c r="RE16" s="8">
        <v>200000</v>
      </c>
      <c r="RF16" s="8">
        <v>200000</v>
      </c>
      <c r="RG16" s="8">
        <v>21500</v>
      </c>
      <c r="RH16" s="8">
        <v>241500</v>
      </c>
      <c r="RI16" s="8">
        <v>263000</v>
      </c>
      <c r="RJ16" s="8">
        <v>1101500</v>
      </c>
      <c r="RK16" s="8">
        <v>441500</v>
      </c>
      <c r="RL16" s="8">
        <v>1543000</v>
      </c>
      <c r="RT16" s="8">
        <v>42126345</v>
      </c>
      <c r="RU16" s="8">
        <v>908000</v>
      </c>
      <c r="RV16" s="8">
        <v>43034345</v>
      </c>
      <c r="RY16" s="2">
        <v>0</v>
      </c>
      <c r="RZ16" s="6">
        <v>0</v>
      </c>
      <c r="SA16" s="8">
        <v>7000000</v>
      </c>
      <c r="SC16" s="8">
        <v>7000000</v>
      </c>
      <c r="SD16" s="6">
        <v>7746182</v>
      </c>
      <c r="SE16" s="8">
        <v>7000000</v>
      </c>
      <c r="SF16" s="8">
        <v>7000000</v>
      </c>
      <c r="SG16" s="6">
        <v>7746182</v>
      </c>
      <c r="SJ16" s="6">
        <v>784000</v>
      </c>
      <c r="SK16" s="8">
        <v>6750000</v>
      </c>
      <c r="SL16" s="8">
        <v>6750000</v>
      </c>
      <c r="SM16" s="8">
        <v>49126345</v>
      </c>
      <c r="SN16" s="8">
        <v>7658000</v>
      </c>
      <c r="SO16" s="8">
        <v>56784345</v>
      </c>
      <c r="SP16" s="8">
        <v>28000000</v>
      </c>
      <c r="SQ16" s="2" t="s">
        <v>4220</v>
      </c>
      <c r="SR16" s="8">
        <v>75000</v>
      </c>
      <c r="SS16" s="2" t="s">
        <v>180</v>
      </c>
      <c r="SX16" s="8">
        <v>9750000</v>
      </c>
      <c r="SY16" s="2" t="s">
        <v>96</v>
      </c>
      <c r="SZ16" s="2" t="s">
        <v>96</v>
      </c>
      <c r="TA16" s="2" t="s">
        <v>96</v>
      </c>
      <c r="TB16" s="8">
        <v>15442455.6</v>
      </c>
      <c r="TF16" s="8">
        <v>3516889.4</v>
      </c>
      <c r="TG16" s="8">
        <v>56784345</v>
      </c>
      <c r="TH16" s="2">
        <v>0</v>
      </c>
      <c r="TI16" s="8">
        <v>19500000</v>
      </c>
      <c r="TJ16" s="2" t="s">
        <v>4220</v>
      </c>
      <c r="TK16" s="8">
        <v>75000</v>
      </c>
      <c r="TL16" s="2" t="s">
        <v>180</v>
      </c>
      <c r="TR16" s="8">
        <v>9750000</v>
      </c>
      <c r="TS16" s="8">
        <v>23757624</v>
      </c>
      <c r="TZ16" s="8">
        <v>3701721</v>
      </c>
      <c r="UA16" s="8">
        <v>56784345</v>
      </c>
      <c r="UB16" s="6">
        <v>29325000</v>
      </c>
      <c r="UC16" s="2">
        <v>0</v>
      </c>
      <c r="UD16" s="2">
        <v>224</v>
      </c>
      <c r="UE16" s="5">
        <v>240000</v>
      </c>
      <c r="UF16" s="6">
        <v>320000</v>
      </c>
      <c r="UG16" s="6">
        <v>327500</v>
      </c>
      <c r="UH16" s="6">
        <v>347150</v>
      </c>
      <c r="UI16" s="6">
        <v>77761600</v>
      </c>
      <c r="UJ16" s="6">
        <v>13997088</v>
      </c>
      <c r="UK16" s="2" t="s">
        <v>97</v>
      </c>
      <c r="UL16" s="6">
        <v>13997088</v>
      </c>
      <c r="UM16" s="6">
        <v>91758688</v>
      </c>
      <c r="UN16" s="6">
        <v>50034345</v>
      </c>
      <c r="UO16" s="6">
        <v>75000</v>
      </c>
      <c r="UP16" s="6">
        <v>0</v>
      </c>
      <c r="UQ16" s="6">
        <v>75000</v>
      </c>
      <c r="US16" s="6">
        <v>0</v>
      </c>
      <c r="UV16" s="6">
        <v>0</v>
      </c>
      <c r="UW16" s="6">
        <v>75000</v>
      </c>
      <c r="UX16" s="6">
        <v>0</v>
      </c>
      <c r="UY16" s="6">
        <v>75000</v>
      </c>
      <c r="UZ16" s="2" t="s">
        <v>2813</v>
      </c>
      <c r="VA16" s="2" t="s">
        <v>182</v>
      </c>
      <c r="VB16" s="2" t="s">
        <v>17</v>
      </c>
      <c r="VI16" s="388" t="s">
        <v>1680</v>
      </c>
      <c r="VJ16" s="2" t="s">
        <v>98</v>
      </c>
      <c r="VK16" s="2" t="s">
        <v>536</v>
      </c>
      <c r="VL16" s="23">
        <f t="shared" si="0"/>
        <v>455</v>
      </c>
      <c r="VM16" s="17">
        <f t="shared" si="1"/>
        <v>2.03125</v>
      </c>
      <c r="VN16" s="17" t="str">
        <f t="shared" si="2"/>
        <v>NC-MR-F</v>
      </c>
      <c r="VO16" s="17" t="str">
        <f t="shared" si="15"/>
        <v>NC-MR-F-Non</v>
      </c>
      <c r="VP16" s="57">
        <v>1</v>
      </c>
      <c r="VQ16" s="17">
        <f t="shared" si="3"/>
        <v>1.1100000000000001</v>
      </c>
      <c r="VR16" s="14">
        <f t="shared" si="4"/>
        <v>1</v>
      </c>
      <c r="VS16" s="14">
        <f t="shared" si="5"/>
        <v>1</v>
      </c>
      <c r="VT16" s="12">
        <f t="shared" si="6"/>
        <v>0.88</v>
      </c>
      <c r="VU16" s="29">
        <f t="shared" si="7"/>
        <v>8791200</v>
      </c>
      <c r="VV16" s="29">
        <f t="shared" si="8"/>
        <v>39246.43</v>
      </c>
      <c r="VW16" s="351" t="str">
        <f t="shared" si="16"/>
        <v>A</v>
      </c>
      <c r="VX16" s="12" t="str">
        <f t="shared" si="9"/>
        <v>NC-MR-Non</v>
      </c>
      <c r="VY16" s="23">
        <f t="shared" si="17"/>
        <v>2</v>
      </c>
      <c r="WA16" s="12">
        <f t="shared" si="18"/>
        <v>0</v>
      </c>
      <c r="WB16" s="12">
        <f t="shared" si="19"/>
        <v>1</v>
      </c>
      <c r="WC16" s="12">
        <f t="shared" si="19"/>
        <v>0</v>
      </c>
      <c r="WD16" s="12">
        <f t="shared" si="19"/>
        <v>0</v>
      </c>
      <c r="WE16" s="12">
        <f t="shared" si="20"/>
        <v>0</v>
      </c>
      <c r="WF16" s="12">
        <f t="shared" si="10"/>
        <v>0</v>
      </c>
      <c r="WG16" s="12">
        <f t="shared" si="11"/>
        <v>1</v>
      </c>
      <c r="WH16" s="12">
        <f t="shared" si="12"/>
        <v>0</v>
      </c>
      <c r="WI16" s="31">
        <f t="shared" si="13"/>
        <v>2</v>
      </c>
      <c r="WK16" s="444" t="str">
        <f t="shared" si="21"/>
        <v>NC-MR-Non-BBY-BRN-NPH-F</v>
      </c>
      <c r="WL16" s="444"/>
      <c r="WM16" s="444"/>
    </row>
    <row r="17" spans="1:611" x14ac:dyDescent="0.25">
      <c r="A17" s="2">
        <v>9282</v>
      </c>
      <c r="B17" s="2" t="s">
        <v>4433</v>
      </c>
      <c r="C17" s="2" t="s">
        <v>4205</v>
      </c>
      <c r="D17" s="3">
        <v>45135</v>
      </c>
      <c r="E17" s="2" t="s">
        <v>9</v>
      </c>
      <c r="F17" s="2">
        <v>1</v>
      </c>
      <c r="G17" s="2" t="s">
        <v>9</v>
      </c>
      <c r="H17" s="2">
        <v>1</v>
      </c>
      <c r="I17" s="2" t="s">
        <v>11</v>
      </c>
      <c r="J17" s="2">
        <v>0</v>
      </c>
      <c r="K17" s="2" t="s">
        <v>9</v>
      </c>
      <c r="L17" s="2">
        <v>1</v>
      </c>
      <c r="M17" s="2" t="s">
        <v>10</v>
      </c>
      <c r="N17" s="2">
        <v>0</v>
      </c>
      <c r="O17" s="2" t="s">
        <v>10</v>
      </c>
      <c r="P17" s="2">
        <v>0</v>
      </c>
      <c r="Q17" s="2" t="s">
        <v>11</v>
      </c>
      <c r="R17" s="2">
        <v>0</v>
      </c>
      <c r="S17" s="2" t="s">
        <v>9</v>
      </c>
      <c r="T17" s="2">
        <v>2</v>
      </c>
      <c r="U17" s="2" t="s">
        <v>9</v>
      </c>
      <c r="V17" s="2">
        <v>2</v>
      </c>
      <c r="W17" s="2" t="s">
        <v>9</v>
      </c>
      <c r="X17" s="2">
        <v>2</v>
      </c>
      <c r="Y17" s="2" t="s">
        <v>12</v>
      </c>
      <c r="Z17" s="2" t="s">
        <v>1262</v>
      </c>
      <c r="AA17" s="2" t="s">
        <v>1620</v>
      </c>
      <c r="AB17" s="2" t="s">
        <v>3890</v>
      </c>
      <c r="AC17" s="2" t="s">
        <v>15</v>
      </c>
      <c r="AD17" s="2" t="s">
        <v>15</v>
      </c>
      <c r="AE17" s="2" t="s">
        <v>15</v>
      </c>
      <c r="AF17" s="2">
        <v>3</v>
      </c>
      <c r="AG17" s="2" t="s">
        <v>4434</v>
      </c>
      <c r="AH17" s="2" t="s">
        <v>17</v>
      </c>
      <c r="AI17" s="4">
        <v>0.25</v>
      </c>
      <c r="AJ17" s="2" t="s">
        <v>17</v>
      </c>
      <c r="AK17" s="2" t="s">
        <v>9</v>
      </c>
      <c r="AL17" s="2" t="s">
        <v>17</v>
      </c>
      <c r="AM17" s="2" t="s">
        <v>17</v>
      </c>
      <c r="AN17" s="2" t="s">
        <v>17</v>
      </c>
      <c r="AO17" s="2" t="s">
        <v>9</v>
      </c>
      <c r="AP17" s="2" t="s">
        <v>17</v>
      </c>
      <c r="AQ17" s="2" t="s">
        <v>17</v>
      </c>
      <c r="AR17" s="2" t="s">
        <v>17</v>
      </c>
      <c r="AS17" s="2" t="s">
        <v>17</v>
      </c>
      <c r="AT17" s="2">
        <v>5</v>
      </c>
      <c r="AU17" s="5">
        <v>37500</v>
      </c>
      <c r="AV17" s="5">
        <v>460000</v>
      </c>
      <c r="AW17" s="2">
        <v>1</v>
      </c>
      <c r="AX17" s="2">
        <v>7</v>
      </c>
      <c r="AY17" s="2">
        <v>0</v>
      </c>
      <c r="AZ17" s="2">
        <v>17</v>
      </c>
      <c r="BA17" s="2">
        <v>0</v>
      </c>
      <c r="BB17" s="2">
        <v>1</v>
      </c>
      <c r="BC17" s="2">
        <v>1</v>
      </c>
      <c r="BD17" s="2">
        <v>0</v>
      </c>
      <c r="BE17" s="2">
        <v>1</v>
      </c>
      <c r="BF17" s="2">
        <v>1</v>
      </c>
      <c r="BG17" s="2">
        <v>0</v>
      </c>
      <c r="BH17" s="2">
        <v>0</v>
      </c>
      <c r="BI17" s="2">
        <v>13</v>
      </c>
      <c r="BJ17" s="2">
        <v>1</v>
      </c>
      <c r="BK17" s="2">
        <v>0</v>
      </c>
      <c r="BL17" s="2">
        <v>3</v>
      </c>
      <c r="BM17" s="2">
        <v>1</v>
      </c>
      <c r="BN17" s="2">
        <v>9</v>
      </c>
      <c r="BO17" s="2">
        <v>10</v>
      </c>
      <c r="BP17" s="2">
        <v>71.8</v>
      </c>
      <c r="BQ17" s="5">
        <v>7146000</v>
      </c>
      <c r="BR17" s="2">
        <v>1</v>
      </c>
      <c r="BS17" s="4">
        <v>0.06</v>
      </c>
      <c r="BT17" s="2" t="s">
        <v>9</v>
      </c>
      <c r="BU17" s="2" t="s">
        <v>17</v>
      </c>
      <c r="BV17" s="6">
        <v>40077.5</v>
      </c>
      <c r="BW17" s="2" t="s">
        <v>18</v>
      </c>
      <c r="BX17" s="2" t="s">
        <v>17</v>
      </c>
      <c r="BY17" s="2" t="s">
        <v>17</v>
      </c>
      <c r="BZ17" s="2" t="s">
        <v>17</v>
      </c>
      <c r="CA17" s="2" t="s">
        <v>17</v>
      </c>
      <c r="CB17" s="2" t="s">
        <v>17</v>
      </c>
      <c r="CC17" s="2" t="s">
        <v>17</v>
      </c>
      <c r="CE17" s="2" t="s">
        <v>4435</v>
      </c>
      <c r="CF17" s="2" t="s">
        <v>9</v>
      </c>
      <c r="CG17" s="2" t="s">
        <v>17</v>
      </c>
      <c r="DA17" s="2" t="s">
        <v>4436</v>
      </c>
      <c r="DD17" s="2" t="s">
        <v>9</v>
      </c>
      <c r="DE17" s="2" t="s">
        <v>193</v>
      </c>
      <c r="DF17" s="2" t="s">
        <v>4436</v>
      </c>
      <c r="DG17" s="2" t="s">
        <v>4437</v>
      </c>
      <c r="DH17" s="2" t="s">
        <v>195</v>
      </c>
      <c r="DI17" s="2">
        <v>280</v>
      </c>
      <c r="DJ17" s="2" t="s">
        <v>4438</v>
      </c>
      <c r="DK17" s="2">
        <v>2020</v>
      </c>
      <c r="DL17" s="2" t="s">
        <v>4209</v>
      </c>
      <c r="DM17" s="2" t="s">
        <v>4210</v>
      </c>
      <c r="DN17" s="2" t="s">
        <v>33</v>
      </c>
      <c r="DO17" s="2" t="s">
        <v>4439</v>
      </c>
      <c r="DP17" s="2" t="s">
        <v>202</v>
      </c>
      <c r="DQ17" s="2" t="s">
        <v>203</v>
      </c>
      <c r="DR17" s="2" t="s">
        <v>204</v>
      </c>
      <c r="DS17" s="2">
        <v>1</v>
      </c>
      <c r="DT17" s="2" t="s">
        <v>4440</v>
      </c>
      <c r="DU17" s="2" t="s">
        <v>214</v>
      </c>
      <c r="DV17" s="2" t="s">
        <v>207</v>
      </c>
      <c r="DW17" s="2">
        <v>37212</v>
      </c>
      <c r="DX17" s="2" t="s">
        <v>4441</v>
      </c>
      <c r="DZ17" s="2" t="s">
        <v>209</v>
      </c>
      <c r="EA17" s="2" t="s">
        <v>204</v>
      </c>
      <c r="EB17" s="2" t="s">
        <v>4442</v>
      </c>
      <c r="EC17" s="2" t="s">
        <v>195</v>
      </c>
      <c r="ED17" s="2" t="s">
        <v>44</v>
      </c>
      <c r="EE17" s="2">
        <v>267</v>
      </c>
      <c r="EF17" s="2" t="s">
        <v>4443</v>
      </c>
      <c r="EG17" s="2">
        <v>4</v>
      </c>
      <c r="EH17" s="2" t="s">
        <v>46</v>
      </c>
      <c r="EI17" s="2" t="s">
        <v>47</v>
      </c>
      <c r="EJ17" s="2" t="s">
        <v>4444</v>
      </c>
      <c r="EK17" s="2" t="s">
        <v>4445</v>
      </c>
      <c r="EL17" s="2" t="s">
        <v>44</v>
      </c>
      <c r="EM17" s="2">
        <v>172</v>
      </c>
      <c r="EN17" s="2" t="s">
        <v>4443</v>
      </c>
      <c r="EO17" s="2">
        <v>3</v>
      </c>
      <c r="EP17" s="2" t="s">
        <v>46</v>
      </c>
      <c r="EQ17" s="2" t="s">
        <v>47</v>
      </c>
      <c r="ER17" s="2" t="s">
        <v>201</v>
      </c>
      <c r="ES17" s="2" t="s">
        <v>202</v>
      </c>
      <c r="ET17" s="2" t="s">
        <v>203</v>
      </c>
      <c r="EU17" s="2" t="s">
        <v>4435</v>
      </c>
      <c r="EV17" s="2" t="s">
        <v>4440</v>
      </c>
      <c r="EW17" s="2" t="s">
        <v>214</v>
      </c>
      <c r="EX17" s="2" t="s">
        <v>207</v>
      </c>
      <c r="EY17" s="2">
        <v>37212</v>
      </c>
      <c r="EZ17" s="2" t="s">
        <v>4441</v>
      </c>
      <c r="FB17" s="2" t="s">
        <v>209</v>
      </c>
      <c r="FC17" s="2" t="s">
        <v>215</v>
      </c>
      <c r="FE17" s="2" t="s">
        <v>4446</v>
      </c>
      <c r="FF17" s="2" t="s">
        <v>4435</v>
      </c>
      <c r="FG17" s="2" t="s">
        <v>4440</v>
      </c>
      <c r="FH17" s="2" t="s">
        <v>214</v>
      </c>
      <c r="FI17" s="2" t="s">
        <v>207</v>
      </c>
      <c r="FJ17" s="2">
        <v>37212</v>
      </c>
      <c r="FK17" s="2" t="s">
        <v>4441</v>
      </c>
      <c r="FM17" s="2" t="s">
        <v>217</v>
      </c>
      <c r="FN17" s="2" t="s">
        <v>4447</v>
      </c>
      <c r="FO17" s="2" t="s">
        <v>63</v>
      </c>
      <c r="FP17" s="2" t="s">
        <v>64</v>
      </c>
      <c r="FQ17" s="2" t="s">
        <v>9</v>
      </c>
      <c r="FR17" s="2" t="s">
        <v>17</v>
      </c>
      <c r="FS17" s="2" t="s">
        <v>17</v>
      </c>
      <c r="FT17" s="2" t="s">
        <v>9</v>
      </c>
      <c r="FX17" s="2">
        <v>0</v>
      </c>
      <c r="FY17" s="2">
        <v>0</v>
      </c>
      <c r="FZ17" s="4">
        <v>0</v>
      </c>
      <c r="GA17" s="4">
        <v>0</v>
      </c>
      <c r="GB17" s="2" t="s">
        <v>65</v>
      </c>
      <c r="GC17" s="2" t="s">
        <v>66</v>
      </c>
      <c r="GD17" s="2" t="s">
        <v>67</v>
      </c>
      <c r="GE17" s="2" t="s">
        <v>108</v>
      </c>
      <c r="GJ17" s="2">
        <v>156</v>
      </c>
      <c r="GQ17" s="2">
        <v>156</v>
      </c>
      <c r="GR17" s="2" t="s">
        <v>219</v>
      </c>
      <c r="GS17" s="2" t="s">
        <v>70</v>
      </c>
      <c r="GT17" s="2" t="s">
        <v>4448</v>
      </c>
      <c r="GU17" s="2" t="s">
        <v>221</v>
      </c>
      <c r="GV17" s="2" t="s">
        <v>17</v>
      </c>
      <c r="GW17" s="2">
        <v>30.422141</v>
      </c>
      <c r="GX17" s="2">
        <v>-84.301309000000003</v>
      </c>
      <c r="GZ17" s="2" t="s">
        <v>17</v>
      </c>
      <c r="HA17" s="2">
        <v>0</v>
      </c>
      <c r="HC17" s="2">
        <v>0</v>
      </c>
      <c r="HD17" s="2">
        <v>30.421754</v>
      </c>
      <c r="HE17" s="2">
        <v>-84.296257999999995</v>
      </c>
      <c r="HF17" s="2">
        <v>0.3</v>
      </c>
      <c r="HG17" s="2">
        <v>6</v>
      </c>
      <c r="HH17" s="2">
        <v>30.425626999999999</v>
      </c>
      <c r="HI17" s="2">
        <v>-84.302408999999997</v>
      </c>
      <c r="HJ17" s="2">
        <v>0.25</v>
      </c>
      <c r="HK17" s="2">
        <v>30.426283999999999</v>
      </c>
      <c r="HL17" s="2">
        <v>-84.302155999999997</v>
      </c>
      <c r="HM17" s="2">
        <v>0.28999999999999998</v>
      </c>
      <c r="HZ17" s="2" t="s">
        <v>4449</v>
      </c>
      <c r="IA17" s="2">
        <v>1.08</v>
      </c>
      <c r="IB17" s="2">
        <v>2</v>
      </c>
      <c r="IF17" s="2" t="s">
        <v>641</v>
      </c>
      <c r="IG17" s="2">
        <v>1.17</v>
      </c>
      <c r="IH17" s="2">
        <v>2</v>
      </c>
      <c r="II17" s="2" t="s">
        <v>4450</v>
      </c>
      <c r="IJ17" s="2">
        <v>0.26</v>
      </c>
      <c r="IK17" s="2">
        <v>4</v>
      </c>
      <c r="IL17" s="2" t="s">
        <v>17</v>
      </c>
      <c r="IM17" s="2" t="s">
        <v>17</v>
      </c>
      <c r="IO17" s="2" t="s">
        <v>17</v>
      </c>
      <c r="IP17" s="2" t="s">
        <v>79</v>
      </c>
      <c r="IQ17" s="2" t="s">
        <v>79</v>
      </c>
      <c r="IR17" s="2">
        <v>6</v>
      </c>
      <c r="IS17" s="2">
        <v>8</v>
      </c>
      <c r="IT17" s="2">
        <v>0</v>
      </c>
      <c r="IU17" s="2">
        <v>14</v>
      </c>
      <c r="IV17" s="2" t="s">
        <v>80</v>
      </c>
      <c r="IW17" s="2" t="s">
        <v>9</v>
      </c>
      <c r="IX17" s="2" t="s">
        <v>9</v>
      </c>
      <c r="IY17" s="2">
        <v>14</v>
      </c>
      <c r="IZ17" s="2">
        <v>156</v>
      </c>
      <c r="JB17" s="2" t="s">
        <v>82</v>
      </c>
      <c r="JH17" s="7">
        <v>0</v>
      </c>
      <c r="JI17" s="2">
        <v>0</v>
      </c>
      <c r="JJ17" s="7">
        <v>0</v>
      </c>
      <c r="JK17" s="2">
        <v>0</v>
      </c>
      <c r="JL17" s="7">
        <v>0</v>
      </c>
      <c r="JN17" s="2">
        <v>39</v>
      </c>
      <c r="JQ17" s="2">
        <v>15</v>
      </c>
      <c r="JR17" s="2">
        <v>87</v>
      </c>
      <c r="JS17" s="2">
        <v>15</v>
      </c>
      <c r="JT17" s="2">
        <v>0</v>
      </c>
      <c r="JU17" s="2">
        <v>0</v>
      </c>
      <c r="JV17" s="2">
        <v>156</v>
      </c>
      <c r="JW17" s="4">
        <v>1</v>
      </c>
      <c r="JX17" s="2">
        <v>156</v>
      </c>
      <c r="JY17" s="4">
        <v>0.6</v>
      </c>
      <c r="KE17" s="7">
        <v>0</v>
      </c>
      <c r="KF17" s="2">
        <v>0</v>
      </c>
      <c r="KH17" s="2">
        <v>20</v>
      </c>
      <c r="KI17" s="2">
        <v>92</v>
      </c>
      <c r="KL17" s="2">
        <v>44</v>
      </c>
      <c r="KQ17" s="2" t="s">
        <v>83</v>
      </c>
      <c r="KR17" s="2" t="s">
        <v>73</v>
      </c>
      <c r="KT17" s="2">
        <v>1</v>
      </c>
      <c r="KU17" s="2" t="s">
        <v>84</v>
      </c>
      <c r="KV17" s="2" t="s">
        <v>9</v>
      </c>
      <c r="KW17" s="2" t="s">
        <v>86</v>
      </c>
      <c r="KX17" s="2" t="s">
        <v>17</v>
      </c>
      <c r="KY17" s="2" t="s">
        <v>17</v>
      </c>
      <c r="KZ17" s="2" t="s">
        <v>17</v>
      </c>
      <c r="LA17" s="2" t="s">
        <v>17</v>
      </c>
      <c r="LB17" s="2" t="s">
        <v>17</v>
      </c>
      <c r="LC17" s="2" t="s">
        <v>17</v>
      </c>
      <c r="LD17" s="2" t="s">
        <v>17</v>
      </c>
      <c r="LE17" s="2" t="s">
        <v>17</v>
      </c>
      <c r="LF17" s="2" t="s">
        <v>17</v>
      </c>
      <c r="LG17" s="2" t="s">
        <v>17</v>
      </c>
      <c r="LH17" s="2" t="s">
        <v>17</v>
      </c>
      <c r="LI17" s="2" t="s">
        <v>17</v>
      </c>
      <c r="LJ17" s="2" t="s">
        <v>87</v>
      </c>
      <c r="LK17" s="2" t="s">
        <v>17</v>
      </c>
      <c r="LL17" s="2" t="s">
        <v>17</v>
      </c>
      <c r="LM17" s="2">
        <v>0</v>
      </c>
      <c r="LN17" s="2" t="s">
        <v>17</v>
      </c>
      <c r="LO17" s="2" t="s">
        <v>17</v>
      </c>
      <c r="LP17" s="2" t="s">
        <v>9</v>
      </c>
      <c r="LQ17" s="2" t="s">
        <v>17</v>
      </c>
      <c r="LR17" s="2" t="s">
        <v>9</v>
      </c>
      <c r="LS17" s="2" t="s">
        <v>9</v>
      </c>
      <c r="LT17" s="2" t="s">
        <v>17</v>
      </c>
      <c r="LU17" s="2" t="s">
        <v>17</v>
      </c>
      <c r="LV17" s="2" t="s">
        <v>17</v>
      </c>
      <c r="LW17" s="2" t="s">
        <v>17</v>
      </c>
      <c r="LX17" s="2" t="s">
        <v>17</v>
      </c>
      <c r="LY17" s="5">
        <v>6500000</v>
      </c>
      <c r="LZ17" s="5">
        <v>0</v>
      </c>
      <c r="MA17" s="5">
        <v>6396000</v>
      </c>
      <c r="MB17" s="5">
        <v>6396000</v>
      </c>
      <c r="MC17" s="5">
        <v>6396000</v>
      </c>
      <c r="MD17" s="5">
        <v>750000</v>
      </c>
      <c r="ME17" s="5">
        <v>750000</v>
      </c>
      <c r="MF17" s="5">
        <v>750000</v>
      </c>
      <c r="MG17" s="5">
        <v>10000000</v>
      </c>
      <c r="MH17" s="5">
        <v>0</v>
      </c>
      <c r="MI17" s="5">
        <v>10000000</v>
      </c>
      <c r="MJ17" s="5">
        <v>0</v>
      </c>
      <c r="MK17" s="5">
        <v>1172200</v>
      </c>
      <c r="ML17" s="5">
        <v>0</v>
      </c>
      <c r="MM17" s="5">
        <v>0</v>
      </c>
      <c r="MN17" s="2">
        <v>0</v>
      </c>
      <c r="MO17" s="5">
        <v>0</v>
      </c>
      <c r="MP17" s="5">
        <v>0</v>
      </c>
      <c r="MQ17" s="2">
        <v>0</v>
      </c>
      <c r="MR17" s="2">
        <v>0</v>
      </c>
      <c r="MS17" s="2">
        <v>0</v>
      </c>
      <c r="MT17" s="5">
        <v>2950000</v>
      </c>
      <c r="MU17" s="5">
        <v>0</v>
      </c>
      <c r="MV17" s="5">
        <v>4600000</v>
      </c>
      <c r="MW17" s="5">
        <v>0</v>
      </c>
      <c r="MX17" s="2" t="s">
        <v>17</v>
      </c>
      <c r="MY17" s="5">
        <v>0</v>
      </c>
      <c r="MZ17" s="5">
        <v>0</v>
      </c>
      <c r="NA17" s="5">
        <v>0</v>
      </c>
      <c r="NB17" s="5">
        <v>2500000</v>
      </c>
      <c r="NC17" s="5">
        <v>0</v>
      </c>
      <c r="ND17" s="5">
        <v>5000000</v>
      </c>
      <c r="NE17" s="5">
        <v>0</v>
      </c>
      <c r="NF17" s="5">
        <v>0</v>
      </c>
      <c r="NG17" s="5">
        <v>0</v>
      </c>
      <c r="NH17" s="5"/>
      <c r="NI17" s="5">
        <v>0</v>
      </c>
      <c r="NJ17" s="5">
        <v>2660736</v>
      </c>
      <c r="NK17" s="2" t="s">
        <v>17</v>
      </c>
      <c r="NL17" s="2">
        <v>2023</v>
      </c>
      <c r="NM17" s="2" t="s">
        <v>17</v>
      </c>
      <c r="NO17" s="2" t="s">
        <v>17</v>
      </c>
      <c r="NR17" s="2" t="s">
        <v>17</v>
      </c>
      <c r="NT17" s="2" t="s">
        <v>9</v>
      </c>
      <c r="NU17" s="2" t="s">
        <v>450</v>
      </c>
      <c r="NV17" s="2">
        <v>11.01</v>
      </c>
      <c r="NW17" s="2" t="s">
        <v>723</v>
      </c>
      <c r="NX17" s="2" t="s">
        <v>118</v>
      </c>
      <c r="NY17" s="2" t="s">
        <v>118</v>
      </c>
      <c r="NZ17" s="2" t="s">
        <v>118</v>
      </c>
      <c r="OA17" s="2" t="s">
        <v>17</v>
      </c>
      <c r="OB17" s="2" t="s">
        <v>119</v>
      </c>
      <c r="OF17" s="2" t="s">
        <v>17</v>
      </c>
      <c r="OG17" s="2" t="s">
        <v>17</v>
      </c>
      <c r="OH17" s="2">
        <v>0</v>
      </c>
      <c r="OI17" s="6">
        <v>0</v>
      </c>
      <c r="OJ17" s="6">
        <v>191880</v>
      </c>
      <c r="OK17" s="2" t="s">
        <v>17</v>
      </c>
      <c r="OL17" s="2" t="s">
        <v>17</v>
      </c>
      <c r="OM17" s="6">
        <v>0</v>
      </c>
      <c r="ON17" s="6">
        <v>0</v>
      </c>
      <c r="OO17" s="6">
        <v>0</v>
      </c>
      <c r="OP17" s="6">
        <v>0</v>
      </c>
      <c r="OQ17" s="4">
        <v>0</v>
      </c>
      <c r="OR17" s="6">
        <v>0</v>
      </c>
      <c r="OS17" s="4">
        <v>0</v>
      </c>
      <c r="OT17" s="2" t="s">
        <v>17</v>
      </c>
      <c r="OU17" s="2" t="s">
        <v>17</v>
      </c>
      <c r="OW17" s="2" t="s">
        <v>17</v>
      </c>
      <c r="OX17" s="5">
        <v>6252090</v>
      </c>
      <c r="OY17" s="6">
        <v>40077.5</v>
      </c>
      <c r="OZ17" s="8">
        <v>100000</v>
      </c>
      <c r="PA17" s="8">
        <v>100000</v>
      </c>
      <c r="PD17" s="8">
        <v>29966667</v>
      </c>
      <c r="PF17" s="8">
        <v>29966667</v>
      </c>
      <c r="PG17" s="8">
        <v>1900000</v>
      </c>
      <c r="PH17" s="8">
        <v>100000</v>
      </c>
      <c r="PI17" s="8">
        <v>2000000</v>
      </c>
      <c r="PO17" s="8">
        <v>31866667</v>
      </c>
      <c r="PP17" s="8">
        <v>200000</v>
      </c>
      <c r="PQ17" s="8">
        <v>32066667</v>
      </c>
      <c r="PR17" s="8">
        <v>4033333</v>
      </c>
      <c r="PT17" s="8">
        <v>4033333</v>
      </c>
      <c r="PU17" s="6">
        <v>4489333</v>
      </c>
      <c r="PV17" s="8">
        <v>35900000</v>
      </c>
      <c r="PW17" s="8">
        <v>200000</v>
      </c>
      <c r="PX17" s="8">
        <v>36100000</v>
      </c>
      <c r="PY17" s="8">
        <v>1805000</v>
      </c>
      <c r="QA17" s="8">
        <v>1805000</v>
      </c>
      <c r="QB17" s="6">
        <v>1805000</v>
      </c>
      <c r="QC17" s="8">
        <v>1505000</v>
      </c>
      <c r="QD17" s="8">
        <v>200000</v>
      </c>
      <c r="QE17" s="8">
        <v>1705000</v>
      </c>
      <c r="QF17" s="8">
        <v>695000</v>
      </c>
      <c r="QH17" s="8">
        <v>695000</v>
      </c>
      <c r="QI17" s="8">
        <v>25000</v>
      </c>
      <c r="QK17" s="8">
        <v>25000</v>
      </c>
      <c r="QM17" s="8">
        <v>538430</v>
      </c>
      <c r="QN17" s="8">
        <v>538430</v>
      </c>
      <c r="QR17" s="8">
        <v>543000</v>
      </c>
      <c r="QS17" s="8">
        <v>160000</v>
      </c>
      <c r="QT17" s="8">
        <v>703000</v>
      </c>
      <c r="QU17" s="8">
        <v>2768000</v>
      </c>
      <c r="QV17" s="8">
        <v>898430</v>
      </c>
      <c r="QW17" s="8">
        <v>3666430</v>
      </c>
      <c r="QX17" s="8">
        <v>100000</v>
      </c>
      <c r="QY17" s="8">
        <v>50000</v>
      </c>
      <c r="QZ17" s="8">
        <v>150000</v>
      </c>
      <c r="RA17" s="6">
        <v>183321.5</v>
      </c>
      <c r="RB17" s="8">
        <v>2355000</v>
      </c>
      <c r="RC17" s="8">
        <v>870000</v>
      </c>
      <c r="RD17" s="8">
        <v>3225000</v>
      </c>
      <c r="RE17" s="8">
        <v>251320</v>
      </c>
      <c r="RF17" s="8">
        <v>251320</v>
      </c>
      <c r="RG17" s="8">
        <v>40000</v>
      </c>
      <c r="RH17" s="8">
        <v>425500</v>
      </c>
      <c r="RI17" s="8">
        <v>465500</v>
      </c>
      <c r="RJ17" s="8">
        <v>2395000</v>
      </c>
      <c r="RK17" s="8">
        <v>1546820</v>
      </c>
      <c r="RL17" s="8">
        <v>3941820</v>
      </c>
      <c r="RT17" s="8">
        <v>42968000</v>
      </c>
      <c r="RU17" s="8">
        <v>2695250</v>
      </c>
      <c r="RV17" s="8">
        <v>45663250</v>
      </c>
      <c r="RY17" s="2">
        <v>0</v>
      </c>
      <c r="RZ17" s="6">
        <v>0</v>
      </c>
      <c r="SA17" s="8">
        <v>8200000</v>
      </c>
      <c r="SC17" s="8">
        <v>8200000</v>
      </c>
      <c r="SD17" s="6">
        <v>8219385</v>
      </c>
      <c r="SE17" s="8">
        <v>8200000</v>
      </c>
      <c r="SF17" s="8">
        <v>8200000</v>
      </c>
      <c r="SG17" s="6">
        <v>8219385</v>
      </c>
      <c r="SH17" s="8">
        <v>546000</v>
      </c>
      <c r="SI17" s="8">
        <v>546000</v>
      </c>
      <c r="SJ17" s="6">
        <v>546000</v>
      </c>
      <c r="SK17" s="8">
        <v>2300000</v>
      </c>
      <c r="SL17" s="8">
        <v>2300000</v>
      </c>
      <c r="SM17" s="8">
        <v>51168000</v>
      </c>
      <c r="SN17" s="8">
        <v>5541250</v>
      </c>
      <c r="SO17" s="8">
        <v>56709250</v>
      </c>
      <c r="SP17" s="8">
        <v>30000000</v>
      </c>
      <c r="SQ17" s="2" t="s">
        <v>4220</v>
      </c>
      <c r="SR17" s="8">
        <v>3198000</v>
      </c>
      <c r="SS17" s="2" t="s">
        <v>4451</v>
      </c>
      <c r="SX17" s="8">
        <v>7146000</v>
      </c>
      <c r="SY17" s="2" t="s">
        <v>96</v>
      </c>
      <c r="SZ17" s="2" t="s">
        <v>96</v>
      </c>
      <c r="TA17" s="2" t="s">
        <v>96</v>
      </c>
      <c r="TB17" s="8">
        <v>10415740</v>
      </c>
      <c r="TF17" s="8">
        <v>5949510</v>
      </c>
      <c r="TG17" s="8">
        <v>56709250</v>
      </c>
      <c r="TH17" s="2">
        <v>0</v>
      </c>
      <c r="TI17" s="8">
        <v>15540000</v>
      </c>
      <c r="TJ17" s="2" t="s">
        <v>4220</v>
      </c>
      <c r="TK17" s="8">
        <v>3198000</v>
      </c>
      <c r="TL17" s="2" t="s">
        <v>4451</v>
      </c>
      <c r="TR17" s="8">
        <v>7146000</v>
      </c>
      <c r="TS17" s="8">
        <v>23146088</v>
      </c>
      <c r="TZ17" s="8">
        <v>7679162</v>
      </c>
      <c r="UA17" s="8">
        <v>56709250</v>
      </c>
      <c r="UB17" s="6">
        <v>25884000</v>
      </c>
      <c r="UC17" s="2">
        <v>0</v>
      </c>
      <c r="UD17" s="2">
        <v>156</v>
      </c>
      <c r="UE17" s="5">
        <v>240000</v>
      </c>
      <c r="UF17" s="6">
        <v>320000</v>
      </c>
      <c r="UG17" s="6">
        <v>327500</v>
      </c>
      <c r="UH17" s="6">
        <v>347150</v>
      </c>
      <c r="UI17" s="6">
        <v>54155400</v>
      </c>
      <c r="UJ17" s="6">
        <v>9747972</v>
      </c>
      <c r="UK17" s="2" t="s">
        <v>97</v>
      </c>
      <c r="UL17" s="6">
        <v>9747972</v>
      </c>
      <c r="UM17" s="6">
        <v>63903372</v>
      </c>
      <c r="UN17" s="6">
        <v>53763250</v>
      </c>
      <c r="UQ17" s="6">
        <v>0</v>
      </c>
      <c r="US17" s="6">
        <v>0</v>
      </c>
      <c r="UU17" s="6">
        <v>150000</v>
      </c>
      <c r="UV17" s="6">
        <v>150000</v>
      </c>
      <c r="UW17" s="6">
        <v>150000</v>
      </c>
      <c r="UX17" s="6">
        <v>0</v>
      </c>
      <c r="UY17" s="6">
        <v>150000</v>
      </c>
      <c r="UZ17" s="2" t="s">
        <v>4452</v>
      </c>
      <c r="VA17" s="2" t="s">
        <v>3288</v>
      </c>
      <c r="VB17" s="2" t="s">
        <v>9</v>
      </c>
      <c r="VC17" s="2">
        <v>5</v>
      </c>
      <c r="VD17" s="2">
        <v>5</v>
      </c>
      <c r="VE17" s="2" t="s">
        <v>9</v>
      </c>
      <c r="VG17" s="2" t="s">
        <v>17</v>
      </c>
      <c r="VI17" s="388" t="s">
        <v>193</v>
      </c>
      <c r="VJ17" s="2" t="s">
        <v>98</v>
      </c>
      <c r="VK17" s="2" t="s">
        <v>4453</v>
      </c>
      <c r="VL17" s="23">
        <f t="shared" si="0"/>
        <v>336</v>
      </c>
      <c r="VM17" s="17">
        <f t="shared" si="1"/>
        <v>2.1538461538461537</v>
      </c>
      <c r="VN17" s="17" t="str">
        <f t="shared" si="2"/>
        <v>NC-MR-F</v>
      </c>
      <c r="VO17" s="17" t="str">
        <f t="shared" si="15"/>
        <v>NC-MR-F-Non</v>
      </c>
      <c r="VP17" s="57">
        <v>1</v>
      </c>
      <c r="VQ17" s="17">
        <f t="shared" si="3"/>
        <v>1.1100000000000001</v>
      </c>
      <c r="VR17" s="14">
        <f t="shared" si="4"/>
        <v>1</v>
      </c>
      <c r="VS17" s="14">
        <f t="shared" si="5"/>
        <v>1</v>
      </c>
      <c r="VT17" s="12">
        <f t="shared" si="6"/>
        <v>0.88</v>
      </c>
      <c r="VU17" s="29">
        <f t="shared" si="7"/>
        <v>6247612.8000000007</v>
      </c>
      <c r="VV17" s="29">
        <f t="shared" si="8"/>
        <v>40048.800000000003</v>
      </c>
      <c r="VW17" s="351" t="str">
        <f t="shared" si="16"/>
        <v>A</v>
      </c>
      <c r="VX17" s="12" t="str">
        <f t="shared" si="9"/>
        <v>NC-MR-Non</v>
      </c>
      <c r="VY17" s="23">
        <f t="shared" si="17"/>
        <v>2</v>
      </c>
      <c r="WA17" s="12">
        <f t="shared" si="18"/>
        <v>0</v>
      </c>
      <c r="WB17" s="12">
        <f t="shared" si="19"/>
        <v>1</v>
      </c>
      <c r="WC17" s="12">
        <f t="shared" si="19"/>
        <v>0</v>
      </c>
      <c r="WD17" s="12">
        <f t="shared" si="19"/>
        <v>0</v>
      </c>
      <c r="WE17" s="12">
        <f t="shared" si="20"/>
        <v>0</v>
      </c>
      <c r="WF17" s="12">
        <f t="shared" si="10"/>
        <v>0</v>
      </c>
      <c r="WG17" s="12">
        <f t="shared" si="11"/>
        <v>1</v>
      </c>
      <c r="WH17" s="12">
        <f t="shared" si="12"/>
        <v>0</v>
      </c>
      <c r="WI17" s="31">
        <f t="shared" si="13"/>
        <v>2</v>
      </c>
      <c r="WK17" s="444" t="str">
        <f t="shared" si="21"/>
        <v>NC-MR-Non-BBY-BRN-NPH-F</v>
      </c>
      <c r="WL17" s="444"/>
      <c r="WM17" s="444"/>
    </row>
    <row r="18" spans="1:611" x14ac:dyDescent="0.25">
      <c r="A18" s="2">
        <v>9227</v>
      </c>
      <c r="B18" s="2" t="s">
        <v>4454</v>
      </c>
      <c r="C18" s="2" t="s">
        <v>4205</v>
      </c>
      <c r="D18" s="3">
        <v>45135</v>
      </c>
      <c r="E18" s="2" t="s">
        <v>9</v>
      </c>
      <c r="F18" s="2">
        <v>1</v>
      </c>
      <c r="G18" s="2" t="s">
        <v>9</v>
      </c>
      <c r="H18" s="2">
        <v>1</v>
      </c>
      <c r="I18" s="2" t="s">
        <v>11</v>
      </c>
      <c r="J18" s="2">
        <v>0</v>
      </c>
      <c r="K18" s="2" t="s">
        <v>9</v>
      </c>
      <c r="L18" s="2">
        <v>1</v>
      </c>
      <c r="M18" s="2" t="s">
        <v>10</v>
      </c>
      <c r="N18" s="2">
        <v>0</v>
      </c>
      <c r="O18" s="2" t="s">
        <v>10</v>
      </c>
      <c r="P18" s="2">
        <v>0</v>
      </c>
      <c r="Q18" s="2" t="s">
        <v>11</v>
      </c>
      <c r="R18" s="2">
        <v>0</v>
      </c>
      <c r="S18" s="2" t="s">
        <v>9</v>
      </c>
      <c r="T18" s="2">
        <v>2</v>
      </c>
      <c r="U18" s="2" t="s">
        <v>9</v>
      </c>
      <c r="V18" s="2">
        <v>2</v>
      </c>
      <c r="W18" s="2" t="s">
        <v>9</v>
      </c>
      <c r="X18" s="2">
        <v>2</v>
      </c>
      <c r="Y18" s="2" t="s">
        <v>12</v>
      </c>
      <c r="Z18" s="2" t="s">
        <v>1505</v>
      </c>
      <c r="AA18" s="2" t="s">
        <v>842</v>
      </c>
      <c r="AB18" s="2" t="s">
        <v>15</v>
      </c>
      <c r="AC18" s="2" t="s">
        <v>15</v>
      </c>
      <c r="AD18" s="2" t="s">
        <v>15</v>
      </c>
      <c r="AE18" s="2" t="s">
        <v>15</v>
      </c>
      <c r="AF18" s="2">
        <v>2</v>
      </c>
      <c r="AG18" s="2" t="s">
        <v>730</v>
      </c>
      <c r="AH18" s="2" t="s">
        <v>17</v>
      </c>
      <c r="AI18" s="4">
        <v>0.15</v>
      </c>
      <c r="AJ18" s="2" t="s">
        <v>17</v>
      </c>
      <c r="AK18" s="2" t="s">
        <v>9</v>
      </c>
      <c r="AL18" s="2" t="s">
        <v>17</v>
      </c>
      <c r="AM18" s="2" t="s">
        <v>17</v>
      </c>
      <c r="AN18" s="2" t="s">
        <v>17</v>
      </c>
      <c r="AO18" s="2" t="s">
        <v>9</v>
      </c>
      <c r="AP18" s="2" t="s">
        <v>17</v>
      </c>
      <c r="AQ18" s="2" t="s">
        <v>17</v>
      </c>
      <c r="AR18" s="2" t="s">
        <v>17</v>
      </c>
      <c r="AS18" s="2" t="s">
        <v>17</v>
      </c>
      <c r="AT18" s="2">
        <v>5</v>
      </c>
      <c r="AU18" s="5">
        <v>20000</v>
      </c>
      <c r="AV18" s="5">
        <v>460000</v>
      </c>
      <c r="AW18" s="2">
        <v>1</v>
      </c>
      <c r="AX18" s="2">
        <v>6</v>
      </c>
      <c r="AY18" s="2">
        <v>0</v>
      </c>
      <c r="AZ18" s="2">
        <v>17</v>
      </c>
      <c r="BA18" s="2">
        <v>0</v>
      </c>
      <c r="BB18" s="2">
        <v>1</v>
      </c>
      <c r="BC18" s="2">
        <v>1</v>
      </c>
      <c r="BD18" s="2">
        <v>0</v>
      </c>
      <c r="BE18" s="2">
        <v>1</v>
      </c>
      <c r="BF18" s="2">
        <v>1</v>
      </c>
      <c r="BG18" s="2">
        <v>0</v>
      </c>
      <c r="BH18" s="2">
        <v>0</v>
      </c>
      <c r="BI18" s="2">
        <v>13</v>
      </c>
      <c r="BJ18" s="2">
        <v>1</v>
      </c>
      <c r="BK18" s="2">
        <v>0</v>
      </c>
      <c r="BL18" s="2">
        <v>3</v>
      </c>
      <c r="BM18" s="2">
        <v>1</v>
      </c>
      <c r="BN18" s="2">
        <v>9</v>
      </c>
      <c r="BO18" s="2">
        <v>10</v>
      </c>
      <c r="BP18" s="2">
        <v>72.59</v>
      </c>
      <c r="BQ18" s="5">
        <v>8050000</v>
      </c>
      <c r="BR18" s="2">
        <v>1</v>
      </c>
      <c r="BS18" s="4">
        <v>0.06</v>
      </c>
      <c r="BT18" s="2" t="s">
        <v>9</v>
      </c>
      <c r="BU18" s="2" t="s">
        <v>17</v>
      </c>
      <c r="BV18" s="6">
        <v>42907.78</v>
      </c>
      <c r="BW18" s="2" t="s">
        <v>18</v>
      </c>
      <c r="BX18" s="2" t="s">
        <v>17</v>
      </c>
      <c r="BY18" s="2" t="s">
        <v>17</v>
      </c>
      <c r="BZ18" s="2" t="s">
        <v>17</v>
      </c>
      <c r="CA18" s="2" t="s">
        <v>17</v>
      </c>
      <c r="CB18" s="2" t="s">
        <v>17</v>
      </c>
      <c r="CC18" s="2" t="s">
        <v>17</v>
      </c>
      <c r="CE18" s="2" t="s">
        <v>4455</v>
      </c>
      <c r="CF18" s="2" t="s">
        <v>9</v>
      </c>
      <c r="CG18" s="2" t="s">
        <v>17</v>
      </c>
      <c r="DA18" s="2" t="s">
        <v>1678</v>
      </c>
      <c r="DD18" s="2" t="s">
        <v>9</v>
      </c>
      <c r="DE18" s="2" t="s">
        <v>1680</v>
      </c>
      <c r="DF18" s="2" t="s">
        <v>1678</v>
      </c>
      <c r="DG18" s="2" t="s">
        <v>1681</v>
      </c>
      <c r="DH18" s="2" t="s">
        <v>1682</v>
      </c>
      <c r="DI18" s="2">
        <v>114</v>
      </c>
      <c r="DJ18" s="2" t="s">
        <v>4456</v>
      </c>
      <c r="DK18" s="2">
        <v>2018</v>
      </c>
      <c r="DL18" s="2" t="s">
        <v>4209</v>
      </c>
      <c r="DM18" s="2" t="s">
        <v>4210</v>
      </c>
      <c r="DN18" s="2" t="s">
        <v>33</v>
      </c>
      <c r="DO18" s="2" t="s">
        <v>1687</v>
      </c>
      <c r="DP18" s="2" t="s">
        <v>665</v>
      </c>
      <c r="DQ18" s="2" t="s">
        <v>1688</v>
      </c>
      <c r="DR18" s="2" t="s">
        <v>1689</v>
      </c>
      <c r="DS18" s="2">
        <v>1</v>
      </c>
      <c r="DT18" s="2" t="s">
        <v>1690</v>
      </c>
      <c r="DU18" s="2" t="s">
        <v>1691</v>
      </c>
      <c r="DV18" s="2" t="s">
        <v>1692</v>
      </c>
      <c r="DW18" s="2">
        <v>98466</v>
      </c>
      <c r="DX18" s="2" t="s">
        <v>1693</v>
      </c>
      <c r="DZ18" s="2" t="s">
        <v>1694</v>
      </c>
      <c r="EA18" s="2" t="s">
        <v>1689</v>
      </c>
      <c r="EB18" s="2" t="s">
        <v>1681</v>
      </c>
      <c r="EC18" s="2" t="s">
        <v>1695</v>
      </c>
      <c r="ED18" s="2" t="s">
        <v>44</v>
      </c>
      <c r="EE18" s="2">
        <v>114</v>
      </c>
      <c r="EF18" s="2" t="s">
        <v>4457</v>
      </c>
      <c r="EG18" s="2">
        <v>5</v>
      </c>
      <c r="EH18" s="2" t="s">
        <v>46</v>
      </c>
      <c r="EI18" s="2" t="s">
        <v>47</v>
      </c>
      <c r="EJ18" s="2" t="s">
        <v>1696</v>
      </c>
      <c r="EK18" s="2" t="s">
        <v>1697</v>
      </c>
      <c r="EL18" s="2" t="s">
        <v>44</v>
      </c>
      <c r="EM18" s="2">
        <v>344</v>
      </c>
      <c r="EN18" s="2" t="s">
        <v>4457</v>
      </c>
      <c r="EO18" s="2">
        <v>9</v>
      </c>
      <c r="EP18" s="2" t="s">
        <v>46</v>
      </c>
      <c r="EQ18" s="2" t="s">
        <v>47</v>
      </c>
      <c r="ER18" s="2" t="s">
        <v>583</v>
      </c>
      <c r="ES18" s="2" t="s">
        <v>656</v>
      </c>
      <c r="ET18" s="2" t="s">
        <v>1698</v>
      </c>
      <c r="EU18" s="2" t="s">
        <v>4455</v>
      </c>
      <c r="EV18" s="2" t="s">
        <v>1699</v>
      </c>
      <c r="EW18" s="2" t="s">
        <v>396</v>
      </c>
      <c r="EX18" s="2" t="s">
        <v>39</v>
      </c>
      <c r="EY18" s="2">
        <v>33609</v>
      </c>
      <c r="EZ18" s="2" t="s">
        <v>1700</v>
      </c>
      <c r="FB18" s="2" t="s">
        <v>1701</v>
      </c>
      <c r="FC18" s="2" t="s">
        <v>1702</v>
      </c>
      <c r="FD18" s="2" t="s">
        <v>400</v>
      </c>
      <c r="FE18" s="2" t="s">
        <v>1703</v>
      </c>
      <c r="FF18" s="2" t="s">
        <v>1678</v>
      </c>
      <c r="FG18" s="2" t="s">
        <v>1699</v>
      </c>
      <c r="FH18" s="2" t="s">
        <v>396</v>
      </c>
      <c r="FI18" s="2" t="s">
        <v>39</v>
      </c>
      <c r="FJ18" s="2">
        <v>33609</v>
      </c>
      <c r="FK18" s="2" t="s">
        <v>1700</v>
      </c>
      <c r="FM18" s="2" t="s">
        <v>1704</v>
      </c>
      <c r="FN18" s="2" t="s">
        <v>4458</v>
      </c>
      <c r="FO18" s="2" t="s">
        <v>63</v>
      </c>
      <c r="FP18" s="2" t="s">
        <v>64</v>
      </c>
      <c r="FQ18" s="2" t="s">
        <v>9</v>
      </c>
      <c r="FR18" s="2" t="s">
        <v>17</v>
      </c>
      <c r="FS18" s="2" t="s">
        <v>17</v>
      </c>
      <c r="FT18" s="2" t="s">
        <v>9</v>
      </c>
      <c r="FX18" s="2">
        <v>0</v>
      </c>
      <c r="FY18" s="2">
        <v>0</v>
      </c>
      <c r="FZ18" s="4">
        <v>0</v>
      </c>
      <c r="GA18" s="4">
        <v>0</v>
      </c>
      <c r="GB18" s="2" t="s">
        <v>65</v>
      </c>
      <c r="GC18" s="2" t="s">
        <v>66</v>
      </c>
      <c r="GD18" s="2" t="s">
        <v>67</v>
      </c>
      <c r="GE18" s="2" t="s">
        <v>68</v>
      </c>
      <c r="GH18" s="2">
        <v>180</v>
      </c>
      <c r="GQ18" s="2">
        <v>180</v>
      </c>
      <c r="GR18" s="2" t="s">
        <v>1156</v>
      </c>
      <c r="GS18" s="2" t="s">
        <v>70</v>
      </c>
      <c r="GT18" s="2" t="s">
        <v>4459</v>
      </c>
      <c r="GU18" s="2" t="s">
        <v>1158</v>
      </c>
      <c r="GV18" s="2" t="s">
        <v>17</v>
      </c>
      <c r="GW18" s="2">
        <v>27.387405999999999</v>
      </c>
      <c r="GX18" s="2">
        <v>-80.324211000000005</v>
      </c>
      <c r="GZ18" s="2" t="s">
        <v>17</v>
      </c>
      <c r="HA18" s="2">
        <v>0</v>
      </c>
      <c r="HC18" s="2">
        <v>0</v>
      </c>
      <c r="HD18" s="2">
        <v>27.385217000000001</v>
      </c>
      <c r="HE18" s="2">
        <v>-80.325686000000005</v>
      </c>
      <c r="HF18" s="2">
        <v>0.18</v>
      </c>
      <c r="HG18" s="2">
        <v>4</v>
      </c>
      <c r="HH18" s="2">
        <v>27.384969000000002</v>
      </c>
      <c r="HI18" s="2">
        <v>-80.325935999999999</v>
      </c>
      <c r="HJ18" s="2">
        <v>0.2</v>
      </c>
      <c r="HZ18" s="2" t="s">
        <v>359</v>
      </c>
      <c r="IA18" s="2">
        <v>0.9</v>
      </c>
      <c r="IB18" s="2">
        <v>2.5</v>
      </c>
      <c r="IF18" s="2" t="s">
        <v>224</v>
      </c>
      <c r="IG18" s="2">
        <v>0.89</v>
      </c>
      <c r="IH18" s="2">
        <v>2.5</v>
      </c>
      <c r="II18" s="2" t="s">
        <v>4460</v>
      </c>
      <c r="IJ18" s="2">
        <v>0.62</v>
      </c>
      <c r="IK18" s="2">
        <v>3.5</v>
      </c>
      <c r="IL18" s="2" t="s">
        <v>17</v>
      </c>
      <c r="IM18" s="2" t="s">
        <v>17</v>
      </c>
      <c r="IO18" s="2" t="s">
        <v>17</v>
      </c>
      <c r="IP18" s="2" t="s">
        <v>79</v>
      </c>
      <c r="IQ18" s="2" t="s">
        <v>79</v>
      </c>
      <c r="IR18" s="2">
        <v>4</v>
      </c>
      <c r="IS18" s="2">
        <v>8.5</v>
      </c>
      <c r="IT18" s="2">
        <v>0</v>
      </c>
      <c r="IU18" s="2">
        <v>12.5</v>
      </c>
      <c r="IV18" s="2" t="s">
        <v>80</v>
      </c>
      <c r="IW18" s="2" t="s">
        <v>9</v>
      </c>
      <c r="IX18" s="2" t="s">
        <v>9</v>
      </c>
      <c r="IY18" s="2">
        <v>12.5</v>
      </c>
      <c r="IZ18" s="2">
        <v>180</v>
      </c>
      <c r="JB18" s="2" t="s">
        <v>82</v>
      </c>
      <c r="JH18" s="7">
        <v>0</v>
      </c>
      <c r="JI18" s="2">
        <v>0</v>
      </c>
      <c r="JJ18" s="7">
        <v>0</v>
      </c>
      <c r="JK18" s="2">
        <v>0</v>
      </c>
      <c r="JL18" s="7">
        <v>0</v>
      </c>
      <c r="JN18" s="2">
        <v>27</v>
      </c>
      <c r="JO18" s="2">
        <v>9</v>
      </c>
      <c r="JP18" s="2">
        <v>9</v>
      </c>
      <c r="JQ18" s="2">
        <v>72</v>
      </c>
      <c r="JR18" s="2">
        <v>27</v>
      </c>
      <c r="JS18" s="2">
        <v>36</v>
      </c>
      <c r="JT18" s="2">
        <v>0</v>
      </c>
      <c r="JU18" s="2">
        <v>0</v>
      </c>
      <c r="JV18" s="2">
        <v>180</v>
      </c>
      <c r="JW18" s="4">
        <v>1</v>
      </c>
      <c r="JX18" s="2">
        <v>180</v>
      </c>
      <c r="JY18" s="4">
        <v>0.59499999999999997</v>
      </c>
      <c r="KE18" s="7">
        <v>0</v>
      </c>
      <c r="KF18" s="2">
        <v>0</v>
      </c>
      <c r="KK18" s="2">
        <v>108</v>
      </c>
      <c r="KL18" s="2">
        <v>72</v>
      </c>
      <c r="KQ18" s="2" t="s">
        <v>83</v>
      </c>
      <c r="KR18" s="2" t="s">
        <v>73</v>
      </c>
      <c r="KT18" s="2">
        <v>9</v>
      </c>
      <c r="KU18" s="2" t="s">
        <v>84</v>
      </c>
      <c r="KV18" s="2" t="s">
        <v>9</v>
      </c>
      <c r="KW18" s="2" t="s">
        <v>530</v>
      </c>
      <c r="KX18" s="2" t="s">
        <v>17</v>
      </c>
      <c r="KY18" s="2" t="s">
        <v>17</v>
      </c>
      <c r="KZ18" s="2" t="s">
        <v>17</v>
      </c>
      <c r="LA18" s="2" t="s">
        <v>17</v>
      </c>
      <c r="LB18" s="2" t="s">
        <v>17</v>
      </c>
      <c r="LC18" s="2" t="s">
        <v>17</v>
      </c>
      <c r="LD18" s="2" t="s">
        <v>17</v>
      </c>
      <c r="LE18" s="2" t="s">
        <v>17</v>
      </c>
      <c r="LF18" s="2" t="s">
        <v>17</v>
      </c>
      <c r="LG18" s="2" t="s">
        <v>17</v>
      </c>
      <c r="LH18" s="2" t="s">
        <v>17</v>
      </c>
      <c r="LI18" s="2" t="s">
        <v>17</v>
      </c>
      <c r="LJ18" s="2" t="s">
        <v>87</v>
      </c>
      <c r="LK18" s="2" t="s">
        <v>17</v>
      </c>
      <c r="LL18" s="2" t="s">
        <v>17</v>
      </c>
      <c r="LM18" s="2">
        <v>0</v>
      </c>
      <c r="LN18" s="2" t="s">
        <v>17</v>
      </c>
      <c r="LO18" s="2" t="s">
        <v>9</v>
      </c>
      <c r="LP18" s="2" t="s">
        <v>9</v>
      </c>
      <c r="LQ18" s="2" t="s">
        <v>17</v>
      </c>
      <c r="LR18" s="2" t="s">
        <v>17</v>
      </c>
      <c r="LS18" s="2" t="s">
        <v>9</v>
      </c>
      <c r="LT18" s="2" t="s">
        <v>17</v>
      </c>
      <c r="LU18" s="2" t="s">
        <v>17</v>
      </c>
      <c r="LV18" s="2" t="s">
        <v>17</v>
      </c>
      <c r="LW18" s="2" t="s">
        <v>17</v>
      </c>
      <c r="LX18" s="2" t="s">
        <v>17</v>
      </c>
      <c r="LY18" s="5">
        <v>6500000</v>
      </c>
      <c r="LZ18" s="5">
        <v>0</v>
      </c>
      <c r="MA18" s="5">
        <v>7359998</v>
      </c>
      <c r="MB18" s="5">
        <v>7300000</v>
      </c>
      <c r="MC18" s="5">
        <v>7300000</v>
      </c>
      <c r="MD18" s="5">
        <v>750000</v>
      </c>
      <c r="ME18" s="5">
        <v>750000</v>
      </c>
      <c r="MF18" s="5">
        <v>750000</v>
      </c>
      <c r="MG18" s="5">
        <v>10000000</v>
      </c>
      <c r="MH18" s="5">
        <v>0</v>
      </c>
      <c r="MI18" s="5">
        <v>10000000</v>
      </c>
      <c r="MJ18" s="5">
        <v>0</v>
      </c>
      <c r="MK18" s="5">
        <v>1343500</v>
      </c>
      <c r="ML18" s="5">
        <v>0</v>
      </c>
      <c r="MM18" s="5">
        <v>0</v>
      </c>
      <c r="MN18" s="2">
        <v>0</v>
      </c>
      <c r="MO18" s="5">
        <v>0</v>
      </c>
      <c r="MP18" s="5">
        <v>0</v>
      </c>
      <c r="MQ18" s="2">
        <v>0</v>
      </c>
      <c r="MR18" s="2">
        <v>0</v>
      </c>
      <c r="MS18" s="2">
        <v>0</v>
      </c>
      <c r="MT18" s="5">
        <v>2950000</v>
      </c>
      <c r="MU18" s="5">
        <v>0</v>
      </c>
      <c r="MV18" s="5">
        <v>4600000</v>
      </c>
      <c r="MW18" s="5">
        <v>0</v>
      </c>
      <c r="MX18" s="2" t="s">
        <v>17</v>
      </c>
      <c r="MY18" s="5">
        <v>0</v>
      </c>
      <c r="MZ18" s="5">
        <v>0</v>
      </c>
      <c r="NA18" s="5">
        <v>0</v>
      </c>
      <c r="NB18" s="5">
        <v>2500000</v>
      </c>
      <c r="NC18" s="5">
        <v>0</v>
      </c>
      <c r="ND18" s="5">
        <v>5000000</v>
      </c>
      <c r="NE18" s="5">
        <v>0</v>
      </c>
      <c r="NF18" s="5">
        <v>0</v>
      </c>
      <c r="NG18" s="5">
        <v>0</v>
      </c>
      <c r="NH18" s="5"/>
      <c r="NI18" s="5">
        <v>0</v>
      </c>
      <c r="NJ18" s="5">
        <v>2600000</v>
      </c>
      <c r="NK18" s="2" t="s">
        <v>17</v>
      </c>
      <c r="NL18" s="2" t="s">
        <v>4292</v>
      </c>
      <c r="NM18" s="2" t="s">
        <v>17</v>
      </c>
      <c r="NO18" s="2" t="s">
        <v>17</v>
      </c>
      <c r="NR18" s="2" t="s">
        <v>17</v>
      </c>
      <c r="NT18" s="2" t="s">
        <v>9</v>
      </c>
      <c r="NU18" s="2" t="s">
        <v>450</v>
      </c>
      <c r="NV18" s="2">
        <v>3814.01</v>
      </c>
      <c r="NW18" s="2" t="s">
        <v>1162</v>
      </c>
      <c r="NX18" s="2" t="s">
        <v>118</v>
      </c>
      <c r="NY18" s="2" t="s">
        <v>118</v>
      </c>
      <c r="NZ18" s="2" t="s">
        <v>118</v>
      </c>
      <c r="OA18" s="2" t="s">
        <v>17</v>
      </c>
      <c r="OB18" s="2" t="s">
        <v>119</v>
      </c>
      <c r="OC18" s="5">
        <v>33650000</v>
      </c>
      <c r="OF18" s="2" t="s">
        <v>17</v>
      </c>
      <c r="OG18" s="2" t="s">
        <v>17</v>
      </c>
      <c r="OH18" s="2">
        <v>0</v>
      </c>
      <c r="OI18" s="6">
        <v>0</v>
      </c>
      <c r="OJ18" s="6">
        <v>219000</v>
      </c>
      <c r="OK18" s="2" t="s">
        <v>17</v>
      </c>
      <c r="OL18" s="2" t="s">
        <v>17</v>
      </c>
      <c r="OM18" s="6">
        <v>0</v>
      </c>
      <c r="ON18" s="6">
        <v>0</v>
      </c>
      <c r="OO18" s="6">
        <v>0</v>
      </c>
      <c r="OP18" s="6">
        <v>0</v>
      </c>
      <c r="OQ18" s="4">
        <v>0</v>
      </c>
      <c r="OR18" s="6">
        <v>0</v>
      </c>
      <c r="OS18" s="4">
        <v>0</v>
      </c>
      <c r="OT18" s="2" t="s">
        <v>17</v>
      </c>
      <c r="OU18" s="2" t="s">
        <v>17</v>
      </c>
      <c r="OW18" s="2" t="s">
        <v>17</v>
      </c>
      <c r="OX18" s="5">
        <v>7723400</v>
      </c>
      <c r="OY18" s="6">
        <v>42907.78</v>
      </c>
      <c r="PD18" s="8">
        <v>30000000</v>
      </c>
      <c r="PF18" s="8">
        <v>30000000</v>
      </c>
      <c r="PO18" s="8">
        <v>30000000</v>
      </c>
      <c r="PQ18" s="8">
        <v>30000000</v>
      </c>
      <c r="PR18" s="8">
        <v>4200000</v>
      </c>
      <c r="PT18" s="8">
        <v>4200000</v>
      </c>
      <c r="PU18" s="6">
        <v>4200000</v>
      </c>
      <c r="PV18" s="8">
        <v>34200000</v>
      </c>
      <c r="PX18" s="8">
        <v>34200000</v>
      </c>
      <c r="PY18" s="8">
        <v>1700000</v>
      </c>
      <c r="QA18" s="8">
        <v>1700000</v>
      </c>
      <c r="QB18" s="6">
        <v>1710000</v>
      </c>
      <c r="QC18" s="8">
        <v>2447139</v>
      </c>
      <c r="QD18" s="8">
        <v>336250</v>
      </c>
      <c r="QE18" s="8">
        <v>2783389</v>
      </c>
      <c r="QF18" s="8">
        <v>175000</v>
      </c>
      <c r="QG18" s="8">
        <v>20000</v>
      </c>
      <c r="QH18" s="8">
        <v>195000</v>
      </c>
      <c r="QI18" s="8">
        <v>1500000</v>
      </c>
      <c r="QJ18" s="8">
        <v>75000</v>
      </c>
      <c r="QK18" s="8">
        <v>1575000</v>
      </c>
      <c r="QL18" s="8">
        <v>357000</v>
      </c>
      <c r="QM18" s="8">
        <v>218000</v>
      </c>
      <c r="QN18" s="8">
        <v>575000</v>
      </c>
      <c r="QU18" s="8">
        <v>4479139</v>
      </c>
      <c r="QV18" s="8">
        <v>649250</v>
      </c>
      <c r="QW18" s="8">
        <v>5128389</v>
      </c>
      <c r="QX18" s="8">
        <v>200000</v>
      </c>
      <c r="QZ18" s="8">
        <v>200000</v>
      </c>
      <c r="RA18" s="6">
        <v>256419.45</v>
      </c>
      <c r="RB18" s="8">
        <v>2255000</v>
      </c>
      <c r="RC18" s="8">
        <v>520000</v>
      </c>
      <c r="RD18" s="8">
        <v>2775000</v>
      </c>
      <c r="RE18" s="8">
        <v>170000</v>
      </c>
      <c r="RF18" s="8">
        <v>170000</v>
      </c>
      <c r="RJ18" s="8">
        <v>2255000</v>
      </c>
      <c r="RK18" s="8">
        <v>690000</v>
      </c>
      <c r="RL18" s="8">
        <v>2945000</v>
      </c>
      <c r="RT18" s="8">
        <v>42834139</v>
      </c>
      <c r="RU18" s="8">
        <v>1339250</v>
      </c>
      <c r="RV18" s="8">
        <v>44173389</v>
      </c>
      <c r="RY18" s="2">
        <v>0</v>
      </c>
      <c r="RZ18" s="6">
        <v>0</v>
      </c>
      <c r="SA18" s="8">
        <v>7800000</v>
      </c>
      <c r="SC18" s="8">
        <v>7800000</v>
      </c>
      <c r="SD18" s="6">
        <v>7951210</v>
      </c>
      <c r="SE18" s="8">
        <v>7800000</v>
      </c>
      <c r="SF18" s="8">
        <v>7800000</v>
      </c>
      <c r="SG18" s="6">
        <v>7951210</v>
      </c>
      <c r="SJ18" s="6">
        <v>630000</v>
      </c>
      <c r="SK18" s="8">
        <v>3600000</v>
      </c>
      <c r="SL18" s="8">
        <v>3600000</v>
      </c>
      <c r="SM18" s="8">
        <v>50634139</v>
      </c>
      <c r="SN18" s="8">
        <v>4939250</v>
      </c>
      <c r="SO18" s="8">
        <v>55573389</v>
      </c>
      <c r="SP18" s="8">
        <v>33650000</v>
      </c>
      <c r="SQ18" s="2" t="s">
        <v>4295</v>
      </c>
      <c r="SR18" s="8">
        <v>3650000</v>
      </c>
      <c r="SS18" s="2" t="s">
        <v>4221</v>
      </c>
      <c r="ST18" s="8">
        <v>20000</v>
      </c>
      <c r="SU18" s="2" t="s">
        <v>453</v>
      </c>
      <c r="SX18" s="8">
        <v>8050000</v>
      </c>
      <c r="SY18" s="2" t="s">
        <v>96</v>
      </c>
      <c r="SZ18" s="2" t="s">
        <v>96</v>
      </c>
      <c r="TA18" s="2" t="s">
        <v>96</v>
      </c>
      <c r="TB18" s="8">
        <v>18302169.600000001</v>
      </c>
      <c r="TF18" s="2">
        <v>0</v>
      </c>
      <c r="TG18" s="8">
        <v>63672169.600000001</v>
      </c>
      <c r="TH18" s="8">
        <v>8098780.5999999996</v>
      </c>
      <c r="TI18" s="8">
        <v>15000000</v>
      </c>
      <c r="TJ18" s="2" t="s">
        <v>4295</v>
      </c>
      <c r="TK18" s="8">
        <v>3650000</v>
      </c>
      <c r="TL18" s="2" t="s">
        <v>4221</v>
      </c>
      <c r="TM18" s="8">
        <v>20000</v>
      </c>
      <c r="TN18" s="2" t="s">
        <v>180</v>
      </c>
      <c r="TR18" s="8">
        <v>8050000</v>
      </c>
      <c r="TS18" s="8">
        <v>22877712</v>
      </c>
      <c r="TZ18" s="8">
        <v>5975677</v>
      </c>
      <c r="UA18" s="8">
        <v>55573389</v>
      </c>
      <c r="UB18" s="6">
        <v>26720000</v>
      </c>
      <c r="UC18" s="2">
        <v>0</v>
      </c>
      <c r="UD18" s="2">
        <v>180</v>
      </c>
      <c r="UE18" s="5">
        <v>220000</v>
      </c>
      <c r="UF18" s="6">
        <v>293333.33</v>
      </c>
      <c r="UG18" s="6">
        <v>300833.33</v>
      </c>
      <c r="UH18" s="6">
        <v>318883.33</v>
      </c>
      <c r="UI18" s="6">
        <v>57399000</v>
      </c>
      <c r="UJ18" s="6">
        <v>10331820</v>
      </c>
      <c r="UK18" s="2" t="s">
        <v>97</v>
      </c>
      <c r="UL18" s="6">
        <v>10331820</v>
      </c>
      <c r="UM18" s="6">
        <v>67730820</v>
      </c>
      <c r="UN18" s="6">
        <v>51973389</v>
      </c>
      <c r="UQ18" s="6">
        <v>0</v>
      </c>
      <c r="UR18" s="6">
        <v>20000</v>
      </c>
      <c r="US18" s="6">
        <v>20000</v>
      </c>
      <c r="UV18" s="6">
        <v>0</v>
      </c>
      <c r="UW18" s="6">
        <v>20000</v>
      </c>
      <c r="UX18" s="6">
        <v>0</v>
      </c>
      <c r="UY18" s="6">
        <v>20000</v>
      </c>
      <c r="UZ18" s="2" t="s">
        <v>4461</v>
      </c>
      <c r="VA18" s="2" t="s">
        <v>453</v>
      </c>
      <c r="VB18" s="2" t="s">
        <v>17</v>
      </c>
      <c r="VI18" s="388" t="s">
        <v>1680</v>
      </c>
      <c r="VJ18" s="2" t="s">
        <v>98</v>
      </c>
      <c r="VK18" s="2" t="s">
        <v>536</v>
      </c>
      <c r="VL18" s="23">
        <f t="shared" si="0"/>
        <v>432</v>
      </c>
      <c r="VM18" s="17">
        <f t="shared" si="1"/>
        <v>2.4</v>
      </c>
      <c r="VN18" s="17" t="str">
        <f t="shared" si="2"/>
        <v>NC-GA-F</v>
      </c>
      <c r="VO18" s="17" t="str">
        <f t="shared" si="15"/>
        <v>NC-GA-F-Non</v>
      </c>
      <c r="VP18" s="57">
        <v>1</v>
      </c>
      <c r="VQ18" s="17">
        <f t="shared" si="3"/>
        <v>1.1100000000000001</v>
      </c>
      <c r="VR18" s="14">
        <f t="shared" si="4"/>
        <v>1</v>
      </c>
      <c r="VS18" s="14">
        <f t="shared" si="5"/>
        <v>1</v>
      </c>
      <c r="VT18" s="12">
        <f t="shared" si="6"/>
        <v>0.8899999999999999</v>
      </c>
      <c r="VU18" s="29">
        <f t="shared" si="7"/>
        <v>7211670</v>
      </c>
      <c r="VV18" s="29">
        <f t="shared" si="8"/>
        <v>40064.83</v>
      </c>
      <c r="VW18" s="351" t="str">
        <f t="shared" si="16"/>
        <v>A</v>
      </c>
      <c r="VX18" s="12" t="str">
        <f t="shared" si="9"/>
        <v>NC-GA-Non</v>
      </c>
      <c r="VY18" s="23">
        <f t="shared" si="17"/>
        <v>2</v>
      </c>
      <c r="WA18" s="12">
        <f t="shared" si="18"/>
        <v>0</v>
      </c>
      <c r="WB18" s="12">
        <f t="shared" si="19"/>
        <v>1</v>
      </c>
      <c r="WC18" s="12">
        <f t="shared" si="19"/>
        <v>0</v>
      </c>
      <c r="WD18" s="12">
        <f t="shared" si="19"/>
        <v>0</v>
      </c>
      <c r="WE18" s="12">
        <f t="shared" si="20"/>
        <v>0</v>
      </c>
      <c r="WF18" s="12">
        <f t="shared" si="10"/>
        <v>1</v>
      </c>
      <c r="WG18" s="12">
        <f t="shared" si="11"/>
        <v>0</v>
      </c>
      <c r="WH18" s="12">
        <f t="shared" si="12"/>
        <v>0</v>
      </c>
      <c r="WI18" s="31">
        <f t="shared" si="13"/>
        <v>2</v>
      </c>
      <c r="WK18" s="444" t="str">
        <f t="shared" si="21"/>
        <v>NC-GA-Non-BBY-BRN-NPH-F</v>
      </c>
      <c r="WL18" s="444"/>
      <c r="WM18" s="444"/>
    </row>
    <row r="19" spans="1:611" x14ac:dyDescent="0.25">
      <c r="A19" s="2">
        <v>9318</v>
      </c>
      <c r="B19" s="2" t="s">
        <v>4462</v>
      </c>
      <c r="C19" s="2" t="s">
        <v>4205</v>
      </c>
      <c r="D19" s="3">
        <v>45135</v>
      </c>
      <c r="E19" s="2" t="s">
        <v>9</v>
      </c>
      <c r="F19" s="2">
        <v>1</v>
      </c>
      <c r="G19" s="2" t="s">
        <v>9</v>
      </c>
      <c r="H19" s="2">
        <v>1</v>
      </c>
      <c r="I19" s="2" t="s">
        <v>11</v>
      </c>
      <c r="J19" s="2">
        <v>0</v>
      </c>
      <c r="K19" s="2" t="s">
        <v>9</v>
      </c>
      <c r="L19" s="2">
        <v>1</v>
      </c>
      <c r="M19" s="2" t="s">
        <v>10</v>
      </c>
      <c r="N19" s="2">
        <v>0</v>
      </c>
      <c r="O19" s="2" t="s">
        <v>10</v>
      </c>
      <c r="P19" s="2">
        <v>0</v>
      </c>
      <c r="Q19" s="2" t="s">
        <v>11</v>
      </c>
      <c r="R19" s="2">
        <v>0</v>
      </c>
      <c r="S19" s="2" t="s">
        <v>9</v>
      </c>
      <c r="T19" s="2">
        <v>2</v>
      </c>
      <c r="U19" s="2" t="s">
        <v>9</v>
      </c>
      <c r="V19" s="2">
        <v>2</v>
      </c>
      <c r="W19" s="2" t="s">
        <v>9</v>
      </c>
      <c r="X19" s="2">
        <v>2</v>
      </c>
      <c r="Y19" s="2" t="s">
        <v>12</v>
      </c>
      <c r="Z19" s="2" t="s">
        <v>187</v>
      </c>
      <c r="AA19" s="2" t="s">
        <v>785</v>
      </c>
      <c r="AB19" s="2" t="s">
        <v>786</v>
      </c>
      <c r="AC19" s="2" t="s">
        <v>15</v>
      </c>
      <c r="AD19" s="2" t="s">
        <v>15</v>
      </c>
      <c r="AE19" s="2" t="s">
        <v>15</v>
      </c>
      <c r="AF19" s="2">
        <v>3</v>
      </c>
      <c r="AG19" s="2" t="s">
        <v>787</v>
      </c>
      <c r="AH19" s="2" t="s">
        <v>17</v>
      </c>
      <c r="AI19" s="4">
        <v>0.1</v>
      </c>
      <c r="AJ19" s="2" t="s">
        <v>17</v>
      </c>
      <c r="AK19" s="2" t="s">
        <v>9</v>
      </c>
      <c r="AL19" s="2" t="s">
        <v>17</v>
      </c>
      <c r="AM19" s="2" t="s">
        <v>17</v>
      </c>
      <c r="AN19" s="2" t="s">
        <v>17</v>
      </c>
      <c r="AO19" s="2" t="s">
        <v>17</v>
      </c>
      <c r="AP19" s="2" t="s">
        <v>17</v>
      </c>
      <c r="AQ19" s="2" t="s">
        <v>17</v>
      </c>
      <c r="AR19" s="2" t="s">
        <v>17</v>
      </c>
      <c r="AS19" s="2" t="s">
        <v>9</v>
      </c>
      <c r="AT19" s="2">
        <v>5</v>
      </c>
      <c r="AU19" s="5">
        <v>37500</v>
      </c>
      <c r="AV19" s="5">
        <v>460000</v>
      </c>
      <c r="AW19" s="2">
        <v>1</v>
      </c>
      <c r="AX19" s="2">
        <v>5</v>
      </c>
      <c r="AY19" s="2">
        <v>0</v>
      </c>
      <c r="AZ19" s="2">
        <v>17</v>
      </c>
      <c r="BA19" s="2">
        <v>0</v>
      </c>
      <c r="BB19" s="2">
        <v>1</v>
      </c>
      <c r="BC19" s="2">
        <v>0</v>
      </c>
      <c r="BD19" s="2">
        <v>0</v>
      </c>
      <c r="BE19" s="2">
        <v>0</v>
      </c>
      <c r="BF19" s="2">
        <v>1</v>
      </c>
      <c r="BG19" s="2">
        <v>0</v>
      </c>
      <c r="BH19" s="2">
        <v>0</v>
      </c>
      <c r="BI19" s="2">
        <v>13</v>
      </c>
      <c r="BJ19" s="2">
        <v>1</v>
      </c>
      <c r="BK19" s="2">
        <v>0</v>
      </c>
      <c r="BL19" s="2">
        <v>3</v>
      </c>
      <c r="BM19" s="2">
        <v>1</v>
      </c>
      <c r="BN19" s="2">
        <v>10</v>
      </c>
      <c r="BO19" s="2">
        <v>10</v>
      </c>
      <c r="BP19" s="2">
        <v>56.52</v>
      </c>
      <c r="BQ19" s="5">
        <v>8250000</v>
      </c>
      <c r="BR19" s="2">
        <v>1</v>
      </c>
      <c r="BS19" s="4">
        <v>0.06</v>
      </c>
      <c r="BT19" s="2" t="s">
        <v>9</v>
      </c>
      <c r="BU19" s="2" t="s">
        <v>17</v>
      </c>
      <c r="BV19" s="6">
        <v>44562.5</v>
      </c>
      <c r="BW19" s="2" t="s">
        <v>18</v>
      </c>
      <c r="BX19" s="2" t="s">
        <v>17</v>
      </c>
      <c r="BY19" s="2" t="s">
        <v>17</v>
      </c>
      <c r="BZ19" s="2" t="s">
        <v>17</v>
      </c>
      <c r="CA19" s="2" t="s">
        <v>17</v>
      </c>
      <c r="CB19" s="2" t="s">
        <v>17</v>
      </c>
      <c r="CC19" s="2" t="s">
        <v>17</v>
      </c>
      <c r="CE19" s="2" t="s">
        <v>788</v>
      </c>
      <c r="CF19" s="2" t="s">
        <v>17</v>
      </c>
      <c r="CG19" s="2" t="s">
        <v>17</v>
      </c>
      <c r="DA19" s="2" t="s">
        <v>789</v>
      </c>
      <c r="DB19" s="2" t="s">
        <v>790</v>
      </c>
      <c r="DD19" s="2" t="s">
        <v>9</v>
      </c>
      <c r="DE19" s="2" t="s">
        <v>791</v>
      </c>
      <c r="DF19" s="2" t="s">
        <v>789</v>
      </c>
      <c r="DG19" s="2" t="s">
        <v>792</v>
      </c>
      <c r="DH19" s="2" t="s">
        <v>2848</v>
      </c>
      <c r="DI19" s="2">
        <v>153</v>
      </c>
      <c r="DJ19" s="2" t="s">
        <v>4463</v>
      </c>
      <c r="DK19" s="2">
        <v>2014</v>
      </c>
      <c r="DL19" s="2" t="s">
        <v>4209</v>
      </c>
      <c r="DM19" s="2" t="s">
        <v>4210</v>
      </c>
      <c r="DN19" s="2" t="s">
        <v>33</v>
      </c>
      <c r="DO19" s="2" t="s">
        <v>801</v>
      </c>
      <c r="DQ19" s="2" t="s">
        <v>802</v>
      </c>
      <c r="DR19" s="2" t="s">
        <v>803</v>
      </c>
      <c r="DS19" s="2">
        <v>1</v>
      </c>
      <c r="DT19" s="2" t="s">
        <v>2849</v>
      </c>
      <c r="DU19" s="2" t="s">
        <v>805</v>
      </c>
      <c r="DV19" s="2" t="s">
        <v>260</v>
      </c>
      <c r="DW19" s="2">
        <v>75019</v>
      </c>
      <c r="DX19" s="2" t="s">
        <v>4464</v>
      </c>
      <c r="DZ19" s="2" t="s">
        <v>807</v>
      </c>
      <c r="EA19" s="2" t="s">
        <v>803</v>
      </c>
      <c r="EB19" s="2" t="s">
        <v>808</v>
      </c>
      <c r="EC19" s="2" t="s">
        <v>809</v>
      </c>
      <c r="ED19" s="2" t="s">
        <v>44</v>
      </c>
      <c r="EE19" s="2">
        <v>171</v>
      </c>
      <c r="EF19" s="2" t="s">
        <v>4465</v>
      </c>
      <c r="EG19" s="2">
        <v>14.5</v>
      </c>
      <c r="EH19" s="2" t="s">
        <v>46</v>
      </c>
      <c r="EI19" s="2" t="s">
        <v>47</v>
      </c>
      <c r="EJ19" s="2" t="s">
        <v>792</v>
      </c>
      <c r="EK19" s="2" t="s">
        <v>793</v>
      </c>
      <c r="EL19" s="2" t="s">
        <v>811</v>
      </c>
      <c r="EM19" s="2">
        <v>153</v>
      </c>
      <c r="EN19" s="2" t="s">
        <v>4465</v>
      </c>
      <c r="EO19" s="2">
        <v>5</v>
      </c>
      <c r="EP19" s="2" t="s">
        <v>46</v>
      </c>
      <c r="EQ19" s="2" t="s">
        <v>47</v>
      </c>
      <c r="ER19" s="2" t="s">
        <v>812</v>
      </c>
      <c r="ET19" s="2" t="s">
        <v>813</v>
      </c>
      <c r="EU19" s="2" t="s">
        <v>788</v>
      </c>
      <c r="EV19" s="2" t="s">
        <v>4466</v>
      </c>
      <c r="EW19" s="2" t="s">
        <v>396</v>
      </c>
      <c r="EX19" s="2" t="s">
        <v>39</v>
      </c>
      <c r="EY19" s="2">
        <v>33607</v>
      </c>
      <c r="EZ19" s="2" t="s">
        <v>2884</v>
      </c>
      <c r="FA19" s="2">
        <v>1</v>
      </c>
      <c r="FB19" s="2" t="s">
        <v>816</v>
      </c>
      <c r="FC19" s="2" t="s">
        <v>817</v>
      </c>
      <c r="FE19" s="2" t="s">
        <v>818</v>
      </c>
      <c r="FF19" s="2" t="s">
        <v>789</v>
      </c>
      <c r="FG19" s="2" t="s">
        <v>4466</v>
      </c>
      <c r="FH19" s="2" t="s">
        <v>396</v>
      </c>
      <c r="FI19" s="2" t="s">
        <v>39</v>
      </c>
      <c r="FJ19" s="2">
        <v>33607</v>
      </c>
      <c r="FK19" s="2" t="s">
        <v>2884</v>
      </c>
      <c r="FL19" s="2">
        <v>3</v>
      </c>
      <c r="FM19" s="2" t="s">
        <v>820</v>
      </c>
      <c r="FN19" s="2" t="s">
        <v>4467</v>
      </c>
      <c r="FO19" s="2" t="s">
        <v>63</v>
      </c>
      <c r="FP19" s="2" t="s">
        <v>64</v>
      </c>
      <c r="FQ19" s="2" t="s">
        <v>9</v>
      </c>
      <c r="FR19" s="2" t="s">
        <v>17</v>
      </c>
      <c r="FS19" s="2" t="s">
        <v>17</v>
      </c>
      <c r="FT19" s="2" t="s">
        <v>9</v>
      </c>
      <c r="FX19" s="2">
        <v>0</v>
      </c>
      <c r="FY19" s="2">
        <v>0</v>
      </c>
      <c r="FZ19" s="4">
        <v>0</v>
      </c>
      <c r="GA19" s="4">
        <v>0</v>
      </c>
      <c r="GB19" s="2" t="s">
        <v>65</v>
      </c>
      <c r="GC19" s="2" t="s">
        <v>66</v>
      </c>
      <c r="GD19" s="2" t="s">
        <v>67</v>
      </c>
      <c r="GE19" s="2" t="s">
        <v>68</v>
      </c>
      <c r="GH19" s="2">
        <v>144</v>
      </c>
      <c r="GQ19" s="2">
        <v>144</v>
      </c>
      <c r="GR19" s="2" t="s">
        <v>69</v>
      </c>
      <c r="GS19" s="2" t="s">
        <v>70</v>
      </c>
      <c r="GT19" s="2" t="s">
        <v>4468</v>
      </c>
      <c r="GU19" s="2" t="s">
        <v>72</v>
      </c>
      <c r="GV19" s="2" t="s">
        <v>9</v>
      </c>
      <c r="GW19" s="2">
        <v>29.632549000000001</v>
      </c>
      <c r="GX19" s="2">
        <v>-82.317751999999999</v>
      </c>
      <c r="GY19" s="2" t="s">
        <v>4469</v>
      </c>
      <c r="GZ19" s="2" t="s">
        <v>9</v>
      </c>
      <c r="HA19" s="2">
        <v>3</v>
      </c>
      <c r="HC19" s="2">
        <v>0</v>
      </c>
      <c r="HD19" s="2">
        <v>29.633997000000001</v>
      </c>
      <c r="HE19" s="2">
        <v>-82.315950000000001</v>
      </c>
      <c r="HF19" s="2">
        <v>0.15</v>
      </c>
      <c r="HG19" s="2">
        <v>6</v>
      </c>
      <c r="HH19" s="2">
        <v>29.634157999999999</v>
      </c>
      <c r="HI19" s="2">
        <v>-82.319111000000007</v>
      </c>
      <c r="HJ19" s="2">
        <v>0.14000000000000001</v>
      </c>
      <c r="HK19" s="2">
        <v>29.632331000000001</v>
      </c>
      <c r="HL19" s="2">
        <v>-82.320504999999997</v>
      </c>
      <c r="HM19" s="2">
        <v>0.17</v>
      </c>
      <c r="HZ19" s="2" t="s">
        <v>167</v>
      </c>
      <c r="IA19" s="2">
        <v>0.73</v>
      </c>
      <c r="IB19" s="2">
        <v>3</v>
      </c>
      <c r="IF19" s="2" t="s">
        <v>167</v>
      </c>
      <c r="IG19" s="2">
        <v>0.73</v>
      </c>
      <c r="IH19" s="2">
        <v>3</v>
      </c>
      <c r="II19" s="2" t="s">
        <v>825</v>
      </c>
      <c r="IJ19" s="2">
        <v>0.8</v>
      </c>
      <c r="IK19" s="2">
        <v>3</v>
      </c>
      <c r="IL19" s="2" t="s">
        <v>17</v>
      </c>
      <c r="IM19" s="2" t="s">
        <v>17</v>
      </c>
      <c r="IO19" s="2" t="s">
        <v>17</v>
      </c>
      <c r="IP19" s="2" t="s">
        <v>79</v>
      </c>
      <c r="IQ19" s="2" t="s">
        <v>79</v>
      </c>
      <c r="IR19" s="2">
        <v>6</v>
      </c>
      <c r="IS19" s="2">
        <v>9</v>
      </c>
      <c r="IT19" s="2">
        <v>3</v>
      </c>
      <c r="IU19" s="2">
        <v>18</v>
      </c>
      <c r="IV19" s="2" t="s">
        <v>80</v>
      </c>
      <c r="IW19" s="2" t="s">
        <v>9</v>
      </c>
      <c r="IX19" s="2" t="s">
        <v>9</v>
      </c>
      <c r="IY19" s="2">
        <v>15</v>
      </c>
      <c r="IZ19" s="2">
        <v>144</v>
      </c>
      <c r="JB19" s="2" t="s">
        <v>173</v>
      </c>
      <c r="JE19" s="7">
        <v>0.1</v>
      </c>
      <c r="JG19" s="7">
        <v>0.9</v>
      </c>
      <c r="JH19" s="7">
        <v>0</v>
      </c>
      <c r="JI19" s="2">
        <v>144</v>
      </c>
      <c r="JJ19" s="7">
        <v>1</v>
      </c>
      <c r="JK19" s="2">
        <v>144</v>
      </c>
      <c r="JL19" s="7">
        <v>1</v>
      </c>
      <c r="JT19" s="2">
        <v>0</v>
      </c>
      <c r="JU19" s="2">
        <v>0</v>
      </c>
      <c r="JV19" s="2">
        <v>0</v>
      </c>
      <c r="JW19" s="4">
        <v>0</v>
      </c>
      <c r="JX19" s="2">
        <v>0</v>
      </c>
      <c r="JY19" s="4">
        <v>0</v>
      </c>
      <c r="KB19" s="7">
        <v>0.1</v>
      </c>
      <c r="KD19" s="7">
        <v>0.9</v>
      </c>
      <c r="KE19" s="7">
        <v>1</v>
      </c>
      <c r="KF19" s="2">
        <v>144</v>
      </c>
      <c r="KH19" s="2">
        <v>40</v>
      </c>
      <c r="KK19" s="2">
        <v>64</v>
      </c>
      <c r="KL19" s="2">
        <v>40</v>
      </c>
      <c r="KQ19" s="2" t="s">
        <v>83</v>
      </c>
      <c r="KR19" s="2" t="s">
        <v>73</v>
      </c>
      <c r="KT19" s="2">
        <v>6</v>
      </c>
      <c r="KU19" s="2" t="s">
        <v>84</v>
      </c>
      <c r="KW19" s="2" t="s">
        <v>86</v>
      </c>
      <c r="KX19" s="2" t="s">
        <v>17</v>
      </c>
      <c r="KY19" s="2" t="s">
        <v>17</v>
      </c>
      <c r="KZ19" s="2" t="s">
        <v>17</v>
      </c>
      <c r="LA19" s="2" t="s">
        <v>17</v>
      </c>
      <c r="LB19" s="2" t="s">
        <v>17</v>
      </c>
      <c r="LC19" s="2" t="s">
        <v>17</v>
      </c>
      <c r="LD19" s="2" t="s">
        <v>17</v>
      </c>
      <c r="LE19" s="2" t="s">
        <v>17</v>
      </c>
      <c r="LF19" s="2" t="s">
        <v>17</v>
      </c>
      <c r="LG19" s="2" t="s">
        <v>17</v>
      </c>
      <c r="LH19" s="2" t="s">
        <v>17</v>
      </c>
      <c r="LI19" s="2" t="s">
        <v>17</v>
      </c>
      <c r="LJ19" s="2" t="s">
        <v>87</v>
      </c>
      <c r="LK19" s="2" t="s">
        <v>17</v>
      </c>
      <c r="LL19" s="2" t="s">
        <v>17</v>
      </c>
      <c r="LM19" s="2">
        <v>0</v>
      </c>
      <c r="LN19" s="2" t="s">
        <v>17</v>
      </c>
      <c r="LO19" s="2" t="s">
        <v>17</v>
      </c>
      <c r="LP19" s="2" t="s">
        <v>9</v>
      </c>
      <c r="LQ19" s="2" t="s">
        <v>17</v>
      </c>
      <c r="LR19" s="2" t="s">
        <v>9</v>
      </c>
      <c r="LS19" s="2" t="s">
        <v>9</v>
      </c>
      <c r="LT19" s="2" t="s">
        <v>17</v>
      </c>
      <c r="LU19" s="2" t="s">
        <v>17</v>
      </c>
      <c r="LV19" s="2" t="s">
        <v>17</v>
      </c>
      <c r="LW19" s="2" t="s">
        <v>17</v>
      </c>
      <c r="LX19" s="2" t="s">
        <v>17</v>
      </c>
      <c r="LY19" s="5">
        <v>6500000</v>
      </c>
      <c r="LZ19" s="5">
        <v>0</v>
      </c>
      <c r="MA19" s="5">
        <v>9500000</v>
      </c>
      <c r="MB19" s="5">
        <v>7500000</v>
      </c>
      <c r="MC19" s="5">
        <v>7500000</v>
      </c>
      <c r="MD19" s="5">
        <v>750000</v>
      </c>
      <c r="ME19" s="5">
        <v>750000</v>
      </c>
      <c r="MF19" s="5">
        <v>750000</v>
      </c>
      <c r="MG19" s="5">
        <v>10000000</v>
      </c>
      <c r="MH19" s="5">
        <v>0</v>
      </c>
      <c r="MI19" s="5">
        <v>10000000</v>
      </c>
      <c r="MJ19" s="5">
        <v>0</v>
      </c>
      <c r="MK19" s="5">
        <v>1086800</v>
      </c>
      <c r="ML19" s="5">
        <v>0</v>
      </c>
      <c r="MM19" s="5">
        <v>0</v>
      </c>
      <c r="MN19" s="2">
        <v>0</v>
      </c>
      <c r="MO19" s="5">
        <v>0</v>
      </c>
      <c r="MP19" s="5">
        <v>0</v>
      </c>
      <c r="MQ19" s="2">
        <v>0</v>
      </c>
      <c r="MR19" s="2">
        <v>0</v>
      </c>
      <c r="MS19" s="2">
        <v>0</v>
      </c>
      <c r="MT19" s="5">
        <v>2950000</v>
      </c>
      <c r="MU19" s="5">
        <v>0</v>
      </c>
      <c r="MV19" s="5">
        <v>4600000</v>
      </c>
      <c r="MW19" s="5">
        <v>0</v>
      </c>
      <c r="MY19" s="5">
        <v>0</v>
      </c>
      <c r="MZ19" s="5">
        <v>0</v>
      </c>
      <c r="NA19" s="5">
        <v>0</v>
      </c>
      <c r="NB19" s="5">
        <v>2500000</v>
      </c>
      <c r="NC19" s="5">
        <v>0</v>
      </c>
      <c r="ND19" s="5">
        <v>5000000</v>
      </c>
      <c r="NE19" s="5">
        <v>0</v>
      </c>
      <c r="NF19" s="5">
        <v>0</v>
      </c>
      <c r="NG19" s="5">
        <v>0</v>
      </c>
      <c r="NH19" s="5"/>
      <c r="NI19" s="5">
        <v>0</v>
      </c>
      <c r="NJ19" s="5">
        <v>1493060</v>
      </c>
      <c r="NK19" s="2" t="s">
        <v>17</v>
      </c>
      <c r="NL19" s="2">
        <v>2023</v>
      </c>
      <c r="NM19" s="2" t="s">
        <v>17</v>
      </c>
      <c r="NO19" s="2" t="s">
        <v>17</v>
      </c>
      <c r="NR19" s="2" t="s">
        <v>17</v>
      </c>
      <c r="NT19" s="2" t="s">
        <v>17</v>
      </c>
      <c r="NX19" s="2" t="s">
        <v>118</v>
      </c>
      <c r="NY19" s="2" t="s">
        <v>118</v>
      </c>
      <c r="NZ19" s="2" t="s">
        <v>118</v>
      </c>
      <c r="OA19" s="2" t="s">
        <v>17</v>
      </c>
      <c r="OB19" s="2" t="s">
        <v>4470</v>
      </c>
      <c r="OF19" s="2" t="s">
        <v>17</v>
      </c>
      <c r="OG19" s="2" t="s">
        <v>17</v>
      </c>
      <c r="OH19" s="2" t="s">
        <v>85</v>
      </c>
      <c r="OI19" s="6">
        <v>0</v>
      </c>
      <c r="OJ19" s="6">
        <v>225000</v>
      </c>
      <c r="OK19" s="2" t="s">
        <v>17</v>
      </c>
      <c r="OL19" s="2" t="s">
        <v>17</v>
      </c>
      <c r="OM19" s="6">
        <v>0</v>
      </c>
      <c r="ON19" s="6">
        <v>0</v>
      </c>
      <c r="OO19" s="6">
        <v>0</v>
      </c>
      <c r="OP19" s="6">
        <v>0</v>
      </c>
      <c r="OQ19" s="4">
        <v>0</v>
      </c>
      <c r="OR19" s="6">
        <v>0</v>
      </c>
      <c r="OS19" s="4">
        <v>0</v>
      </c>
      <c r="OT19" s="2" t="s">
        <v>9</v>
      </c>
      <c r="OU19" s="2" t="s">
        <v>9</v>
      </c>
      <c r="OV19" s="2" t="s">
        <v>827</v>
      </c>
      <c r="OW19" s="2" t="s">
        <v>17</v>
      </c>
      <c r="OX19" s="5">
        <v>6417000</v>
      </c>
      <c r="OY19" s="6">
        <v>44562.5</v>
      </c>
      <c r="OZ19" s="8">
        <v>745000</v>
      </c>
      <c r="PA19" s="8">
        <v>745000</v>
      </c>
      <c r="PD19" s="8">
        <v>20244830</v>
      </c>
      <c r="PF19" s="8">
        <v>20244830</v>
      </c>
      <c r="PG19" s="8">
        <v>2228500</v>
      </c>
      <c r="PI19" s="8">
        <v>2228500</v>
      </c>
      <c r="PO19" s="8">
        <v>22473330</v>
      </c>
      <c r="PP19" s="8">
        <v>745000</v>
      </c>
      <c r="PQ19" s="8">
        <v>23218330</v>
      </c>
      <c r="PR19" s="8">
        <v>3172169</v>
      </c>
      <c r="PT19" s="8">
        <v>3172169</v>
      </c>
      <c r="PU19" s="6">
        <v>3250566</v>
      </c>
      <c r="PV19" s="8">
        <v>25645499</v>
      </c>
      <c r="PW19" s="8">
        <v>745000</v>
      </c>
      <c r="PX19" s="8">
        <v>26390499</v>
      </c>
      <c r="PY19" s="8">
        <v>1312025</v>
      </c>
      <c r="QA19" s="8">
        <v>1312025</v>
      </c>
      <c r="QB19" s="6">
        <v>1319524.95</v>
      </c>
      <c r="QC19" s="8">
        <v>791800</v>
      </c>
      <c r="QD19" s="8">
        <v>98200</v>
      </c>
      <c r="QE19" s="8">
        <v>890000</v>
      </c>
      <c r="QF19" s="8">
        <v>300000</v>
      </c>
      <c r="QH19" s="8">
        <v>300000</v>
      </c>
      <c r="QI19" s="8">
        <v>10000</v>
      </c>
      <c r="QK19" s="8">
        <v>10000</v>
      </c>
      <c r="QM19" s="8">
        <v>397375</v>
      </c>
      <c r="QN19" s="8">
        <v>397375</v>
      </c>
      <c r="QO19" s="8">
        <v>560000</v>
      </c>
      <c r="QP19" s="8">
        <v>140000</v>
      </c>
      <c r="QQ19" s="8">
        <v>700000</v>
      </c>
      <c r="QR19" s="8">
        <v>877500</v>
      </c>
      <c r="QS19" s="8">
        <v>107500</v>
      </c>
      <c r="QT19" s="8">
        <v>985000</v>
      </c>
      <c r="QU19" s="8">
        <v>2539300</v>
      </c>
      <c r="QV19" s="8">
        <v>743075</v>
      </c>
      <c r="QW19" s="8">
        <v>3282375</v>
      </c>
      <c r="QX19" s="8">
        <v>124119</v>
      </c>
      <c r="QZ19" s="8">
        <v>124119</v>
      </c>
      <c r="RA19" s="6">
        <v>164118.75</v>
      </c>
      <c r="RB19" s="8">
        <v>260000</v>
      </c>
      <c r="RD19" s="8">
        <v>260000</v>
      </c>
      <c r="RE19" s="8">
        <v>259190</v>
      </c>
      <c r="RF19" s="8">
        <v>259190</v>
      </c>
      <c r="RG19" s="8">
        <v>1325000</v>
      </c>
      <c r="RH19" s="8">
        <v>1408813</v>
      </c>
      <c r="RI19" s="8">
        <v>2733813</v>
      </c>
      <c r="RJ19" s="8">
        <v>1585000</v>
      </c>
      <c r="RK19" s="8">
        <v>1668003</v>
      </c>
      <c r="RL19" s="8">
        <v>3253003</v>
      </c>
      <c r="RT19" s="8">
        <v>31205943</v>
      </c>
      <c r="RU19" s="8">
        <v>3156078</v>
      </c>
      <c r="RV19" s="8">
        <v>34362021</v>
      </c>
      <c r="RY19" s="2">
        <v>0</v>
      </c>
      <c r="RZ19" s="6">
        <v>0</v>
      </c>
      <c r="SA19" s="8">
        <v>6120577</v>
      </c>
      <c r="SC19" s="8">
        <v>6120577</v>
      </c>
      <c r="SD19" s="6">
        <v>6185163</v>
      </c>
      <c r="SE19" s="8">
        <v>6120577</v>
      </c>
      <c r="SF19" s="8">
        <v>6120577</v>
      </c>
      <c r="SG19" s="6">
        <v>6185163</v>
      </c>
      <c r="SH19" s="8">
        <v>504000</v>
      </c>
      <c r="SI19" s="8">
        <v>504000</v>
      </c>
      <c r="SJ19" s="6">
        <v>504000</v>
      </c>
      <c r="SK19" s="2">
        <v>50</v>
      </c>
      <c r="SL19" s="2">
        <v>50</v>
      </c>
      <c r="SM19" s="8">
        <v>37326520</v>
      </c>
      <c r="SN19" s="8">
        <v>3660128</v>
      </c>
      <c r="SO19" s="8">
        <v>40986648</v>
      </c>
      <c r="SP19" s="8">
        <v>25500000</v>
      </c>
      <c r="SQ19" s="2" t="s">
        <v>4220</v>
      </c>
      <c r="SR19" s="2">
        <v>0</v>
      </c>
      <c r="SX19" s="8">
        <v>8250000</v>
      </c>
      <c r="SY19" s="2" t="s">
        <v>96</v>
      </c>
      <c r="SZ19" s="2" t="s">
        <v>96</v>
      </c>
      <c r="TA19" s="2" t="s">
        <v>96</v>
      </c>
      <c r="TB19" s="8">
        <v>2015430</v>
      </c>
      <c r="TC19" s="2" t="s">
        <v>453</v>
      </c>
      <c r="TD19" s="8">
        <v>4285000</v>
      </c>
      <c r="TE19" s="2" t="s">
        <v>180</v>
      </c>
      <c r="TF19" s="8">
        <v>936218</v>
      </c>
      <c r="TG19" s="8">
        <v>40986648</v>
      </c>
      <c r="TH19" s="2">
        <v>0</v>
      </c>
      <c r="TI19" s="8">
        <v>11000000</v>
      </c>
      <c r="TJ19" s="2" t="s">
        <v>4220</v>
      </c>
      <c r="TR19" s="8">
        <v>8250000</v>
      </c>
      <c r="TS19" s="8">
        <v>13436196</v>
      </c>
      <c r="TT19" s="2" t="s">
        <v>453</v>
      </c>
      <c r="TU19" s="8">
        <v>4285000</v>
      </c>
      <c r="TV19" s="2" t="s">
        <v>180</v>
      </c>
      <c r="TZ19" s="8">
        <v>4015452</v>
      </c>
      <c r="UA19" s="8">
        <v>40986648</v>
      </c>
      <c r="UB19" s="6">
        <v>23535000</v>
      </c>
      <c r="UC19" s="2">
        <v>0</v>
      </c>
      <c r="UD19" s="2">
        <v>144</v>
      </c>
      <c r="UE19" s="5">
        <v>220000</v>
      </c>
      <c r="UF19" s="6">
        <v>293333.33</v>
      </c>
      <c r="UG19" s="6">
        <v>308333.33</v>
      </c>
      <c r="UH19" s="6">
        <v>326833.33</v>
      </c>
      <c r="UI19" s="6">
        <v>47064000</v>
      </c>
      <c r="UJ19" s="6">
        <v>8471520</v>
      </c>
      <c r="UK19" s="2" t="s">
        <v>97</v>
      </c>
      <c r="UL19" s="6">
        <v>8471520</v>
      </c>
      <c r="UM19" s="6">
        <v>55535520</v>
      </c>
      <c r="UN19" s="6">
        <v>39037598</v>
      </c>
      <c r="UQ19" s="6">
        <v>0</v>
      </c>
      <c r="UR19" s="6">
        <v>4285000</v>
      </c>
      <c r="US19" s="6">
        <v>4285000</v>
      </c>
      <c r="UV19" s="6">
        <v>0</v>
      </c>
      <c r="UW19" s="6">
        <v>4285000</v>
      </c>
      <c r="UX19" s="6">
        <v>0</v>
      </c>
      <c r="UY19" s="6">
        <v>4285000</v>
      </c>
      <c r="UZ19" s="2" t="s">
        <v>830</v>
      </c>
      <c r="VA19" s="2" t="s">
        <v>453</v>
      </c>
      <c r="VB19" s="2" t="s">
        <v>9</v>
      </c>
      <c r="VC19" s="2">
        <v>79</v>
      </c>
      <c r="VD19" s="2">
        <v>78</v>
      </c>
      <c r="VE19" s="2" t="s">
        <v>9</v>
      </c>
      <c r="VF19" s="2">
        <v>78</v>
      </c>
      <c r="VG19" s="2" t="s">
        <v>17</v>
      </c>
      <c r="VI19" s="388" t="s">
        <v>832</v>
      </c>
      <c r="VJ19" s="2" t="s">
        <v>98</v>
      </c>
      <c r="VK19" s="2" t="s">
        <v>232</v>
      </c>
      <c r="VL19" s="23">
        <f t="shared" si="0"/>
        <v>288</v>
      </c>
      <c r="VM19" s="17">
        <f t="shared" si="1"/>
        <v>2</v>
      </c>
      <c r="VN19" s="17" t="str">
        <f t="shared" si="2"/>
        <v>NC-GA-F</v>
      </c>
      <c r="VO19" s="17" t="str">
        <f t="shared" si="15"/>
        <v>NC-GA-F-Non</v>
      </c>
      <c r="VP19" s="57">
        <v>1</v>
      </c>
      <c r="VQ19" s="17">
        <f t="shared" si="3"/>
        <v>1</v>
      </c>
      <c r="VR19" s="14">
        <f t="shared" si="4"/>
        <v>1</v>
      </c>
      <c r="VS19" s="14">
        <f t="shared" si="5"/>
        <v>0.87</v>
      </c>
      <c r="VT19" s="12">
        <f t="shared" si="6"/>
        <v>0.89</v>
      </c>
      <c r="VU19" s="29">
        <f t="shared" si="7"/>
        <v>5807250</v>
      </c>
      <c r="VV19" s="29">
        <f t="shared" si="8"/>
        <v>40328.129999999997</v>
      </c>
      <c r="VW19" s="351" t="str">
        <f t="shared" si="16"/>
        <v>A</v>
      </c>
      <c r="VX19" s="12" t="str">
        <f t="shared" si="9"/>
        <v>NC-GA-Non</v>
      </c>
      <c r="VY19" s="23">
        <f t="shared" si="17"/>
        <v>2</v>
      </c>
      <c r="WA19" s="12">
        <f t="shared" si="18"/>
        <v>0</v>
      </c>
      <c r="WB19" s="12">
        <f t="shared" si="19"/>
        <v>0</v>
      </c>
      <c r="WC19" s="12">
        <f t="shared" si="19"/>
        <v>0</v>
      </c>
      <c r="WD19" s="12">
        <f t="shared" si="19"/>
        <v>1</v>
      </c>
      <c r="WE19" s="12">
        <f t="shared" si="20"/>
        <v>0</v>
      </c>
      <c r="WF19" s="12">
        <f t="shared" si="10"/>
        <v>1</v>
      </c>
      <c r="WG19" s="12">
        <f t="shared" si="11"/>
        <v>0</v>
      </c>
      <c r="WH19" s="12">
        <f t="shared" si="12"/>
        <v>0</v>
      </c>
      <c r="WI19" s="31">
        <f t="shared" si="13"/>
        <v>2</v>
      </c>
      <c r="WK19" s="444" t="str">
        <f t="shared" si="21"/>
        <v>NC-GA-Non-BBN-BRN-PHA-F</v>
      </c>
      <c r="WL19" s="444"/>
      <c r="WM19" s="444"/>
    </row>
    <row r="20" spans="1:611" x14ac:dyDescent="0.25">
      <c r="A20" s="2">
        <v>9301</v>
      </c>
      <c r="B20" s="2" t="s">
        <v>4471</v>
      </c>
      <c r="C20" s="2" t="s">
        <v>4205</v>
      </c>
      <c r="D20" s="3">
        <v>45128</v>
      </c>
      <c r="E20" s="2" t="s">
        <v>9</v>
      </c>
      <c r="F20" s="2">
        <v>1</v>
      </c>
      <c r="G20" s="2" t="s">
        <v>9</v>
      </c>
      <c r="H20" s="2">
        <v>1</v>
      </c>
      <c r="I20" s="2" t="s">
        <v>11</v>
      </c>
      <c r="J20" s="2">
        <v>0</v>
      </c>
      <c r="K20" s="2" t="s">
        <v>9</v>
      </c>
      <c r="L20" s="2">
        <v>1</v>
      </c>
      <c r="M20" s="2" t="s">
        <v>10</v>
      </c>
      <c r="N20" s="2">
        <v>0</v>
      </c>
      <c r="O20" s="2" t="s">
        <v>10</v>
      </c>
      <c r="P20" s="2">
        <v>0</v>
      </c>
      <c r="Q20" s="2" t="s">
        <v>11</v>
      </c>
      <c r="R20" s="2">
        <v>0</v>
      </c>
      <c r="S20" s="2" t="s">
        <v>9</v>
      </c>
      <c r="T20" s="2">
        <v>2</v>
      </c>
      <c r="U20" s="2" t="s">
        <v>9</v>
      </c>
      <c r="V20" s="2">
        <v>2</v>
      </c>
      <c r="W20" s="2" t="s">
        <v>9</v>
      </c>
      <c r="X20" s="2">
        <v>2</v>
      </c>
      <c r="Y20" s="2" t="s">
        <v>12</v>
      </c>
      <c r="Z20" s="2" t="s">
        <v>101</v>
      </c>
      <c r="AA20" s="2" t="s">
        <v>1667</v>
      </c>
      <c r="AB20" s="2" t="s">
        <v>786</v>
      </c>
      <c r="AC20" s="2" t="s">
        <v>15</v>
      </c>
      <c r="AD20" s="2" t="s">
        <v>15</v>
      </c>
      <c r="AE20" s="2" t="s">
        <v>15</v>
      </c>
      <c r="AF20" s="2">
        <v>3</v>
      </c>
      <c r="AG20" s="2" t="s">
        <v>787</v>
      </c>
      <c r="AH20" s="2" t="s">
        <v>17</v>
      </c>
      <c r="AI20" s="4">
        <v>0.1</v>
      </c>
      <c r="AJ20" s="2" t="s">
        <v>17</v>
      </c>
      <c r="AK20" s="2" t="s">
        <v>9</v>
      </c>
      <c r="AL20" s="2" t="s">
        <v>17</v>
      </c>
      <c r="AM20" s="2" t="s">
        <v>17</v>
      </c>
      <c r="AN20" s="2" t="s">
        <v>17</v>
      </c>
      <c r="AO20" s="2" t="s">
        <v>17</v>
      </c>
      <c r="AP20" s="2" t="s">
        <v>17</v>
      </c>
      <c r="AQ20" s="2" t="s">
        <v>17</v>
      </c>
      <c r="AR20" s="2" t="s">
        <v>17</v>
      </c>
      <c r="AS20" s="2" t="s">
        <v>17</v>
      </c>
      <c r="AT20" s="2">
        <v>5</v>
      </c>
      <c r="AU20" s="5">
        <v>250000</v>
      </c>
      <c r="AV20" s="2" t="s">
        <v>85</v>
      </c>
      <c r="AW20" s="2">
        <v>0</v>
      </c>
      <c r="AX20" s="2">
        <v>6</v>
      </c>
      <c r="AY20" s="2">
        <v>0</v>
      </c>
      <c r="AZ20" s="2">
        <v>17</v>
      </c>
      <c r="BA20" s="2">
        <v>0</v>
      </c>
      <c r="BB20" s="2">
        <v>1</v>
      </c>
      <c r="BC20" s="2">
        <v>0</v>
      </c>
      <c r="BD20" s="2">
        <v>3</v>
      </c>
      <c r="BE20" s="2">
        <v>0</v>
      </c>
      <c r="BF20" s="2">
        <v>1</v>
      </c>
      <c r="BG20" s="2">
        <v>0</v>
      </c>
      <c r="BH20" s="2">
        <v>0</v>
      </c>
      <c r="BI20" s="2">
        <v>13</v>
      </c>
      <c r="BJ20" s="2">
        <v>1</v>
      </c>
      <c r="BK20" s="2">
        <v>0</v>
      </c>
      <c r="BL20" s="2">
        <v>2</v>
      </c>
      <c r="BM20" s="2">
        <v>1</v>
      </c>
      <c r="BN20" s="2">
        <v>12</v>
      </c>
      <c r="BO20" s="2">
        <v>10</v>
      </c>
      <c r="BP20" s="2">
        <v>44.16</v>
      </c>
      <c r="BQ20" s="5">
        <v>10750000</v>
      </c>
      <c r="BR20" s="2">
        <v>1</v>
      </c>
      <c r="BS20" s="4">
        <v>0.06</v>
      </c>
      <c r="BT20" s="2" t="s">
        <v>9</v>
      </c>
      <c r="BU20" s="2" t="s">
        <v>17</v>
      </c>
      <c r="BV20" s="6">
        <v>49300</v>
      </c>
      <c r="BW20" s="2" t="s">
        <v>126</v>
      </c>
      <c r="BX20" s="2" t="s">
        <v>17</v>
      </c>
      <c r="BY20" s="2" t="s">
        <v>17</v>
      </c>
      <c r="BZ20" s="2" t="s">
        <v>17</v>
      </c>
      <c r="CA20" s="2" t="s">
        <v>17</v>
      </c>
      <c r="CB20" s="2" t="s">
        <v>17</v>
      </c>
      <c r="CC20" s="2" t="s">
        <v>17</v>
      </c>
      <c r="CD20" s="2" t="s">
        <v>17</v>
      </c>
      <c r="CE20" s="2" t="s">
        <v>3351</v>
      </c>
      <c r="CF20" s="2" t="s">
        <v>17</v>
      </c>
      <c r="CG20" s="2" t="s">
        <v>17</v>
      </c>
      <c r="DA20" s="2" t="s">
        <v>3352</v>
      </c>
      <c r="DD20" s="2" t="s">
        <v>9</v>
      </c>
      <c r="DE20" s="2" t="s">
        <v>3353</v>
      </c>
      <c r="DF20" s="2" t="s">
        <v>3354</v>
      </c>
      <c r="DG20" s="2" t="s">
        <v>3355</v>
      </c>
      <c r="DH20" s="2" t="s">
        <v>330</v>
      </c>
      <c r="DI20" s="2">
        <v>139</v>
      </c>
      <c r="DJ20" s="2" t="s">
        <v>3356</v>
      </c>
      <c r="DK20" s="2">
        <v>2018</v>
      </c>
      <c r="DL20" s="2" t="s">
        <v>4209</v>
      </c>
      <c r="DM20" s="2" t="s">
        <v>4210</v>
      </c>
      <c r="DN20" s="2" t="s">
        <v>33</v>
      </c>
      <c r="DO20" s="2" t="s">
        <v>656</v>
      </c>
      <c r="DP20" s="2" t="s">
        <v>3359</v>
      </c>
      <c r="DQ20" s="2" t="s">
        <v>3360</v>
      </c>
      <c r="DR20" s="2" t="s">
        <v>3361</v>
      </c>
      <c r="DS20" s="2">
        <v>1</v>
      </c>
      <c r="DT20" s="2" t="s">
        <v>3362</v>
      </c>
      <c r="DU20" s="2" t="s">
        <v>1144</v>
      </c>
      <c r="DV20" s="2" t="s">
        <v>39</v>
      </c>
      <c r="DW20" s="2">
        <v>33701</v>
      </c>
      <c r="DX20" s="2" t="s">
        <v>4343</v>
      </c>
      <c r="DZ20" s="2" t="s">
        <v>4344</v>
      </c>
      <c r="EA20" s="2" t="s">
        <v>3361</v>
      </c>
      <c r="EB20" s="2" t="s">
        <v>3365</v>
      </c>
      <c r="EC20" s="2" t="s">
        <v>3366</v>
      </c>
      <c r="ED20" s="2" t="s">
        <v>44</v>
      </c>
      <c r="EE20" s="2">
        <v>110</v>
      </c>
      <c r="EF20" s="2" t="s">
        <v>3367</v>
      </c>
      <c r="EG20" s="2">
        <v>2</v>
      </c>
      <c r="EH20" s="2" t="s">
        <v>46</v>
      </c>
      <c r="EI20" s="2" t="s">
        <v>47</v>
      </c>
      <c r="EJ20" s="2" t="s">
        <v>3368</v>
      </c>
      <c r="EK20" s="2" t="s">
        <v>3369</v>
      </c>
      <c r="EL20" s="2" t="s">
        <v>44</v>
      </c>
      <c r="EM20" s="2">
        <v>104</v>
      </c>
      <c r="EN20" s="2" t="s">
        <v>3367</v>
      </c>
      <c r="EO20" s="2">
        <v>4</v>
      </c>
      <c r="EP20" s="2" t="s">
        <v>46</v>
      </c>
      <c r="EQ20" s="2" t="s">
        <v>47</v>
      </c>
      <c r="ER20" s="2" t="s">
        <v>3370</v>
      </c>
      <c r="ES20" s="2" t="s">
        <v>951</v>
      </c>
      <c r="ET20" s="2" t="s">
        <v>3371</v>
      </c>
      <c r="EU20" s="2" t="s">
        <v>3351</v>
      </c>
      <c r="EV20" s="2" t="s">
        <v>3372</v>
      </c>
      <c r="EW20" s="2" t="s">
        <v>299</v>
      </c>
      <c r="EX20" s="2" t="s">
        <v>39</v>
      </c>
      <c r="EY20" s="2">
        <v>33147</v>
      </c>
      <c r="EZ20" s="2" t="s">
        <v>3373</v>
      </c>
      <c r="FB20" s="2" t="s">
        <v>3374</v>
      </c>
      <c r="FC20" s="2" t="s">
        <v>3375</v>
      </c>
      <c r="FD20" s="2" t="s">
        <v>295</v>
      </c>
      <c r="FE20" s="2" t="s">
        <v>3376</v>
      </c>
      <c r="FF20" s="2" t="s">
        <v>3351</v>
      </c>
      <c r="FG20" s="2" t="s">
        <v>3372</v>
      </c>
      <c r="FH20" s="2" t="s">
        <v>299</v>
      </c>
      <c r="FI20" s="2" t="s">
        <v>39</v>
      </c>
      <c r="FJ20" s="2">
        <v>33147</v>
      </c>
      <c r="FK20" s="2" t="s">
        <v>3373</v>
      </c>
      <c r="FM20" s="2" t="s">
        <v>4472</v>
      </c>
      <c r="FN20" s="2" t="s">
        <v>3378</v>
      </c>
      <c r="FO20" s="2" t="s">
        <v>63</v>
      </c>
      <c r="FP20" s="2" t="s">
        <v>64</v>
      </c>
      <c r="FQ20" s="2" t="s">
        <v>9</v>
      </c>
      <c r="FR20" s="2" t="s">
        <v>17</v>
      </c>
      <c r="FS20" s="2" t="s">
        <v>17</v>
      </c>
      <c r="FT20" s="2" t="s">
        <v>9</v>
      </c>
      <c r="FX20" s="2">
        <v>0</v>
      </c>
      <c r="FY20" s="2">
        <v>0</v>
      </c>
      <c r="FZ20" s="4">
        <v>0</v>
      </c>
      <c r="GA20" s="4">
        <v>0</v>
      </c>
      <c r="GB20" s="2" t="s">
        <v>65</v>
      </c>
      <c r="GC20" s="2" t="s">
        <v>66</v>
      </c>
      <c r="GD20" s="2" t="s">
        <v>67</v>
      </c>
      <c r="GE20" s="2" t="s">
        <v>1612</v>
      </c>
      <c r="GI20" s="2">
        <v>150</v>
      </c>
      <c r="GQ20" s="2">
        <v>150</v>
      </c>
      <c r="GR20" s="2" t="s">
        <v>3332</v>
      </c>
      <c r="GS20" s="2" t="s">
        <v>2686</v>
      </c>
      <c r="GT20" s="2" t="s">
        <v>3379</v>
      </c>
      <c r="GU20" s="2" t="s">
        <v>3380</v>
      </c>
      <c r="GV20" s="2" t="s">
        <v>17</v>
      </c>
      <c r="GW20" s="2">
        <v>25.943999999999999</v>
      </c>
      <c r="GX20" s="2">
        <v>-80.222399999999993</v>
      </c>
      <c r="GY20" s="2">
        <v>-80</v>
      </c>
      <c r="GZ20" s="2" t="s">
        <v>17</v>
      </c>
      <c r="HA20" s="2">
        <v>0</v>
      </c>
      <c r="HB20" s="2" t="s">
        <v>17</v>
      </c>
      <c r="HC20" s="2">
        <v>0</v>
      </c>
      <c r="HD20" s="2">
        <v>25.942568999999999</v>
      </c>
      <c r="HE20" s="2">
        <v>-80.221352999999993</v>
      </c>
      <c r="HF20" s="2">
        <v>0.12</v>
      </c>
      <c r="HG20" s="2">
        <v>6</v>
      </c>
      <c r="HH20" s="2">
        <v>25.944548999999999</v>
      </c>
      <c r="HI20" s="2">
        <v>-80.221267999999995</v>
      </c>
      <c r="HJ20" s="2">
        <v>0.08</v>
      </c>
      <c r="HK20" s="2">
        <v>25.942021</v>
      </c>
      <c r="HL20" s="2">
        <v>-80.220877999999999</v>
      </c>
      <c r="HM20" s="2">
        <v>0.17</v>
      </c>
      <c r="HZ20" s="2" t="s">
        <v>3164</v>
      </c>
      <c r="IA20" s="2">
        <v>0.48</v>
      </c>
      <c r="IB20" s="2">
        <v>3.5</v>
      </c>
      <c r="IC20" s="2" t="s">
        <v>3382</v>
      </c>
      <c r="ID20" s="2">
        <v>1.49</v>
      </c>
      <c r="IE20" s="2">
        <v>1.5</v>
      </c>
      <c r="IF20" s="2" t="s">
        <v>224</v>
      </c>
      <c r="IG20" s="2">
        <v>0.62</v>
      </c>
      <c r="IH20" s="2">
        <v>3</v>
      </c>
      <c r="IL20" s="2" t="s">
        <v>9</v>
      </c>
      <c r="IM20" s="2" t="s">
        <v>17</v>
      </c>
      <c r="IO20" s="2" t="s">
        <v>17</v>
      </c>
      <c r="IP20" s="2" t="s">
        <v>79</v>
      </c>
      <c r="IQ20" s="2" t="s">
        <v>79</v>
      </c>
      <c r="IR20" s="2">
        <v>6</v>
      </c>
      <c r="IS20" s="2">
        <v>8</v>
      </c>
      <c r="IT20" s="2">
        <v>0</v>
      </c>
      <c r="IU20" s="2">
        <v>14</v>
      </c>
      <c r="IV20" s="2" t="s">
        <v>9</v>
      </c>
      <c r="IW20" s="2" t="s">
        <v>9</v>
      </c>
      <c r="IX20" s="2" t="s">
        <v>9</v>
      </c>
      <c r="IY20" s="2">
        <v>14</v>
      </c>
      <c r="IZ20" s="2">
        <v>150</v>
      </c>
      <c r="JB20" s="2" t="s">
        <v>173</v>
      </c>
      <c r="JC20" s="7">
        <v>0.1</v>
      </c>
      <c r="JG20" s="7">
        <v>0.9</v>
      </c>
      <c r="JH20" s="7">
        <v>0</v>
      </c>
      <c r="JI20" s="2">
        <v>150</v>
      </c>
      <c r="JJ20" s="7">
        <v>1</v>
      </c>
      <c r="JK20" s="2">
        <v>150</v>
      </c>
      <c r="JL20" s="7">
        <v>1</v>
      </c>
      <c r="JT20" s="2">
        <v>0</v>
      </c>
      <c r="JU20" s="2">
        <v>0</v>
      </c>
      <c r="JV20" s="2">
        <v>0</v>
      </c>
      <c r="JW20" s="4">
        <v>0</v>
      </c>
      <c r="JX20" s="2">
        <v>0</v>
      </c>
      <c r="JY20" s="4">
        <v>0</v>
      </c>
      <c r="JZ20" s="7">
        <v>0.1</v>
      </c>
      <c r="KD20" s="7">
        <v>0.9</v>
      </c>
      <c r="KE20" s="7">
        <v>1</v>
      </c>
      <c r="KF20" s="2">
        <v>150</v>
      </c>
      <c r="KH20" s="2">
        <v>128</v>
      </c>
      <c r="KK20" s="2">
        <v>22</v>
      </c>
      <c r="KQ20" s="2" t="s">
        <v>83</v>
      </c>
      <c r="KS20" s="2" t="s">
        <v>73</v>
      </c>
      <c r="KT20" s="2">
        <v>2</v>
      </c>
      <c r="KU20" s="2" t="s">
        <v>84</v>
      </c>
      <c r="KW20" s="2" t="s">
        <v>86</v>
      </c>
      <c r="KX20" s="2" t="s">
        <v>17</v>
      </c>
      <c r="KY20" s="2" t="s">
        <v>17</v>
      </c>
      <c r="KZ20" s="2" t="s">
        <v>17</v>
      </c>
      <c r="LA20" s="2" t="s">
        <v>17</v>
      </c>
      <c r="LB20" s="2" t="s">
        <v>17</v>
      </c>
      <c r="LC20" s="2" t="s">
        <v>17</v>
      </c>
      <c r="LD20" s="2" t="s">
        <v>17</v>
      </c>
      <c r="LE20" s="2" t="s">
        <v>17</v>
      </c>
      <c r="LF20" s="2" t="s">
        <v>17</v>
      </c>
      <c r="LG20" s="2" t="s">
        <v>17</v>
      </c>
      <c r="LH20" s="2" t="s">
        <v>17</v>
      </c>
      <c r="LI20" s="2" t="s">
        <v>17</v>
      </c>
      <c r="LJ20" s="2" t="s">
        <v>87</v>
      </c>
      <c r="LK20" s="2" t="s">
        <v>17</v>
      </c>
      <c r="LL20" s="2" t="s">
        <v>17</v>
      </c>
      <c r="LM20" s="2">
        <v>0</v>
      </c>
      <c r="LN20" s="2" t="s">
        <v>17</v>
      </c>
      <c r="LO20" s="2" t="s">
        <v>17</v>
      </c>
      <c r="LP20" s="2" t="s">
        <v>17</v>
      </c>
      <c r="LQ20" s="2" t="s">
        <v>17</v>
      </c>
      <c r="LR20" s="2" t="s">
        <v>17</v>
      </c>
      <c r="LS20" s="2" t="s">
        <v>17</v>
      </c>
      <c r="LT20" s="2" t="s">
        <v>9</v>
      </c>
      <c r="LU20" s="2" t="s">
        <v>9</v>
      </c>
      <c r="LV20" s="2" t="s">
        <v>9</v>
      </c>
      <c r="LW20" s="2" t="s">
        <v>17</v>
      </c>
      <c r="LX20" s="2" t="s">
        <v>17</v>
      </c>
      <c r="LY20" s="5">
        <v>6500000</v>
      </c>
      <c r="LZ20" s="5">
        <v>0</v>
      </c>
      <c r="MA20" s="5">
        <v>11000000</v>
      </c>
      <c r="MB20" s="5">
        <v>10000000</v>
      </c>
      <c r="MC20" s="5">
        <v>10000000</v>
      </c>
      <c r="MD20" s="5">
        <v>750000</v>
      </c>
      <c r="ME20" s="5">
        <v>750000</v>
      </c>
      <c r="MF20" s="5">
        <v>750000</v>
      </c>
      <c r="MG20" s="5">
        <v>10000000</v>
      </c>
      <c r="MH20" s="5">
        <v>0</v>
      </c>
      <c r="MI20" s="5">
        <v>10000000</v>
      </c>
      <c r="MJ20" s="5">
        <v>0</v>
      </c>
      <c r="MK20" s="5">
        <v>1534200</v>
      </c>
      <c r="ML20" s="5">
        <v>0</v>
      </c>
      <c r="MM20" s="5">
        <v>0</v>
      </c>
      <c r="MN20" s="2">
        <v>0</v>
      </c>
      <c r="MO20" s="5">
        <v>0</v>
      </c>
      <c r="MP20" s="5">
        <v>0</v>
      </c>
      <c r="MQ20" s="2">
        <v>0</v>
      </c>
      <c r="MR20" s="2">
        <v>0</v>
      </c>
      <c r="MS20" s="2">
        <v>0</v>
      </c>
      <c r="MT20" s="5">
        <v>2950000</v>
      </c>
      <c r="MU20" s="5">
        <v>0</v>
      </c>
      <c r="MV20" s="5">
        <v>4600000</v>
      </c>
      <c r="MW20" s="5">
        <v>0</v>
      </c>
      <c r="MY20" s="5">
        <v>0</v>
      </c>
      <c r="MZ20" s="5">
        <v>0</v>
      </c>
      <c r="NA20" s="5">
        <v>0</v>
      </c>
      <c r="NB20" s="5">
        <v>2500000</v>
      </c>
      <c r="NC20" s="5">
        <v>0</v>
      </c>
      <c r="ND20" s="5">
        <v>5000000</v>
      </c>
      <c r="NE20" s="5">
        <v>0</v>
      </c>
      <c r="NF20" s="5">
        <v>0</v>
      </c>
      <c r="NG20" s="5">
        <v>0</v>
      </c>
      <c r="NH20" s="5"/>
      <c r="NI20" s="5">
        <v>0</v>
      </c>
      <c r="NJ20" s="5">
        <v>2119500</v>
      </c>
      <c r="NK20" s="2" t="s">
        <v>17</v>
      </c>
      <c r="NL20" s="2">
        <v>2023</v>
      </c>
      <c r="NM20" s="2" t="s">
        <v>17</v>
      </c>
      <c r="NO20" s="2" t="s">
        <v>17</v>
      </c>
      <c r="NR20" s="2" t="s">
        <v>17</v>
      </c>
      <c r="NT20" s="2" t="s">
        <v>17</v>
      </c>
      <c r="NX20" s="2" t="s">
        <v>118</v>
      </c>
      <c r="NY20" s="2" t="s">
        <v>118</v>
      </c>
      <c r="NZ20" s="2" t="s">
        <v>118</v>
      </c>
      <c r="OA20" s="2" t="s">
        <v>17</v>
      </c>
      <c r="OF20" s="2" t="s">
        <v>17</v>
      </c>
      <c r="OG20" s="2" t="s">
        <v>17</v>
      </c>
      <c r="OH20" s="2" t="s">
        <v>85</v>
      </c>
      <c r="OI20" s="6">
        <v>0</v>
      </c>
      <c r="OJ20" s="6">
        <v>300000</v>
      </c>
      <c r="OK20" s="2" t="s">
        <v>17</v>
      </c>
      <c r="OL20" s="2" t="s">
        <v>17</v>
      </c>
      <c r="OM20" s="6">
        <v>0</v>
      </c>
      <c r="ON20" s="6">
        <v>0</v>
      </c>
      <c r="OO20" s="6">
        <v>0</v>
      </c>
      <c r="OP20" s="6">
        <v>0</v>
      </c>
      <c r="OQ20" s="4">
        <v>0</v>
      </c>
      <c r="OR20" s="6">
        <v>0</v>
      </c>
      <c r="OS20" s="4">
        <v>0</v>
      </c>
      <c r="OT20" s="2" t="s">
        <v>17</v>
      </c>
      <c r="OU20" s="2" t="s">
        <v>17</v>
      </c>
      <c r="OX20" s="5">
        <v>7395000</v>
      </c>
      <c r="OY20" s="6">
        <v>49300</v>
      </c>
      <c r="PD20" s="8">
        <v>30685164</v>
      </c>
      <c r="PF20" s="8">
        <v>30685164</v>
      </c>
      <c r="PL20" s="8">
        <v>264621</v>
      </c>
      <c r="PN20" s="8">
        <v>264621</v>
      </c>
      <c r="PO20" s="8">
        <v>30949785</v>
      </c>
      <c r="PQ20" s="8">
        <v>30949785</v>
      </c>
      <c r="PR20" s="8">
        <v>4332969</v>
      </c>
      <c r="PT20" s="8">
        <v>4332969</v>
      </c>
      <c r="PU20" s="6">
        <v>4332969</v>
      </c>
      <c r="PV20" s="8">
        <v>35282754</v>
      </c>
      <c r="PX20" s="8">
        <v>35282754</v>
      </c>
      <c r="PY20" s="8">
        <v>1764137</v>
      </c>
      <c r="QA20" s="8">
        <v>1764137</v>
      </c>
      <c r="QB20" s="6">
        <v>1764137.7</v>
      </c>
      <c r="QC20" s="8">
        <v>2148300</v>
      </c>
      <c r="QD20" s="8">
        <v>1054705</v>
      </c>
      <c r="QE20" s="8">
        <v>3203005</v>
      </c>
      <c r="QF20" s="8">
        <v>400000</v>
      </c>
      <c r="QH20" s="8">
        <v>400000</v>
      </c>
      <c r="QI20" s="8">
        <v>940000</v>
      </c>
      <c r="QJ20" s="8">
        <v>67728</v>
      </c>
      <c r="QK20" s="8">
        <v>1007728</v>
      </c>
      <c r="QM20" s="8">
        <v>178080</v>
      </c>
      <c r="QN20" s="8">
        <v>178080</v>
      </c>
      <c r="QU20" s="8">
        <v>3488300</v>
      </c>
      <c r="QV20" s="8">
        <v>1300513</v>
      </c>
      <c r="QW20" s="8">
        <v>4788813</v>
      </c>
      <c r="QX20" s="8">
        <v>231940</v>
      </c>
      <c r="QZ20" s="8">
        <v>231940</v>
      </c>
      <c r="RA20" s="6">
        <v>239440.65</v>
      </c>
      <c r="RB20" s="8">
        <v>3840000</v>
      </c>
      <c r="RC20" s="8">
        <v>650000</v>
      </c>
      <c r="RD20" s="8">
        <v>4490000</v>
      </c>
      <c r="RJ20" s="8">
        <v>3840000</v>
      </c>
      <c r="RK20" s="8">
        <v>650000</v>
      </c>
      <c r="RL20" s="8">
        <v>4490000</v>
      </c>
      <c r="RT20" s="8">
        <v>44607131</v>
      </c>
      <c r="RU20" s="8">
        <v>1950513</v>
      </c>
      <c r="RV20" s="8">
        <v>46557644</v>
      </c>
      <c r="RY20" s="2">
        <v>0</v>
      </c>
      <c r="RZ20" s="6">
        <v>0</v>
      </c>
      <c r="SA20" s="8">
        <v>8380375</v>
      </c>
      <c r="SC20" s="8">
        <v>8380375</v>
      </c>
      <c r="SD20" s="6">
        <v>8380375</v>
      </c>
      <c r="SE20" s="8">
        <v>8380375</v>
      </c>
      <c r="SF20" s="8">
        <v>8380375</v>
      </c>
      <c r="SG20" s="6">
        <v>8380375</v>
      </c>
      <c r="SH20" s="8">
        <v>525000</v>
      </c>
      <c r="SI20" s="8">
        <v>525000</v>
      </c>
      <c r="SJ20" s="6">
        <v>525000</v>
      </c>
      <c r="SK20" s="8">
        <v>3000120</v>
      </c>
      <c r="SL20" s="8">
        <v>3000120</v>
      </c>
      <c r="SM20" s="8">
        <v>52987506</v>
      </c>
      <c r="SN20" s="8">
        <v>5475633</v>
      </c>
      <c r="SO20" s="8">
        <v>58463139</v>
      </c>
      <c r="SP20" s="8">
        <v>32000000</v>
      </c>
      <c r="SQ20" s="2" t="s">
        <v>4220</v>
      </c>
      <c r="SR20" s="8">
        <v>3750000</v>
      </c>
      <c r="SS20" s="2" t="s">
        <v>180</v>
      </c>
      <c r="ST20" s="8">
        <v>2100000</v>
      </c>
      <c r="SU20" s="2" t="s">
        <v>180</v>
      </c>
      <c r="SX20" s="8">
        <v>10750000</v>
      </c>
      <c r="SY20" s="2" t="s">
        <v>96</v>
      </c>
      <c r="SZ20" s="2" t="s">
        <v>96</v>
      </c>
      <c r="TA20" s="2" t="s">
        <v>96</v>
      </c>
      <c r="TB20" s="8">
        <v>6713850</v>
      </c>
      <c r="TF20" s="8">
        <v>3149289</v>
      </c>
      <c r="TG20" s="8">
        <v>58463139</v>
      </c>
      <c r="TH20" s="2">
        <v>0</v>
      </c>
      <c r="TI20" s="8">
        <v>18500000</v>
      </c>
      <c r="TJ20" s="2" t="s">
        <v>4220</v>
      </c>
      <c r="TK20" s="8">
        <v>3750000</v>
      </c>
      <c r="TL20" s="2" t="s">
        <v>180</v>
      </c>
      <c r="TM20" s="8">
        <v>2100000</v>
      </c>
      <c r="TN20" s="2" t="s">
        <v>180</v>
      </c>
      <c r="TR20" s="8">
        <v>10750000</v>
      </c>
      <c r="TS20" s="8">
        <v>20345395</v>
      </c>
      <c r="TZ20" s="8">
        <v>3017744</v>
      </c>
      <c r="UA20" s="8">
        <v>58463139</v>
      </c>
      <c r="UB20" s="6">
        <v>35100000</v>
      </c>
      <c r="UC20" s="2">
        <v>0</v>
      </c>
      <c r="UD20" s="2">
        <v>150</v>
      </c>
      <c r="UE20" s="5">
        <v>290000</v>
      </c>
      <c r="UF20" s="6">
        <v>386666.67</v>
      </c>
      <c r="UG20" s="6">
        <v>394166.67</v>
      </c>
      <c r="UH20" s="6">
        <v>417816.67</v>
      </c>
      <c r="UI20" s="6">
        <v>62672500</v>
      </c>
      <c r="UJ20" s="6">
        <v>11281050</v>
      </c>
      <c r="UK20" s="2" t="s">
        <v>97</v>
      </c>
      <c r="UL20" s="6">
        <v>11281050</v>
      </c>
      <c r="UM20" s="6">
        <v>73953550</v>
      </c>
      <c r="UN20" s="6">
        <v>54938019</v>
      </c>
      <c r="UT20" s="6">
        <v>731609.43</v>
      </c>
      <c r="UW20" s="6">
        <v>731609.43</v>
      </c>
      <c r="UX20" s="6">
        <v>0</v>
      </c>
      <c r="UY20" s="6">
        <v>0</v>
      </c>
      <c r="UZ20" s="2" t="s">
        <v>3332</v>
      </c>
      <c r="VA20" s="2" t="s">
        <v>3288</v>
      </c>
      <c r="VB20" s="2" t="s">
        <v>17</v>
      </c>
      <c r="VC20" s="2">
        <v>0</v>
      </c>
      <c r="VD20" s="2">
        <v>0</v>
      </c>
      <c r="VE20" s="2" t="s">
        <v>17</v>
      </c>
      <c r="VG20" s="2" t="s">
        <v>17</v>
      </c>
      <c r="VI20" s="388" t="s">
        <v>3353</v>
      </c>
      <c r="VJ20" s="2" t="s">
        <v>98</v>
      </c>
      <c r="VK20" s="2" t="s">
        <v>1606</v>
      </c>
      <c r="VL20" s="23">
        <f t="shared" si="0"/>
        <v>172</v>
      </c>
      <c r="VM20" s="17">
        <f t="shared" si="1"/>
        <v>1.1466666666666667</v>
      </c>
      <c r="VN20" s="17" t="str">
        <f t="shared" si="2"/>
        <v>NC-MR-E</v>
      </c>
      <c r="VO20" s="17" t="str">
        <f t="shared" si="15"/>
        <v>NC-MR-E-ESS</v>
      </c>
      <c r="VP20" s="57">
        <v>1</v>
      </c>
      <c r="VQ20" s="17">
        <f t="shared" si="3"/>
        <v>1</v>
      </c>
      <c r="VR20" s="14">
        <f t="shared" si="4"/>
        <v>1</v>
      </c>
      <c r="VS20" s="14">
        <f t="shared" si="5"/>
        <v>1</v>
      </c>
      <c r="VT20" s="12">
        <f t="shared" si="6"/>
        <v>0.8448</v>
      </c>
      <c r="VU20" s="29">
        <f t="shared" si="7"/>
        <v>8448000</v>
      </c>
      <c r="VV20" s="29">
        <f t="shared" si="8"/>
        <v>56320</v>
      </c>
      <c r="VW20" s="351" t="str">
        <f t="shared" si="16"/>
        <v>A</v>
      </c>
      <c r="VX20" s="12" t="str">
        <f t="shared" si="9"/>
        <v>NC-MR-ESS</v>
      </c>
      <c r="VY20" s="23">
        <f t="shared" si="17"/>
        <v>3</v>
      </c>
      <c r="WA20" s="12">
        <f t="shared" si="18"/>
        <v>1</v>
      </c>
      <c r="WB20" s="12">
        <f t="shared" si="19"/>
        <v>0</v>
      </c>
      <c r="WC20" s="12">
        <f t="shared" si="19"/>
        <v>0</v>
      </c>
      <c r="WD20" s="12">
        <f t="shared" si="19"/>
        <v>0</v>
      </c>
      <c r="WE20" s="12">
        <f t="shared" si="20"/>
        <v>1</v>
      </c>
      <c r="WF20" s="12">
        <f t="shared" si="10"/>
        <v>0</v>
      </c>
      <c r="WG20" s="12">
        <f t="shared" si="11"/>
        <v>1</v>
      </c>
      <c r="WH20" s="12">
        <f t="shared" si="12"/>
        <v>0</v>
      </c>
      <c r="WI20" s="31">
        <f t="shared" si="13"/>
        <v>3</v>
      </c>
      <c r="WK20" s="444" t="str">
        <f t="shared" si="21"/>
        <v>NC-MR-ESS-BBN-BRN-NPH-E</v>
      </c>
      <c r="WL20" s="444"/>
      <c r="WM20" s="444"/>
    </row>
    <row r="21" spans="1:611" x14ac:dyDescent="0.25">
      <c r="A21" s="2">
        <v>9224</v>
      </c>
      <c r="B21" s="2" t="s">
        <v>4473</v>
      </c>
      <c r="C21" s="2" t="s">
        <v>4205</v>
      </c>
      <c r="D21" s="3">
        <v>45135</v>
      </c>
      <c r="E21" s="2" t="s">
        <v>9</v>
      </c>
      <c r="F21" s="2">
        <v>1</v>
      </c>
      <c r="G21" s="2" t="s">
        <v>9</v>
      </c>
      <c r="H21" s="2">
        <v>1</v>
      </c>
      <c r="I21" s="2" t="s">
        <v>11</v>
      </c>
      <c r="J21" s="2">
        <v>0</v>
      </c>
      <c r="K21" s="2" t="s">
        <v>9</v>
      </c>
      <c r="L21" s="2">
        <v>1</v>
      </c>
      <c r="M21" s="2" t="s">
        <v>10</v>
      </c>
      <c r="N21" s="2">
        <v>0</v>
      </c>
      <c r="O21" s="2" t="s">
        <v>10</v>
      </c>
      <c r="P21" s="2">
        <v>0</v>
      </c>
      <c r="Q21" s="2" t="s">
        <v>11</v>
      </c>
      <c r="R21" s="2">
        <v>0</v>
      </c>
      <c r="S21" s="2" t="s">
        <v>9</v>
      </c>
      <c r="T21" s="2">
        <v>2</v>
      </c>
      <c r="U21" s="2" t="s">
        <v>9</v>
      </c>
      <c r="V21" s="2">
        <v>2</v>
      </c>
      <c r="W21" s="2" t="s">
        <v>9</v>
      </c>
      <c r="X21" s="2">
        <v>2</v>
      </c>
      <c r="Y21" s="2" t="s">
        <v>12</v>
      </c>
      <c r="Z21" s="2" t="s">
        <v>2842</v>
      </c>
      <c r="AA21" s="2" t="s">
        <v>13</v>
      </c>
      <c r="AB21" s="2" t="s">
        <v>15</v>
      </c>
      <c r="AC21" s="2" t="s">
        <v>15</v>
      </c>
      <c r="AD21" s="2" t="s">
        <v>15</v>
      </c>
      <c r="AE21" s="2" t="s">
        <v>15</v>
      </c>
      <c r="AF21" s="2">
        <v>2</v>
      </c>
      <c r="AG21" s="2" t="s">
        <v>3273</v>
      </c>
      <c r="AH21" s="2" t="s">
        <v>17</v>
      </c>
      <c r="AI21" s="4">
        <v>0.15476000000000001</v>
      </c>
      <c r="AJ21" s="2" t="s">
        <v>17</v>
      </c>
      <c r="AK21" s="2" t="s">
        <v>9</v>
      </c>
      <c r="AL21" s="2" t="s">
        <v>17</v>
      </c>
      <c r="AM21" s="2" t="s">
        <v>17</v>
      </c>
      <c r="AN21" s="2" t="s">
        <v>17</v>
      </c>
      <c r="AO21" s="2" t="s">
        <v>9</v>
      </c>
      <c r="AP21" s="2" t="s">
        <v>17</v>
      </c>
      <c r="AQ21" s="2" t="s">
        <v>17</v>
      </c>
      <c r="AR21" s="2" t="s">
        <v>17</v>
      </c>
      <c r="AS21" s="2" t="s">
        <v>17</v>
      </c>
      <c r="AT21" s="2">
        <v>5</v>
      </c>
      <c r="AU21" s="5">
        <v>75000</v>
      </c>
      <c r="AV21" s="5">
        <v>640000</v>
      </c>
      <c r="AW21" s="2">
        <v>1</v>
      </c>
      <c r="AX21" s="2">
        <v>6</v>
      </c>
      <c r="AY21" s="2">
        <v>0</v>
      </c>
      <c r="AZ21" s="2">
        <v>17</v>
      </c>
      <c r="BA21" s="2">
        <v>0</v>
      </c>
      <c r="BB21" s="2">
        <v>1</v>
      </c>
      <c r="BC21" s="2">
        <v>1</v>
      </c>
      <c r="BD21" s="2">
        <v>4</v>
      </c>
      <c r="BE21" s="2">
        <v>1</v>
      </c>
      <c r="BF21" s="2">
        <v>1</v>
      </c>
      <c r="BG21" s="2">
        <v>0</v>
      </c>
      <c r="BH21" s="2">
        <v>0</v>
      </c>
      <c r="BI21" s="2">
        <v>13</v>
      </c>
      <c r="BJ21" s="2">
        <v>1</v>
      </c>
      <c r="BK21" s="2">
        <v>0</v>
      </c>
      <c r="BL21" s="2">
        <v>3</v>
      </c>
      <c r="BM21" s="2">
        <v>1</v>
      </c>
      <c r="BN21" s="2">
        <v>10</v>
      </c>
      <c r="BO21" s="2">
        <v>10</v>
      </c>
      <c r="BP21" s="2">
        <v>63.09</v>
      </c>
      <c r="BQ21" s="5">
        <v>8590000</v>
      </c>
      <c r="BR21" s="2">
        <v>1</v>
      </c>
      <c r="BS21" s="4">
        <v>0.06</v>
      </c>
      <c r="BT21" s="2" t="s">
        <v>9</v>
      </c>
      <c r="BU21" s="2" t="s">
        <v>17</v>
      </c>
      <c r="BV21" s="6">
        <v>49373.33</v>
      </c>
      <c r="BW21" s="2" t="s">
        <v>18</v>
      </c>
      <c r="BX21" s="2" t="s">
        <v>17</v>
      </c>
      <c r="BY21" s="2" t="s">
        <v>17</v>
      </c>
      <c r="BZ21" s="2" t="s">
        <v>17</v>
      </c>
      <c r="CA21" s="2" t="s">
        <v>17</v>
      </c>
      <c r="CB21" s="2" t="s">
        <v>17</v>
      </c>
      <c r="CC21" s="2" t="s">
        <v>17</v>
      </c>
      <c r="CE21" s="2" t="s">
        <v>4474</v>
      </c>
      <c r="CF21" s="2" t="s">
        <v>17</v>
      </c>
      <c r="CG21" s="2" t="s">
        <v>17</v>
      </c>
      <c r="DA21" s="2" t="s">
        <v>1678</v>
      </c>
      <c r="DD21" s="2" t="s">
        <v>9</v>
      </c>
      <c r="DE21" s="2" t="s">
        <v>1680</v>
      </c>
      <c r="DF21" s="2" t="s">
        <v>1678</v>
      </c>
      <c r="DG21" s="2" t="s">
        <v>1681</v>
      </c>
      <c r="DH21" s="2" t="s">
        <v>1682</v>
      </c>
      <c r="DI21" s="2">
        <v>114</v>
      </c>
      <c r="DJ21" s="2" t="s">
        <v>4475</v>
      </c>
      <c r="DK21" s="2">
        <v>2018</v>
      </c>
      <c r="DL21" s="2" t="s">
        <v>4209</v>
      </c>
      <c r="DM21" s="2" t="s">
        <v>4210</v>
      </c>
      <c r="DN21" s="2" t="s">
        <v>33</v>
      </c>
      <c r="DO21" s="2" t="s">
        <v>1687</v>
      </c>
      <c r="DP21" s="2" t="s">
        <v>665</v>
      </c>
      <c r="DQ21" s="2" t="s">
        <v>1688</v>
      </c>
      <c r="DR21" s="2" t="s">
        <v>1689</v>
      </c>
      <c r="DS21" s="2">
        <v>1</v>
      </c>
      <c r="DT21" s="2" t="s">
        <v>1690</v>
      </c>
      <c r="DU21" s="2" t="s">
        <v>1691</v>
      </c>
      <c r="DV21" s="2" t="s">
        <v>1692</v>
      </c>
      <c r="DW21" s="2">
        <v>98466</v>
      </c>
      <c r="DX21" s="2" t="s">
        <v>1693</v>
      </c>
      <c r="DZ21" s="2" t="s">
        <v>1694</v>
      </c>
      <c r="EA21" s="2" t="s">
        <v>1689</v>
      </c>
      <c r="EB21" s="2" t="s">
        <v>1681</v>
      </c>
      <c r="EC21" s="2" t="s">
        <v>1695</v>
      </c>
      <c r="ED21" s="2" t="s">
        <v>44</v>
      </c>
      <c r="EE21" s="2">
        <v>114</v>
      </c>
      <c r="EF21" s="2" t="s">
        <v>4476</v>
      </c>
      <c r="EG21" s="2">
        <v>5</v>
      </c>
      <c r="EH21" s="2" t="s">
        <v>46</v>
      </c>
      <c r="EI21" s="2" t="s">
        <v>47</v>
      </c>
      <c r="EJ21" s="2" t="s">
        <v>1696</v>
      </c>
      <c r="EK21" s="2" t="s">
        <v>1697</v>
      </c>
      <c r="EL21" s="2" t="s">
        <v>44</v>
      </c>
      <c r="EM21" s="2">
        <v>344</v>
      </c>
      <c r="EN21" s="2" t="s">
        <v>4476</v>
      </c>
      <c r="EO21" s="2">
        <v>9</v>
      </c>
      <c r="EP21" s="2" t="s">
        <v>46</v>
      </c>
      <c r="EQ21" s="2" t="s">
        <v>47</v>
      </c>
      <c r="ER21" s="2" t="s">
        <v>583</v>
      </c>
      <c r="ES21" s="2" t="s">
        <v>656</v>
      </c>
      <c r="ET21" s="2" t="s">
        <v>1698</v>
      </c>
      <c r="EU21" s="2" t="s">
        <v>4474</v>
      </c>
      <c r="EV21" s="2" t="s">
        <v>1699</v>
      </c>
      <c r="EW21" s="2" t="s">
        <v>396</v>
      </c>
      <c r="EX21" s="2" t="s">
        <v>39</v>
      </c>
      <c r="EY21" s="2">
        <v>33609</v>
      </c>
      <c r="EZ21" s="2" t="s">
        <v>1700</v>
      </c>
      <c r="FB21" s="2" t="s">
        <v>1701</v>
      </c>
      <c r="FC21" s="2" t="s">
        <v>1702</v>
      </c>
      <c r="FD21" s="2" t="s">
        <v>400</v>
      </c>
      <c r="FE21" s="2" t="s">
        <v>1703</v>
      </c>
      <c r="FF21" s="2" t="s">
        <v>1678</v>
      </c>
      <c r="FG21" s="2" t="s">
        <v>1699</v>
      </c>
      <c r="FH21" s="2" t="s">
        <v>396</v>
      </c>
      <c r="FI21" s="2" t="s">
        <v>39</v>
      </c>
      <c r="FJ21" s="2">
        <v>33609</v>
      </c>
      <c r="FK21" s="2" t="s">
        <v>1700</v>
      </c>
      <c r="FM21" s="2" t="s">
        <v>1704</v>
      </c>
      <c r="FN21" s="2" t="s">
        <v>4477</v>
      </c>
      <c r="FO21" s="2" t="s">
        <v>63</v>
      </c>
      <c r="FP21" s="2" t="s">
        <v>64</v>
      </c>
      <c r="FQ21" s="2" t="s">
        <v>9</v>
      </c>
      <c r="FR21" s="2" t="s">
        <v>17</v>
      </c>
      <c r="FS21" s="2" t="s">
        <v>17</v>
      </c>
      <c r="FT21" s="2" t="s">
        <v>9</v>
      </c>
      <c r="FX21" s="2">
        <v>0</v>
      </c>
      <c r="FY21" s="2">
        <v>0</v>
      </c>
      <c r="FZ21" s="4">
        <v>0</v>
      </c>
      <c r="GA21" s="4">
        <v>0</v>
      </c>
      <c r="GB21" s="2" t="s">
        <v>65</v>
      </c>
      <c r="GC21" s="2" t="s">
        <v>66</v>
      </c>
      <c r="GD21" s="2" t="s">
        <v>67</v>
      </c>
      <c r="GE21" s="2" t="s">
        <v>68</v>
      </c>
      <c r="GH21" s="2">
        <v>168</v>
      </c>
      <c r="GQ21" s="2">
        <v>168</v>
      </c>
      <c r="GR21" s="2" t="s">
        <v>2685</v>
      </c>
      <c r="GS21" s="2" t="s">
        <v>2686</v>
      </c>
      <c r="GT21" s="2" t="s">
        <v>4478</v>
      </c>
      <c r="GU21" s="2" t="s">
        <v>3152</v>
      </c>
      <c r="GV21" s="2" t="s">
        <v>17</v>
      </c>
      <c r="GW21" s="2">
        <v>26.666378000000002</v>
      </c>
      <c r="GX21" s="2">
        <v>-80.670406</v>
      </c>
      <c r="GZ21" s="2" t="s">
        <v>17</v>
      </c>
      <c r="HA21" s="2">
        <v>0</v>
      </c>
      <c r="HC21" s="2">
        <v>0</v>
      </c>
      <c r="HD21" s="2">
        <v>26.666519000000001</v>
      </c>
      <c r="HE21" s="2">
        <v>-80.670747000000006</v>
      </c>
      <c r="HF21" s="2">
        <v>0.02</v>
      </c>
      <c r="HG21" s="2">
        <v>4</v>
      </c>
      <c r="HH21" s="2">
        <v>26.666186</v>
      </c>
      <c r="HI21" s="2">
        <v>-80.671222</v>
      </c>
      <c r="HJ21" s="2">
        <v>0.05</v>
      </c>
      <c r="HZ21" s="2" t="s">
        <v>4479</v>
      </c>
      <c r="IA21" s="2">
        <v>0.08</v>
      </c>
      <c r="IB21" s="2">
        <v>4</v>
      </c>
      <c r="IF21" s="2" t="s">
        <v>224</v>
      </c>
      <c r="IG21" s="2">
        <v>1.4</v>
      </c>
      <c r="IH21" s="2">
        <v>1.5</v>
      </c>
      <c r="II21" s="2" t="s">
        <v>4480</v>
      </c>
      <c r="IJ21" s="2">
        <v>0.48</v>
      </c>
      <c r="IK21" s="2">
        <v>4</v>
      </c>
      <c r="IL21" s="2" t="s">
        <v>9</v>
      </c>
      <c r="IM21" s="2" t="s">
        <v>17</v>
      </c>
      <c r="IO21" s="2" t="s">
        <v>17</v>
      </c>
      <c r="IP21" s="2" t="s">
        <v>79</v>
      </c>
      <c r="IQ21" s="2" t="s">
        <v>79</v>
      </c>
      <c r="IR21" s="2">
        <v>4</v>
      </c>
      <c r="IS21" s="2">
        <v>9.5</v>
      </c>
      <c r="IT21" s="2">
        <v>0</v>
      </c>
      <c r="IU21" s="2">
        <v>13.5</v>
      </c>
      <c r="IV21" s="2" t="s">
        <v>9</v>
      </c>
      <c r="IW21" s="2" t="s">
        <v>9</v>
      </c>
      <c r="IX21" s="2" t="s">
        <v>9</v>
      </c>
      <c r="IY21" s="2">
        <v>13.5</v>
      </c>
      <c r="IZ21" s="2">
        <v>168</v>
      </c>
      <c r="JB21" s="2" t="s">
        <v>82</v>
      </c>
      <c r="JH21" s="7">
        <v>0</v>
      </c>
      <c r="JI21" s="2">
        <v>0</v>
      </c>
      <c r="JJ21" s="7">
        <v>0</v>
      </c>
      <c r="JK21" s="2">
        <v>0</v>
      </c>
      <c r="JL21" s="7">
        <v>0</v>
      </c>
      <c r="JN21" s="2">
        <v>26</v>
      </c>
      <c r="JP21" s="2">
        <v>8</v>
      </c>
      <c r="JQ21" s="2">
        <v>67</v>
      </c>
      <c r="JR21" s="2">
        <v>50</v>
      </c>
      <c r="JS21" s="2">
        <v>17</v>
      </c>
      <c r="JT21" s="2">
        <v>0</v>
      </c>
      <c r="JU21" s="2">
        <v>0</v>
      </c>
      <c r="JV21" s="2">
        <v>168</v>
      </c>
      <c r="JW21" s="4">
        <v>1</v>
      </c>
      <c r="JX21" s="2">
        <v>168</v>
      </c>
      <c r="JY21" s="4">
        <v>0.59880999999999995</v>
      </c>
      <c r="KE21" s="7">
        <v>0</v>
      </c>
      <c r="KF21" s="2">
        <v>0</v>
      </c>
      <c r="KK21" s="2">
        <v>112</v>
      </c>
      <c r="KL21" s="2">
        <v>56</v>
      </c>
      <c r="KQ21" s="2" t="s">
        <v>83</v>
      </c>
      <c r="KR21" s="2" t="s">
        <v>73</v>
      </c>
      <c r="KT21" s="2">
        <v>7</v>
      </c>
      <c r="KU21" s="2" t="s">
        <v>84</v>
      </c>
      <c r="KW21" s="2" t="s">
        <v>530</v>
      </c>
      <c r="KX21" s="2" t="s">
        <v>17</v>
      </c>
      <c r="KY21" s="2" t="s">
        <v>17</v>
      </c>
      <c r="KZ21" s="2" t="s">
        <v>17</v>
      </c>
      <c r="LA21" s="2" t="s">
        <v>17</v>
      </c>
      <c r="LB21" s="2" t="s">
        <v>17</v>
      </c>
      <c r="LC21" s="2" t="s">
        <v>17</v>
      </c>
      <c r="LD21" s="2" t="s">
        <v>17</v>
      </c>
      <c r="LE21" s="2" t="s">
        <v>17</v>
      </c>
      <c r="LF21" s="2" t="s">
        <v>17</v>
      </c>
      <c r="LG21" s="2" t="s">
        <v>17</v>
      </c>
      <c r="LH21" s="2" t="s">
        <v>17</v>
      </c>
      <c r="LI21" s="2" t="s">
        <v>17</v>
      </c>
      <c r="LJ21" s="2" t="s">
        <v>87</v>
      </c>
      <c r="LK21" s="2" t="s">
        <v>17</v>
      </c>
      <c r="LL21" s="2" t="s">
        <v>17</v>
      </c>
      <c r="LM21" s="2">
        <v>0</v>
      </c>
      <c r="LN21" s="2" t="s">
        <v>17</v>
      </c>
      <c r="LO21" s="2" t="s">
        <v>17</v>
      </c>
      <c r="LP21" s="2" t="s">
        <v>9</v>
      </c>
      <c r="LQ21" s="2" t="s">
        <v>9</v>
      </c>
      <c r="LR21" s="2" t="s">
        <v>17</v>
      </c>
      <c r="LS21" s="2" t="s">
        <v>9</v>
      </c>
      <c r="LT21" s="2" t="s">
        <v>17</v>
      </c>
      <c r="LU21" s="2" t="s">
        <v>17</v>
      </c>
      <c r="LV21" s="2" t="s">
        <v>17</v>
      </c>
      <c r="LW21" s="2" t="s">
        <v>17</v>
      </c>
      <c r="LX21" s="2" t="s">
        <v>17</v>
      </c>
      <c r="LY21" s="5">
        <v>6500000</v>
      </c>
      <c r="LZ21" s="5">
        <v>0</v>
      </c>
      <c r="MA21" s="5">
        <v>11000000</v>
      </c>
      <c r="MB21" s="5">
        <v>7840000</v>
      </c>
      <c r="MC21" s="5">
        <v>7840000</v>
      </c>
      <c r="MD21" s="5">
        <v>750000</v>
      </c>
      <c r="ME21" s="5">
        <v>750000</v>
      </c>
      <c r="MF21" s="5">
        <v>750000</v>
      </c>
      <c r="MG21" s="5">
        <v>10000000</v>
      </c>
      <c r="MH21" s="5">
        <v>0</v>
      </c>
      <c r="MI21" s="5">
        <v>10000000</v>
      </c>
      <c r="MJ21" s="5">
        <v>0</v>
      </c>
      <c r="MK21" s="5">
        <v>1949500</v>
      </c>
      <c r="ML21" s="5">
        <v>0</v>
      </c>
      <c r="MM21" s="5">
        <v>0</v>
      </c>
      <c r="MN21" s="2">
        <v>0</v>
      </c>
      <c r="MO21" s="5">
        <v>0</v>
      </c>
      <c r="MP21" s="5">
        <v>0</v>
      </c>
      <c r="MQ21" s="2">
        <v>0</v>
      </c>
      <c r="MR21" s="2">
        <v>0</v>
      </c>
      <c r="MS21" s="2">
        <v>0</v>
      </c>
      <c r="MT21" s="5">
        <v>0</v>
      </c>
      <c r="MU21" s="5">
        <v>0</v>
      </c>
      <c r="MV21" s="5">
        <v>4600000</v>
      </c>
      <c r="MW21" s="5">
        <v>0</v>
      </c>
      <c r="MY21" s="5">
        <v>0</v>
      </c>
      <c r="MZ21" s="5">
        <v>0</v>
      </c>
      <c r="NA21" s="5">
        <v>0</v>
      </c>
      <c r="NB21" s="5">
        <v>0</v>
      </c>
      <c r="NC21" s="5">
        <v>0</v>
      </c>
      <c r="ND21" s="5">
        <v>5000000</v>
      </c>
      <c r="NE21" s="5">
        <v>0</v>
      </c>
      <c r="NF21" s="5">
        <v>0</v>
      </c>
      <c r="NG21" s="5">
        <v>0</v>
      </c>
      <c r="NH21" s="5"/>
      <c r="NI21" s="5">
        <v>0</v>
      </c>
      <c r="NJ21" s="5">
        <v>2150000</v>
      </c>
      <c r="NK21" s="2" t="s">
        <v>9</v>
      </c>
      <c r="NL21" s="2">
        <v>2023</v>
      </c>
      <c r="NM21" s="2" t="s">
        <v>17</v>
      </c>
      <c r="NO21" s="2" t="s">
        <v>17</v>
      </c>
      <c r="NR21" s="2" t="s">
        <v>17</v>
      </c>
      <c r="NT21" s="2" t="s">
        <v>9</v>
      </c>
      <c r="NU21" s="2" t="s">
        <v>450</v>
      </c>
      <c r="NV21" s="2">
        <v>82.03</v>
      </c>
      <c r="NW21" s="2" t="s">
        <v>2995</v>
      </c>
      <c r="NX21" s="2" t="s">
        <v>118</v>
      </c>
      <c r="NY21" s="2" t="s">
        <v>118</v>
      </c>
      <c r="NZ21" s="2" t="s">
        <v>118</v>
      </c>
      <c r="OA21" s="2" t="s">
        <v>17</v>
      </c>
      <c r="OB21" s="2" t="s">
        <v>119</v>
      </c>
      <c r="OF21" s="2" t="s">
        <v>17</v>
      </c>
      <c r="OG21" s="2" t="s">
        <v>17</v>
      </c>
      <c r="OH21" s="2" t="s">
        <v>85</v>
      </c>
      <c r="OI21" s="6">
        <v>0</v>
      </c>
      <c r="OJ21" s="6">
        <v>235200</v>
      </c>
      <c r="OK21" s="2" t="s">
        <v>17</v>
      </c>
      <c r="OL21" s="2" t="s">
        <v>17</v>
      </c>
      <c r="OM21" s="6">
        <v>0</v>
      </c>
      <c r="ON21" s="6">
        <v>0</v>
      </c>
      <c r="OO21" s="6">
        <v>0</v>
      </c>
      <c r="OP21" s="6">
        <v>0</v>
      </c>
      <c r="OQ21" s="4">
        <v>0</v>
      </c>
      <c r="OR21" s="6">
        <v>0</v>
      </c>
      <c r="OS21" s="4">
        <v>0</v>
      </c>
      <c r="OT21" s="2" t="s">
        <v>17</v>
      </c>
      <c r="OU21" s="2" t="s">
        <v>17</v>
      </c>
      <c r="OW21" s="2" t="s">
        <v>17</v>
      </c>
      <c r="OX21" s="5">
        <v>8294720</v>
      </c>
      <c r="OY21" s="6">
        <v>49373.33</v>
      </c>
      <c r="PD21" s="8">
        <v>28000000</v>
      </c>
      <c r="PF21" s="8">
        <v>28000000</v>
      </c>
      <c r="PG21" s="8">
        <v>5000000</v>
      </c>
      <c r="PI21" s="8">
        <v>5000000</v>
      </c>
      <c r="PO21" s="8">
        <v>33000000</v>
      </c>
      <c r="PQ21" s="8">
        <v>33000000</v>
      </c>
      <c r="PR21" s="8">
        <v>4620000</v>
      </c>
      <c r="PT21" s="8">
        <v>4620000</v>
      </c>
      <c r="PU21" s="6">
        <v>4620000</v>
      </c>
      <c r="PV21" s="8">
        <v>37620000</v>
      </c>
      <c r="PX21" s="8">
        <v>37620000</v>
      </c>
      <c r="PY21" s="8">
        <v>1800000</v>
      </c>
      <c r="QA21" s="8">
        <v>1800000</v>
      </c>
      <c r="QB21" s="6">
        <v>1881000</v>
      </c>
      <c r="QC21" s="8">
        <v>2317200</v>
      </c>
      <c r="QD21" s="8">
        <v>110000</v>
      </c>
      <c r="QE21" s="8">
        <v>2427200</v>
      </c>
      <c r="QF21" s="8">
        <v>216000</v>
      </c>
      <c r="QG21" s="8">
        <v>72000</v>
      </c>
      <c r="QH21" s="8">
        <v>288000</v>
      </c>
      <c r="QI21" s="8">
        <v>737000</v>
      </c>
      <c r="QK21" s="8">
        <v>737000</v>
      </c>
      <c r="QM21" s="8">
        <v>428711</v>
      </c>
      <c r="QN21" s="8">
        <v>428711</v>
      </c>
      <c r="QU21" s="8">
        <v>3270200</v>
      </c>
      <c r="QV21" s="8">
        <v>610711</v>
      </c>
      <c r="QW21" s="8">
        <v>3880911</v>
      </c>
      <c r="QX21" s="8">
        <v>150000</v>
      </c>
      <c r="QZ21" s="8">
        <v>150000</v>
      </c>
      <c r="RA21" s="6">
        <v>194045.55</v>
      </c>
      <c r="RB21" s="8">
        <v>840000</v>
      </c>
      <c r="RC21" s="8">
        <v>250000</v>
      </c>
      <c r="RD21" s="8">
        <v>1090000</v>
      </c>
      <c r="RE21" s="8">
        <v>185000</v>
      </c>
      <c r="RF21" s="8">
        <v>185000</v>
      </c>
      <c r="RJ21" s="8">
        <v>840000</v>
      </c>
      <c r="RK21" s="8">
        <v>435000</v>
      </c>
      <c r="RL21" s="8">
        <v>1275000</v>
      </c>
      <c r="RT21" s="8">
        <v>43680200</v>
      </c>
      <c r="RU21" s="8">
        <v>1045711</v>
      </c>
      <c r="RV21" s="8">
        <v>44725911</v>
      </c>
      <c r="RY21" s="2">
        <v>0</v>
      </c>
      <c r="RZ21" s="6">
        <v>0</v>
      </c>
      <c r="SA21" s="8">
        <v>8000000</v>
      </c>
      <c r="SC21" s="8">
        <v>8000000</v>
      </c>
      <c r="SD21" s="6">
        <v>8050663</v>
      </c>
      <c r="SE21" s="8">
        <v>8000000</v>
      </c>
      <c r="SF21" s="8">
        <v>8000000</v>
      </c>
      <c r="SG21" s="6">
        <v>8050663</v>
      </c>
      <c r="SH21" s="8">
        <v>400000</v>
      </c>
      <c r="SI21" s="8">
        <v>400000</v>
      </c>
      <c r="SJ21" s="6">
        <v>588000</v>
      </c>
      <c r="SK21" s="8">
        <v>1000000</v>
      </c>
      <c r="SL21" s="8">
        <v>1000000</v>
      </c>
      <c r="SM21" s="8">
        <v>51680200</v>
      </c>
      <c r="SN21" s="8">
        <v>2445711</v>
      </c>
      <c r="SO21" s="8">
        <v>54125911</v>
      </c>
      <c r="SP21" s="8">
        <v>27000000</v>
      </c>
      <c r="SQ21" s="2" t="s">
        <v>4220</v>
      </c>
      <c r="SR21" s="8">
        <v>2500000</v>
      </c>
      <c r="SS21" s="2" t="s">
        <v>180</v>
      </c>
      <c r="SX21" s="8">
        <v>8590000</v>
      </c>
      <c r="SY21" s="2" t="s">
        <v>96</v>
      </c>
      <c r="SZ21" s="2" t="s">
        <v>96</v>
      </c>
      <c r="TA21" s="2" t="s">
        <v>96</v>
      </c>
      <c r="TB21" s="8">
        <v>10404959.4</v>
      </c>
      <c r="TF21" s="8">
        <v>5630951.5999999996</v>
      </c>
      <c r="TG21" s="8">
        <v>54125911</v>
      </c>
      <c r="TH21" s="2">
        <v>0</v>
      </c>
      <c r="TI21" s="8">
        <v>17000000</v>
      </c>
      <c r="TJ21" s="2" t="s">
        <v>4220</v>
      </c>
      <c r="TK21" s="8">
        <v>2500000</v>
      </c>
      <c r="TL21" s="2" t="s">
        <v>180</v>
      </c>
      <c r="TR21" s="8">
        <v>8590000</v>
      </c>
      <c r="TS21" s="8">
        <v>18918108</v>
      </c>
      <c r="TZ21" s="8">
        <v>7117803</v>
      </c>
      <c r="UA21" s="8">
        <v>54125911</v>
      </c>
      <c r="UB21" s="6">
        <v>28090000</v>
      </c>
      <c r="UC21" s="2">
        <v>0</v>
      </c>
      <c r="UD21" s="2">
        <v>168</v>
      </c>
      <c r="UE21" s="5">
        <v>240000</v>
      </c>
      <c r="UF21" s="6">
        <v>320000</v>
      </c>
      <c r="UG21" s="6">
        <v>327500</v>
      </c>
      <c r="UH21" s="6">
        <v>347150</v>
      </c>
      <c r="UI21" s="6">
        <v>58321200</v>
      </c>
      <c r="UJ21" s="6">
        <v>10497816</v>
      </c>
      <c r="UK21" s="2" t="s">
        <v>97</v>
      </c>
      <c r="UL21" s="6">
        <v>10497816</v>
      </c>
      <c r="UM21" s="6">
        <v>68819016</v>
      </c>
      <c r="UN21" s="6">
        <v>52725911</v>
      </c>
      <c r="UO21" s="6">
        <v>2500000</v>
      </c>
      <c r="UP21" s="6">
        <v>1768030.43</v>
      </c>
      <c r="UQ21" s="6">
        <v>731969.57</v>
      </c>
      <c r="US21" s="6">
        <v>0</v>
      </c>
      <c r="UV21" s="6">
        <v>0</v>
      </c>
      <c r="UW21" s="6">
        <v>2500000</v>
      </c>
      <c r="UX21" s="6">
        <v>1768030.43</v>
      </c>
      <c r="UY21" s="6">
        <v>731969.57</v>
      </c>
      <c r="UZ21" s="2" t="s">
        <v>3172</v>
      </c>
      <c r="VA21" s="2" t="s">
        <v>182</v>
      </c>
      <c r="VB21" s="2" t="s">
        <v>17</v>
      </c>
      <c r="VI21" s="388" t="s">
        <v>1680</v>
      </c>
      <c r="VJ21" s="2" t="s">
        <v>98</v>
      </c>
      <c r="VK21" s="2" t="s">
        <v>536</v>
      </c>
      <c r="VL21" s="23">
        <f t="shared" si="0"/>
        <v>392</v>
      </c>
      <c r="VM21" s="17">
        <f t="shared" si="1"/>
        <v>2.3333333333333335</v>
      </c>
      <c r="VN21" s="17" t="str">
        <f t="shared" si="2"/>
        <v>NC-GA-F</v>
      </c>
      <c r="VO21" s="17" t="str">
        <f t="shared" si="15"/>
        <v>NC-GA-F-Non</v>
      </c>
      <c r="VP21" s="57">
        <v>1</v>
      </c>
      <c r="VQ21" s="17">
        <f t="shared" si="3"/>
        <v>1.1100000000000001</v>
      </c>
      <c r="VR21" s="14">
        <f t="shared" si="4"/>
        <v>1</v>
      </c>
      <c r="VS21" s="14">
        <f t="shared" si="5"/>
        <v>1</v>
      </c>
      <c r="VT21" s="12">
        <f t="shared" si="6"/>
        <v>0.89</v>
      </c>
      <c r="VU21" s="29">
        <f t="shared" si="7"/>
        <v>7745136</v>
      </c>
      <c r="VV21" s="29">
        <f t="shared" si="8"/>
        <v>46102</v>
      </c>
      <c r="VW21" s="351" t="str">
        <f t="shared" si="16"/>
        <v>A</v>
      </c>
      <c r="VX21" s="12" t="str">
        <f t="shared" si="9"/>
        <v>NC-GA-Non</v>
      </c>
      <c r="VY21" s="23">
        <f t="shared" si="17"/>
        <v>3</v>
      </c>
      <c r="WA21" s="12">
        <f t="shared" si="18"/>
        <v>0</v>
      </c>
      <c r="WB21" s="12">
        <f t="shared" si="19"/>
        <v>1</v>
      </c>
      <c r="WC21" s="12">
        <f t="shared" si="19"/>
        <v>0</v>
      </c>
      <c r="WD21" s="12">
        <f t="shared" si="19"/>
        <v>0</v>
      </c>
      <c r="WE21" s="12">
        <f t="shared" si="20"/>
        <v>0</v>
      </c>
      <c r="WF21" s="12">
        <f t="shared" si="10"/>
        <v>1</v>
      </c>
      <c r="WG21" s="12">
        <f t="shared" si="11"/>
        <v>0</v>
      </c>
      <c r="WH21" s="12">
        <f t="shared" si="12"/>
        <v>0</v>
      </c>
      <c r="WI21" s="31">
        <f t="shared" si="13"/>
        <v>2</v>
      </c>
      <c r="WK21" s="444" t="str">
        <f t="shared" si="21"/>
        <v>NC-GA-Non-BBY-BRN-NPH-F</v>
      </c>
      <c r="WL21" s="444"/>
      <c r="WM21" s="444"/>
    </row>
    <row r="22" spans="1:611" x14ac:dyDescent="0.25">
      <c r="A22" s="2">
        <v>9289</v>
      </c>
      <c r="B22" s="2" t="s">
        <v>4481</v>
      </c>
      <c r="C22" s="2" t="s">
        <v>4205</v>
      </c>
      <c r="D22" s="3">
        <v>45135</v>
      </c>
      <c r="E22" s="2" t="s">
        <v>9</v>
      </c>
      <c r="F22" s="2">
        <v>1</v>
      </c>
      <c r="G22" s="2" t="s">
        <v>9</v>
      </c>
      <c r="H22" s="2">
        <v>1</v>
      </c>
      <c r="I22" s="2" t="s">
        <v>11</v>
      </c>
      <c r="J22" s="2">
        <v>0</v>
      </c>
      <c r="K22" s="2" t="s">
        <v>9</v>
      </c>
      <c r="L22" s="2">
        <v>1</v>
      </c>
      <c r="M22" s="2" t="s">
        <v>10</v>
      </c>
      <c r="N22" s="2">
        <v>0</v>
      </c>
      <c r="O22" s="2" t="s">
        <v>10</v>
      </c>
      <c r="P22" s="2">
        <v>0</v>
      </c>
      <c r="Q22" s="2" t="s">
        <v>11</v>
      </c>
      <c r="R22" s="2">
        <v>0</v>
      </c>
      <c r="S22" s="2" t="s">
        <v>9</v>
      </c>
      <c r="T22" s="2">
        <v>2</v>
      </c>
      <c r="U22" s="2" t="s">
        <v>9</v>
      </c>
      <c r="V22" s="2">
        <v>2</v>
      </c>
      <c r="W22" s="2" t="s">
        <v>9</v>
      </c>
      <c r="X22" s="2">
        <v>2</v>
      </c>
      <c r="Y22" s="2" t="s">
        <v>12</v>
      </c>
      <c r="Z22" s="2" t="s">
        <v>101</v>
      </c>
      <c r="AA22" s="2" t="s">
        <v>15</v>
      </c>
      <c r="AB22" s="2" t="s">
        <v>15</v>
      </c>
      <c r="AC22" s="2" t="s">
        <v>15</v>
      </c>
      <c r="AD22" s="2" t="s">
        <v>15</v>
      </c>
      <c r="AE22" s="2" t="s">
        <v>15</v>
      </c>
      <c r="AF22" s="2">
        <v>1</v>
      </c>
      <c r="AG22" s="2" t="s">
        <v>102</v>
      </c>
      <c r="AH22" s="2" t="s">
        <v>17</v>
      </c>
      <c r="AI22" s="4">
        <v>0.1</v>
      </c>
      <c r="AJ22" s="2" t="s">
        <v>17</v>
      </c>
      <c r="AK22" s="2" t="s">
        <v>9</v>
      </c>
      <c r="AL22" s="2" t="s">
        <v>9</v>
      </c>
      <c r="AM22" s="2" t="s">
        <v>17</v>
      </c>
      <c r="AN22" s="2" t="s">
        <v>17</v>
      </c>
      <c r="AO22" s="2" t="s">
        <v>9</v>
      </c>
      <c r="AP22" s="2" t="s">
        <v>17</v>
      </c>
      <c r="AQ22" s="2" t="s">
        <v>17</v>
      </c>
      <c r="AR22" s="2" t="s">
        <v>17</v>
      </c>
      <c r="AS22" s="2" t="s">
        <v>17</v>
      </c>
      <c r="AT22" s="2">
        <v>5</v>
      </c>
      <c r="AU22" s="5">
        <v>50000</v>
      </c>
      <c r="AV22" s="5">
        <v>460000</v>
      </c>
      <c r="AW22" s="2">
        <v>0</v>
      </c>
      <c r="AX22" s="2">
        <v>4</v>
      </c>
      <c r="AY22" s="2">
        <v>0</v>
      </c>
      <c r="AZ22" s="2">
        <v>17</v>
      </c>
      <c r="BA22" s="2">
        <v>0</v>
      </c>
      <c r="BB22" s="2">
        <v>1</v>
      </c>
      <c r="BC22" s="2">
        <v>1</v>
      </c>
      <c r="BD22" s="2">
        <v>0</v>
      </c>
      <c r="BE22" s="2">
        <v>0</v>
      </c>
      <c r="BF22" s="2">
        <v>1</v>
      </c>
      <c r="BG22" s="2">
        <v>0</v>
      </c>
      <c r="BH22" s="2">
        <v>0</v>
      </c>
      <c r="BI22" s="2">
        <v>13</v>
      </c>
      <c r="BJ22" s="2">
        <v>1</v>
      </c>
      <c r="BK22" s="2">
        <v>0</v>
      </c>
      <c r="BL22" s="2">
        <v>2</v>
      </c>
      <c r="BM22" s="2">
        <v>1</v>
      </c>
      <c r="BN22" s="2">
        <v>8</v>
      </c>
      <c r="BO22" s="2">
        <v>10</v>
      </c>
      <c r="BP22" s="2">
        <v>47.1</v>
      </c>
      <c r="BQ22" s="5">
        <v>6080500</v>
      </c>
      <c r="BR22" s="2">
        <v>1</v>
      </c>
      <c r="BS22" s="4">
        <v>0.06</v>
      </c>
      <c r="BT22" s="2" t="s">
        <v>9</v>
      </c>
      <c r="BU22" s="2" t="s">
        <v>17</v>
      </c>
      <c r="BV22" s="6">
        <v>49430.95</v>
      </c>
      <c r="BW22" s="2" t="s">
        <v>126</v>
      </c>
      <c r="BX22" s="2" t="s">
        <v>17</v>
      </c>
      <c r="BY22" s="2" t="s">
        <v>17</v>
      </c>
      <c r="BZ22" s="2" t="s">
        <v>17</v>
      </c>
      <c r="CA22" s="2" t="s">
        <v>17</v>
      </c>
      <c r="CB22" s="2" t="s">
        <v>17</v>
      </c>
      <c r="CC22" s="2" t="s">
        <v>17</v>
      </c>
      <c r="CD22" s="2" t="s">
        <v>9</v>
      </c>
      <c r="CE22" s="2" t="s">
        <v>4482</v>
      </c>
      <c r="CF22" s="2" t="s">
        <v>17</v>
      </c>
      <c r="CG22" s="2" t="s">
        <v>17</v>
      </c>
      <c r="DA22" s="2" t="s">
        <v>1171</v>
      </c>
      <c r="DB22" s="2" t="s">
        <v>1172</v>
      </c>
      <c r="DC22" s="2" t="s">
        <v>1214</v>
      </c>
      <c r="DD22" s="2" t="s">
        <v>9</v>
      </c>
      <c r="DE22" s="2" t="s">
        <v>1173</v>
      </c>
      <c r="DF22" s="2" t="s">
        <v>1172</v>
      </c>
      <c r="DG22" s="2" t="s">
        <v>4483</v>
      </c>
      <c r="DH22" s="2" t="s">
        <v>1175</v>
      </c>
      <c r="DI22" s="2">
        <v>120</v>
      </c>
      <c r="DJ22" s="2" t="s">
        <v>984</v>
      </c>
      <c r="DK22" s="2">
        <v>2020</v>
      </c>
      <c r="DL22" s="2" t="s">
        <v>4209</v>
      </c>
      <c r="DM22" s="2" t="s">
        <v>4210</v>
      </c>
      <c r="DN22" s="2" t="s">
        <v>33</v>
      </c>
      <c r="DO22" s="2" t="s">
        <v>1179</v>
      </c>
      <c r="DP22" s="2" t="s">
        <v>951</v>
      </c>
      <c r="DQ22" s="2" t="s">
        <v>1180</v>
      </c>
      <c r="DR22" s="2" t="s">
        <v>1181</v>
      </c>
      <c r="DS22" s="2">
        <v>1</v>
      </c>
      <c r="DT22" s="2" t="s">
        <v>1182</v>
      </c>
      <c r="DU22" s="2" t="s">
        <v>299</v>
      </c>
      <c r="DV22" s="2" t="s">
        <v>39</v>
      </c>
      <c r="DW22" s="2">
        <v>33176</v>
      </c>
      <c r="DX22" s="2" t="s">
        <v>1183</v>
      </c>
      <c r="DY22" s="2">
        <v>218</v>
      </c>
      <c r="DZ22" s="2" t="s">
        <v>1184</v>
      </c>
      <c r="EA22" s="2" t="s">
        <v>1181</v>
      </c>
      <c r="EB22" s="2" t="s">
        <v>1185</v>
      </c>
      <c r="EC22" s="2" t="s">
        <v>1089</v>
      </c>
      <c r="ED22" s="2" t="s">
        <v>44</v>
      </c>
      <c r="EE22" s="2">
        <v>300</v>
      </c>
      <c r="EF22" s="2" t="s">
        <v>991</v>
      </c>
      <c r="EG22" s="2">
        <v>11</v>
      </c>
      <c r="EH22" s="2" t="s">
        <v>46</v>
      </c>
      <c r="EI22" s="2" t="s">
        <v>47</v>
      </c>
      <c r="EJ22" s="2" t="s">
        <v>1186</v>
      </c>
      <c r="EK22" s="2" t="s">
        <v>692</v>
      </c>
      <c r="EL22" s="2" t="s">
        <v>44</v>
      </c>
      <c r="EM22" s="2">
        <v>420</v>
      </c>
      <c r="EN22" s="2" t="s">
        <v>991</v>
      </c>
      <c r="EO22" s="2">
        <v>18</v>
      </c>
      <c r="EP22" s="2" t="s">
        <v>46</v>
      </c>
      <c r="EQ22" s="2" t="s">
        <v>47</v>
      </c>
      <c r="ER22" s="2" t="s">
        <v>4484</v>
      </c>
      <c r="ES22" s="2" t="s">
        <v>1429</v>
      </c>
      <c r="ET22" s="2" t="s">
        <v>4485</v>
      </c>
      <c r="EU22" s="2" t="s">
        <v>4482</v>
      </c>
      <c r="EV22" s="2" t="s">
        <v>4486</v>
      </c>
      <c r="EW22" s="2" t="s">
        <v>396</v>
      </c>
      <c r="EX22" s="2" t="s">
        <v>39</v>
      </c>
      <c r="EY22" s="2">
        <v>33618</v>
      </c>
      <c r="EZ22" s="2" t="s">
        <v>4487</v>
      </c>
      <c r="FB22" s="2" t="s">
        <v>4488</v>
      </c>
      <c r="FC22" s="2" t="s">
        <v>4489</v>
      </c>
      <c r="FE22" s="2" t="s">
        <v>1187</v>
      </c>
      <c r="FF22" s="2" t="s">
        <v>1864</v>
      </c>
      <c r="FG22" s="2" t="s">
        <v>4486</v>
      </c>
      <c r="FH22" s="2" t="s">
        <v>396</v>
      </c>
      <c r="FI22" s="2" t="s">
        <v>39</v>
      </c>
      <c r="FJ22" s="2">
        <v>33618</v>
      </c>
      <c r="FK22" s="2" t="s">
        <v>1189</v>
      </c>
      <c r="FM22" s="2" t="s">
        <v>1190</v>
      </c>
      <c r="FN22" s="2" t="s">
        <v>4490</v>
      </c>
      <c r="FO22" s="2" t="s">
        <v>63</v>
      </c>
      <c r="FP22" s="2" t="s">
        <v>64</v>
      </c>
      <c r="FQ22" s="2" t="s">
        <v>9</v>
      </c>
      <c r="FR22" s="2" t="s">
        <v>17</v>
      </c>
      <c r="FS22" s="2" t="s">
        <v>17</v>
      </c>
      <c r="FT22" s="2" t="s">
        <v>9</v>
      </c>
      <c r="FX22" s="2">
        <v>0</v>
      </c>
      <c r="FY22" s="2">
        <v>0</v>
      </c>
      <c r="FZ22" s="4">
        <v>0</v>
      </c>
      <c r="GA22" s="4">
        <v>0</v>
      </c>
      <c r="GB22" s="2" t="s">
        <v>65</v>
      </c>
      <c r="GC22" s="2" t="s">
        <v>66</v>
      </c>
      <c r="GD22" s="2" t="s">
        <v>67</v>
      </c>
      <c r="GE22" s="2" t="s">
        <v>108</v>
      </c>
      <c r="GI22" s="2">
        <v>88</v>
      </c>
      <c r="GQ22" s="2">
        <v>88</v>
      </c>
      <c r="GR22" s="2" t="s">
        <v>1197</v>
      </c>
      <c r="GS22" s="2" t="s">
        <v>70</v>
      </c>
      <c r="GT22" s="2" t="s">
        <v>4491</v>
      </c>
      <c r="GU22" s="2" t="s">
        <v>1199</v>
      </c>
      <c r="GV22" s="2" t="s">
        <v>17</v>
      </c>
      <c r="GW22" s="2">
        <v>26.700966999999999</v>
      </c>
      <c r="GX22" s="2">
        <v>-81.901183000000003</v>
      </c>
      <c r="GZ22" s="2" t="s">
        <v>17</v>
      </c>
      <c r="HA22" s="2">
        <v>0</v>
      </c>
      <c r="HB22" s="2" t="s">
        <v>17</v>
      </c>
      <c r="HC22" s="2">
        <v>0</v>
      </c>
      <c r="HD22" s="2">
        <v>26.699400000000001</v>
      </c>
      <c r="HE22" s="2">
        <v>-81.900262999999995</v>
      </c>
      <c r="HF22" s="2">
        <v>0.12</v>
      </c>
      <c r="HG22" s="2">
        <v>2</v>
      </c>
      <c r="HZ22" s="2" t="s">
        <v>4492</v>
      </c>
      <c r="IA22" s="2">
        <v>1.45</v>
      </c>
      <c r="IB22" s="2">
        <v>1.5</v>
      </c>
      <c r="IF22" s="2" t="s">
        <v>1118</v>
      </c>
      <c r="IG22" s="2">
        <v>0.27</v>
      </c>
      <c r="IH22" s="2">
        <v>4</v>
      </c>
      <c r="II22" s="2" t="s">
        <v>4494</v>
      </c>
      <c r="IJ22" s="2">
        <v>0.92</v>
      </c>
      <c r="IK22" s="2">
        <v>3</v>
      </c>
      <c r="IL22" s="2" t="s">
        <v>17</v>
      </c>
      <c r="IM22" s="2" t="s">
        <v>9</v>
      </c>
      <c r="IN22" s="2" t="s">
        <v>4496</v>
      </c>
      <c r="IO22" s="2" t="s">
        <v>17</v>
      </c>
      <c r="IP22" s="2" t="s">
        <v>79</v>
      </c>
      <c r="IQ22" s="2" t="s">
        <v>79</v>
      </c>
      <c r="IR22" s="2">
        <v>2</v>
      </c>
      <c r="IS22" s="2">
        <v>8.5</v>
      </c>
      <c r="IT22" s="2">
        <v>0</v>
      </c>
      <c r="IU22" s="2">
        <v>10.5</v>
      </c>
      <c r="IV22" s="2" t="s">
        <v>80</v>
      </c>
      <c r="IW22" s="2" t="s">
        <v>9</v>
      </c>
      <c r="IX22" s="2" t="s">
        <v>9</v>
      </c>
      <c r="IY22" s="2">
        <v>10.5</v>
      </c>
      <c r="IZ22" s="2">
        <v>88</v>
      </c>
      <c r="JB22" s="2" t="s">
        <v>173</v>
      </c>
      <c r="JE22" s="7">
        <v>0.1</v>
      </c>
      <c r="JG22" s="7">
        <v>0.9</v>
      </c>
      <c r="JH22" s="7">
        <v>0</v>
      </c>
      <c r="JI22" s="2">
        <v>88</v>
      </c>
      <c r="JJ22" s="7">
        <v>1</v>
      </c>
      <c r="JK22" s="2">
        <v>88</v>
      </c>
      <c r="JL22" s="7">
        <v>1</v>
      </c>
      <c r="JT22" s="2">
        <v>0</v>
      </c>
      <c r="JU22" s="2">
        <v>0</v>
      </c>
      <c r="JV22" s="2">
        <v>0</v>
      </c>
      <c r="JW22" s="4">
        <v>0</v>
      </c>
      <c r="JX22" s="2">
        <v>0</v>
      </c>
      <c r="JY22" s="4">
        <v>0</v>
      </c>
      <c r="KB22" s="7">
        <v>0.1</v>
      </c>
      <c r="KD22" s="7">
        <v>0.9</v>
      </c>
      <c r="KE22" s="7">
        <v>1</v>
      </c>
      <c r="KF22" s="2">
        <v>88</v>
      </c>
      <c r="KH22" s="2">
        <v>56</v>
      </c>
      <c r="KK22" s="2">
        <v>32</v>
      </c>
      <c r="KQ22" s="2" t="s">
        <v>83</v>
      </c>
      <c r="KS22" s="2" t="s">
        <v>73</v>
      </c>
      <c r="KT22" s="2">
        <v>1</v>
      </c>
      <c r="KU22" s="2" t="s">
        <v>84</v>
      </c>
      <c r="KW22" s="2" t="s">
        <v>86</v>
      </c>
      <c r="KX22" s="2" t="s">
        <v>17</v>
      </c>
      <c r="KY22" s="2" t="s">
        <v>17</v>
      </c>
      <c r="KZ22" s="2" t="s">
        <v>17</v>
      </c>
      <c r="LA22" s="2" t="s">
        <v>17</v>
      </c>
      <c r="LB22" s="2" t="s">
        <v>17</v>
      </c>
      <c r="LC22" s="2" t="s">
        <v>17</v>
      </c>
      <c r="LD22" s="2" t="s">
        <v>17</v>
      </c>
      <c r="LE22" s="2" t="s">
        <v>17</v>
      </c>
      <c r="LF22" s="2" t="s">
        <v>17</v>
      </c>
      <c r="LG22" s="2" t="s">
        <v>17</v>
      </c>
      <c r="LH22" s="2" t="s">
        <v>17</v>
      </c>
      <c r="LI22" s="2" t="s">
        <v>17</v>
      </c>
      <c r="LJ22" s="2" t="s">
        <v>87</v>
      </c>
      <c r="LK22" s="2" t="s">
        <v>17</v>
      </c>
      <c r="LL22" s="2" t="s">
        <v>17</v>
      </c>
      <c r="LM22" s="2">
        <v>0</v>
      </c>
      <c r="LN22" s="2" t="s">
        <v>17</v>
      </c>
      <c r="LO22" s="2" t="s">
        <v>17</v>
      </c>
      <c r="LP22" s="2" t="s">
        <v>17</v>
      </c>
      <c r="LQ22" s="2" t="s">
        <v>17</v>
      </c>
      <c r="LR22" s="2" t="s">
        <v>17</v>
      </c>
      <c r="LS22" s="2" t="s">
        <v>17</v>
      </c>
      <c r="LT22" s="2" t="s">
        <v>9</v>
      </c>
      <c r="LU22" s="2" t="s">
        <v>17</v>
      </c>
      <c r="LV22" s="2" t="s">
        <v>17</v>
      </c>
      <c r="LW22" s="2" t="s">
        <v>9</v>
      </c>
      <c r="LX22" s="2" t="s">
        <v>9</v>
      </c>
      <c r="LY22" s="5">
        <v>6500000</v>
      </c>
      <c r="LZ22" s="5">
        <v>0</v>
      </c>
      <c r="MA22" s="5">
        <v>8360000</v>
      </c>
      <c r="MB22" s="5">
        <v>5500000</v>
      </c>
      <c r="MC22" s="5">
        <v>5500000</v>
      </c>
      <c r="MD22" s="5">
        <v>580500</v>
      </c>
      <c r="ME22" s="5">
        <v>580500</v>
      </c>
      <c r="MF22" s="5">
        <v>580500</v>
      </c>
      <c r="MG22" s="5">
        <v>9240000</v>
      </c>
      <c r="MH22" s="5">
        <v>0</v>
      </c>
      <c r="MI22" s="5">
        <v>9240000</v>
      </c>
      <c r="MJ22" s="5">
        <v>0</v>
      </c>
      <c r="MK22" s="5">
        <v>580500</v>
      </c>
      <c r="ML22" s="5">
        <v>0</v>
      </c>
      <c r="MM22" s="5">
        <v>0</v>
      </c>
      <c r="MN22" s="2">
        <v>0</v>
      </c>
      <c r="MO22" s="5">
        <v>0</v>
      </c>
      <c r="MP22" s="5">
        <v>0</v>
      </c>
      <c r="MQ22" s="2">
        <v>0</v>
      </c>
      <c r="MR22" s="2">
        <v>0</v>
      </c>
      <c r="MS22" s="2">
        <v>0</v>
      </c>
      <c r="MT22" s="5">
        <v>2950000</v>
      </c>
      <c r="MU22" s="5">
        <v>0</v>
      </c>
      <c r="MV22" s="5">
        <v>4600000</v>
      </c>
      <c r="MW22" s="5">
        <v>0</v>
      </c>
      <c r="MY22" s="5">
        <v>0</v>
      </c>
      <c r="MZ22" s="5">
        <v>0</v>
      </c>
      <c r="NA22" s="5">
        <v>0</v>
      </c>
      <c r="NB22" s="5">
        <v>2500000</v>
      </c>
      <c r="NC22" s="5">
        <v>0</v>
      </c>
      <c r="ND22" s="5">
        <v>5000000</v>
      </c>
      <c r="NE22" s="5">
        <v>0</v>
      </c>
      <c r="NF22" s="5">
        <v>0</v>
      </c>
      <c r="NG22" s="5">
        <v>0</v>
      </c>
      <c r="NH22" s="5"/>
      <c r="NI22" s="5">
        <v>0</v>
      </c>
      <c r="NJ22" s="5">
        <v>1169021</v>
      </c>
      <c r="NK22" s="2" t="s">
        <v>17</v>
      </c>
      <c r="NL22" s="2" t="s">
        <v>4292</v>
      </c>
      <c r="NM22" s="2" t="s">
        <v>9</v>
      </c>
      <c r="NN22" s="2" t="s">
        <v>4497</v>
      </c>
      <c r="NO22" s="2" t="s">
        <v>17</v>
      </c>
      <c r="NR22" s="2" t="s">
        <v>17</v>
      </c>
      <c r="NT22" s="2" t="s">
        <v>9</v>
      </c>
      <c r="NU22" s="2" t="s">
        <v>450</v>
      </c>
      <c r="NV22" s="2">
        <v>208.01</v>
      </c>
      <c r="NW22" s="2" t="s">
        <v>1221</v>
      </c>
      <c r="NX22" s="2" t="s">
        <v>118</v>
      </c>
      <c r="NY22" s="2" t="s">
        <v>118</v>
      </c>
      <c r="NZ22" s="2" t="s">
        <v>118</v>
      </c>
      <c r="OA22" s="2" t="s">
        <v>17</v>
      </c>
      <c r="OB22" s="2" t="s">
        <v>119</v>
      </c>
      <c r="OC22" s="5">
        <v>14000000</v>
      </c>
      <c r="OF22" s="2" t="s">
        <v>17</v>
      </c>
      <c r="OG22" s="2" t="s">
        <v>17</v>
      </c>
      <c r="OH22" s="2" t="s">
        <v>85</v>
      </c>
      <c r="OI22" s="6">
        <v>0</v>
      </c>
      <c r="OJ22" s="6">
        <v>165000</v>
      </c>
      <c r="OK22" s="2" t="s">
        <v>17</v>
      </c>
      <c r="OL22" s="2" t="s">
        <v>17</v>
      </c>
      <c r="OM22" s="6">
        <v>0</v>
      </c>
      <c r="ON22" s="6">
        <v>0</v>
      </c>
      <c r="OO22" s="6">
        <v>0</v>
      </c>
      <c r="OP22" s="6">
        <v>0</v>
      </c>
      <c r="OQ22" s="4">
        <v>0</v>
      </c>
      <c r="OR22" s="6">
        <v>0</v>
      </c>
      <c r="OS22" s="4">
        <v>0</v>
      </c>
      <c r="OT22" s="2" t="s">
        <v>17</v>
      </c>
      <c r="OU22" s="2" t="s">
        <v>9</v>
      </c>
      <c r="OV22" s="2" t="s">
        <v>1222</v>
      </c>
      <c r="OW22" s="2" t="s">
        <v>17</v>
      </c>
      <c r="OX22" s="5">
        <v>4349924</v>
      </c>
      <c r="OY22" s="6">
        <v>49430.95</v>
      </c>
      <c r="PD22" s="8">
        <v>12643866</v>
      </c>
      <c r="PE22" s="8">
        <v>110000</v>
      </c>
      <c r="PF22" s="8">
        <v>12753866</v>
      </c>
      <c r="PO22" s="8">
        <v>12643866</v>
      </c>
      <c r="PP22" s="8">
        <v>110000</v>
      </c>
      <c r="PQ22" s="8">
        <v>12753866</v>
      </c>
      <c r="PR22" s="8">
        <v>1785541</v>
      </c>
      <c r="PT22" s="8">
        <v>1785541</v>
      </c>
      <c r="PU22" s="6">
        <v>1785541</v>
      </c>
      <c r="PV22" s="8">
        <v>14429407</v>
      </c>
      <c r="PW22" s="8">
        <v>110000</v>
      </c>
      <c r="PX22" s="8">
        <v>14539407</v>
      </c>
      <c r="PY22" s="8">
        <v>711970</v>
      </c>
      <c r="QA22" s="8">
        <v>711970</v>
      </c>
      <c r="QB22" s="6">
        <v>726970.35</v>
      </c>
      <c r="QC22" s="8">
        <v>790831</v>
      </c>
      <c r="QD22" s="8">
        <v>190118</v>
      </c>
      <c r="QE22" s="8">
        <v>980949</v>
      </c>
      <c r="QF22" s="8">
        <v>154000</v>
      </c>
      <c r="QG22" s="8">
        <v>83600</v>
      </c>
      <c r="QH22" s="8">
        <v>237600</v>
      </c>
      <c r="QI22" s="8">
        <v>1085500</v>
      </c>
      <c r="QJ22" s="8">
        <v>7500</v>
      </c>
      <c r="QK22" s="8">
        <v>1093000</v>
      </c>
      <c r="QM22" s="8">
        <v>202055</v>
      </c>
      <c r="QN22" s="8">
        <v>202055</v>
      </c>
      <c r="QR22" s="8">
        <v>304407</v>
      </c>
      <c r="QS22" s="8">
        <v>132000</v>
      </c>
      <c r="QT22" s="8">
        <v>436407</v>
      </c>
      <c r="QU22" s="8">
        <v>2334738</v>
      </c>
      <c r="QV22" s="8">
        <v>615273</v>
      </c>
      <c r="QW22" s="8">
        <v>2950011</v>
      </c>
      <c r="QX22" s="8">
        <v>147500</v>
      </c>
      <c r="QZ22" s="8">
        <v>147500</v>
      </c>
      <c r="RA22" s="6">
        <v>147500.54999999999</v>
      </c>
      <c r="RB22" s="8">
        <v>1188241</v>
      </c>
      <c r="RC22" s="8">
        <v>332486</v>
      </c>
      <c r="RD22" s="8">
        <v>1520727</v>
      </c>
      <c r="RE22" s="8">
        <v>111300</v>
      </c>
      <c r="RF22" s="8">
        <v>111300</v>
      </c>
      <c r="RH22" s="8">
        <v>404200</v>
      </c>
      <c r="RI22" s="8">
        <v>404200</v>
      </c>
      <c r="RJ22" s="8">
        <v>1188241</v>
      </c>
      <c r="RK22" s="8">
        <v>847986</v>
      </c>
      <c r="RL22" s="8">
        <v>2036227</v>
      </c>
      <c r="RT22" s="8">
        <v>18811856</v>
      </c>
      <c r="RU22" s="8">
        <v>1573259</v>
      </c>
      <c r="RV22" s="8">
        <v>20385115</v>
      </c>
      <c r="RY22" s="2">
        <v>0</v>
      </c>
      <c r="RZ22" s="6">
        <v>0</v>
      </c>
      <c r="SA22" s="8">
        <v>3669320</v>
      </c>
      <c r="SC22" s="8">
        <v>3669320</v>
      </c>
      <c r="SD22" s="6">
        <v>3669320</v>
      </c>
      <c r="SE22" s="8">
        <v>3669320</v>
      </c>
      <c r="SF22" s="8">
        <v>3669320</v>
      </c>
      <c r="SG22" s="6">
        <v>3669320</v>
      </c>
      <c r="SJ22" s="6">
        <v>308000</v>
      </c>
      <c r="SK22" s="8">
        <v>450000</v>
      </c>
      <c r="SL22" s="8">
        <v>450000</v>
      </c>
      <c r="SM22" s="8">
        <v>22481176</v>
      </c>
      <c r="SN22" s="8">
        <v>2023259</v>
      </c>
      <c r="SO22" s="8">
        <v>24504435</v>
      </c>
      <c r="SP22" s="8">
        <v>14000000</v>
      </c>
      <c r="SQ22" s="2" t="s">
        <v>4295</v>
      </c>
      <c r="SX22" s="8">
        <v>6080500</v>
      </c>
      <c r="SY22" s="2" t="s">
        <v>96</v>
      </c>
      <c r="SZ22" s="2" t="s">
        <v>96</v>
      </c>
      <c r="TA22" s="2" t="s">
        <v>96</v>
      </c>
      <c r="TB22" s="8">
        <v>2630034</v>
      </c>
      <c r="TF22" s="8">
        <v>1793901</v>
      </c>
      <c r="TG22" s="8">
        <v>24504435</v>
      </c>
      <c r="TH22" s="2">
        <v>0</v>
      </c>
      <c r="TI22" s="8">
        <v>6130000</v>
      </c>
      <c r="TJ22" s="2" t="s">
        <v>4295</v>
      </c>
      <c r="TR22" s="8">
        <v>6080500</v>
      </c>
      <c r="TS22" s="8">
        <v>10520137</v>
      </c>
      <c r="TZ22" s="8">
        <v>1773798</v>
      </c>
      <c r="UA22" s="8">
        <v>24504435</v>
      </c>
      <c r="UB22" s="6">
        <v>12210500</v>
      </c>
      <c r="UC22" s="2">
        <v>0</v>
      </c>
      <c r="UD22" s="2">
        <v>88</v>
      </c>
      <c r="UE22" s="5">
        <v>270000</v>
      </c>
      <c r="UF22" s="6">
        <v>360000</v>
      </c>
      <c r="UG22" s="6">
        <v>375000</v>
      </c>
      <c r="UH22" s="6">
        <v>397500</v>
      </c>
      <c r="UI22" s="6">
        <v>34980000</v>
      </c>
      <c r="UJ22" s="6">
        <v>6296400</v>
      </c>
      <c r="UK22" s="2" t="s">
        <v>97</v>
      </c>
      <c r="UL22" s="6">
        <v>6296400</v>
      </c>
      <c r="UM22" s="6">
        <v>41276400</v>
      </c>
      <c r="UN22" s="6">
        <v>24054435</v>
      </c>
      <c r="UQ22" s="6">
        <v>0</v>
      </c>
      <c r="US22" s="6">
        <v>0</v>
      </c>
      <c r="UU22" s="6">
        <v>50000</v>
      </c>
      <c r="UV22" s="6">
        <v>50000</v>
      </c>
      <c r="UW22" s="6">
        <v>50000</v>
      </c>
      <c r="UX22" s="6">
        <v>0</v>
      </c>
      <c r="UY22" s="6">
        <v>50000</v>
      </c>
      <c r="UZ22" s="2" t="s">
        <v>4498</v>
      </c>
      <c r="VA22" s="2" t="s">
        <v>3288</v>
      </c>
      <c r="VB22" s="2" t="s">
        <v>17</v>
      </c>
      <c r="VI22" s="388" t="s">
        <v>1215</v>
      </c>
      <c r="VJ22" s="2" t="s">
        <v>98</v>
      </c>
      <c r="VK22" s="2" t="s">
        <v>4499</v>
      </c>
      <c r="VL22" s="23">
        <f t="shared" si="0"/>
        <v>120</v>
      </c>
      <c r="VM22" s="17">
        <f t="shared" si="1"/>
        <v>1.3636363636363635</v>
      </c>
      <c r="VN22" s="17" t="str">
        <f t="shared" si="2"/>
        <v>NC-MR-E</v>
      </c>
      <c r="VO22" s="17" t="str">
        <f t="shared" si="15"/>
        <v>NC-MR-E-ESS</v>
      </c>
      <c r="VP22" s="57">
        <v>1</v>
      </c>
      <c r="VQ22" s="17">
        <f t="shared" si="3"/>
        <v>1.1100000000000001</v>
      </c>
      <c r="VR22" s="14">
        <f t="shared" si="4"/>
        <v>1</v>
      </c>
      <c r="VS22" s="14">
        <f t="shared" si="5"/>
        <v>0.87</v>
      </c>
      <c r="VT22" s="12">
        <f t="shared" si="6"/>
        <v>0.8448</v>
      </c>
      <c r="VU22" s="29">
        <f t="shared" si="7"/>
        <v>4487028.4800000004</v>
      </c>
      <c r="VV22" s="29">
        <f t="shared" si="8"/>
        <v>50988.959999999999</v>
      </c>
      <c r="VW22" s="351" t="str">
        <f t="shared" si="16"/>
        <v>A</v>
      </c>
      <c r="VX22" s="12" t="str">
        <f t="shared" si="9"/>
        <v>NC-MR-ESS</v>
      </c>
      <c r="VY22" s="23">
        <f t="shared" si="17"/>
        <v>3</v>
      </c>
      <c r="WA22" s="12">
        <f t="shared" si="18"/>
        <v>1</v>
      </c>
      <c r="WB22" s="12">
        <f t="shared" si="19"/>
        <v>1</v>
      </c>
      <c r="WC22" s="12">
        <f t="shared" si="19"/>
        <v>0</v>
      </c>
      <c r="WD22" s="12">
        <f t="shared" si="19"/>
        <v>1</v>
      </c>
      <c r="WE22" s="12">
        <f t="shared" si="20"/>
        <v>1</v>
      </c>
      <c r="WF22" s="12">
        <f t="shared" si="10"/>
        <v>0</v>
      </c>
      <c r="WG22" s="12">
        <f t="shared" si="11"/>
        <v>1</v>
      </c>
      <c r="WH22" s="12">
        <f t="shared" si="12"/>
        <v>0</v>
      </c>
      <c r="WI22" s="31">
        <f t="shared" si="13"/>
        <v>5</v>
      </c>
      <c r="WK22" s="444" t="str">
        <f t="shared" si="21"/>
        <v>NC-MR-ESS-BBY-BRN-PHA-E</v>
      </c>
      <c r="WL22" s="444"/>
      <c r="WM22" s="444"/>
    </row>
    <row r="23" spans="1:611" x14ac:dyDescent="0.25">
      <c r="A23" s="2">
        <v>9236</v>
      </c>
      <c r="B23" s="2" t="s">
        <v>4500</v>
      </c>
      <c r="C23" s="2" t="s">
        <v>4205</v>
      </c>
      <c r="D23" s="3">
        <v>45128</v>
      </c>
      <c r="E23" s="2" t="s">
        <v>9</v>
      </c>
      <c r="F23" s="2">
        <v>1</v>
      </c>
      <c r="G23" s="2" t="s">
        <v>9</v>
      </c>
      <c r="H23" s="2">
        <v>1</v>
      </c>
      <c r="I23" s="2" t="s">
        <v>11</v>
      </c>
      <c r="J23" s="2">
        <v>0</v>
      </c>
      <c r="K23" s="2" t="s">
        <v>9</v>
      </c>
      <c r="L23" s="2">
        <v>1</v>
      </c>
      <c r="M23" s="2" t="s">
        <v>10</v>
      </c>
      <c r="N23" s="2">
        <v>0</v>
      </c>
      <c r="O23" s="2" t="s">
        <v>10</v>
      </c>
      <c r="P23" s="2">
        <v>0</v>
      </c>
      <c r="Q23" s="2" t="s">
        <v>11</v>
      </c>
      <c r="R23" s="2">
        <v>0</v>
      </c>
      <c r="S23" s="2" t="s">
        <v>9</v>
      </c>
      <c r="T23" s="2">
        <v>2</v>
      </c>
      <c r="U23" s="2" t="s">
        <v>9</v>
      </c>
      <c r="V23" s="2">
        <v>2</v>
      </c>
      <c r="W23" s="2" t="s">
        <v>9</v>
      </c>
      <c r="X23" s="2">
        <v>2</v>
      </c>
      <c r="Y23" s="2" t="s">
        <v>12</v>
      </c>
      <c r="Z23" s="2" t="s">
        <v>1518</v>
      </c>
      <c r="AA23" s="2" t="s">
        <v>15</v>
      </c>
      <c r="AB23" s="2" t="s">
        <v>15</v>
      </c>
      <c r="AC23" s="2" t="s">
        <v>15</v>
      </c>
      <c r="AD23" s="2" t="s">
        <v>15</v>
      </c>
      <c r="AE23" s="2" t="s">
        <v>15</v>
      </c>
      <c r="AF23" s="2">
        <v>1</v>
      </c>
      <c r="AG23" s="2" t="s">
        <v>1519</v>
      </c>
      <c r="AH23" s="2" t="s">
        <v>17</v>
      </c>
      <c r="AI23" s="4">
        <v>0.15</v>
      </c>
      <c r="AJ23" s="2" t="s">
        <v>17</v>
      </c>
      <c r="AK23" s="2" t="s">
        <v>9</v>
      </c>
      <c r="AL23" s="2" t="s">
        <v>17</v>
      </c>
      <c r="AM23" s="2" t="s">
        <v>17</v>
      </c>
      <c r="AN23" s="2" t="s">
        <v>17</v>
      </c>
      <c r="AO23" s="2" t="s">
        <v>9</v>
      </c>
      <c r="AP23" s="2" t="s">
        <v>17</v>
      </c>
      <c r="AQ23" s="2" t="s">
        <v>17</v>
      </c>
      <c r="AR23" s="2" t="s">
        <v>17</v>
      </c>
      <c r="AS23" s="2" t="s">
        <v>17</v>
      </c>
      <c r="AT23" s="2">
        <v>5</v>
      </c>
      <c r="AU23" s="5">
        <v>37500</v>
      </c>
      <c r="AV23" s="5">
        <v>460000</v>
      </c>
      <c r="AW23" s="2">
        <v>1</v>
      </c>
      <c r="AX23" s="2">
        <v>7</v>
      </c>
      <c r="AY23" s="2">
        <v>0</v>
      </c>
      <c r="AZ23" s="2">
        <v>17</v>
      </c>
      <c r="BA23" s="2">
        <v>0</v>
      </c>
      <c r="BB23" s="2">
        <v>1</v>
      </c>
      <c r="BC23" s="2">
        <v>1</v>
      </c>
      <c r="BD23" s="2">
        <v>0</v>
      </c>
      <c r="BE23" s="2">
        <v>1</v>
      </c>
      <c r="BF23" s="2">
        <v>1</v>
      </c>
      <c r="BG23" s="2">
        <v>0</v>
      </c>
      <c r="BH23" s="2">
        <v>0</v>
      </c>
      <c r="BI23" s="2">
        <v>13</v>
      </c>
      <c r="BJ23" s="2">
        <v>1</v>
      </c>
      <c r="BK23" s="2">
        <v>0</v>
      </c>
      <c r="BL23" s="2">
        <v>3</v>
      </c>
      <c r="BM23" s="2">
        <v>1</v>
      </c>
      <c r="BN23" s="2">
        <v>10</v>
      </c>
      <c r="BO23" s="2">
        <v>10</v>
      </c>
      <c r="BP23" s="2">
        <v>49.58</v>
      </c>
      <c r="BQ23" s="5">
        <v>10250000</v>
      </c>
      <c r="BR23" s="2">
        <v>1</v>
      </c>
      <c r="BS23" s="4">
        <v>0.06</v>
      </c>
      <c r="BT23" s="2" t="s">
        <v>9</v>
      </c>
      <c r="BU23" s="2" t="s">
        <v>17</v>
      </c>
      <c r="BV23" s="6">
        <v>50493.98</v>
      </c>
      <c r="BW23" s="2" t="s">
        <v>18</v>
      </c>
      <c r="BX23" s="2" t="s">
        <v>17</v>
      </c>
      <c r="BY23" s="2" t="s">
        <v>17</v>
      </c>
      <c r="BZ23" s="2" t="s">
        <v>17</v>
      </c>
      <c r="CA23" s="2" t="s">
        <v>17</v>
      </c>
      <c r="CB23" s="2" t="s">
        <v>17</v>
      </c>
      <c r="CC23" s="2" t="s">
        <v>17</v>
      </c>
      <c r="CE23" s="2" t="s">
        <v>4501</v>
      </c>
      <c r="CF23" s="2" t="s">
        <v>17</v>
      </c>
      <c r="CG23" s="2" t="s">
        <v>17</v>
      </c>
      <c r="DA23" s="2" t="s">
        <v>4502</v>
      </c>
      <c r="DD23" s="2" t="s">
        <v>9</v>
      </c>
      <c r="DE23" s="2" t="s">
        <v>4503</v>
      </c>
      <c r="DF23" s="2" t="s">
        <v>4504</v>
      </c>
      <c r="DG23" s="2" t="s">
        <v>4335</v>
      </c>
      <c r="DH23" s="2" t="s">
        <v>4336</v>
      </c>
      <c r="DI23" s="2">
        <v>110</v>
      </c>
      <c r="DJ23" s="2" t="s">
        <v>4505</v>
      </c>
      <c r="DK23" s="2">
        <v>2023</v>
      </c>
      <c r="DL23" s="2" t="s">
        <v>4209</v>
      </c>
      <c r="DM23" s="2" t="s">
        <v>4210</v>
      </c>
      <c r="DN23" s="2" t="s">
        <v>33</v>
      </c>
      <c r="DO23" s="2" t="s">
        <v>656</v>
      </c>
      <c r="DQ23" s="2" t="s">
        <v>3360</v>
      </c>
      <c r="DR23" s="2" t="s">
        <v>3361</v>
      </c>
      <c r="DS23" s="2">
        <v>1</v>
      </c>
      <c r="DT23" s="2" t="s">
        <v>4340</v>
      </c>
      <c r="DU23" s="2" t="s">
        <v>4341</v>
      </c>
      <c r="DV23" s="2" t="s">
        <v>39</v>
      </c>
      <c r="DW23" s="2">
        <v>85028</v>
      </c>
      <c r="DX23" s="2" t="s">
        <v>4359</v>
      </c>
      <c r="DZ23" s="2" t="s">
        <v>4344</v>
      </c>
      <c r="EA23" s="2" t="s">
        <v>4345</v>
      </c>
      <c r="EB23" s="2" t="s">
        <v>3365</v>
      </c>
      <c r="EC23" s="2" t="s">
        <v>3366</v>
      </c>
      <c r="ED23" s="2" t="s">
        <v>44</v>
      </c>
      <c r="EE23" s="2">
        <v>110</v>
      </c>
      <c r="EF23" s="2" t="s">
        <v>4506</v>
      </c>
      <c r="EG23" s="2">
        <v>2</v>
      </c>
      <c r="EH23" s="2" t="s">
        <v>46</v>
      </c>
      <c r="EI23" s="2" t="s">
        <v>47</v>
      </c>
      <c r="EJ23" s="2" t="s">
        <v>4347</v>
      </c>
      <c r="EK23" s="2" t="s">
        <v>4507</v>
      </c>
      <c r="EL23" s="2" t="s">
        <v>44</v>
      </c>
      <c r="EM23" s="2">
        <v>104</v>
      </c>
      <c r="EN23" s="2" t="s">
        <v>4506</v>
      </c>
      <c r="EO23" s="2">
        <v>5</v>
      </c>
      <c r="EP23" s="2" t="s">
        <v>46</v>
      </c>
      <c r="EQ23" s="2" t="s">
        <v>47</v>
      </c>
      <c r="ER23" s="2" t="s">
        <v>1100</v>
      </c>
      <c r="ES23" s="2" t="s">
        <v>951</v>
      </c>
      <c r="ET23" s="2" t="s">
        <v>1101</v>
      </c>
      <c r="EU23" s="2" t="s">
        <v>1102</v>
      </c>
      <c r="EV23" s="2" t="s">
        <v>1103</v>
      </c>
      <c r="EW23" s="2" t="s">
        <v>299</v>
      </c>
      <c r="EX23" s="2" t="s">
        <v>39</v>
      </c>
      <c r="EY23" s="2">
        <v>33131</v>
      </c>
      <c r="EZ23" s="2" t="s">
        <v>1390</v>
      </c>
      <c r="FB23" s="2" t="s">
        <v>1105</v>
      </c>
      <c r="FC23" s="2" t="s">
        <v>2783</v>
      </c>
      <c r="FE23" s="2" t="s">
        <v>1107</v>
      </c>
      <c r="FF23" s="2" t="s">
        <v>1102</v>
      </c>
      <c r="FG23" s="2" t="s">
        <v>1103</v>
      </c>
      <c r="FH23" s="2" t="s">
        <v>299</v>
      </c>
      <c r="FI23" s="2" t="s">
        <v>39</v>
      </c>
      <c r="FJ23" s="2">
        <v>33131</v>
      </c>
      <c r="FK23" s="2" t="s">
        <v>4508</v>
      </c>
      <c r="FM23" s="2" t="s">
        <v>1110</v>
      </c>
      <c r="FN23" s="2" t="s">
        <v>4509</v>
      </c>
      <c r="FO23" s="2" t="s">
        <v>63</v>
      </c>
      <c r="FP23" s="2" t="s">
        <v>64</v>
      </c>
      <c r="FQ23" s="2" t="s">
        <v>9</v>
      </c>
      <c r="FR23" s="2" t="s">
        <v>17</v>
      </c>
      <c r="FS23" s="2" t="s">
        <v>17</v>
      </c>
      <c r="FT23" s="2" t="s">
        <v>9</v>
      </c>
      <c r="FX23" s="2">
        <v>0</v>
      </c>
      <c r="FY23" s="2">
        <v>0</v>
      </c>
      <c r="FZ23" s="4">
        <v>0</v>
      </c>
      <c r="GA23" s="4">
        <v>0</v>
      </c>
      <c r="GB23" s="2" t="s">
        <v>65</v>
      </c>
      <c r="GC23" s="2" t="s">
        <v>66</v>
      </c>
      <c r="GD23" s="2" t="s">
        <v>67</v>
      </c>
      <c r="GE23" s="2" t="s">
        <v>1612</v>
      </c>
      <c r="GI23" s="2">
        <v>160</v>
      </c>
      <c r="GQ23" s="2">
        <v>160</v>
      </c>
      <c r="GR23" s="2" t="s">
        <v>1112</v>
      </c>
      <c r="GS23" s="2" t="s">
        <v>70</v>
      </c>
      <c r="GT23" s="2" t="s">
        <v>4510</v>
      </c>
      <c r="GU23" s="2" t="s">
        <v>1114</v>
      </c>
      <c r="GV23" s="2" t="s">
        <v>17</v>
      </c>
      <c r="GW23" s="2">
        <v>26.053602999999999</v>
      </c>
      <c r="GX23" s="2">
        <v>-81.699196999999998</v>
      </c>
      <c r="GZ23" s="2" t="s">
        <v>17</v>
      </c>
      <c r="HA23" s="2">
        <v>0</v>
      </c>
      <c r="HB23" s="2" t="s">
        <v>17</v>
      </c>
      <c r="HC23" s="2">
        <v>0</v>
      </c>
      <c r="HD23" s="2">
        <v>26.058214</v>
      </c>
      <c r="HE23" s="2">
        <v>-81.697271999999998</v>
      </c>
      <c r="HF23" s="2">
        <v>0.35</v>
      </c>
      <c r="HG23" s="2">
        <v>1.5</v>
      </c>
      <c r="HZ23" s="2" t="s">
        <v>74</v>
      </c>
      <c r="IA23" s="2">
        <v>0.3</v>
      </c>
      <c r="IB23" s="2">
        <v>4</v>
      </c>
      <c r="IF23" s="2" t="s">
        <v>76</v>
      </c>
      <c r="IG23" s="2">
        <v>0.3</v>
      </c>
      <c r="IH23" s="2">
        <v>4</v>
      </c>
      <c r="II23" s="2" t="s">
        <v>4511</v>
      </c>
      <c r="IJ23" s="2">
        <v>1.4</v>
      </c>
      <c r="IK23" s="2">
        <v>2</v>
      </c>
      <c r="IL23" s="2" t="s">
        <v>17</v>
      </c>
      <c r="IM23" s="2" t="s">
        <v>17</v>
      </c>
      <c r="IO23" s="2" t="s">
        <v>17</v>
      </c>
      <c r="IP23" s="2" t="s">
        <v>79</v>
      </c>
      <c r="IQ23" s="2" t="s">
        <v>79</v>
      </c>
      <c r="IR23" s="2">
        <v>1.5</v>
      </c>
      <c r="IS23" s="2">
        <v>10</v>
      </c>
      <c r="IT23" s="2">
        <v>0</v>
      </c>
      <c r="IU23" s="2">
        <v>11.5</v>
      </c>
      <c r="IV23" s="2" t="s">
        <v>80</v>
      </c>
      <c r="IW23" s="2" t="s">
        <v>9</v>
      </c>
      <c r="IX23" s="2" t="s">
        <v>9</v>
      </c>
      <c r="IY23" s="2">
        <v>11.5</v>
      </c>
      <c r="IZ23" s="2">
        <v>160</v>
      </c>
      <c r="JB23" s="2" t="s">
        <v>82</v>
      </c>
      <c r="JH23" s="7">
        <v>0</v>
      </c>
      <c r="JI23" s="2">
        <v>0</v>
      </c>
      <c r="JJ23" s="7">
        <v>0</v>
      </c>
      <c r="JK23" s="2">
        <v>0</v>
      </c>
      <c r="JL23" s="7">
        <v>0</v>
      </c>
      <c r="JN23" s="2">
        <v>24</v>
      </c>
      <c r="JQ23" s="2">
        <v>100</v>
      </c>
      <c r="JS23" s="2">
        <v>36</v>
      </c>
      <c r="JT23" s="2">
        <v>0</v>
      </c>
      <c r="JU23" s="2">
        <v>0</v>
      </c>
      <c r="JV23" s="2">
        <v>160</v>
      </c>
      <c r="JW23" s="4">
        <v>1</v>
      </c>
      <c r="JX23" s="2">
        <v>160</v>
      </c>
      <c r="JY23" s="4">
        <v>0.6</v>
      </c>
      <c r="KE23" s="7">
        <v>0</v>
      </c>
      <c r="KF23" s="2">
        <v>0</v>
      </c>
      <c r="KH23" s="2">
        <v>64</v>
      </c>
      <c r="KK23" s="2">
        <v>83</v>
      </c>
      <c r="KL23" s="2">
        <v>13</v>
      </c>
      <c r="KQ23" s="2" t="s">
        <v>83</v>
      </c>
      <c r="KR23" s="2" t="s">
        <v>73</v>
      </c>
      <c r="KT23" s="2">
        <v>1</v>
      </c>
      <c r="KU23" s="2" t="s">
        <v>84</v>
      </c>
      <c r="KW23" s="2" t="s">
        <v>86</v>
      </c>
      <c r="KX23" s="2" t="s">
        <v>17</v>
      </c>
      <c r="KY23" s="2" t="s">
        <v>17</v>
      </c>
      <c r="KZ23" s="2" t="s">
        <v>17</v>
      </c>
      <c r="LA23" s="2" t="s">
        <v>17</v>
      </c>
      <c r="LB23" s="2" t="s">
        <v>17</v>
      </c>
      <c r="LC23" s="2" t="s">
        <v>17</v>
      </c>
      <c r="LD23" s="2" t="s">
        <v>17</v>
      </c>
      <c r="LE23" s="2" t="s">
        <v>17</v>
      </c>
      <c r="LF23" s="2" t="s">
        <v>17</v>
      </c>
      <c r="LG23" s="2" t="s">
        <v>17</v>
      </c>
      <c r="LH23" s="2" t="s">
        <v>17</v>
      </c>
      <c r="LI23" s="2" t="s">
        <v>17</v>
      </c>
      <c r="LJ23" s="2" t="s">
        <v>87</v>
      </c>
      <c r="LK23" s="2" t="s">
        <v>17</v>
      </c>
      <c r="LL23" s="2" t="s">
        <v>17</v>
      </c>
      <c r="LM23" s="2">
        <v>0</v>
      </c>
      <c r="LN23" s="2" t="s">
        <v>17</v>
      </c>
      <c r="LO23" s="2" t="s">
        <v>9</v>
      </c>
      <c r="LP23" s="2" t="s">
        <v>9</v>
      </c>
      <c r="LQ23" s="2" t="s">
        <v>17</v>
      </c>
      <c r="LR23" s="2" t="s">
        <v>9</v>
      </c>
      <c r="LS23" s="2" t="s">
        <v>17</v>
      </c>
      <c r="LT23" s="2" t="s">
        <v>17</v>
      </c>
      <c r="LU23" s="2" t="s">
        <v>17</v>
      </c>
      <c r="LV23" s="2" t="s">
        <v>17</v>
      </c>
      <c r="LW23" s="2" t="s">
        <v>17</v>
      </c>
      <c r="LX23" s="2" t="s">
        <v>17</v>
      </c>
      <c r="LY23" s="5">
        <v>6500000</v>
      </c>
      <c r="LZ23" s="5">
        <v>0</v>
      </c>
      <c r="MA23" s="5">
        <v>9500000</v>
      </c>
      <c r="MB23" s="5">
        <v>9500000</v>
      </c>
      <c r="MC23" s="5">
        <v>9500000</v>
      </c>
      <c r="MD23" s="5">
        <v>750000</v>
      </c>
      <c r="ME23" s="5">
        <v>750000</v>
      </c>
      <c r="MF23" s="5">
        <v>750000</v>
      </c>
      <c r="MG23" s="5">
        <v>10000000</v>
      </c>
      <c r="MH23" s="5">
        <v>0</v>
      </c>
      <c r="MI23" s="5">
        <v>10000000</v>
      </c>
      <c r="MJ23" s="5">
        <v>0</v>
      </c>
      <c r="MK23" s="5">
        <v>1711100</v>
      </c>
      <c r="ML23" s="5">
        <v>0</v>
      </c>
      <c r="MM23" s="5">
        <v>0</v>
      </c>
      <c r="MN23" s="2">
        <v>0</v>
      </c>
      <c r="MO23" s="5">
        <v>0</v>
      </c>
      <c r="MP23" s="5">
        <v>0</v>
      </c>
      <c r="MQ23" s="2">
        <v>0</v>
      </c>
      <c r="MR23" s="2">
        <v>0</v>
      </c>
      <c r="MS23" s="2">
        <v>0</v>
      </c>
      <c r="MT23" s="5">
        <v>2950000</v>
      </c>
      <c r="MU23" s="5">
        <v>0</v>
      </c>
      <c r="MV23" s="5">
        <v>4600000</v>
      </c>
      <c r="MW23" s="5">
        <v>0</v>
      </c>
      <c r="MY23" s="5">
        <v>0</v>
      </c>
      <c r="MZ23" s="5">
        <v>0</v>
      </c>
      <c r="NA23" s="5">
        <v>0</v>
      </c>
      <c r="NB23" s="5">
        <v>2500000</v>
      </c>
      <c r="NC23" s="5">
        <v>0</v>
      </c>
      <c r="ND23" s="5">
        <v>5000000</v>
      </c>
      <c r="NE23" s="5">
        <v>0</v>
      </c>
      <c r="NF23" s="5">
        <v>0</v>
      </c>
      <c r="NG23" s="5">
        <v>0</v>
      </c>
      <c r="NH23" s="5"/>
      <c r="NI23" s="5">
        <v>0</v>
      </c>
      <c r="NJ23" s="5">
        <v>2346027</v>
      </c>
      <c r="NK23" s="2" t="s">
        <v>9</v>
      </c>
      <c r="NL23" s="2" t="s">
        <v>4292</v>
      </c>
      <c r="NM23" s="2" t="s">
        <v>17</v>
      </c>
      <c r="NO23" s="2" t="s">
        <v>17</v>
      </c>
      <c r="NR23" s="2" t="s">
        <v>17</v>
      </c>
      <c r="NT23" s="2" t="s">
        <v>9</v>
      </c>
      <c r="NU23" s="2" t="s">
        <v>450</v>
      </c>
      <c r="NV23" s="2">
        <v>111.03</v>
      </c>
      <c r="NW23" s="2" t="s">
        <v>4512</v>
      </c>
      <c r="NX23" s="2" t="s">
        <v>118</v>
      </c>
      <c r="NY23" s="2" t="s">
        <v>118</v>
      </c>
      <c r="NZ23" s="2" t="s">
        <v>118</v>
      </c>
      <c r="OA23" s="2" t="s">
        <v>17</v>
      </c>
      <c r="OB23" s="2" t="s">
        <v>119</v>
      </c>
      <c r="OC23" s="5">
        <v>31000000</v>
      </c>
      <c r="OF23" s="2" t="s">
        <v>17</v>
      </c>
      <c r="OG23" s="2" t="s">
        <v>17</v>
      </c>
      <c r="OH23" s="2" t="s">
        <v>85</v>
      </c>
      <c r="OI23" s="6">
        <v>0</v>
      </c>
      <c r="OJ23" s="6">
        <v>285000</v>
      </c>
      <c r="OK23" s="2" t="s">
        <v>17</v>
      </c>
      <c r="OL23" s="2" t="s">
        <v>17</v>
      </c>
      <c r="OM23" s="6">
        <v>0</v>
      </c>
      <c r="ON23" s="6">
        <v>0</v>
      </c>
      <c r="OO23" s="6">
        <v>0</v>
      </c>
      <c r="OP23" s="6">
        <v>0</v>
      </c>
      <c r="OQ23" s="4">
        <v>0</v>
      </c>
      <c r="OR23" s="6">
        <v>0</v>
      </c>
      <c r="OS23" s="4">
        <v>0</v>
      </c>
      <c r="OT23" s="2" t="s">
        <v>17</v>
      </c>
      <c r="OU23" s="2" t="s">
        <v>17</v>
      </c>
      <c r="OW23" s="2" t="s">
        <v>17</v>
      </c>
      <c r="OX23" s="5">
        <v>8079038</v>
      </c>
      <c r="OY23" s="6">
        <v>50493.98</v>
      </c>
      <c r="PD23" s="8">
        <v>26960746</v>
      </c>
      <c r="PF23" s="8">
        <v>26960746</v>
      </c>
      <c r="PL23" s="8">
        <v>305000</v>
      </c>
      <c r="PN23" s="8">
        <v>305000</v>
      </c>
      <c r="PO23" s="8">
        <v>27265746</v>
      </c>
      <c r="PQ23" s="8">
        <v>27265746</v>
      </c>
      <c r="PR23" s="8">
        <v>3774504</v>
      </c>
      <c r="PT23" s="8">
        <v>3774504</v>
      </c>
      <c r="PU23" s="6">
        <v>3817204</v>
      </c>
      <c r="PV23" s="8">
        <v>31040250</v>
      </c>
      <c r="PX23" s="8">
        <v>31040250</v>
      </c>
      <c r="PY23" s="8">
        <v>1536763</v>
      </c>
      <c r="QA23" s="8">
        <v>1536763</v>
      </c>
      <c r="QB23" s="6">
        <v>1552012.5</v>
      </c>
      <c r="QC23" s="8">
        <v>804615</v>
      </c>
      <c r="QD23" s="8">
        <v>14700</v>
      </c>
      <c r="QE23" s="8">
        <v>819315</v>
      </c>
      <c r="QF23" s="8">
        <v>265514</v>
      </c>
      <c r="QH23" s="8">
        <v>265514</v>
      </c>
      <c r="QI23" s="8">
        <v>1763360</v>
      </c>
      <c r="QK23" s="8">
        <v>1763360</v>
      </c>
      <c r="QM23" s="8">
        <v>397415</v>
      </c>
      <c r="QN23" s="8">
        <v>397415</v>
      </c>
      <c r="QR23" s="8">
        <v>366800</v>
      </c>
      <c r="QS23" s="8">
        <v>785700</v>
      </c>
      <c r="QT23" s="8">
        <v>1152500</v>
      </c>
      <c r="QU23" s="8">
        <v>3200289</v>
      </c>
      <c r="QV23" s="8">
        <v>1197815</v>
      </c>
      <c r="QW23" s="8">
        <v>4398104</v>
      </c>
      <c r="QX23" s="8">
        <v>150309</v>
      </c>
      <c r="QZ23" s="8">
        <v>150309</v>
      </c>
      <c r="RA23" s="6">
        <v>219905.2</v>
      </c>
      <c r="RB23" s="8">
        <v>381872</v>
      </c>
      <c r="RD23" s="8">
        <v>381872</v>
      </c>
      <c r="RE23" s="8">
        <v>352588</v>
      </c>
      <c r="RF23" s="8">
        <v>352588</v>
      </c>
      <c r="RG23" s="8">
        <v>1478134</v>
      </c>
      <c r="RH23" s="8">
        <v>1967291</v>
      </c>
      <c r="RI23" s="8">
        <v>3445425</v>
      </c>
      <c r="RJ23" s="8">
        <v>1860006</v>
      </c>
      <c r="RK23" s="8">
        <v>2319879</v>
      </c>
      <c r="RL23" s="8">
        <v>4179885</v>
      </c>
      <c r="RT23" s="8">
        <v>37787617</v>
      </c>
      <c r="RU23" s="8">
        <v>3517694</v>
      </c>
      <c r="RV23" s="8">
        <v>41305311</v>
      </c>
      <c r="RY23" s="2">
        <v>0</v>
      </c>
      <c r="RZ23" s="6">
        <v>0</v>
      </c>
      <c r="SA23" s="8">
        <v>7433155</v>
      </c>
      <c r="SC23" s="8">
        <v>7433155</v>
      </c>
      <c r="SD23" s="6">
        <v>7434955</v>
      </c>
      <c r="SE23" s="8">
        <v>7433155</v>
      </c>
      <c r="SF23" s="8">
        <v>7433155</v>
      </c>
      <c r="SG23" s="6">
        <v>7434955</v>
      </c>
      <c r="SH23" s="8">
        <v>544496</v>
      </c>
      <c r="SI23" s="8">
        <v>544496</v>
      </c>
      <c r="SJ23" s="6">
        <v>560000</v>
      </c>
      <c r="SK23" s="8">
        <v>3750000</v>
      </c>
      <c r="SL23" s="8">
        <v>3750000</v>
      </c>
      <c r="SM23" s="8">
        <v>45220772</v>
      </c>
      <c r="SN23" s="8">
        <v>7812190</v>
      </c>
      <c r="SO23" s="8">
        <v>53032962</v>
      </c>
      <c r="SP23" s="8">
        <v>31000000</v>
      </c>
      <c r="SQ23" s="2" t="s">
        <v>4295</v>
      </c>
      <c r="SX23" s="8">
        <v>10250000</v>
      </c>
      <c r="SY23" s="2" t="s">
        <v>96</v>
      </c>
      <c r="SZ23" s="2" t="s">
        <v>96</v>
      </c>
      <c r="TA23" s="2" t="s">
        <v>96</v>
      </c>
      <c r="TB23" s="8">
        <v>5629902</v>
      </c>
      <c r="TC23" s="2" t="s">
        <v>4513</v>
      </c>
      <c r="TD23" s="8">
        <v>37500</v>
      </c>
      <c r="TE23" s="2" t="s">
        <v>453</v>
      </c>
      <c r="TF23" s="8">
        <v>6115560</v>
      </c>
      <c r="TG23" s="8">
        <v>53032962</v>
      </c>
      <c r="TH23" s="2">
        <v>0</v>
      </c>
      <c r="TI23" s="8">
        <v>15550000</v>
      </c>
      <c r="TJ23" s="2" t="s">
        <v>95</v>
      </c>
      <c r="TR23" s="8">
        <v>10250000</v>
      </c>
      <c r="TS23" s="8">
        <v>22519607</v>
      </c>
      <c r="TT23" s="2" t="s">
        <v>4513</v>
      </c>
      <c r="TU23" s="8">
        <v>37500</v>
      </c>
      <c r="TV23" s="2" t="s">
        <v>453</v>
      </c>
      <c r="TZ23" s="8">
        <v>4675855</v>
      </c>
      <c r="UA23" s="8">
        <v>53032962</v>
      </c>
      <c r="UB23" s="6">
        <v>25837500</v>
      </c>
      <c r="UC23" s="2">
        <v>0</v>
      </c>
      <c r="UD23" s="2">
        <v>160</v>
      </c>
      <c r="UE23" s="5">
        <v>270000</v>
      </c>
      <c r="UF23" s="6">
        <v>360000</v>
      </c>
      <c r="UG23" s="6">
        <v>367500</v>
      </c>
      <c r="UH23" s="6">
        <v>389550</v>
      </c>
      <c r="UI23" s="6">
        <v>62328000</v>
      </c>
      <c r="UJ23" s="6">
        <v>11219040</v>
      </c>
      <c r="UK23" s="2" t="s">
        <v>97</v>
      </c>
      <c r="UL23" s="6">
        <v>11219040</v>
      </c>
      <c r="UM23" s="6">
        <v>73547040</v>
      </c>
      <c r="UN23" s="6">
        <v>48738466</v>
      </c>
      <c r="UQ23" s="6">
        <v>0</v>
      </c>
      <c r="UR23" s="6">
        <v>37500</v>
      </c>
      <c r="US23" s="6">
        <v>37500</v>
      </c>
      <c r="UV23" s="6">
        <v>0</v>
      </c>
      <c r="UW23" s="6">
        <v>37500</v>
      </c>
      <c r="UX23" s="6">
        <v>0</v>
      </c>
      <c r="UY23" s="6">
        <v>37500</v>
      </c>
      <c r="UZ23" s="2" t="s">
        <v>1502</v>
      </c>
      <c r="VA23" s="2" t="s">
        <v>453</v>
      </c>
      <c r="VB23" s="2" t="s">
        <v>17</v>
      </c>
      <c r="VI23" s="388" t="s">
        <v>1125</v>
      </c>
      <c r="VJ23" s="2" t="s">
        <v>98</v>
      </c>
      <c r="VK23" s="2" t="s">
        <v>4514</v>
      </c>
      <c r="VL23" s="23">
        <f t="shared" si="0"/>
        <v>269</v>
      </c>
      <c r="VM23" s="17">
        <f t="shared" si="1"/>
        <v>1.6812499999999999</v>
      </c>
      <c r="VN23" s="17" t="str">
        <f t="shared" si="2"/>
        <v>NC-MR-F</v>
      </c>
      <c r="VO23" s="17" t="str">
        <f t="shared" si="15"/>
        <v>NC-MR-F-ESS</v>
      </c>
      <c r="VP23" s="57">
        <v>1</v>
      </c>
      <c r="VQ23" s="17">
        <f t="shared" si="3"/>
        <v>1.1100000000000001</v>
      </c>
      <c r="VR23" s="14">
        <f t="shared" si="4"/>
        <v>1</v>
      </c>
      <c r="VS23" s="14">
        <f t="shared" si="5"/>
        <v>1</v>
      </c>
      <c r="VT23" s="12">
        <f t="shared" si="6"/>
        <v>0.8448</v>
      </c>
      <c r="VU23" s="29">
        <f t="shared" si="7"/>
        <v>8908416</v>
      </c>
      <c r="VV23" s="29">
        <f t="shared" si="8"/>
        <v>55677.599999999999</v>
      </c>
      <c r="VW23" s="351" t="str">
        <f t="shared" si="16"/>
        <v>A</v>
      </c>
      <c r="VX23" s="12" t="str">
        <f t="shared" si="9"/>
        <v>NC-MR-ESS</v>
      </c>
      <c r="VY23" s="23">
        <f t="shared" si="17"/>
        <v>3</v>
      </c>
      <c r="WA23" s="12">
        <f t="shared" si="18"/>
        <v>0</v>
      </c>
      <c r="WB23" s="12">
        <f t="shared" si="19"/>
        <v>1</v>
      </c>
      <c r="WC23" s="12">
        <f t="shared" si="19"/>
        <v>0</v>
      </c>
      <c r="WD23" s="12">
        <f t="shared" si="19"/>
        <v>0</v>
      </c>
      <c r="WE23" s="12">
        <f t="shared" si="20"/>
        <v>1</v>
      </c>
      <c r="WF23" s="12">
        <f t="shared" si="10"/>
        <v>0</v>
      </c>
      <c r="WG23" s="12">
        <f t="shared" si="11"/>
        <v>1</v>
      </c>
      <c r="WH23" s="12">
        <f t="shared" si="12"/>
        <v>0</v>
      </c>
      <c r="WI23" s="31">
        <f t="shared" si="13"/>
        <v>3</v>
      </c>
      <c r="WK23" s="444" t="str">
        <f t="shared" si="21"/>
        <v>NC-MR-ESS-BBY-BRN-NPH-F</v>
      </c>
      <c r="WL23" s="444"/>
      <c r="WM23" s="444"/>
    </row>
    <row r="24" spans="1:611" x14ac:dyDescent="0.25">
      <c r="A24" s="2">
        <v>9300</v>
      </c>
      <c r="B24" s="2" t="s">
        <v>4515</v>
      </c>
      <c r="C24" s="2" t="s">
        <v>4205</v>
      </c>
      <c r="D24" s="3">
        <v>45135</v>
      </c>
      <c r="E24" s="2" t="s">
        <v>9</v>
      </c>
      <c r="F24" s="2">
        <v>1</v>
      </c>
      <c r="G24" s="2" t="s">
        <v>9</v>
      </c>
      <c r="H24" s="2">
        <v>1</v>
      </c>
      <c r="I24" s="2" t="s">
        <v>11</v>
      </c>
      <c r="J24" s="2">
        <v>0</v>
      </c>
      <c r="K24" s="2" t="s">
        <v>9</v>
      </c>
      <c r="L24" s="2">
        <v>1</v>
      </c>
      <c r="M24" s="2" t="s">
        <v>10</v>
      </c>
      <c r="N24" s="2">
        <v>0</v>
      </c>
      <c r="O24" s="2" t="s">
        <v>10</v>
      </c>
      <c r="P24" s="2">
        <v>0</v>
      </c>
      <c r="Q24" s="2" t="s">
        <v>11</v>
      </c>
      <c r="R24" s="2">
        <v>0</v>
      </c>
      <c r="S24" s="2" t="s">
        <v>9</v>
      </c>
      <c r="T24" s="2">
        <v>2</v>
      </c>
      <c r="U24" s="2" t="s">
        <v>9</v>
      </c>
      <c r="V24" s="2">
        <v>2</v>
      </c>
      <c r="W24" s="2" t="s">
        <v>9</v>
      </c>
      <c r="X24" s="2">
        <v>2</v>
      </c>
      <c r="Y24" s="2" t="s">
        <v>12</v>
      </c>
      <c r="Z24" s="2" t="s">
        <v>189</v>
      </c>
      <c r="AA24" s="2" t="s">
        <v>15</v>
      </c>
      <c r="AB24" s="2" t="s">
        <v>15</v>
      </c>
      <c r="AC24" s="2" t="s">
        <v>15</v>
      </c>
      <c r="AD24" s="2" t="s">
        <v>15</v>
      </c>
      <c r="AE24" s="2" t="s">
        <v>15</v>
      </c>
      <c r="AF24" s="2">
        <v>1</v>
      </c>
      <c r="AG24" s="2" t="s">
        <v>190</v>
      </c>
      <c r="AH24" s="2" t="s">
        <v>17</v>
      </c>
      <c r="AI24" s="4">
        <v>0.1</v>
      </c>
      <c r="AJ24" s="2" t="s">
        <v>17</v>
      </c>
      <c r="AK24" s="2" t="s">
        <v>9</v>
      </c>
      <c r="AL24" s="2" t="s">
        <v>17</v>
      </c>
      <c r="AM24" s="2" t="s">
        <v>17</v>
      </c>
      <c r="AN24" s="2" t="s">
        <v>17</v>
      </c>
      <c r="AO24" s="2" t="s">
        <v>17</v>
      </c>
      <c r="AP24" s="2" t="s">
        <v>17</v>
      </c>
      <c r="AQ24" s="2" t="s">
        <v>17</v>
      </c>
      <c r="AR24" s="2" t="s">
        <v>17</v>
      </c>
      <c r="AS24" s="2" t="s">
        <v>9</v>
      </c>
      <c r="AT24" s="2">
        <v>5</v>
      </c>
      <c r="AU24" s="5">
        <v>50000</v>
      </c>
      <c r="AV24" s="5">
        <v>460000</v>
      </c>
      <c r="AW24" s="2">
        <v>1</v>
      </c>
      <c r="AX24" s="2">
        <v>14</v>
      </c>
      <c r="AY24" s="2">
        <v>0</v>
      </c>
      <c r="AZ24" s="2">
        <v>17</v>
      </c>
      <c r="BA24" s="2">
        <v>0</v>
      </c>
      <c r="BB24" s="2">
        <v>1</v>
      </c>
      <c r="BC24" s="2">
        <v>1</v>
      </c>
      <c r="BD24" s="2">
        <v>0</v>
      </c>
      <c r="BE24" s="2">
        <v>0</v>
      </c>
      <c r="BF24" s="2">
        <v>1</v>
      </c>
      <c r="BG24" s="2">
        <v>0</v>
      </c>
      <c r="BH24" s="2">
        <v>0</v>
      </c>
      <c r="BI24" s="2">
        <v>13</v>
      </c>
      <c r="BJ24" s="2">
        <v>1</v>
      </c>
      <c r="BK24" s="2">
        <v>0</v>
      </c>
      <c r="BL24" s="2">
        <v>3</v>
      </c>
      <c r="BM24" s="2">
        <v>1</v>
      </c>
      <c r="BN24" s="2">
        <v>10</v>
      </c>
      <c r="BO24" s="2">
        <v>10</v>
      </c>
      <c r="BP24" s="2">
        <v>39.67</v>
      </c>
      <c r="BQ24" s="5">
        <v>10250000</v>
      </c>
      <c r="BR24" s="2">
        <v>1</v>
      </c>
      <c r="BS24" s="4">
        <v>0.06</v>
      </c>
      <c r="BT24" s="2" t="s">
        <v>9</v>
      </c>
      <c r="BU24" s="2" t="s">
        <v>17</v>
      </c>
      <c r="BV24" s="6">
        <v>51042.83</v>
      </c>
      <c r="BW24" s="2" t="s">
        <v>18</v>
      </c>
      <c r="BX24" s="2" t="s">
        <v>17</v>
      </c>
      <c r="BY24" s="2" t="s">
        <v>17</v>
      </c>
      <c r="BZ24" s="2" t="s">
        <v>17</v>
      </c>
      <c r="CA24" s="2" t="s">
        <v>17</v>
      </c>
      <c r="CB24" s="2" t="s">
        <v>17</v>
      </c>
      <c r="CC24" s="2" t="s">
        <v>17</v>
      </c>
      <c r="CE24" s="2" t="s">
        <v>1170</v>
      </c>
      <c r="CF24" s="2" t="s">
        <v>17</v>
      </c>
      <c r="CG24" s="2" t="s">
        <v>17</v>
      </c>
      <c r="DA24" s="2" t="s">
        <v>1171</v>
      </c>
      <c r="DB24" s="2" t="s">
        <v>1214</v>
      </c>
      <c r="DD24" s="2" t="s">
        <v>9</v>
      </c>
      <c r="DE24" s="2" t="s">
        <v>1208</v>
      </c>
      <c r="DF24" s="2" t="s">
        <v>1171</v>
      </c>
      <c r="DG24" s="2" t="s">
        <v>4516</v>
      </c>
      <c r="DH24" s="2" t="s">
        <v>799</v>
      </c>
      <c r="DI24" s="2">
        <v>318</v>
      </c>
      <c r="DJ24" s="2" t="s">
        <v>4517</v>
      </c>
      <c r="DK24" s="2">
        <v>2021</v>
      </c>
      <c r="DL24" s="2" t="s">
        <v>4209</v>
      </c>
      <c r="DM24" s="2" t="s">
        <v>4210</v>
      </c>
      <c r="DN24" s="2" t="s">
        <v>33</v>
      </c>
      <c r="DO24" s="2" t="s">
        <v>1179</v>
      </c>
      <c r="DP24" s="2" t="s">
        <v>951</v>
      </c>
      <c r="DQ24" s="2" t="s">
        <v>1180</v>
      </c>
      <c r="DR24" s="2" t="s">
        <v>1181</v>
      </c>
      <c r="DS24" s="2">
        <v>1</v>
      </c>
      <c r="DT24" s="2" t="s">
        <v>1182</v>
      </c>
      <c r="DU24" s="2" t="s">
        <v>299</v>
      </c>
      <c r="DV24" s="2" t="s">
        <v>39</v>
      </c>
      <c r="DW24" s="2">
        <v>33176</v>
      </c>
      <c r="DX24" s="2" t="s">
        <v>1183</v>
      </c>
      <c r="DY24" s="2">
        <v>218</v>
      </c>
      <c r="DZ24" s="2" t="s">
        <v>1184</v>
      </c>
      <c r="EA24" s="2" t="s">
        <v>1181</v>
      </c>
      <c r="EB24" s="2" t="s">
        <v>4518</v>
      </c>
      <c r="EC24" s="2" t="s">
        <v>330</v>
      </c>
      <c r="ED24" s="2" t="s">
        <v>44</v>
      </c>
      <c r="EE24" s="2">
        <v>300</v>
      </c>
      <c r="EF24" s="2" t="s">
        <v>4519</v>
      </c>
      <c r="EG24" s="2">
        <v>11</v>
      </c>
      <c r="EH24" s="2" t="s">
        <v>46</v>
      </c>
      <c r="EI24" s="2" t="s">
        <v>47</v>
      </c>
      <c r="EJ24" s="2" t="s">
        <v>1186</v>
      </c>
      <c r="EK24" s="2" t="s">
        <v>692</v>
      </c>
      <c r="EL24" s="2" t="s">
        <v>44</v>
      </c>
      <c r="EM24" s="2">
        <v>420</v>
      </c>
      <c r="EN24" s="2" t="s">
        <v>4519</v>
      </c>
      <c r="EO24" s="2">
        <v>18</v>
      </c>
      <c r="EP24" s="2" t="s">
        <v>46</v>
      </c>
      <c r="EQ24" s="2" t="s">
        <v>47</v>
      </c>
      <c r="ER24" s="2" t="s">
        <v>50</v>
      </c>
      <c r="ES24" s="2" t="s">
        <v>476</v>
      </c>
      <c r="ET24" s="2" t="s">
        <v>1187</v>
      </c>
      <c r="EU24" s="2" t="s">
        <v>1170</v>
      </c>
      <c r="EV24" s="2" t="s">
        <v>4486</v>
      </c>
      <c r="EW24" s="2" t="s">
        <v>396</v>
      </c>
      <c r="EX24" s="2" t="s">
        <v>39</v>
      </c>
      <c r="EY24" s="2">
        <v>33618</v>
      </c>
      <c r="EZ24" s="2" t="s">
        <v>1189</v>
      </c>
      <c r="FB24" s="2" t="s">
        <v>1190</v>
      </c>
      <c r="FN24" s="2" t="s">
        <v>1196</v>
      </c>
      <c r="FO24" s="2" t="s">
        <v>63</v>
      </c>
      <c r="FP24" s="2" t="s">
        <v>64</v>
      </c>
      <c r="FQ24" s="2" t="s">
        <v>9</v>
      </c>
      <c r="FR24" s="2" t="s">
        <v>17</v>
      </c>
      <c r="FS24" s="2" t="s">
        <v>17</v>
      </c>
      <c r="FT24" s="2" t="s">
        <v>9</v>
      </c>
      <c r="FX24" s="2">
        <v>0</v>
      </c>
      <c r="FY24" s="2">
        <v>0</v>
      </c>
      <c r="FZ24" s="4">
        <v>0</v>
      </c>
      <c r="GA24" s="4">
        <v>0</v>
      </c>
      <c r="GB24" s="2" t="s">
        <v>65</v>
      </c>
      <c r="GC24" s="2" t="s">
        <v>66</v>
      </c>
      <c r="GD24" s="2" t="s">
        <v>67</v>
      </c>
      <c r="GE24" s="2" t="s">
        <v>108</v>
      </c>
      <c r="GI24" s="2">
        <v>128</v>
      </c>
      <c r="GQ24" s="2">
        <v>128</v>
      </c>
      <c r="GR24" s="2" t="s">
        <v>1197</v>
      </c>
      <c r="GS24" s="2" t="s">
        <v>70</v>
      </c>
      <c r="GT24" s="2" t="s">
        <v>1198</v>
      </c>
      <c r="GU24" s="2" t="s">
        <v>1199</v>
      </c>
      <c r="GV24" s="2" t="s">
        <v>17</v>
      </c>
      <c r="GW24" s="2">
        <v>26.681111999999999</v>
      </c>
      <c r="GX24" s="2">
        <v>-81.885605999999996</v>
      </c>
      <c r="GZ24" s="2" t="s">
        <v>17</v>
      </c>
      <c r="HA24" s="2">
        <v>0</v>
      </c>
      <c r="HC24" s="2">
        <v>0</v>
      </c>
      <c r="HD24" s="2">
        <v>26.682341999999998</v>
      </c>
      <c r="HE24" s="2">
        <v>-81.881604999999993</v>
      </c>
      <c r="HF24" s="2">
        <v>0.26</v>
      </c>
      <c r="HG24" s="2">
        <v>2</v>
      </c>
      <c r="HZ24" s="2" t="s">
        <v>74</v>
      </c>
      <c r="IA24" s="2">
        <v>0.78</v>
      </c>
      <c r="IB24" s="2">
        <v>2.5</v>
      </c>
      <c r="IC24" s="2" t="s">
        <v>1201</v>
      </c>
      <c r="ID24" s="2">
        <v>0.66</v>
      </c>
      <c r="IE24" s="2">
        <v>3</v>
      </c>
      <c r="II24" s="2" t="s">
        <v>1202</v>
      </c>
      <c r="IJ24" s="2">
        <v>0.21</v>
      </c>
      <c r="IK24" s="2">
        <v>4</v>
      </c>
      <c r="IL24" s="2" t="s">
        <v>17</v>
      </c>
      <c r="IM24" s="2" t="s">
        <v>17</v>
      </c>
      <c r="IO24" s="2" t="s">
        <v>17</v>
      </c>
      <c r="IP24" s="2" t="s">
        <v>79</v>
      </c>
      <c r="IQ24" s="2" t="s">
        <v>79</v>
      </c>
      <c r="IR24" s="2">
        <v>2</v>
      </c>
      <c r="IS24" s="2">
        <v>9.5</v>
      </c>
      <c r="IT24" s="2">
        <v>0</v>
      </c>
      <c r="IU24" s="2">
        <v>11.5</v>
      </c>
      <c r="IV24" s="2" t="s">
        <v>80</v>
      </c>
      <c r="IW24" s="2" t="s">
        <v>9</v>
      </c>
      <c r="IX24" s="2" t="s">
        <v>9</v>
      </c>
      <c r="IY24" s="2">
        <v>11.5</v>
      </c>
      <c r="IZ24" s="2">
        <v>128</v>
      </c>
      <c r="JB24" s="2" t="s">
        <v>173</v>
      </c>
      <c r="JE24" s="7">
        <v>0.1</v>
      </c>
      <c r="JG24" s="7">
        <v>0.9</v>
      </c>
      <c r="JH24" s="7">
        <v>0</v>
      </c>
      <c r="JI24" s="2">
        <v>128</v>
      </c>
      <c r="JJ24" s="7">
        <v>1</v>
      </c>
      <c r="JK24" s="2">
        <v>128</v>
      </c>
      <c r="JL24" s="7">
        <v>1</v>
      </c>
      <c r="JT24" s="2">
        <v>0</v>
      </c>
      <c r="JU24" s="2">
        <v>0</v>
      </c>
      <c r="JV24" s="2">
        <v>0</v>
      </c>
      <c r="JW24" s="4">
        <v>0</v>
      </c>
      <c r="JX24" s="2">
        <v>0</v>
      </c>
      <c r="JY24" s="4">
        <v>0</v>
      </c>
      <c r="KB24" s="7">
        <v>0.1</v>
      </c>
      <c r="KD24" s="7">
        <v>0.9</v>
      </c>
      <c r="KE24" s="7">
        <v>1</v>
      </c>
      <c r="KF24" s="2">
        <v>128</v>
      </c>
      <c r="KH24" s="2">
        <v>64</v>
      </c>
      <c r="KK24" s="2">
        <v>48</v>
      </c>
      <c r="KL24" s="2">
        <v>16</v>
      </c>
      <c r="KQ24" s="2" t="s">
        <v>83</v>
      </c>
      <c r="KR24" s="2" t="s">
        <v>73</v>
      </c>
      <c r="KT24" s="2">
        <v>1</v>
      </c>
      <c r="KU24" s="2" t="s">
        <v>84</v>
      </c>
      <c r="KW24" s="2" t="s">
        <v>86</v>
      </c>
      <c r="KX24" s="2" t="s">
        <v>17</v>
      </c>
      <c r="KY24" s="2" t="s">
        <v>17</v>
      </c>
      <c r="KZ24" s="2" t="s">
        <v>17</v>
      </c>
      <c r="LA24" s="2" t="s">
        <v>17</v>
      </c>
      <c r="LB24" s="2" t="s">
        <v>17</v>
      </c>
      <c r="LC24" s="2" t="s">
        <v>17</v>
      </c>
      <c r="LD24" s="2" t="s">
        <v>17</v>
      </c>
      <c r="LE24" s="2" t="s">
        <v>17</v>
      </c>
      <c r="LF24" s="2" t="s">
        <v>17</v>
      </c>
      <c r="LG24" s="2" t="s">
        <v>17</v>
      </c>
      <c r="LH24" s="2" t="s">
        <v>17</v>
      </c>
      <c r="LI24" s="2" t="s">
        <v>17</v>
      </c>
      <c r="LJ24" s="2" t="s">
        <v>87</v>
      </c>
      <c r="LK24" s="2" t="s">
        <v>17</v>
      </c>
      <c r="LL24" s="2" t="s">
        <v>17</v>
      </c>
      <c r="LM24" s="2">
        <v>0</v>
      </c>
      <c r="LN24" s="2" t="s">
        <v>17</v>
      </c>
      <c r="LO24" s="2" t="s">
        <v>9</v>
      </c>
      <c r="LP24" s="2" t="s">
        <v>9</v>
      </c>
      <c r="LQ24" s="2" t="s">
        <v>17</v>
      </c>
      <c r="LR24" s="2" t="s">
        <v>9</v>
      </c>
      <c r="LS24" s="2" t="s">
        <v>17</v>
      </c>
      <c r="LT24" s="2" t="s">
        <v>17</v>
      </c>
      <c r="LU24" s="2" t="s">
        <v>17</v>
      </c>
      <c r="LV24" s="2" t="s">
        <v>17</v>
      </c>
      <c r="LW24" s="2" t="s">
        <v>17</v>
      </c>
      <c r="LX24" s="2" t="s">
        <v>17</v>
      </c>
      <c r="LY24" s="5">
        <v>6500000</v>
      </c>
      <c r="LZ24" s="5">
        <v>0</v>
      </c>
      <c r="MA24" s="5">
        <v>9500000</v>
      </c>
      <c r="MB24" s="5">
        <v>9500000</v>
      </c>
      <c r="MC24" s="5">
        <v>9500000</v>
      </c>
      <c r="MD24" s="5">
        <v>750000</v>
      </c>
      <c r="ME24" s="5">
        <v>750000</v>
      </c>
      <c r="MF24" s="5">
        <v>750000</v>
      </c>
      <c r="MG24" s="5">
        <v>10000000</v>
      </c>
      <c r="MH24" s="5">
        <v>0</v>
      </c>
      <c r="MI24" s="5">
        <v>10000000</v>
      </c>
      <c r="MJ24" s="5">
        <v>0</v>
      </c>
      <c r="MK24" s="5">
        <v>865300</v>
      </c>
      <c r="ML24" s="5">
        <v>0</v>
      </c>
      <c r="MM24" s="5">
        <v>0</v>
      </c>
      <c r="MN24" s="2">
        <v>0</v>
      </c>
      <c r="MO24" s="5">
        <v>0</v>
      </c>
      <c r="MP24" s="5">
        <v>0</v>
      </c>
      <c r="MQ24" s="2">
        <v>0</v>
      </c>
      <c r="MR24" s="2">
        <v>0</v>
      </c>
      <c r="MS24" s="2">
        <v>0</v>
      </c>
      <c r="MT24" s="5">
        <v>2950000</v>
      </c>
      <c r="MU24" s="5">
        <v>0</v>
      </c>
      <c r="MV24" s="5">
        <v>4600000</v>
      </c>
      <c r="MW24" s="5">
        <v>0</v>
      </c>
      <c r="MY24" s="5">
        <v>0</v>
      </c>
      <c r="MZ24" s="5">
        <v>0</v>
      </c>
      <c r="NA24" s="5">
        <v>0</v>
      </c>
      <c r="NB24" s="5">
        <v>2500000</v>
      </c>
      <c r="NC24" s="5">
        <v>0</v>
      </c>
      <c r="ND24" s="5">
        <v>5000000</v>
      </c>
      <c r="NE24" s="5">
        <v>0</v>
      </c>
      <c r="NF24" s="5">
        <v>0</v>
      </c>
      <c r="NG24" s="5">
        <v>0</v>
      </c>
      <c r="NH24" s="5"/>
      <c r="NI24" s="5">
        <v>0</v>
      </c>
      <c r="NJ24" s="5">
        <v>1115712</v>
      </c>
      <c r="NK24" s="2" t="s">
        <v>9</v>
      </c>
      <c r="NL24" s="2" t="s">
        <v>4292</v>
      </c>
      <c r="NM24" s="2" t="s">
        <v>17</v>
      </c>
      <c r="NO24" s="2" t="s">
        <v>17</v>
      </c>
      <c r="NR24" s="2" t="s">
        <v>17</v>
      </c>
      <c r="NT24" s="2" t="s">
        <v>17</v>
      </c>
      <c r="NX24" s="2" t="s">
        <v>118</v>
      </c>
      <c r="NY24" s="2" t="s">
        <v>118</v>
      </c>
      <c r="NZ24" s="2" t="s">
        <v>118</v>
      </c>
      <c r="OA24" s="2" t="s">
        <v>17</v>
      </c>
      <c r="OC24" s="5">
        <v>23250000</v>
      </c>
      <c r="OF24" s="2" t="s">
        <v>17</v>
      </c>
      <c r="OG24" s="2" t="s">
        <v>17</v>
      </c>
      <c r="OH24" s="2" t="s">
        <v>85</v>
      </c>
      <c r="OI24" s="6">
        <v>0</v>
      </c>
      <c r="OJ24" s="6">
        <v>285000</v>
      </c>
      <c r="OK24" s="2" t="s">
        <v>17</v>
      </c>
      <c r="OL24" s="2" t="s">
        <v>17</v>
      </c>
      <c r="OM24" s="6">
        <v>0</v>
      </c>
      <c r="ON24" s="6">
        <v>0</v>
      </c>
      <c r="OO24" s="6">
        <v>0</v>
      </c>
      <c r="OP24" s="6">
        <v>0</v>
      </c>
      <c r="OQ24" s="4">
        <v>0</v>
      </c>
      <c r="OR24" s="6">
        <v>0</v>
      </c>
      <c r="OS24" s="4">
        <v>0</v>
      </c>
      <c r="OT24" s="2" t="s">
        <v>17</v>
      </c>
      <c r="OU24" s="2" t="s">
        <v>9</v>
      </c>
      <c r="OV24" s="2" t="s">
        <v>1222</v>
      </c>
      <c r="OW24" s="2" t="s">
        <v>17</v>
      </c>
      <c r="OX24" s="5">
        <v>6533483</v>
      </c>
      <c r="OY24" s="6">
        <v>51042.83</v>
      </c>
      <c r="PD24" s="8">
        <v>15761770</v>
      </c>
      <c r="PF24" s="8">
        <v>15761770</v>
      </c>
      <c r="PO24" s="8">
        <v>15761770</v>
      </c>
      <c r="PQ24" s="8">
        <v>15761770</v>
      </c>
      <c r="PR24" s="8">
        <v>2206647</v>
      </c>
      <c r="PT24" s="8">
        <v>2206647</v>
      </c>
      <c r="PU24" s="6">
        <v>2206647</v>
      </c>
      <c r="PV24" s="8">
        <v>17968417</v>
      </c>
      <c r="PX24" s="8">
        <v>17968417</v>
      </c>
      <c r="PY24" s="8">
        <v>883420</v>
      </c>
      <c r="QA24" s="8">
        <v>883420</v>
      </c>
      <c r="QB24" s="6">
        <v>898420.85</v>
      </c>
      <c r="QC24" s="8">
        <v>973231</v>
      </c>
      <c r="QD24" s="8">
        <v>202218</v>
      </c>
      <c r="QE24" s="8">
        <v>1175449</v>
      </c>
      <c r="QF24" s="8">
        <v>224000</v>
      </c>
      <c r="QG24" s="8">
        <v>96000</v>
      </c>
      <c r="QH24" s="8">
        <v>320000</v>
      </c>
      <c r="QI24" s="8">
        <v>1575500</v>
      </c>
      <c r="QJ24" s="8">
        <v>7500</v>
      </c>
      <c r="QK24" s="8">
        <v>1583000</v>
      </c>
      <c r="QM24" s="8">
        <v>238424</v>
      </c>
      <c r="QN24" s="8">
        <v>238424</v>
      </c>
      <c r="QR24" s="8">
        <v>261975</v>
      </c>
      <c r="QS24" s="8">
        <v>64000</v>
      </c>
      <c r="QT24" s="8">
        <v>325975</v>
      </c>
      <c r="QU24" s="8">
        <v>3034706</v>
      </c>
      <c r="QV24" s="8">
        <v>608142</v>
      </c>
      <c r="QW24" s="8">
        <v>3642848</v>
      </c>
      <c r="QX24" s="8">
        <v>182142</v>
      </c>
      <c r="QZ24" s="8">
        <v>182142</v>
      </c>
      <c r="RA24" s="6">
        <v>182142.4</v>
      </c>
      <c r="RB24" s="8">
        <v>1378260</v>
      </c>
      <c r="RD24" s="8">
        <v>1378260</v>
      </c>
      <c r="RE24" s="8">
        <v>143000</v>
      </c>
      <c r="RF24" s="8">
        <v>143000</v>
      </c>
      <c r="RH24" s="8">
        <v>498300</v>
      </c>
      <c r="RI24" s="8">
        <v>498300</v>
      </c>
      <c r="RJ24" s="8">
        <v>1378260</v>
      </c>
      <c r="RK24" s="8">
        <v>641300</v>
      </c>
      <c r="RL24" s="8">
        <v>2019560</v>
      </c>
      <c r="RT24" s="8">
        <v>23446945</v>
      </c>
      <c r="RU24" s="8">
        <v>1249442</v>
      </c>
      <c r="RV24" s="8">
        <v>24696387</v>
      </c>
      <c r="RY24" s="2">
        <v>0</v>
      </c>
      <c r="RZ24" s="6">
        <v>0</v>
      </c>
      <c r="SA24" s="8">
        <v>4445349</v>
      </c>
      <c r="SC24" s="8">
        <v>4445349</v>
      </c>
      <c r="SD24" s="6">
        <v>4445349</v>
      </c>
      <c r="SE24" s="8">
        <v>4445349</v>
      </c>
      <c r="SF24" s="8">
        <v>4445349</v>
      </c>
      <c r="SG24" s="6">
        <v>4445349</v>
      </c>
      <c r="SJ24" s="6">
        <v>448000</v>
      </c>
      <c r="SK24" s="8">
        <v>3900000</v>
      </c>
      <c r="SL24" s="8">
        <v>3900000</v>
      </c>
      <c r="SM24" s="8">
        <v>27892294</v>
      </c>
      <c r="SN24" s="8">
        <v>5149442</v>
      </c>
      <c r="SO24" s="8">
        <v>33041736</v>
      </c>
      <c r="SP24" s="8">
        <v>23250000</v>
      </c>
      <c r="SQ24" s="2" t="s">
        <v>4295</v>
      </c>
      <c r="SX24" s="8">
        <v>10250000</v>
      </c>
      <c r="SY24" s="2" t="s">
        <v>96</v>
      </c>
      <c r="SZ24" s="2" t="s">
        <v>96</v>
      </c>
      <c r="TA24" s="2" t="s">
        <v>96</v>
      </c>
      <c r="TB24" s="8">
        <v>1506061</v>
      </c>
      <c r="TF24" s="2">
        <v>0</v>
      </c>
      <c r="TG24" s="8">
        <v>35006061</v>
      </c>
      <c r="TH24" s="8">
        <v>1964325</v>
      </c>
      <c r="TI24" s="8">
        <v>9300000</v>
      </c>
      <c r="TJ24" s="2" t="s">
        <v>4295</v>
      </c>
      <c r="TR24" s="8">
        <v>10250000</v>
      </c>
      <c r="TS24" s="8">
        <v>10040404</v>
      </c>
      <c r="TZ24" s="8">
        <v>3451332</v>
      </c>
      <c r="UA24" s="8">
        <v>33041736</v>
      </c>
      <c r="UB24" s="6">
        <v>19550000</v>
      </c>
      <c r="UC24" s="2">
        <v>0</v>
      </c>
      <c r="UD24" s="2">
        <v>128</v>
      </c>
      <c r="UE24" s="5">
        <v>270000</v>
      </c>
      <c r="UF24" s="6">
        <v>360000</v>
      </c>
      <c r="UG24" s="6">
        <v>375000</v>
      </c>
      <c r="UH24" s="6">
        <v>397500</v>
      </c>
      <c r="UI24" s="6">
        <v>50880000</v>
      </c>
      <c r="UJ24" s="6">
        <v>9158400</v>
      </c>
      <c r="UK24" s="2" t="s">
        <v>97</v>
      </c>
      <c r="UL24" s="6">
        <v>9158400</v>
      </c>
      <c r="UM24" s="6">
        <v>60038400</v>
      </c>
      <c r="UN24" s="6">
        <v>29141736</v>
      </c>
      <c r="UQ24" s="6">
        <v>0</v>
      </c>
      <c r="US24" s="6">
        <v>0</v>
      </c>
      <c r="UU24" s="6">
        <v>50000</v>
      </c>
      <c r="UV24" s="6">
        <v>50000</v>
      </c>
      <c r="UW24" s="6">
        <v>50000</v>
      </c>
      <c r="UX24" s="6">
        <v>0</v>
      </c>
      <c r="UY24" s="6">
        <v>50000</v>
      </c>
      <c r="UZ24" s="2" t="s">
        <v>4498</v>
      </c>
      <c r="VA24" s="2" t="s">
        <v>3288</v>
      </c>
      <c r="VB24" s="2" t="s">
        <v>17</v>
      </c>
      <c r="VI24" s="388" t="s">
        <v>4520</v>
      </c>
      <c r="VJ24" s="2" t="s">
        <v>98</v>
      </c>
      <c r="VK24" s="2" t="s">
        <v>4521</v>
      </c>
      <c r="VL24" s="23">
        <f t="shared" si="0"/>
        <v>208</v>
      </c>
      <c r="VM24" s="17">
        <f t="shared" si="1"/>
        <v>1.625</v>
      </c>
      <c r="VN24" s="17" t="str">
        <f t="shared" si="2"/>
        <v>NC-MR-F</v>
      </c>
      <c r="VO24" s="17" t="str">
        <f t="shared" si="15"/>
        <v>NC-MR-F-ESS</v>
      </c>
      <c r="VP24" s="57">
        <v>1</v>
      </c>
      <c r="VQ24" s="17">
        <f t="shared" si="3"/>
        <v>1</v>
      </c>
      <c r="VR24" s="14">
        <f t="shared" si="4"/>
        <v>1</v>
      </c>
      <c r="VS24" s="14">
        <f t="shared" si="5"/>
        <v>0.87</v>
      </c>
      <c r="VT24" s="12">
        <f t="shared" si="6"/>
        <v>0.8448</v>
      </c>
      <c r="VU24" s="29">
        <f t="shared" si="7"/>
        <v>6982272</v>
      </c>
      <c r="VV24" s="29">
        <f t="shared" si="8"/>
        <v>54549</v>
      </c>
      <c r="VW24" s="351" t="str">
        <f t="shared" si="16"/>
        <v>A</v>
      </c>
      <c r="VX24" s="12" t="str">
        <f t="shared" si="9"/>
        <v>NC-MR-ESS</v>
      </c>
      <c r="VY24" s="23">
        <f t="shared" si="17"/>
        <v>3</v>
      </c>
      <c r="WA24" s="12">
        <f t="shared" si="18"/>
        <v>0</v>
      </c>
      <c r="WB24" s="12">
        <f t="shared" si="19"/>
        <v>0</v>
      </c>
      <c r="WC24" s="12">
        <f t="shared" si="19"/>
        <v>0</v>
      </c>
      <c r="WD24" s="12">
        <f t="shared" si="19"/>
        <v>1</v>
      </c>
      <c r="WE24" s="12">
        <f t="shared" si="20"/>
        <v>1</v>
      </c>
      <c r="WF24" s="12">
        <f t="shared" si="10"/>
        <v>0</v>
      </c>
      <c r="WG24" s="12">
        <f t="shared" si="11"/>
        <v>1</v>
      </c>
      <c r="WH24" s="12">
        <f t="shared" si="12"/>
        <v>0</v>
      </c>
      <c r="WI24" s="31">
        <f t="shared" si="13"/>
        <v>3</v>
      </c>
      <c r="WK24" s="444" t="str">
        <f t="shared" si="21"/>
        <v>NC-MR-ESS-BBN-BRN-PHA-F</v>
      </c>
      <c r="WL24" s="444"/>
      <c r="WM24" s="444"/>
    </row>
    <row r="25" spans="1:611" x14ac:dyDescent="0.25">
      <c r="A25" s="2">
        <v>9320</v>
      </c>
      <c r="B25" s="2" t="s">
        <v>4522</v>
      </c>
      <c r="C25" s="2" t="s">
        <v>4205</v>
      </c>
      <c r="D25" s="3">
        <v>45135</v>
      </c>
      <c r="E25" s="2" t="s">
        <v>9</v>
      </c>
      <c r="F25" s="2">
        <v>1</v>
      </c>
      <c r="G25" s="2" t="s">
        <v>9</v>
      </c>
      <c r="H25" s="2">
        <v>1</v>
      </c>
      <c r="I25" s="2" t="s">
        <v>11</v>
      </c>
      <c r="J25" s="2">
        <v>0</v>
      </c>
      <c r="K25" s="2" t="s">
        <v>9</v>
      </c>
      <c r="L25" s="2">
        <v>1</v>
      </c>
      <c r="M25" s="2" t="s">
        <v>10</v>
      </c>
      <c r="N25" s="2">
        <v>0</v>
      </c>
      <c r="O25" s="2" t="s">
        <v>10</v>
      </c>
      <c r="P25" s="2">
        <v>0</v>
      </c>
      <c r="Q25" s="2" t="s">
        <v>11</v>
      </c>
      <c r="R25" s="2">
        <v>0</v>
      </c>
      <c r="S25" s="2" t="s">
        <v>9</v>
      </c>
      <c r="T25" s="2">
        <v>2</v>
      </c>
      <c r="U25" s="2" t="s">
        <v>9</v>
      </c>
      <c r="V25" s="2">
        <v>2</v>
      </c>
      <c r="W25" s="2" t="s">
        <v>9</v>
      </c>
      <c r="X25" s="2">
        <v>2</v>
      </c>
      <c r="Y25" s="2" t="s">
        <v>12</v>
      </c>
      <c r="Z25" s="2" t="s">
        <v>3390</v>
      </c>
      <c r="AA25" s="2" t="s">
        <v>3625</v>
      </c>
      <c r="AB25" s="2" t="s">
        <v>1518</v>
      </c>
      <c r="AC25" s="2" t="s">
        <v>15</v>
      </c>
      <c r="AD25" s="2" t="s">
        <v>15</v>
      </c>
      <c r="AE25" s="2" t="s">
        <v>15</v>
      </c>
      <c r="AF25" s="2">
        <v>3</v>
      </c>
      <c r="AG25" s="2" t="s">
        <v>4523</v>
      </c>
      <c r="AH25" s="2" t="s">
        <v>17</v>
      </c>
      <c r="AI25" s="4">
        <v>0.26190000000000002</v>
      </c>
      <c r="AJ25" s="2" t="s">
        <v>17</v>
      </c>
      <c r="AK25" s="2" t="s">
        <v>9</v>
      </c>
      <c r="AL25" s="2" t="s">
        <v>17</v>
      </c>
      <c r="AM25" s="2" t="s">
        <v>17</v>
      </c>
      <c r="AN25" s="2" t="s">
        <v>17</v>
      </c>
      <c r="AO25" s="2" t="s">
        <v>9</v>
      </c>
      <c r="AP25" s="2" t="s">
        <v>17</v>
      </c>
      <c r="AQ25" s="2" t="s">
        <v>17</v>
      </c>
      <c r="AR25" s="2" t="s">
        <v>17</v>
      </c>
      <c r="AS25" s="2" t="s">
        <v>17</v>
      </c>
      <c r="AT25" s="2">
        <v>5</v>
      </c>
      <c r="AU25" s="5">
        <v>75000</v>
      </c>
      <c r="AV25" s="5">
        <v>610000</v>
      </c>
      <c r="AW25" s="2">
        <v>1</v>
      </c>
      <c r="AX25" s="2">
        <v>7</v>
      </c>
      <c r="AY25" s="2">
        <v>0</v>
      </c>
      <c r="AZ25" s="2">
        <v>17</v>
      </c>
      <c r="BA25" s="2">
        <v>0</v>
      </c>
      <c r="BB25" s="2">
        <v>1</v>
      </c>
      <c r="BC25" s="2">
        <v>1</v>
      </c>
      <c r="BD25" s="2">
        <v>3</v>
      </c>
      <c r="BE25" s="2">
        <v>1</v>
      </c>
      <c r="BF25" s="2">
        <v>1</v>
      </c>
      <c r="BG25" s="2">
        <v>0</v>
      </c>
      <c r="BH25" s="2">
        <v>0</v>
      </c>
      <c r="BI25" s="2">
        <v>13</v>
      </c>
      <c r="BJ25" s="2">
        <v>1</v>
      </c>
      <c r="BK25" s="2">
        <v>0</v>
      </c>
      <c r="BL25" s="2">
        <v>3</v>
      </c>
      <c r="BM25" s="2">
        <v>1</v>
      </c>
      <c r="BN25" s="2">
        <v>9</v>
      </c>
      <c r="BO25" s="2">
        <v>10</v>
      </c>
      <c r="BP25" s="2">
        <v>54.95</v>
      </c>
      <c r="BQ25" s="5">
        <v>5068260</v>
      </c>
      <c r="BR25" s="2">
        <v>1</v>
      </c>
      <c r="BS25" s="4">
        <v>0.06</v>
      </c>
      <c r="BT25" s="2" t="s">
        <v>9</v>
      </c>
      <c r="BU25" s="2" t="s">
        <v>17</v>
      </c>
      <c r="BV25" s="6">
        <v>52711.07</v>
      </c>
      <c r="BW25" s="2" t="s">
        <v>18</v>
      </c>
      <c r="BX25" s="2" t="s">
        <v>17</v>
      </c>
      <c r="BY25" s="2" t="s">
        <v>17</v>
      </c>
      <c r="BZ25" s="2" t="s">
        <v>17</v>
      </c>
      <c r="CA25" s="2" t="s">
        <v>17</v>
      </c>
      <c r="CB25" s="2" t="s">
        <v>17</v>
      </c>
      <c r="CC25" s="2" t="s">
        <v>17</v>
      </c>
      <c r="CE25" s="2" t="s">
        <v>4524</v>
      </c>
      <c r="CF25" s="2" t="s">
        <v>17</v>
      </c>
      <c r="CG25" s="2" t="s">
        <v>17</v>
      </c>
      <c r="DA25" s="2" t="s">
        <v>4525</v>
      </c>
      <c r="DB25" s="2" t="s">
        <v>4526</v>
      </c>
      <c r="DD25" s="2" t="s">
        <v>9</v>
      </c>
      <c r="DE25" s="2" t="s">
        <v>1231</v>
      </c>
      <c r="DF25" s="2" t="s">
        <v>4525</v>
      </c>
      <c r="DG25" s="2" t="s">
        <v>4527</v>
      </c>
      <c r="DH25" s="2" t="s">
        <v>1238</v>
      </c>
      <c r="DI25" s="2">
        <v>60</v>
      </c>
      <c r="DJ25" s="2" t="s">
        <v>461</v>
      </c>
      <c r="DK25" s="2">
        <v>2021</v>
      </c>
      <c r="DL25" s="2" t="s">
        <v>4209</v>
      </c>
      <c r="DM25" s="2" t="s">
        <v>4210</v>
      </c>
      <c r="DN25" s="2" t="s">
        <v>33</v>
      </c>
      <c r="DO25" s="2" t="s">
        <v>812</v>
      </c>
      <c r="DQ25" s="2" t="s">
        <v>948</v>
      </c>
      <c r="DR25" s="2" t="s">
        <v>1239</v>
      </c>
      <c r="DS25" s="2">
        <v>1</v>
      </c>
      <c r="DT25" s="2" t="s">
        <v>1240</v>
      </c>
      <c r="DU25" s="2" t="s">
        <v>469</v>
      </c>
      <c r="DV25" s="2" t="s">
        <v>39</v>
      </c>
      <c r="DW25" s="2">
        <v>32257</v>
      </c>
      <c r="DX25" s="2" t="s">
        <v>1241</v>
      </c>
      <c r="DZ25" s="2" t="s">
        <v>471</v>
      </c>
      <c r="EA25" s="2" t="s">
        <v>1239</v>
      </c>
      <c r="EB25" s="2" t="s">
        <v>1242</v>
      </c>
      <c r="EC25" s="2" t="s">
        <v>1243</v>
      </c>
      <c r="ED25" s="2" t="s">
        <v>44</v>
      </c>
      <c r="EE25" s="2">
        <v>130</v>
      </c>
      <c r="EF25" s="2" t="s">
        <v>473</v>
      </c>
      <c r="EG25" s="2">
        <v>5</v>
      </c>
      <c r="EH25" s="2" t="s">
        <v>46</v>
      </c>
      <c r="EI25" s="2" t="s">
        <v>47</v>
      </c>
      <c r="EJ25" s="2" t="s">
        <v>1245</v>
      </c>
      <c r="EK25" s="2" t="s">
        <v>1243</v>
      </c>
      <c r="EL25" s="2" t="s">
        <v>44</v>
      </c>
      <c r="EM25" s="2">
        <v>123</v>
      </c>
      <c r="EN25" s="2" t="s">
        <v>473</v>
      </c>
      <c r="EO25" s="2">
        <v>6</v>
      </c>
      <c r="EP25" s="2" t="s">
        <v>46</v>
      </c>
      <c r="EQ25" s="2" t="s">
        <v>47</v>
      </c>
      <c r="ER25" s="2" t="s">
        <v>1246</v>
      </c>
      <c r="ET25" s="2" t="s">
        <v>571</v>
      </c>
      <c r="EU25" s="2" t="s">
        <v>1247</v>
      </c>
      <c r="EV25" s="2" t="s">
        <v>1248</v>
      </c>
      <c r="EW25" s="2" t="s">
        <v>510</v>
      </c>
      <c r="EX25" s="2" t="s">
        <v>39</v>
      </c>
      <c r="EY25" s="2">
        <v>32819</v>
      </c>
      <c r="EZ25" s="2" t="s">
        <v>1249</v>
      </c>
      <c r="FB25" s="2" t="s">
        <v>1250</v>
      </c>
      <c r="FC25" s="2" t="s">
        <v>656</v>
      </c>
      <c r="FE25" s="2" t="s">
        <v>1251</v>
      </c>
      <c r="FF25" s="2" t="s">
        <v>3241</v>
      </c>
      <c r="FG25" s="2" t="s">
        <v>1248</v>
      </c>
      <c r="FH25" s="2" t="s">
        <v>510</v>
      </c>
      <c r="FI25" s="2" t="s">
        <v>39</v>
      </c>
      <c r="FJ25" s="2">
        <v>32819</v>
      </c>
      <c r="FK25" s="2" t="s">
        <v>1252</v>
      </c>
      <c r="FM25" s="2" t="s">
        <v>1253</v>
      </c>
      <c r="FN25" s="2" t="s">
        <v>4528</v>
      </c>
      <c r="FO25" s="2" t="s">
        <v>63</v>
      </c>
      <c r="FP25" s="2" t="s">
        <v>64</v>
      </c>
      <c r="FQ25" s="2" t="s">
        <v>9</v>
      </c>
      <c r="FR25" s="2" t="s">
        <v>17</v>
      </c>
      <c r="FS25" s="2" t="s">
        <v>17</v>
      </c>
      <c r="FT25" s="2" t="s">
        <v>9</v>
      </c>
      <c r="FX25" s="2">
        <v>0</v>
      </c>
      <c r="FY25" s="2">
        <v>0</v>
      </c>
      <c r="FZ25" s="4">
        <v>0</v>
      </c>
      <c r="GA25" s="4">
        <v>0</v>
      </c>
      <c r="GB25" s="2" t="s">
        <v>65</v>
      </c>
      <c r="GC25" s="2" t="s">
        <v>66</v>
      </c>
      <c r="GD25" s="2" t="s">
        <v>67</v>
      </c>
      <c r="GE25" s="2" t="s">
        <v>68</v>
      </c>
      <c r="GH25" s="2">
        <v>84</v>
      </c>
      <c r="GQ25" s="2">
        <v>84</v>
      </c>
      <c r="GR25" s="2" t="s">
        <v>2802</v>
      </c>
      <c r="GS25" s="2" t="s">
        <v>2686</v>
      </c>
      <c r="GT25" s="2" t="s">
        <v>4529</v>
      </c>
      <c r="GU25" s="2" t="s">
        <v>4530</v>
      </c>
      <c r="GV25" s="2" t="s">
        <v>17</v>
      </c>
      <c r="GW25" s="2">
        <v>27.903085000000001</v>
      </c>
      <c r="GX25" s="2">
        <v>-82.781492</v>
      </c>
      <c r="GZ25" s="2" t="s">
        <v>17</v>
      </c>
      <c r="HA25" s="2">
        <v>0</v>
      </c>
      <c r="HC25" s="2">
        <v>0</v>
      </c>
      <c r="HD25" s="2">
        <v>27.894416</v>
      </c>
      <c r="HE25" s="2">
        <v>-82.782494999999997</v>
      </c>
      <c r="HF25" s="2">
        <v>0.6</v>
      </c>
      <c r="HG25" s="2">
        <v>5</v>
      </c>
      <c r="HH25" s="2">
        <v>27.903642000000001</v>
      </c>
      <c r="HI25" s="2">
        <v>-82.787293000000005</v>
      </c>
      <c r="HJ25" s="2">
        <v>0.36</v>
      </c>
      <c r="HK25" s="2">
        <v>27.903862</v>
      </c>
      <c r="HL25" s="2">
        <v>-82.787017000000006</v>
      </c>
      <c r="HM25" s="2">
        <v>0.34</v>
      </c>
      <c r="HZ25" s="2" t="s">
        <v>4531</v>
      </c>
      <c r="IA25" s="2">
        <v>0.49</v>
      </c>
      <c r="IB25" s="2">
        <v>3.5</v>
      </c>
      <c r="IF25" s="2" t="s">
        <v>4532</v>
      </c>
      <c r="IG25" s="2">
        <v>0.49</v>
      </c>
      <c r="IH25" s="2">
        <v>3.5</v>
      </c>
      <c r="II25" s="2" t="s">
        <v>4533</v>
      </c>
      <c r="IJ25" s="2">
        <v>0.44</v>
      </c>
      <c r="IK25" s="2">
        <v>4</v>
      </c>
      <c r="IL25" s="2" t="s">
        <v>9</v>
      </c>
      <c r="IM25" s="2" t="s">
        <v>17</v>
      </c>
      <c r="IO25" s="2" t="s">
        <v>17</v>
      </c>
      <c r="IP25" s="2" t="s">
        <v>79</v>
      </c>
      <c r="IQ25" s="2" t="s">
        <v>79</v>
      </c>
      <c r="IR25" s="2">
        <v>5</v>
      </c>
      <c r="IS25" s="2">
        <v>11</v>
      </c>
      <c r="IT25" s="2">
        <v>0</v>
      </c>
      <c r="IU25" s="2">
        <v>16</v>
      </c>
      <c r="IV25" s="2" t="s">
        <v>9</v>
      </c>
      <c r="IW25" s="2" t="s">
        <v>9</v>
      </c>
      <c r="IX25" s="2" t="s">
        <v>9</v>
      </c>
      <c r="IY25" s="2">
        <v>16</v>
      </c>
      <c r="IZ25" s="2">
        <v>84</v>
      </c>
      <c r="JB25" s="2" t="s">
        <v>82</v>
      </c>
      <c r="JH25" s="7">
        <v>0</v>
      </c>
      <c r="JI25" s="2">
        <v>0</v>
      </c>
      <c r="JJ25" s="7">
        <v>0</v>
      </c>
      <c r="JK25" s="2">
        <v>0</v>
      </c>
      <c r="JL25" s="7">
        <v>0</v>
      </c>
      <c r="JN25" s="2">
        <v>22</v>
      </c>
      <c r="JQ25" s="2">
        <v>29</v>
      </c>
      <c r="JS25" s="2">
        <v>33</v>
      </c>
      <c r="JT25" s="2">
        <v>0</v>
      </c>
      <c r="JU25" s="2">
        <v>0</v>
      </c>
      <c r="JV25" s="2">
        <v>84</v>
      </c>
      <c r="JW25" s="4">
        <v>1</v>
      </c>
      <c r="JX25" s="2">
        <v>84</v>
      </c>
      <c r="JY25" s="4">
        <v>0.6</v>
      </c>
      <c r="KE25" s="7">
        <v>0</v>
      </c>
      <c r="KF25" s="2">
        <v>0</v>
      </c>
      <c r="KH25" s="2">
        <v>42</v>
      </c>
      <c r="KK25" s="2">
        <v>42</v>
      </c>
      <c r="KQ25" s="2" t="s">
        <v>83</v>
      </c>
      <c r="KR25" s="2" t="s">
        <v>73</v>
      </c>
      <c r="KT25" s="2">
        <v>4</v>
      </c>
      <c r="KU25" s="2" t="s">
        <v>84</v>
      </c>
      <c r="KW25" s="2" t="s">
        <v>86</v>
      </c>
      <c r="KX25" s="2" t="s">
        <v>17</v>
      </c>
      <c r="KY25" s="2" t="s">
        <v>17</v>
      </c>
      <c r="KZ25" s="2" t="s">
        <v>17</v>
      </c>
      <c r="LA25" s="2" t="s">
        <v>17</v>
      </c>
      <c r="LB25" s="2" t="s">
        <v>17</v>
      </c>
      <c r="LC25" s="2" t="s">
        <v>17</v>
      </c>
      <c r="LD25" s="2" t="s">
        <v>17</v>
      </c>
      <c r="LE25" s="2" t="s">
        <v>17</v>
      </c>
      <c r="LF25" s="2" t="s">
        <v>17</v>
      </c>
      <c r="LG25" s="2" t="s">
        <v>17</v>
      </c>
      <c r="LH25" s="2" t="s">
        <v>17</v>
      </c>
      <c r="LI25" s="2" t="s">
        <v>17</v>
      </c>
      <c r="LJ25" s="2" t="s">
        <v>87</v>
      </c>
      <c r="LK25" s="2" t="s">
        <v>17</v>
      </c>
      <c r="LL25" s="2" t="s">
        <v>17</v>
      </c>
      <c r="LM25" s="2">
        <v>0</v>
      </c>
      <c r="LN25" s="2" t="s">
        <v>17</v>
      </c>
      <c r="LO25" s="2" t="s">
        <v>9</v>
      </c>
      <c r="LP25" s="2" t="s">
        <v>9</v>
      </c>
      <c r="LQ25" s="2" t="s">
        <v>17</v>
      </c>
      <c r="LR25" s="2" t="s">
        <v>9</v>
      </c>
      <c r="LS25" s="2" t="s">
        <v>17</v>
      </c>
      <c r="LT25" s="2" t="s">
        <v>17</v>
      </c>
      <c r="LU25" s="2" t="s">
        <v>17</v>
      </c>
      <c r="LV25" s="2" t="s">
        <v>17</v>
      </c>
      <c r="LW25" s="2" t="s">
        <v>17</v>
      </c>
      <c r="LX25" s="2" t="s">
        <v>17</v>
      </c>
      <c r="LY25" s="5">
        <v>6500000</v>
      </c>
      <c r="LZ25" s="5">
        <v>0</v>
      </c>
      <c r="MA25" s="5">
        <v>7980000</v>
      </c>
      <c r="MB25" s="5">
        <v>4500000</v>
      </c>
      <c r="MC25" s="5">
        <v>4500000</v>
      </c>
      <c r="MD25" s="5">
        <v>603500</v>
      </c>
      <c r="ME25" s="5">
        <v>568260</v>
      </c>
      <c r="MF25" s="5">
        <v>568260</v>
      </c>
      <c r="MG25" s="5">
        <v>8820000</v>
      </c>
      <c r="MH25" s="5">
        <v>0</v>
      </c>
      <c r="MI25" s="5">
        <v>8820000</v>
      </c>
      <c r="MJ25" s="5">
        <v>0</v>
      </c>
      <c r="MK25" s="5">
        <v>603500</v>
      </c>
      <c r="ML25" s="5">
        <v>0</v>
      </c>
      <c r="MM25" s="5">
        <v>0</v>
      </c>
      <c r="MN25" s="2">
        <v>0</v>
      </c>
      <c r="MO25" s="5">
        <v>0</v>
      </c>
      <c r="MP25" s="5">
        <v>0</v>
      </c>
      <c r="MQ25" s="2">
        <v>0</v>
      </c>
      <c r="MR25" s="2">
        <v>0</v>
      </c>
      <c r="MS25" s="2">
        <v>0</v>
      </c>
      <c r="MT25" s="5">
        <v>2950000</v>
      </c>
      <c r="MU25" s="5">
        <v>0</v>
      </c>
      <c r="MV25" s="5">
        <v>4600000</v>
      </c>
      <c r="MW25" s="5">
        <v>0</v>
      </c>
      <c r="MY25" s="5">
        <v>0</v>
      </c>
      <c r="MZ25" s="5">
        <v>0</v>
      </c>
      <c r="NA25" s="5">
        <v>0</v>
      </c>
      <c r="NB25" s="5">
        <v>2500000</v>
      </c>
      <c r="NC25" s="5">
        <v>0</v>
      </c>
      <c r="ND25" s="5">
        <v>5000000</v>
      </c>
      <c r="NE25" s="5">
        <v>0</v>
      </c>
      <c r="NF25" s="5">
        <v>0</v>
      </c>
      <c r="NG25" s="5">
        <v>0</v>
      </c>
      <c r="NH25" s="5"/>
      <c r="NI25" s="5">
        <v>0</v>
      </c>
      <c r="NJ25" s="5">
        <v>1069782</v>
      </c>
      <c r="NK25" s="2" t="s">
        <v>17</v>
      </c>
      <c r="NL25" s="2">
        <v>2023</v>
      </c>
      <c r="NM25" s="2" t="s">
        <v>17</v>
      </c>
      <c r="NO25" s="2" t="s">
        <v>17</v>
      </c>
      <c r="NR25" s="2" t="s">
        <v>17</v>
      </c>
      <c r="NT25" s="2" t="s">
        <v>9</v>
      </c>
      <c r="NU25" s="2" t="s">
        <v>450</v>
      </c>
      <c r="NV25" s="2">
        <v>253.05</v>
      </c>
      <c r="NW25" s="2" t="s">
        <v>3250</v>
      </c>
      <c r="NX25" s="2" t="s">
        <v>118</v>
      </c>
      <c r="NY25" s="2" t="s">
        <v>118</v>
      </c>
      <c r="NZ25" s="2" t="s">
        <v>118</v>
      </c>
      <c r="OA25" s="2" t="s">
        <v>17</v>
      </c>
      <c r="OB25" s="2" t="s">
        <v>119</v>
      </c>
      <c r="OF25" s="2" t="s">
        <v>17</v>
      </c>
      <c r="OG25" s="2" t="s">
        <v>17</v>
      </c>
      <c r="OH25" s="2" t="s">
        <v>85</v>
      </c>
      <c r="OI25" s="6">
        <v>0</v>
      </c>
      <c r="OJ25" s="6">
        <v>135000</v>
      </c>
      <c r="OK25" s="2" t="s">
        <v>17</v>
      </c>
      <c r="OL25" s="2" t="s">
        <v>17</v>
      </c>
      <c r="OM25" s="6">
        <v>0</v>
      </c>
      <c r="ON25" s="6">
        <v>0</v>
      </c>
      <c r="OO25" s="6">
        <v>0</v>
      </c>
      <c r="OP25" s="6">
        <v>0</v>
      </c>
      <c r="OQ25" s="4">
        <v>0</v>
      </c>
      <c r="OR25" s="6">
        <v>0</v>
      </c>
      <c r="OS25" s="4">
        <v>0</v>
      </c>
      <c r="OT25" s="2" t="s">
        <v>17</v>
      </c>
      <c r="OU25" s="2" t="s">
        <v>9</v>
      </c>
      <c r="OV25" s="2" t="s">
        <v>2865</v>
      </c>
      <c r="OW25" s="2" t="s">
        <v>17</v>
      </c>
      <c r="OX25" s="5">
        <v>4427730</v>
      </c>
      <c r="OY25" s="6">
        <v>52711.07</v>
      </c>
      <c r="PD25" s="8">
        <v>10381365</v>
      </c>
      <c r="PF25" s="8">
        <v>10381365</v>
      </c>
      <c r="PG25" s="8">
        <v>1500000</v>
      </c>
      <c r="PH25" s="8">
        <v>200000</v>
      </c>
      <c r="PI25" s="8">
        <v>1700000</v>
      </c>
      <c r="PO25" s="8">
        <v>11881365</v>
      </c>
      <c r="PP25" s="8">
        <v>200000</v>
      </c>
      <c r="PQ25" s="8">
        <v>12081365</v>
      </c>
      <c r="PR25" s="8">
        <v>1663389</v>
      </c>
      <c r="PT25" s="8">
        <v>1663389</v>
      </c>
      <c r="PU25" s="6">
        <v>1691391</v>
      </c>
      <c r="PV25" s="8">
        <v>13544754</v>
      </c>
      <c r="PW25" s="8">
        <v>200000</v>
      </c>
      <c r="PX25" s="8">
        <v>13744754</v>
      </c>
      <c r="PY25" s="8">
        <v>677237</v>
      </c>
      <c r="QA25" s="8">
        <v>677237</v>
      </c>
      <c r="QB25" s="6">
        <v>687237.7</v>
      </c>
      <c r="QC25" s="8">
        <v>635998</v>
      </c>
      <c r="QD25" s="8">
        <v>92311</v>
      </c>
      <c r="QE25" s="8">
        <v>728309</v>
      </c>
      <c r="QF25" s="8">
        <v>105598</v>
      </c>
      <c r="QH25" s="8">
        <v>105598</v>
      </c>
      <c r="QI25" s="8">
        <v>455182</v>
      </c>
      <c r="QK25" s="8">
        <v>455182</v>
      </c>
      <c r="QM25" s="8">
        <v>268000</v>
      </c>
      <c r="QN25" s="8">
        <v>268000</v>
      </c>
      <c r="QR25" s="8">
        <v>266496</v>
      </c>
      <c r="QT25" s="8">
        <v>266496</v>
      </c>
      <c r="QU25" s="8">
        <v>1463274</v>
      </c>
      <c r="QV25" s="8">
        <v>360311</v>
      </c>
      <c r="QW25" s="8">
        <v>1823585</v>
      </c>
      <c r="QX25" s="8">
        <v>73162</v>
      </c>
      <c r="QY25" s="8">
        <v>4616</v>
      </c>
      <c r="QZ25" s="8">
        <v>77778</v>
      </c>
      <c r="RA25" s="6">
        <v>91179.25</v>
      </c>
      <c r="RB25" s="8">
        <v>1645875</v>
      </c>
      <c r="RC25" s="8">
        <v>30000</v>
      </c>
      <c r="RD25" s="8">
        <v>1675875</v>
      </c>
      <c r="RE25" s="8">
        <v>603224</v>
      </c>
      <c r="RF25" s="8">
        <v>603224</v>
      </c>
      <c r="RJ25" s="8">
        <v>1645875</v>
      </c>
      <c r="RK25" s="8">
        <v>633224</v>
      </c>
      <c r="RL25" s="8">
        <v>2279099</v>
      </c>
      <c r="RT25" s="8">
        <v>17404302</v>
      </c>
      <c r="RU25" s="8">
        <v>1198151</v>
      </c>
      <c r="RV25" s="8">
        <v>18602453</v>
      </c>
      <c r="RY25" s="2">
        <v>0</v>
      </c>
      <c r="RZ25" s="6">
        <v>0</v>
      </c>
      <c r="SA25" s="8">
        <v>3318433</v>
      </c>
      <c r="SC25" s="8">
        <v>3318433</v>
      </c>
      <c r="SD25" s="6">
        <v>3348441</v>
      </c>
      <c r="SE25" s="8">
        <v>3318433</v>
      </c>
      <c r="SF25" s="8">
        <v>3318433</v>
      </c>
      <c r="SG25" s="6">
        <v>3348441</v>
      </c>
      <c r="SH25" s="8">
        <v>283725</v>
      </c>
      <c r="SI25" s="8">
        <v>283725</v>
      </c>
      <c r="SJ25" s="6">
        <v>294000</v>
      </c>
      <c r="SK25" s="8">
        <v>2750000</v>
      </c>
      <c r="SL25" s="8">
        <v>2750000</v>
      </c>
      <c r="SM25" s="8">
        <v>20722735</v>
      </c>
      <c r="SN25" s="8">
        <v>4231876</v>
      </c>
      <c r="SO25" s="8">
        <v>24954611</v>
      </c>
      <c r="SP25" s="8">
        <v>15000000</v>
      </c>
      <c r="SQ25" s="2" t="s">
        <v>4220</v>
      </c>
      <c r="SR25" s="8">
        <v>75000</v>
      </c>
      <c r="SS25" s="2" t="s">
        <v>180</v>
      </c>
      <c r="SX25" s="8">
        <v>5068260</v>
      </c>
      <c r="SY25" s="2" t="s">
        <v>96</v>
      </c>
      <c r="SZ25" s="2" t="s">
        <v>96</v>
      </c>
      <c r="TA25" s="2" t="s">
        <v>96</v>
      </c>
      <c r="TB25" s="8">
        <v>1968202</v>
      </c>
      <c r="TF25" s="8">
        <v>2843149</v>
      </c>
      <c r="TG25" s="8">
        <v>24954611</v>
      </c>
      <c r="TH25" s="2">
        <v>0</v>
      </c>
      <c r="TI25" s="8">
        <v>6900000</v>
      </c>
      <c r="TJ25" s="2" t="s">
        <v>4220</v>
      </c>
      <c r="TK25" s="8">
        <v>75000</v>
      </c>
      <c r="TL25" s="2" t="s">
        <v>180</v>
      </c>
      <c r="TR25" s="8">
        <v>5068260</v>
      </c>
      <c r="TS25" s="8">
        <v>9841010</v>
      </c>
      <c r="TZ25" s="8">
        <v>3070341</v>
      </c>
      <c r="UA25" s="8">
        <v>24954611</v>
      </c>
      <c r="UB25" s="6">
        <v>12043260</v>
      </c>
      <c r="UC25" s="2">
        <v>0</v>
      </c>
      <c r="UD25" s="2">
        <v>84</v>
      </c>
      <c r="UE25" s="5">
        <v>220000</v>
      </c>
      <c r="UF25" s="6">
        <v>293333.33</v>
      </c>
      <c r="UG25" s="6">
        <v>308333.33</v>
      </c>
      <c r="UH25" s="6">
        <v>326833.33</v>
      </c>
      <c r="UI25" s="6">
        <v>27454000</v>
      </c>
      <c r="UJ25" s="6">
        <v>4941720</v>
      </c>
      <c r="UK25" s="2" t="s">
        <v>97</v>
      </c>
      <c r="UL25" s="6">
        <v>4941720</v>
      </c>
      <c r="UM25" s="6">
        <v>32395720</v>
      </c>
      <c r="UN25" s="6">
        <v>21920886</v>
      </c>
      <c r="UO25" s="6">
        <v>75000</v>
      </c>
      <c r="UQ25" s="6">
        <v>75000</v>
      </c>
      <c r="US25" s="6">
        <v>0</v>
      </c>
      <c r="UV25" s="6">
        <v>0</v>
      </c>
      <c r="UW25" s="6">
        <v>75000</v>
      </c>
      <c r="UX25" s="6">
        <v>0</v>
      </c>
      <c r="UY25" s="6">
        <v>75000</v>
      </c>
      <c r="UZ25" s="2" t="s">
        <v>4534</v>
      </c>
      <c r="VA25" s="2" t="s">
        <v>182</v>
      </c>
      <c r="VB25" s="2" t="s">
        <v>17</v>
      </c>
      <c r="VI25" s="388" t="s">
        <v>1231</v>
      </c>
      <c r="VJ25" s="2" t="s">
        <v>98</v>
      </c>
      <c r="VK25" s="2" t="s">
        <v>1247</v>
      </c>
      <c r="VL25" s="23">
        <f t="shared" si="0"/>
        <v>126</v>
      </c>
      <c r="VM25" s="17">
        <f t="shared" si="1"/>
        <v>1.5</v>
      </c>
      <c r="VN25" s="17" t="str">
        <f t="shared" si="2"/>
        <v>NC-GA-F</v>
      </c>
      <c r="VO25" s="17" t="str">
        <f t="shared" si="15"/>
        <v>NC-GA-F-Non</v>
      </c>
      <c r="VP25" s="57">
        <v>1</v>
      </c>
      <c r="VQ25" s="17">
        <f t="shared" si="3"/>
        <v>1.1100000000000001</v>
      </c>
      <c r="VR25" s="14">
        <f t="shared" si="4"/>
        <v>1</v>
      </c>
      <c r="VS25" s="14">
        <f t="shared" si="5"/>
        <v>0.87</v>
      </c>
      <c r="VT25" s="12">
        <f t="shared" si="6"/>
        <v>0.89</v>
      </c>
      <c r="VU25" s="29">
        <f t="shared" si="7"/>
        <v>3867628.5</v>
      </c>
      <c r="VV25" s="29">
        <f t="shared" si="8"/>
        <v>46043.199999999997</v>
      </c>
      <c r="VW25" s="351" t="str">
        <f t="shared" si="16"/>
        <v>A</v>
      </c>
      <c r="VX25" s="12" t="str">
        <f t="shared" si="9"/>
        <v>NC-GA-Non</v>
      </c>
      <c r="VY25" s="23">
        <f t="shared" si="17"/>
        <v>2</v>
      </c>
      <c r="WA25" s="12">
        <f t="shared" si="18"/>
        <v>0</v>
      </c>
      <c r="WB25" s="12">
        <f t="shared" si="19"/>
        <v>1</v>
      </c>
      <c r="WC25" s="12">
        <f t="shared" si="19"/>
        <v>0</v>
      </c>
      <c r="WD25" s="12">
        <f t="shared" si="19"/>
        <v>1</v>
      </c>
      <c r="WE25" s="12">
        <f t="shared" si="20"/>
        <v>0</v>
      </c>
      <c r="WF25" s="12">
        <f t="shared" si="10"/>
        <v>1</v>
      </c>
      <c r="WG25" s="12">
        <f t="shared" si="11"/>
        <v>0</v>
      </c>
      <c r="WH25" s="12">
        <f t="shared" si="12"/>
        <v>0</v>
      </c>
      <c r="WI25" s="31">
        <f t="shared" si="13"/>
        <v>3</v>
      </c>
      <c r="WK25" s="444" t="str">
        <f t="shared" si="21"/>
        <v>NC-GA-Non-BBY-BRN-PHA-F</v>
      </c>
      <c r="WL25" s="444"/>
      <c r="WM25" s="444"/>
    </row>
    <row r="26" spans="1:611" x14ac:dyDescent="0.25">
      <c r="A26" s="2">
        <v>9228</v>
      </c>
      <c r="B26" s="2" t="s">
        <v>4535</v>
      </c>
      <c r="C26" s="2" t="s">
        <v>4205</v>
      </c>
      <c r="D26" s="3">
        <v>45128</v>
      </c>
      <c r="E26" s="2" t="s">
        <v>9</v>
      </c>
      <c r="F26" s="2">
        <v>1</v>
      </c>
      <c r="G26" s="2" t="s">
        <v>9</v>
      </c>
      <c r="H26" s="2">
        <v>1</v>
      </c>
      <c r="I26" s="2" t="s">
        <v>11</v>
      </c>
      <c r="J26" s="2">
        <v>0</v>
      </c>
      <c r="K26" s="2" t="s">
        <v>9</v>
      </c>
      <c r="L26" s="2">
        <v>1</v>
      </c>
      <c r="M26" s="2" t="s">
        <v>10</v>
      </c>
      <c r="N26" s="2">
        <v>0</v>
      </c>
      <c r="O26" s="2" t="s">
        <v>10</v>
      </c>
      <c r="P26" s="2">
        <v>0</v>
      </c>
      <c r="Q26" s="2" t="s">
        <v>11</v>
      </c>
      <c r="R26" s="2">
        <v>0</v>
      </c>
      <c r="S26" s="2" t="s">
        <v>9</v>
      </c>
      <c r="T26" s="2">
        <v>2</v>
      </c>
      <c r="U26" s="2" t="s">
        <v>9</v>
      </c>
      <c r="V26" s="2">
        <v>2</v>
      </c>
      <c r="W26" s="2" t="s">
        <v>9</v>
      </c>
      <c r="X26" s="2">
        <v>2</v>
      </c>
      <c r="Y26" s="2" t="s">
        <v>12</v>
      </c>
      <c r="Z26" s="2" t="s">
        <v>4536</v>
      </c>
      <c r="AA26" s="2" t="s">
        <v>4537</v>
      </c>
      <c r="AB26" s="2" t="s">
        <v>3390</v>
      </c>
      <c r="AC26" s="2" t="s">
        <v>15</v>
      </c>
      <c r="AD26" s="2" t="s">
        <v>15</v>
      </c>
      <c r="AE26" s="2" t="s">
        <v>15</v>
      </c>
      <c r="AF26" s="2">
        <v>3</v>
      </c>
      <c r="AG26" s="2" t="s">
        <v>4523</v>
      </c>
      <c r="AH26" s="2" t="s">
        <v>17</v>
      </c>
      <c r="AI26" s="4">
        <v>0.1</v>
      </c>
      <c r="AJ26" s="2" t="s">
        <v>17</v>
      </c>
      <c r="AK26" s="2" t="s">
        <v>9</v>
      </c>
      <c r="AL26" s="2" t="s">
        <v>17</v>
      </c>
      <c r="AM26" s="2" t="s">
        <v>17</v>
      </c>
      <c r="AN26" s="2" t="s">
        <v>17</v>
      </c>
      <c r="AO26" s="2" t="s">
        <v>9</v>
      </c>
      <c r="AP26" s="2" t="s">
        <v>17</v>
      </c>
      <c r="AQ26" s="2" t="s">
        <v>17</v>
      </c>
      <c r="AR26" s="2" t="s">
        <v>17</v>
      </c>
      <c r="AS26" s="2" t="s">
        <v>17</v>
      </c>
      <c r="AT26" s="2">
        <v>5</v>
      </c>
      <c r="AU26" s="5">
        <v>50000</v>
      </c>
      <c r="AV26" s="5">
        <v>460000</v>
      </c>
      <c r="AW26" s="2">
        <v>0</v>
      </c>
      <c r="AX26" s="2">
        <v>5</v>
      </c>
      <c r="AY26" s="2">
        <v>0</v>
      </c>
      <c r="AZ26" s="2">
        <v>17</v>
      </c>
      <c r="BA26" s="2">
        <v>0</v>
      </c>
      <c r="BB26" s="2">
        <v>1</v>
      </c>
      <c r="BC26" s="2">
        <v>0</v>
      </c>
      <c r="BD26" s="2">
        <v>0</v>
      </c>
      <c r="BE26" s="2">
        <v>0</v>
      </c>
      <c r="BF26" s="2">
        <v>1</v>
      </c>
      <c r="BG26" s="2">
        <v>0</v>
      </c>
      <c r="BH26" s="2">
        <v>0</v>
      </c>
      <c r="BI26" s="2">
        <v>13</v>
      </c>
      <c r="BJ26" s="2">
        <v>1</v>
      </c>
      <c r="BK26" s="2">
        <v>0</v>
      </c>
      <c r="BL26" s="2">
        <v>2</v>
      </c>
      <c r="BM26" s="2">
        <v>1</v>
      </c>
      <c r="BN26" s="2">
        <v>9</v>
      </c>
      <c r="BO26" s="2">
        <v>10</v>
      </c>
      <c r="BP26" s="2">
        <v>47.48</v>
      </c>
      <c r="BQ26" s="5">
        <v>5448000</v>
      </c>
      <c r="BR26" s="2">
        <v>1</v>
      </c>
      <c r="BS26" s="4">
        <v>0.06</v>
      </c>
      <c r="BT26" s="2" t="s">
        <v>9</v>
      </c>
      <c r="BU26" s="2" t="s">
        <v>17</v>
      </c>
      <c r="BV26" s="6">
        <v>53073.72</v>
      </c>
      <c r="BW26" s="2" t="s">
        <v>126</v>
      </c>
      <c r="BX26" s="2" t="s">
        <v>17</v>
      </c>
      <c r="BY26" s="2" t="s">
        <v>17</v>
      </c>
      <c r="BZ26" s="2" t="s">
        <v>17</v>
      </c>
      <c r="CA26" s="2" t="s">
        <v>17</v>
      </c>
      <c r="CB26" s="2" t="s">
        <v>17</v>
      </c>
      <c r="CC26" s="2" t="s">
        <v>17</v>
      </c>
      <c r="CD26" s="2" t="s">
        <v>9</v>
      </c>
      <c r="CE26" s="2" t="s">
        <v>4538</v>
      </c>
      <c r="CF26" s="2" t="s">
        <v>17</v>
      </c>
      <c r="CG26" s="2" t="s">
        <v>17</v>
      </c>
      <c r="DA26" s="2" t="s">
        <v>1920</v>
      </c>
      <c r="DB26" s="2" t="s">
        <v>1921</v>
      </c>
      <c r="DD26" s="2" t="s">
        <v>9</v>
      </c>
      <c r="DE26" s="2" t="s">
        <v>1922</v>
      </c>
      <c r="DF26" s="2" t="s">
        <v>1920</v>
      </c>
      <c r="DG26" s="2" t="s">
        <v>4539</v>
      </c>
      <c r="DH26" s="2" t="s">
        <v>4540</v>
      </c>
      <c r="DI26" s="2">
        <v>80</v>
      </c>
      <c r="DJ26" s="2" t="s">
        <v>375</v>
      </c>
      <c r="DK26" s="2">
        <v>2017</v>
      </c>
      <c r="DL26" s="2" t="s">
        <v>4209</v>
      </c>
      <c r="DM26" s="2" t="s">
        <v>4210</v>
      </c>
      <c r="DN26" s="2" t="s">
        <v>33</v>
      </c>
      <c r="DO26" s="2" t="s">
        <v>656</v>
      </c>
      <c r="DQ26" s="2" t="s">
        <v>1929</v>
      </c>
      <c r="DR26" s="2" t="s">
        <v>1930</v>
      </c>
      <c r="DS26" s="2">
        <v>1</v>
      </c>
      <c r="DT26" s="2" t="s">
        <v>1931</v>
      </c>
      <c r="DU26" s="2" t="s">
        <v>1932</v>
      </c>
      <c r="DV26" s="2" t="s">
        <v>1933</v>
      </c>
      <c r="DW26" s="2">
        <v>63102</v>
      </c>
      <c r="DX26" s="2" t="s">
        <v>1934</v>
      </c>
      <c r="DZ26" s="2" t="s">
        <v>1935</v>
      </c>
      <c r="EA26" s="2" t="s">
        <v>1930</v>
      </c>
      <c r="EB26" s="2" t="s">
        <v>4541</v>
      </c>
      <c r="EC26" s="2" t="s">
        <v>200</v>
      </c>
      <c r="ED26" s="2" t="s">
        <v>44</v>
      </c>
      <c r="EE26" s="2">
        <v>81</v>
      </c>
      <c r="EF26" s="2" t="s">
        <v>390</v>
      </c>
      <c r="EG26" s="2">
        <v>10</v>
      </c>
      <c r="EH26" s="2" t="s">
        <v>46</v>
      </c>
      <c r="EI26" s="2" t="s">
        <v>47</v>
      </c>
      <c r="EJ26" s="2" t="s">
        <v>4542</v>
      </c>
      <c r="EK26" s="2" t="s">
        <v>1928</v>
      </c>
      <c r="EL26" s="2" t="s">
        <v>44</v>
      </c>
      <c r="EM26" s="2">
        <v>117</v>
      </c>
      <c r="EN26" s="2" t="s">
        <v>390</v>
      </c>
      <c r="EO26" s="2">
        <v>11</v>
      </c>
      <c r="EP26" s="2" t="s">
        <v>46</v>
      </c>
      <c r="EQ26" s="2" t="s">
        <v>47</v>
      </c>
      <c r="ER26" s="2" t="s">
        <v>1939</v>
      </c>
      <c r="ES26" s="2" t="s">
        <v>657</v>
      </c>
      <c r="ET26" s="2" t="s">
        <v>1940</v>
      </c>
      <c r="EU26" s="2" t="s">
        <v>4538</v>
      </c>
      <c r="EV26" s="2" t="s">
        <v>1931</v>
      </c>
      <c r="EW26" s="2" t="s">
        <v>1932</v>
      </c>
      <c r="EX26" s="2" t="s">
        <v>1933</v>
      </c>
      <c r="EY26" s="2">
        <v>63102</v>
      </c>
      <c r="EZ26" s="2" t="s">
        <v>1941</v>
      </c>
      <c r="FB26" s="2" t="s">
        <v>1942</v>
      </c>
      <c r="FC26" s="2" t="s">
        <v>1943</v>
      </c>
      <c r="FD26" s="2" t="s">
        <v>1660</v>
      </c>
      <c r="FE26" s="2" t="s">
        <v>1944</v>
      </c>
      <c r="FF26" s="2" t="s">
        <v>1945</v>
      </c>
      <c r="FG26" s="2" t="s">
        <v>1931</v>
      </c>
      <c r="FH26" s="2" t="s">
        <v>1932</v>
      </c>
      <c r="FI26" s="2" t="s">
        <v>1933</v>
      </c>
      <c r="FJ26" s="2">
        <v>63102</v>
      </c>
      <c r="FK26" s="2" t="s">
        <v>1946</v>
      </c>
      <c r="FM26" s="2" t="s">
        <v>1947</v>
      </c>
      <c r="FN26" s="2" t="s">
        <v>4543</v>
      </c>
      <c r="FO26" s="2" t="s">
        <v>63</v>
      </c>
      <c r="FP26" s="2" t="s">
        <v>64</v>
      </c>
      <c r="FQ26" s="2" t="s">
        <v>9</v>
      </c>
      <c r="FR26" s="2" t="s">
        <v>17</v>
      </c>
      <c r="FS26" s="2" t="s">
        <v>17</v>
      </c>
      <c r="FT26" s="2" t="s">
        <v>9</v>
      </c>
      <c r="FX26" s="2">
        <v>0</v>
      </c>
      <c r="FY26" s="2">
        <v>0</v>
      </c>
      <c r="FZ26" s="4">
        <v>0</v>
      </c>
      <c r="GA26" s="4">
        <v>0</v>
      </c>
      <c r="GB26" s="2" t="s">
        <v>65</v>
      </c>
      <c r="GC26" s="2" t="s">
        <v>66</v>
      </c>
      <c r="GD26" s="2" t="s">
        <v>67</v>
      </c>
      <c r="GE26" s="2" t="s">
        <v>68</v>
      </c>
      <c r="GF26" s="2">
        <v>80</v>
      </c>
      <c r="GG26" s="2">
        <v>80</v>
      </c>
      <c r="GQ26" s="2">
        <v>80</v>
      </c>
      <c r="GR26" s="2" t="s">
        <v>1197</v>
      </c>
      <c r="GS26" s="2" t="s">
        <v>70</v>
      </c>
      <c r="GT26" s="2" t="s">
        <v>4544</v>
      </c>
      <c r="GU26" s="2" t="s">
        <v>1469</v>
      </c>
      <c r="GV26" s="2" t="s">
        <v>9</v>
      </c>
      <c r="GW26" s="2">
        <v>26.632708999999998</v>
      </c>
      <c r="GX26" s="2">
        <v>-81.851491999999993</v>
      </c>
      <c r="GY26" s="2" t="s">
        <v>4545</v>
      </c>
      <c r="GZ26" s="2" t="s">
        <v>9</v>
      </c>
      <c r="HA26" s="2">
        <v>3</v>
      </c>
      <c r="HB26" s="2" t="s">
        <v>17</v>
      </c>
      <c r="HC26" s="2">
        <v>0</v>
      </c>
      <c r="HD26" s="2">
        <v>26.641090999999999</v>
      </c>
      <c r="HE26" s="2">
        <v>-81.852012999999999</v>
      </c>
      <c r="HF26" s="2">
        <v>0.57999999999999996</v>
      </c>
      <c r="HG26" s="2">
        <v>5</v>
      </c>
      <c r="HH26" s="2">
        <v>26.640841000000002</v>
      </c>
      <c r="HI26" s="2">
        <v>-81.851927000000003</v>
      </c>
      <c r="HJ26" s="2">
        <v>0.56000000000000005</v>
      </c>
      <c r="HK26" s="2">
        <v>26.641347</v>
      </c>
      <c r="HL26" s="2">
        <v>-81.852286000000007</v>
      </c>
      <c r="HM26" s="2">
        <v>0.6</v>
      </c>
      <c r="HZ26" s="2" t="s">
        <v>316</v>
      </c>
      <c r="IA26" s="2">
        <v>1.57</v>
      </c>
      <c r="IB26" s="2">
        <v>1</v>
      </c>
      <c r="IF26" s="2" t="s">
        <v>4547</v>
      </c>
      <c r="IG26" s="2">
        <v>0.82</v>
      </c>
      <c r="IH26" s="2">
        <v>2.5</v>
      </c>
      <c r="II26" s="2" t="s">
        <v>4548</v>
      </c>
      <c r="IJ26" s="2">
        <v>1.07</v>
      </c>
      <c r="IK26" s="2">
        <v>2.5</v>
      </c>
      <c r="IL26" s="2" t="s">
        <v>17</v>
      </c>
      <c r="IM26" s="2" t="s">
        <v>17</v>
      </c>
      <c r="IO26" s="2" t="s">
        <v>17</v>
      </c>
      <c r="IP26" s="2" t="s">
        <v>79</v>
      </c>
      <c r="IQ26" s="2" t="s">
        <v>79</v>
      </c>
      <c r="IR26" s="2">
        <v>5</v>
      </c>
      <c r="IS26" s="2">
        <v>6</v>
      </c>
      <c r="IT26" s="2">
        <v>3</v>
      </c>
      <c r="IU26" s="2">
        <v>14</v>
      </c>
      <c r="IV26" s="2" t="s">
        <v>80</v>
      </c>
      <c r="IW26" s="2" t="s">
        <v>9</v>
      </c>
      <c r="IX26" s="2" t="s">
        <v>9</v>
      </c>
      <c r="IY26" s="2">
        <v>11</v>
      </c>
      <c r="IZ26" s="2">
        <v>80</v>
      </c>
      <c r="JB26" s="2" t="s">
        <v>173</v>
      </c>
      <c r="JE26" s="7">
        <v>0.1</v>
      </c>
      <c r="JF26" s="7">
        <v>0.25</v>
      </c>
      <c r="JG26" s="7">
        <v>0.65</v>
      </c>
      <c r="JH26" s="7">
        <v>0</v>
      </c>
      <c r="JI26" s="2">
        <v>80</v>
      </c>
      <c r="JJ26" s="7">
        <v>1</v>
      </c>
      <c r="JK26" s="2">
        <v>80</v>
      </c>
      <c r="JL26" s="7">
        <v>1</v>
      </c>
      <c r="JT26" s="2">
        <v>0</v>
      </c>
      <c r="JU26" s="2">
        <v>0</v>
      </c>
      <c r="JV26" s="2">
        <v>0</v>
      </c>
      <c r="JW26" s="4">
        <v>0</v>
      </c>
      <c r="JX26" s="2">
        <v>0</v>
      </c>
      <c r="JY26" s="4">
        <v>0</v>
      </c>
      <c r="KB26" s="7">
        <v>0.1</v>
      </c>
      <c r="KC26" s="7">
        <v>0.25</v>
      </c>
      <c r="KD26" s="7">
        <v>0.65</v>
      </c>
      <c r="KE26" s="7">
        <v>1</v>
      </c>
      <c r="KF26" s="2">
        <v>80</v>
      </c>
      <c r="KH26" s="2">
        <v>77</v>
      </c>
      <c r="KI26" s="2">
        <v>3</v>
      </c>
      <c r="KQ26" s="2" t="s">
        <v>83</v>
      </c>
      <c r="KS26" s="2" t="s">
        <v>73</v>
      </c>
      <c r="KT26" s="2">
        <v>1</v>
      </c>
      <c r="KU26" s="2" t="s">
        <v>84</v>
      </c>
      <c r="KW26" s="2" t="s">
        <v>86</v>
      </c>
      <c r="KX26" s="2" t="s">
        <v>17</v>
      </c>
      <c r="KY26" s="2" t="s">
        <v>17</v>
      </c>
      <c r="KZ26" s="2" t="s">
        <v>17</v>
      </c>
      <c r="LA26" s="2" t="s">
        <v>17</v>
      </c>
      <c r="LB26" s="2" t="s">
        <v>17</v>
      </c>
      <c r="LC26" s="2" t="s">
        <v>17</v>
      </c>
      <c r="LD26" s="2" t="s">
        <v>17</v>
      </c>
      <c r="LE26" s="2" t="s">
        <v>17</v>
      </c>
      <c r="LF26" s="2" t="s">
        <v>17</v>
      </c>
      <c r="LG26" s="2" t="s">
        <v>17</v>
      </c>
      <c r="LH26" s="2" t="s">
        <v>17</v>
      </c>
      <c r="LI26" s="2" t="s">
        <v>17</v>
      </c>
      <c r="LJ26" s="2" t="s">
        <v>87</v>
      </c>
      <c r="LK26" s="2" t="s">
        <v>17</v>
      </c>
      <c r="LL26" s="2" t="s">
        <v>17</v>
      </c>
      <c r="LM26" s="2">
        <v>0</v>
      </c>
      <c r="LN26" s="2" t="s">
        <v>17</v>
      </c>
      <c r="LO26" s="2" t="s">
        <v>17</v>
      </c>
      <c r="LP26" s="2" t="s">
        <v>17</v>
      </c>
      <c r="LQ26" s="2" t="s">
        <v>17</v>
      </c>
      <c r="LR26" s="2" t="s">
        <v>17</v>
      </c>
      <c r="LS26" s="2" t="s">
        <v>17</v>
      </c>
      <c r="LT26" s="2" t="s">
        <v>9</v>
      </c>
      <c r="LU26" s="2" t="s">
        <v>9</v>
      </c>
      <c r="LV26" s="2" t="s">
        <v>17</v>
      </c>
      <c r="LW26" s="2" t="s">
        <v>17</v>
      </c>
      <c r="LX26" s="2" t="s">
        <v>9</v>
      </c>
      <c r="LY26" s="5">
        <v>6400000</v>
      </c>
      <c r="LZ26" s="5">
        <v>0</v>
      </c>
      <c r="MA26" s="5">
        <v>7600000</v>
      </c>
      <c r="MB26" s="5">
        <v>4960000</v>
      </c>
      <c r="MC26" s="5">
        <v>4960000</v>
      </c>
      <c r="MD26" s="5">
        <v>488000</v>
      </c>
      <c r="ME26" s="5">
        <v>488000</v>
      </c>
      <c r="MF26" s="5">
        <v>488000</v>
      </c>
      <c r="MG26" s="5">
        <v>8400000</v>
      </c>
      <c r="MH26" s="5">
        <v>0</v>
      </c>
      <c r="MI26" s="5">
        <v>8400000</v>
      </c>
      <c r="MJ26" s="5">
        <v>0</v>
      </c>
      <c r="MK26" s="5">
        <v>488000</v>
      </c>
      <c r="ML26" s="5">
        <v>0</v>
      </c>
      <c r="MM26" s="5">
        <v>0</v>
      </c>
      <c r="MN26" s="2">
        <v>0</v>
      </c>
      <c r="MO26" s="5">
        <v>0</v>
      </c>
      <c r="MP26" s="5">
        <v>0</v>
      </c>
      <c r="MQ26" s="2">
        <v>0</v>
      </c>
      <c r="MR26" s="2">
        <v>0</v>
      </c>
      <c r="MS26" s="2">
        <v>0</v>
      </c>
      <c r="MT26" s="5">
        <v>2950000</v>
      </c>
      <c r="MU26" s="5">
        <v>0</v>
      </c>
      <c r="MV26" s="5">
        <v>4600000</v>
      </c>
      <c r="MW26" s="5">
        <v>0</v>
      </c>
      <c r="MY26" s="5">
        <v>0</v>
      </c>
      <c r="MZ26" s="5">
        <v>0</v>
      </c>
      <c r="NA26" s="5">
        <v>0</v>
      </c>
      <c r="NB26" s="5">
        <v>2500000</v>
      </c>
      <c r="NC26" s="5">
        <v>0</v>
      </c>
      <c r="ND26" s="5">
        <v>5000000</v>
      </c>
      <c r="NE26" s="5">
        <v>0</v>
      </c>
      <c r="NF26" s="5">
        <v>0</v>
      </c>
      <c r="NG26" s="5">
        <v>0</v>
      </c>
      <c r="NH26" s="5"/>
      <c r="NI26" s="5">
        <v>0</v>
      </c>
      <c r="NJ26" s="5">
        <v>1428818</v>
      </c>
      <c r="NK26" s="2" t="s">
        <v>9</v>
      </c>
      <c r="NL26" s="2" t="s">
        <v>4292</v>
      </c>
      <c r="NM26" s="2" t="s">
        <v>17</v>
      </c>
      <c r="NO26" s="2" t="s">
        <v>17</v>
      </c>
      <c r="NR26" s="2" t="s">
        <v>17</v>
      </c>
      <c r="NT26" s="2" t="s">
        <v>9</v>
      </c>
      <c r="NU26" s="2" t="s">
        <v>450</v>
      </c>
      <c r="NV26" s="2">
        <v>6</v>
      </c>
      <c r="NW26" s="2" t="s">
        <v>1221</v>
      </c>
      <c r="NX26" s="2" t="s">
        <v>118</v>
      </c>
      <c r="NY26" s="2" t="s">
        <v>118</v>
      </c>
      <c r="NZ26" s="2" t="s">
        <v>118</v>
      </c>
      <c r="OA26" s="2" t="s">
        <v>17</v>
      </c>
      <c r="OB26" s="2" t="s">
        <v>119</v>
      </c>
      <c r="OC26" s="5">
        <v>15000000</v>
      </c>
      <c r="OF26" s="2" t="s">
        <v>17</v>
      </c>
      <c r="OG26" s="2" t="s">
        <v>17</v>
      </c>
      <c r="OH26" s="2" t="s">
        <v>85</v>
      </c>
      <c r="OI26" s="6">
        <v>0</v>
      </c>
      <c r="OJ26" s="6">
        <v>148800</v>
      </c>
      <c r="OK26" s="2" t="s">
        <v>17</v>
      </c>
      <c r="OL26" s="2" t="s">
        <v>17</v>
      </c>
      <c r="OM26" s="6">
        <v>0</v>
      </c>
      <c r="ON26" s="6">
        <v>0</v>
      </c>
      <c r="OO26" s="6">
        <v>0</v>
      </c>
      <c r="OP26" s="6">
        <v>0</v>
      </c>
      <c r="OQ26" s="4">
        <v>0</v>
      </c>
      <c r="OR26" s="6">
        <v>0</v>
      </c>
      <c r="OS26" s="4">
        <v>0</v>
      </c>
      <c r="OT26" s="2" t="s">
        <v>9</v>
      </c>
      <c r="OU26" s="2" t="s">
        <v>9</v>
      </c>
      <c r="OV26" s="2" t="s">
        <v>1951</v>
      </c>
      <c r="OW26" s="2" t="s">
        <v>17</v>
      </c>
      <c r="OX26" s="5">
        <v>4245898</v>
      </c>
      <c r="OY26" s="6">
        <v>53073.72</v>
      </c>
      <c r="PD26" s="8">
        <v>15352562</v>
      </c>
      <c r="PF26" s="8">
        <v>15352562</v>
      </c>
      <c r="PG26" s="8">
        <v>1200000</v>
      </c>
      <c r="PI26" s="8">
        <v>1200000</v>
      </c>
      <c r="PO26" s="8">
        <v>16552562</v>
      </c>
      <c r="PQ26" s="8">
        <v>16552562</v>
      </c>
      <c r="PR26" s="8">
        <v>2317358</v>
      </c>
      <c r="PT26" s="8">
        <v>2317358</v>
      </c>
      <c r="PU26" s="6">
        <v>2317358</v>
      </c>
      <c r="PV26" s="8">
        <v>18869920</v>
      </c>
      <c r="PX26" s="8">
        <v>18869920</v>
      </c>
      <c r="PY26" s="8">
        <v>943496</v>
      </c>
      <c r="QA26" s="8">
        <v>943496</v>
      </c>
      <c r="QB26" s="6">
        <v>943496</v>
      </c>
      <c r="QC26" s="8">
        <v>663571</v>
      </c>
      <c r="QD26" s="8">
        <v>780959</v>
      </c>
      <c r="QE26" s="8">
        <v>1444530</v>
      </c>
      <c r="QF26" s="8">
        <v>100000</v>
      </c>
      <c r="QG26" s="8">
        <v>100000</v>
      </c>
      <c r="QH26" s="8">
        <v>200000</v>
      </c>
      <c r="QL26" s="8">
        <v>349178</v>
      </c>
      <c r="QM26" s="8">
        <v>150781</v>
      </c>
      <c r="QN26" s="8">
        <v>499959</v>
      </c>
      <c r="QR26" s="8">
        <v>439548</v>
      </c>
      <c r="QS26" s="8">
        <v>1058048</v>
      </c>
      <c r="QT26" s="8">
        <v>1497596</v>
      </c>
      <c r="QU26" s="8">
        <v>1552297</v>
      </c>
      <c r="QV26" s="8">
        <v>2089788</v>
      </c>
      <c r="QW26" s="8">
        <v>3642085</v>
      </c>
      <c r="QX26" s="8">
        <v>150000</v>
      </c>
      <c r="QZ26" s="8">
        <v>150000</v>
      </c>
      <c r="RA26" s="6">
        <v>182104.25</v>
      </c>
      <c r="RB26" s="8">
        <v>1279200</v>
      </c>
      <c r="RC26" s="8">
        <v>1279200</v>
      </c>
      <c r="RD26" s="8">
        <v>2558400</v>
      </c>
      <c r="RE26" s="8">
        <v>127010</v>
      </c>
      <c r="RF26" s="8">
        <v>127010</v>
      </c>
      <c r="RJ26" s="8">
        <v>1279200</v>
      </c>
      <c r="RK26" s="8">
        <v>1406210</v>
      </c>
      <c r="RL26" s="8">
        <v>2685410</v>
      </c>
      <c r="RT26" s="8">
        <v>22794913</v>
      </c>
      <c r="RU26" s="8">
        <v>3495998</v>
      </c>
      <c r="RV26" s="8">
        <v>26290911</v>
      </c>
      <c r="RY26" s="2">
        <v>0</v>
      </c>
      <c r="RZ26" s="6">
        <v>0</v>
      </c>
      <c r="SA26" s="8">
        <v>4732354</v>
      </c>
      <c r="SC26" s="8">
        <v>4732354</v>
      </c>
      <c r="SD26" s="6">
        <v>4732363</v>
      </c>
      <c r="SE26" s="8">
        <v>4732354</v>
      </c>
      <c r="SF26" s="8">
        <v>4732354</v>
      </c>
      <c r="SG26" s="6">
        <v>4732363</v>
      </c>
      <c r="SJ26" s="6">
        <v>280000</v>
      </c>
      <c r="SK26" s="2">
        <v>125</v>
      </c>
      <c r="SL26" s="2">
        <v>125</v>
      </c>
      <c r="SM26" s="8">
        <v>27527267</v>
      </c>
      <c r="SN26" s="8">
        <v>3496123</v>
      </c>
      <c r="SO26" s="8">
        <v>31023390</v>
      </c>
      <c r="SP26" s="8">
        <v>15000000</v>
      </c>
      <c r="SQ26" s="2" t="s">
        <v>4295</v>
      </c>
      <c r="SR26" s="8">
        <v>6927536</v>
      </c>
      <c r="SS26" s="2" t="s">
        <v>413</v>
      </c>
      <c r="SX26" s="8">
        <v>5448000</v>
      </c>
      <c r="SY26" s="2" t="s">
        <v>96</v>
      </c>
      <c r="SZ26" s="2" t="s">
        <v>96</v>
      </c>
      <c r="TA26" s="2" t="s">
        <v>96</v>
      </c>
      <c r="TB26" s="8">
        <v>2366177</v>
      </c>
      <c r="TC26" s="2" t="s">
        <v>453</v>
      </c>
      <c r="TD26" s="8">
        <v>50000</v>
      </c>
      <c r="TE26" s="2" t="s">
        <v>180</v>
      </c>
      <c r="TF26" s="8">
        <v>1231677</v>
      </c>
      <c r="TG26" s="8">
        <v>31023390</v>
      </c>
      <c r="TH26" s="2">
        <v>0</v>
      </c>
      <c r="TI26" s="8">
        <v>800000</v>
      </c>
      <c r="TJ26" s="2" t="s">
        <v>4295</v>
      </c>
      <c r="TK26" s="8">
        <v>6927536</v>
      </c>
      <c r="TL26" s="2" t="s">
        <v>413</v>
      </c>
      <c r="TR26" s="8">
        <v>5448000</v>
      </c>
      <c r="TS26" s="8">
        <v>13572414</v>
      </c>
      <c r="TT26" s="2" t="s">
        <v>453</v>
      </c>
      <c r="TU26" s="8">
        <v>50000</v>
      </c>
      <c r="TV26" s="2" t="s">
        <v>180</v>
      </c>
      <c r="TZ26" s="8">
        <v>4225440</v>
      </c>
      <c r="UA26" s="8">
        <v>31023390</v>
      </c>
      <c r="UB26" s="6">
        <v>13225536</v>
      </c>
      <c r="UC26" s="2">
        <v>0</v>
      </c>
      <c r="UD26" s="2">
        <v>80</v>
      </c>
      <c r="UE26" s="5">
        <v>240000</v>
      </c>
      <c r="UF26" s="6">
        <v>320000</v>
      </c>
      <c r="UG26" s="6">
        <v>335000</v>
      </c>
      <c r="UH26" s="6">
        <v>355100</v>
      </c>
      <c r="UI26" s="6">
        <v>28408000</v>
      </c>
      <c r="UJ26" s="6">
        <v>5113440</v>
      </c>
      <c r="UK26" s="2" t="s">
        <v>97</v>
      </c>
      <c r="UL26" s="6">
        <v>5113440</v>
      </c>
      <c r="UM26" s="6">
        <v>33521440</v>
      </c>
      <c r="UN26" s="6">
        <v>31023265</v>
      </c>
      <c r="UQ26" s="6">
        <v>0</v>
      </c>
      <c r="UR26" s="6">
        <v>50000</v>
      </c>
      <c r="US26" s="6">
        <v>50000</v>
      </c>
      <c r="UV26" s="6">
        <v>0</v>
      </c>
      <c r="UW26" s="6">
        <v>50000</v>
      </c>
      <c r="UX26" s="6">
        <v>0</v>
      </c>
      <c r="UY26" s="6">
        <v>50000</v>
      </c>
      <c r="UZ26" s="2" t="s">
        <v>1954</v>
      </c>
      <c r="VA26" s="2" t="s">
        <v>453</v>
      </c>
      <c r="VB26" s="2" t="s">
        <v>9</v>
      </c>
      <c r="VC26" s="2">
        <v>20</v>
      </c>
      <c r="VD26" s="2">
        <v>6</v>
      </c>
      <c r="VE26" s="2" t="s">
        <v>9</v>
      </c>
      <c r="VF26" s="2">
        <v>6</v>
      </c>
      <c r="VG26" s="2" t="s">
        <v>17</v>
      </c>
      <c r="VI26" s="388" t="s">
        <v>1922</v>
      </c>
      <c r="VJ26" s="2" t="s">
        <v>98</v>
      </c>
      <c r="VK26" s="2" t="s">
        <v>4549</v>
      </c>
      <c r="VL26" s="23">
        <f t="shared" si="0"/>
        <v>83</v>
      </c>
      <c r="VM26" s="17">
        <f t="shared" si="1"/>
        <v>1.0375000000000001</v>
      </c>
      <c r="VN26" s="17" t="str">
        <f t="shared" si="2"/>
        <v>NC-GA-E</v>
      </c>
      <c r="VO26" s="17" t="str">
        <f t="shared" si="15"/>
        <v>NC-GA-E-ESS</v>
      </c>
      <c r="VP26" s="57">
        <v>1</v>
      </c>
      <c r="VQ26" s="17">
        <f t="shared" si="3"/>
        <v>1.1100000000000001</v>
      </c>
      <c r="VR26" s="14">
        <f t="shared" si="4"/>
        <v>1</v>
      </c>
      <c r="VS26" s="14">
        <f t="shared" si="5"/>
        <v>0.87</v>
      </c>
      <c r="VT26" s="12">
        <f t="shared" si="6"/>
        <v>0.85440000000000005</v>
      </c>
      <c r="VU26" s="29">
        <f t="shared" si="7"/>
        <v>4092466.6368000009</v>
      </c>
      <c r="VV26" s="29">
        <f t="shared" si="8"/>
        <v>51155.83</v>
      </c>
      <c r="VW26" s="351" t="str">
        <f t="shared" si="16"/>
        <v>A</v>
      </c>
      <c r="VX26" s="12" t="str">
        <f t="shared" si="9"/>
        <v>NC-GA-ESS</v>
      </c>
      <c r="VY26" s="23">
        <f t="shared" si="17"/>
        <v>3</v>
      </c>
      <c r="WA26" s="12">
        <f t="shared" si="18"/>
        <v>1</v>
      </c>
      <c r="WB26" s="12">
        <f t="shared" si="19"/>
        <v>1</v>
      </c>
      <c r="WC26" s="12">
        <f t="shared" si="19"/>
        <v>0</v>
      </c>
      <c r="WD26" s="12">
        <f t="shared" si="19"/>
        <v>1</v>
      </c>
      <c r="WE26" s="12">
        <f t="shared" si="20"/>
        <v>1</v>
      </c>
      <c r="WF26" s="12">
        <f t="shared" si="10"/>
        <v>1</v>
      </c>
      <c r="WG26" s="12">
        <f t="shared" si="11"/>
        <v>0</v>
      </c>
      <c r="WH26" s="12">
        <f t="shared" si="12"/>
        <v>0</v>
      </c>
      <c r="WI26" s="31">
        <f t="shared" si="13"/>
        <v>5</v>
      </c>
      <c r="WK26" s="444" t="str">
        <f t="shared" si="21"/>
        <v>NC-GA-ESS-BBY-BRN-PHA-E</v>
      </c>
      <c r="WL26" s="444"/>
      <c r="WM26" s="444"/>
    </row>
    <row r="27" spans="1:611" x14ac:dyDescent="0.25">
      <c r="A27" s="2">
        <v>9211</v>
      </c>
      <c r="B27" s="2" t="s">
        <v>4550</v>
      </c>
      <c r="C27" s="2" t="s">
        <v>4205</v>
      </c>
      <c r="D27" s="3">
        <v>45128</v>
      </c>
      <c r="E27" s="2" t="s">
        <v>9</v>
      </c>
      <c r="F27" s="2">
        <v>1</v>
      </c>
      <c r="G27" s="2" t="s">
        <v>9</v>
      </c>
      <c r="H27" s="2">
        <v>1</v>
      </c>
      <c r="I27" s="2" t="s">
        <v>11</v>
      </c>
      <c r="J27" s="2">
        <v>0</v>
      </c>
      <c r="K27" s="2" t="s">
        <v>9</v>
      </c>
      <c r="L27" s="2">
        <v>1</v>
      </c>
      <c r="M27" s="2" t="s">
        <v>10</v>
      </c>
      <c r="N27" s="2">
        <v>0</v>
      </c>
      <c r="O27" s="2" t="s">
        <v>10</v>
      </c>
      <c r="P27" s="2">
        <v>0</v>
      </c>
      <c r="Q27" s="2" t="s">
        <v>11</v>
      </c>
      <c r="R27" s="2">
        <v>0</v>
      </c>
      <c r="S27" s="2" t="s">
        <v>9</v>
      </c>
      <c r="T27" s="2">
        <v>2</v>
      </c>
      <c r="U27" s="2" t="s">
        <v>9</v>
      </c>
      <c r="V27" s="2">
        <v>2</v>
      </c>
      <c r="W27" s="2" t="s">
        <v>9</v>
      </c>
      <c r="X27" s="2">
        <v>2</v>
      </c>
      <c r="Y27" s="2" t="s">
        <v>12</v>
      </c>
      <c r="Z27" s="2" t="s">
        <v>15</v>
      </c>
      <c r="AA27" s="2" t="s">
        <v>15</v>
      </c>
      <c r="AB27" s="2" t="s">
        <v>15</v>
      </c>
      <c r="AC27" s="2" t="s">
        <v>15</v>
      </c>
      <c r="AD27" s="2" t="s">
        <v>15</v>
      </c>
      <c r="AE27" s="2" t="s">
        <v>15</v>
      </c>
      <c r="AF27" s="2">
        <v>0</v>
      </c>
      <c r="AG27" s="2" t="s">
        <v>234</v>
      </c>
      <c r="AH27" s="2" t="s">
        <v>17</v>
      </c>
      <c r="AI27" s="4">
        <v>0.15</v>
      </c>
      <c r="AJ27" s="2" t="s">
        <v>17</v>
      </c>
      <c r="AK27" s="2" t="s">
        <v>9</v>
      </c>
      <c r="AL27" s="2" t="s">
        <v>17</v>
      </c>
      <c r="AM27" s="2" t="s">
        <v>9</v>
      </c>
      <c r="AN27" s="2" t="s">
        <v>17</v>
      </c>
      <c r="AO27" s="2" t="s">
        <v>17</v>
      </c>
      <c r="AP27" s="2" t="s">
        <v>17</v>
      </c>
      <c r="AQ27" s="2" t="s">
        <v>17</v>
      </c>
      <c r="AR27" s="2" t="s">
        <v>17</v>
      </c>
      <c r="AS27" s="2" t="s">
        <v>17</v>
      </c>
      <c r="AT27" s="2">
        <v>5</v>
      </c>
      <c r="AU27" s="5">
        <v>50000</v>
      </c>
      <c r="AV27" s="5">
        <v>460000</v>
      </c>
      <c r="AW27" s="2">
        <v>0</v>
      </c>
      <c r="AX27" s="2">
        <v>16</v>
      </c>
      <c r="AY27" s="2">
        <v>0</v>
      </c>
      <c r="AZ27" s="2">
        <v>17</v>
      </c>
      <c r="BA27" s="2">
        <v>0</v>
      </c>
      <c r="BB27" s="2">
        <v>1</v>
      </c>
      <c r="BC27" s="2">
        <v>1</v>
      </c>
      <c r="BD27" s="2">
        <v>0</v>
      </c>
      <c r="BE27" s="2">
        <v>1</v>
      </c>
      <c r="BF27" s="2">
        <v>1</v>
      </c>
      <c r="BG27" s="2">
        <v>0</v>
      </c>
      <c r="BH27" s="2">
        <v>0</v>
      </c>
      <c r="BI27" s="2">
        <v>13</v>
      </c>
      <c r="BJ27" s="2">
        <v>1</v>
      </c>
      <c r="BK27" s="2">
        <v>0</v>
      </c>
      <c r="BL27" s="2">
        <v>2</v>
      </c>
      <c r="BM27" s="2">
        <v>1</v>
      </c>
      <c r="BN27" s="2">
        <v>10</v>
      </c>
      <c r="BO27" s="2">
        <v>10</v>
      </c>
      <c r="BP27" s="2">
        <v>47.1</v>
      </c>
      <c r="BQ27" s="5">
        <v>8250000</v>
      </c>
      <c r="BR27" s="2">
        <v>1</v>
      </c>
      <c r="BS27" s="4">
        <v>0.06</v>
      </c>
      <c r="BT27" s="2" t="s">
        <v>9</v>
      </c>
      <c r="BU27" s="2" t="s">
        <v>17</v>
      </c>
      <c r="BV27" s="6">
        <v>53151.56</v>
      </c>
      <c r="BW27" s="2" t="s">
        <v>126</v>
      </c>
      <c r="BX27" s="2" t="s">
        <v>17</v>
      </c>
      <c r="BY27" s="2" t="s">
        <v>17</v>
      </c>
      <c r="BZ27" s="2" t="s">
        <v>17</v>
      </c>
      <c r="CA27" s="2" t="s">
        <v>17</v>
      </c>
      <c r="CB27" s="2" t="s">
        <v>17</v>
      </c>
      <c r="CC27" s="2" t="s">
        <v>17</v>
      </c>
      <c r="CD27" s="2" t="s">
        <v>9</v>
      </c>
      <c r="CE27" s="2" t="s">
        <v>4551</v>
      </c>
      <c r="CF27" s="2" t="s">
        <v>17</v>
      </c>
      <c r="CG27" s="2" t="s">
        <v>9</v>
      </c>
      <c r="DA27" s="2" t="s">
        <v>608</v>
      </c>
      <c r="DB27" s="2" t="s">
        <v>609</v>
      </c>
      <c r="DD27" s="2" t="s">
        <v>9</v>
      </c>
      <c r="DE27" s="2" t="s">
        <v>610</v>
      </c>
      <c r="DF27" s="2" t="s">
        <v>608</v>
      </c>
      <c r="DG27" s="2" t="s">
        <v>611</v>
      </c>
      <c r="DH27" s="2" t="s">
        <v>330</v>
      </c>
      <c r="DI27" s="2">
        <v>94</v>
      </c>
      <c r="DJ27" s="2" t="s">
        <v>2659</v>
      </c>
      <c r="DK27" s="2">
        <v>2015</v>
      </c>
      <c r="DL27" s="2" t="s">
        <v>4209</v>
      </c>
      <c r="DM27" s="2" t="s">
        <v>4210</v>
      </c>
      <c r="DN27" s="2" t="s">
        <v>33</v>
      </c>
      <c r="DO27" s="2" t="s">
        <v>34</v>
      </c>
      <c r="DQ27" s="2" t="s">
        <v>35</v>
      </c>
      <c r="DR27" s="2" t="s">
        <v>615</v>
      </c>
      <c r="DS27" s="2">
        <v>1</v>
      </c>
      <c r="DT27" s="2" t="s">
        <v>616</v>
      </c>
      <c r="DU27" s="2" t="s">
        <v>38</v>
      </c>
      <c r="DV27" s="2" t="s">
        <v>39</v>
      </c>
      <c r="DW27" s="2">
        <v>32405</v>
      </c>
      <c r="DX27" s="2" t="s">
        <v>617</v>
      </c>
      <c r="DZ27" s="2" t="s">
        <v>618</v>
      </c>
      <c r="EA27" s="2" t="s">
        <v>615</v>
      </c>
      <c r="EB27" s="2" t="s">
        <v>619</v>
      </c>
      <c r="EC27" s="2" t="s">
        <v>620</v>
      </c>
      <c r="ED27" s="2" t="s">
        <v>44</v>
      </c>
      <c r="EE27" s="2">
        <v>126</v>
      </c>
      <c r="EF27" s="2" t="s">
        <v>2672</v>
      </c>
      <c r="EG27" s="2">
        <v>41</v>
      </c>
      <c r="EH27" s="2" t="s">
        <v>46</v>
      </c>
      <c r="EI27" s="2" t="s">
        <v>47</v>
      </c>
      <c r="EJ27" s="2" t="s">
        <v>621</v>
      </c>
      <c r="EK27" s="2" t="s">
        <v>622</v>
      </c>
      <c r="EL27" s="2" t="s">
        <v>44</v>
      </c>
      <c r="EM27" s="2">
        <v>272</v>
      </c>
      <c r="EN27" s="2" t="s">
        <v>2672</v>
      </c>
      <c r="EO27" s="2">
        <v>22</v>
      </c>
      <c r="EP27" s="2" t="s">
        <v>46</v>
      </c>
      <c r="EQ27" s="2" t="s">
        <v>47</v>
      </c>
      <c r="ER27" s="2" t="s">
        <v>623</v>
      </c>
      <c r="ET27" s="2" t="s">
        <v>624</v>
      </c>
      <c r="EU27" s="2" t="s">
        <v>625</v>
      </c>
      <c r="EV27" s="2" t="s">
        <v>626</v>
      </c>
      <c r="EW27" s="2" t="s">
        <v>627</v>
      </c>
      <c r="EX27" s="2" t="s">
        <v>39</v>
      </c>
      <c r="EY27" s="2">
        <v>33407</v>
      </c>
      <c r="EZ27" s="2" t="s">
        <v>628</v>
      </c>
      <c r="FB27" s="2" t="s">
        <v>629</v>
      </c>
      <c r="FN27" s="2" t="s">
        <v>4552</v>
      </c>
      <c r="FO27" s="2" t="s">
        <v>63</v>
      </c>
      <c r="FP27" s="2" t="s">
        <v>64</v>
      </c>
      <c r="FQ27" s="2" t="s">
        <v>9</v>
      </c>
      <c r="FR27" s="2" t="s">
        <v>17</v>
      </c>
      <c r="FS27" s="2" t="s">
        <v>17</v>
      </c>
      <c r="FT27" s="2" t="s">
        <v>9</v>
      </c>
      <c r="FX27" s="2">
        <v>0</v>
      </c>
      <c r="FY27" s="2">
        <v>0</v>
      </c>
      <c r="FZ27" s="4">
        <v>0</v>
      </c>
      <c r="GA27" s="4">
        <v>0</v>
      </c>
      <c r="GB27" s="2" t="s">
        <v>65</v>
      </c>
      <c r="GC27" s="2" t="s">
        <v>66</v>
      </c>
      <c r="GD27" s="2" t="s">
        <v>67</v>
      </c>
      <c r="GE27" s="2" t="s">
        <v>108</v>
      </c>
      <c r="GI27" s="2">
        <v>120</v>
      </c>
      <c r="GQ27" s="2">
        <v>120</v>
      </c>
      <c r="GR27" s="2" t="s">
        <v>1197</v>
      </c>
      <c r="GS27" s="2" t="s">
        <v>70</v>
      </c>
      <c r="GT27" s="2" t="s">
        <v>4553</v>
      </c>
      <c r="GU27" s="2" t="s">
        <v>4554</v>
      </c>
      <c r="GV27" s="2" t="s">
        <v>17</v>
      </c>
      <c r="GW27" s="2">
        <v>26.636171000000001</v>
      </c>
      <c r="GX27" s="2">
        <v>-82.009624000000002</v>
      </c>
      <c r="GZ27" s="2" t="s">
        <v>17</v>
      </c>
      <c r="HA27" s="2">
        <v>0</v>
      </c>
      <c r="HB27" s="2" t="s">
        <v>9</v>
      </c>
      <c r="HC27" s="2">
        <v>2</v>
      </c>
      <c r="HZ27" s="2" t="s">
        <v>4555</v>
      </c>
      <c r="IA27" s="2">
        <v>0.49</v>
      </c>
      <c r="IB27" s="2">
        <v>3.5</v>
      </c>
      <c r="IC27" s="2" t="s">
        <v>4557</v>
      </c>
      <c r="ID27" s="2">
        <v>0.03</v>
      </c>
      <c r="IE27" s="2">
        <v>4</v>
      </c>
      <c r="II27" s="2" t="s">
        <v>4559</v>
      </c>
      <c r="IJ27" s="2">
        <v>1.17</v>
      </c>
      <c r="IK27" s="2">
        <v>2.5</v>
      </c>
      <c r="IL27" s="2" t="s">
        <v>17</v>
      </c>
      <c r="IM27" s="2" t="s">
        <v>17</v>
      </c>
      <c r="IO27" s="2" t="s">
        <v>17</v>
      </c>
      <c r="IP27" s="2" t="s">
        <v>79</v>
      </c>
      <c r="IQ27" s="2" t="s">
        <v>79</v>
      </c>
      <c r="IR27" s="2">
        <v>2</v>
      </c>
      <c r="IS27" s="2">
        <v>10</v>
      </c>
      <c r="IT27" s="2">
        <v>0</v>
      </c>
      <c r="IU27" s="2">
        <v>12</v>
      </c>
      <c r="IV27" s="2" t="s">
        <v>80</v>
      </c>
      <c r="IW27" s="2" t="s">
        <v>9</v>
      </c>
      <c r="IX27" s="2" t="s">
        <v>9</v>
      </c>
      <c r="IY27" s="2">
        <v>12</v>
      </c>
      <c r="IZ27" s="2">
        <v>120</v>
      </c>
      <c r="JB27" s="2" t="s">
        <v>82</v>
      </c>
      <c r="JH27" s="7">
        <v>0</v>
      </c>
      <c r="JI27" s="2">
        <v>0</v>
      </c>
      <c r="JJ27" s="7">
        <v>0</v>
      </c>
      <c r="JK27" s="2">
        <v>0</v>
      </c>
      <c r="JL27" s="7">
        <v>0</v>
      </c>
      <c r="JN27" s="2">
        <v>18</v>
      </c>
      <c r="JQ27" s="2">
        <v>78</v>
      </c>
      <c r="JR27" s="2">
        <v>14</v>
      </c>
      <c r="JS27" s="2">
        <v>10</v>
      </c>
      <c r="JT27" s="2">
        <v>0</v>
      </c>
      <c r="JU27" s="2">
        <v>0</v>
      </c>
      <c r="JV27" s="2">
        <v>120</v>
      </c>
      <c r="JW27" s="4">
        <v>1</v>
      </c>
      <c r="JX27" s="2">
        <v>120</v>
      </c>
      <c r="JY27" s="4">
        <v>0.58333000000000002</v>
      </c>
      <c r="KE27" s="7">
        <v>0</v>
      </c>
      <c r="KF27" s="2">
        <v>0</v>
      </c>
      <c r="KG27" s="2">
        <v>97</v>
      </c>
      <c r="KI27" s="2">
        <v>23</v>
      </c>
      <c r="KQ27" s="2" t="s">
        <v>83</v>
      </c>
      <c r="KS27" s="2" t="s">
        <v>73</v>
      </c>
      <c r="KT27" s="2">
        <v>2</v>
      </c>
      <c r="KU27" s="2" t="s">
        <v>84</v>
      </c>
      <c r="KW27" s="2" t="s">
        <v>86</v>
      </c>
      <c r="KX27" s="2" t="s">
        <v>17</v>
      </c>
      <c r="KY27" s="2" t="s">
        <v>17</v>
      </c>
      <c r="KZ27" s="2" t="s">
        <v>17</v>
      </c>
      <c r="LA27" s="2" t="s">
        <v>17</v>
      </c>
      <c r="LB27" s="2" t="s">
        <v>17</v>
      </c>
      <c r="LC27" s="2" t="s">
        <v>17</v>
      </c>
      <c r="LD27" s="2" t="s">
        <v>17</v>
      </c>
      <c r="LE27" s="2" t="s">
        <v>17</v>
      </c>
      <c r="LF27" s="2" t="s">
        <v>17</v>
      </c>
      <c r="LG27" s="2" t="s">
        <v>17</v>
      </c>
      <c r="LH27" s="2" t="s">
        <v>17</v>
      </c>
      <c r="LI27" s="2" t="s">
        <v>17</v>
      </c>
      <c r="LJ27" s="2" t="s">
        <v>87</v>
      </c>
      <c r="LK27" s="2" t="s">
        <v>17</v>
      </c>
      <c r="LL27" s="2" t="s">
        <v>17</v>
      </c>
      <c r="LM27" s="2">
        <v>0</v>
      </c>
      <c r="LN27" s="2" t="s">
        <v>17</v>
      </c>
      <c r="LO27" s="2" t="s">
        <v>17</v>
      </c>
      <c r="LP27" s="2" t="s">
        <v>17</v>
      </c>
      <c r="LQ27" s="2" t="s">
        <v>17</v>
      </c>
      <c r="LR27" s="2" t="s">
        <v>17</v>
      </c>
      <c r="LS27" s="2" t="s">
        <v>17</v>
      </c>
      <c r="LT27" s="2" t="s">
        <v>17</v>
      </c>
      <c r="LU27" s="2" t="s">
        <v>17</v>
      </c>
      <c r="LV27" s="2" t="s">
        <v>9</v>
      </c>
      <c r="LW27" s="2" t="s">
        <v>9</v>
      </c>
      <c r="LX27" s="2" t="s">
        <v>9</v>
      </c>
      <c r="LY27" s="5">
        <v>6500000</v>
      </c>
      <c r="LZ27" s="5">
        <v>0</v>
      </c>
      <c r="MA27" s="5">
        <v>9500000</v>
      </c>
      <c r="MB27" s="5">
        <v>7500000</v>
      </c>
      <c r="MC27" s="5">
        <v>7500000</v>
      </c>
      <c r="MD27" s="5">
        <v>750000</v>
      </c>
      <c r="ME27" s="5">
        <v>750000</v>
      </c>
      <c r="MF27" s="5">
        <v>750000</v>
      </c>
      <c r="MG27" s="5">
        <v>10000000</v>
      </c>
      <c r="MH27" s="5">
        <v>0</v>
      </c>
      <c r="MI27" s="5">
        <v>10000000</v>
      </c>
      <c r="MJ27" s="5">
        <v>0</v>
      </c>
      <c r="MK27" s="5">
        <v>753000</v>
      </c>
      <c r="ML27" s="5">
        <v>0</v>
      </c>
      <c r="MM27" s="5">
        <v>0</v>
      </c>
      <c r="MN27" s="2">
        <v>0</v>
      </c>
      <c r="MO27" s="5">
        <v>0</v>
      </c>
      <c r="MP27" s="5">
        <v>0</v>
      </c>
      <c r="MQ27" s="2">
        <v>0</v>
      </c>
      <c r="MR27" s="2">
        <v>0</v>
      </c>
      <c r="MS27" s="2">
        <v>0</v>
      </c>
      <c r="MT27" s="5">
        <v>2950000</v>
      </c>
      <c r="MU27" s="5">
        <v>0</v>
      </c>
      <c r="MV27" s="5">
        <v>4600000</v>
      </c>
      <c r="MW27" s="5">
        <v>0</v>
      </c>
      <c r="MY27" s="5">
        <v>0</v>
      </c>
      <c r="MZ27" s="5">
        <v>0</v>
      </c>
      <c r="NA27" s="5">
        <v>0</v>
      </c>
      <c r="NB27" s="5">
        <v>2500000</v>
      </c>
      <c r="NC27" s="5">
        <v>0</v>
      </c>
      <c r="ND27" s="5">
        <v>5000000</v>
      </c>
      <c r="NE27" s="5">
        <v>0</v>
      </c>
      <c r="NF27" s="5">
        <v>0</v>
      </c>
      <c r="NG27" s="5">
        <v>0</v>
      </c>
      <c r="NH27" s="5"/>
      <c r="NI27" s="5">
        <v>0</v>
      </c>
      <c r="NJ27" s="5">
        <v>1598561</v>
      </c>
      <c r="NK27" s="2" t="s">
        <v>17</v>
      </c>
      <c r="NL27" s="2" t="s">
        <v>4292</v>
      </c>
      <c r="NM27" s="2" t="s">
        <v>17</v>
      </c>
      <c r="NO27" s="2" t="s">
        <v>9</v>
      </c>
      <c r="NP27" s="2">
        <v>33991</v>
      </c>
      <c r="NQ27" s="2" t="s">
        <v>4561</v>
      </c>
      <c r="NR27" s="2" t="s">
        <v>17</v>
      </c>
      <c r="NT27" s="2" t="s">
        <v>17</v>
      </c>
      <c r="NX27" s="2" t="s">
        <v>118</v>
      </c>
      <c r="NY27" s="2" t="s">
        <v>118</v>
      </c>
      <c r="NZ27" s="2" t="s">
        <v>118</v>
      </c>
      <c r="OA27" s="2" t="s">
        <v>17</v>
      </c>
      <c r="OB27" s="2" t="s">
        <v>119</v>
      </c>
      <c r="OC27" s="5">
        <v>19000000</v>
      </c>
      <c r="OF27" s="2" t="s">
        <v>17</v>
      </c>
      <c r="OG27" s="2" t="s">
        <v>17</v>
      </c>
      <c r="OH27" s="2" t="s">
        <v>85</v>
      </c>
      <c r="OI27" s="6">
        <v>0</v>
      </c>
      <c r="OJ27" s="6">
        <v>225000</v>
      </c>
      <c r="OK27" s="2" t="s">
        <v>17</v>
      </c>
      <c r="OL27" s="2" t="s">
        <v>17</v>
      </c>
      <c r="OM27" s="6">
        <v>0</v>
      </c>
      <c r="ON27" s="6">
        <v>0</v>
      </c>
      <c r="OO27" s="6">
        <v>0</v>
      </c>
      <c r="OP27" s="6">
        <v>0</v>
      </c>
      <c r="OQ27" s="4">
        <v>0</v>
      </c>
      <c r="OR27" s="6">
        <v>0</v>
      </c>
      <c r="OS27" s="4">
        <v>0</v>
      </c>
      <c r="OT27" s="2" t="s">
        <v>17</v>
      </c>
      <c r="OU27" s="2" t="s">
        <v>17</v>
      </c>
      <c r="OW27" s="2" t="s">
        <v>17</v>
      </c>
      <c r="OX27" s="5">
        <v>6378188</v>
      </c>
      <c r="OY27" s="6">
        <v>53151.56</v>
      </c>
      <c r="PD27" s="8">
        <v>18329331</v>
      </c>
      <c r="PF27" s="8">
        <v>18329331</v>
      </c>
      <c r="PH27" s="8">
        <v>350000</v>
      </c>
      <c r="PI27" s="8">
        <v>350000</v>
      </c>
      <c r="PO27" s="8">
        <v>18329331</v>
      </c>
      <c r="PP27" s="8">
        <v>350000</v>
      </c>
      <c r="PQ27" s="8">
        <v>18679331</v>
      </c>
      <c r="PR27" s="8">
        <v>2615106</v>
      </c>
      <c r="PT27" s="8">
        <v>2615106</v>
      </c>
      <c r="PU27" s="6">
        <v>2615106</v>
      </c>
      <c r="PV27" s="8">
        <v>20944437</v>
      </c>
      <c r="PW27" s="8">
        <v>350000</v>
      </c>
      <c r="PX27" s="8">
        <v>21294437</v>
      </c>
      <c r="PY27" s="8">
        <v>1064721</v>
      </c>
      <c r="QA27" s="8">
        <v>1064721</v>
      </c>
      <c r="QB27" s="6">
        <v>1064721.8500000001</v>
      </c>
      <c r="QC27" s="8">
        <v>2551483</v>
      </c>
      <c r="QE27" s="8">
        <v>2551483</v>
      </c>
      <c r="QF27" s="8">
        <v>335387</v>
      </c>
      <c r="QH27" s="8">
        <v>335387</v>
      </c>
      <c r="QI27" s="8">
        <v>1154359</v>
      </c>
      <c r="QK27" s="8">
        <v>1154359</v>
      </c>
      <c r="QM27" s="8">
        <v>133063</v>
      </c>
      <c r="QN27" s="8">
        <v>133063</v>
      </c>
      <c r="QU27" s="8">
        <v>4041229</v>
      </c>
      <c r="QV27" s="8">
        <v>133063</v>
      </c>
      <c r="QW27" s="8">
        <v>4174292</v>
      </c>
      <c r="QX27" s="8">
        <v>208714</v>
      </c>
      <c r="QZ27" s="8">
        <v>208714</v>
      </c>
      <c r="RA27" s="6">
        <v>208714.6</v>
      </c>
      <c r="RB27" s="8">
        <v>1018124</v>
      </c>
      <c r="RC27" s="8">
        <v>521298</v>
      </c>
      <c r="RD27" s="8">
        <v>1539422</v>
      </c>
      <c r="RE27" s="8">
        <v>335085</v>
      </c>
      <c r="RF27" s="8">
        <v>335085</v>
      </c>
      <c r="RH27" s="8">
        <v>235000</v>
      </c>
      <c r="RI27" s="8">
        <v>235000</v>
      </c>
      <c r="RJ27" s="8">
        <v>1018124</v>
      </c>
      <c r="RK27" s="8">
        <v>1091383</v>
      </c>
      <c r="RL27" s="8">
        <v>2109507</v>
      </c>
      <c r="RT27" s="8">
        <v>27277225</v>
      </c>
      <c r="RU27" s="8">
        <v>1574446</v>
      </c>
      <c r="RV27" s="8">
        <v>28851671</v>
      </c>
      <c r="RY27" s="2">
        <v>0</v>
      </c>
      <c r="RZ27" s="6">
        <v>0</v>
      </c>
      <c r="SA27" s="8">
        <v>5193300</v>
      </c>
      <c r="SC27" s="8">
        <v>5193300</v>
      </c>
      <c r="SD27" s="6">
        <v>5193300</v>
      </c>
      <c r="SE27" s="8">
        <v>5193300</v>
      </c>
      <c r="SF27" s="8">
        <v>5193300</v>
      </c>
      <c r="SG27" s="6">
        <v>5193300</v>
      </c>
      <c r="SH27" s="8">
        <v>420000</v>
      </c>
      <c r="SI27" s="8">
        <v>420000</v>
      </c>
      <c r="SJ27" s="6">
        <v>420000</v>
      </c>
      <c r="SK27" s="8">
        <v>949900</v>
      </c>
      <c r="SL27" s="8">
        <v>949900</v>
      </c>
      <c r="SM27" s="8">
        <v>32470525</v>
      </c>
      <c r="SN27" s="8">
        <v>2944346</v>
      </c>
      <c r="SO27" s="8">
        <v>35414871</v>
      </c>
      <c r="SP27" s="8">
        <v>19000000</v>
      </c>
      <c r="SQ27" s="2" t="s">
        <v>4295</v>
      </c>
      <c r="SX27" s="8">
        <v>8250000</v>
      </c>
      <c r="SY27" s="2" t="s">
        <v>96</v>
      </c>
      <c r="SZ27" s="2" t="s">
        <v>96</v>
      </c>
      <c r="TA27" s="2" t="s">
        <v>96</v>
      </c>
      <c r="TB27" s="8">
        <v>5034964</v>
      </c>
      <c r="TC27" s="2" t="s">
        <v>4562</v>
      </c>
      <c r="TD27" s="8">
        <v>50000</v>
      </c>
      <c r="TE27" s="2" t="s">
        <v>180</v>
      </c>
      <c r="TF27" s="8">
        <v>3079907</v>
      </c>
      <c r="TG27" s="8">
        <v>35414871</v>
      </c>
      <c r="TH27" s="2">
        <v>0</v>
      </c>
      <c r="TI27" s="8">
        <v>9508514</v>
      </c>
      <c r="TJ27" s="2" t="s">
        <v>4295</v>
      </c>
      <c r="TR27" s="8">
        <v>8250000</v>
      </c>
      <c r="TS27" s="8">
        <v>14385612</v>
      </c>
      <c r="TT27" s="2" t="s">
        <v>4562</v>
      </c>
      <c r="TU27" s="8">
        <v>50000</v>
      </c>
      <c r="TV27" s="2" t="s">
        <v>180</v>
      </c>
      <c r="TZ27" s="8">
        <v>3220745</v>
      </c>
      <c r="UA27" s="8">
        <v>35414871</v>
      </c>
      <c r="UB27" s="6">
        <v>17808514</v>
      </c>
      <c r="UC27" s="2">
        <v>0</v>
      </c>
      <c r="UD27" s="2">
        <v>120</v>
      </c>
      <c r="UE27" s="5">
        <v>270000</v>
      </c>
      <c r="UF27" s="6">
        <v>360000</v>
      </c>
      <c r="UG27" s="6">
        <v>367500</v>
      </c>
      <c r="UH27" s="6">
        <v>389550</v>
      </c>
      <c r="UI27" s="6">
        <v>46746000</v>
      </c>
      <c r="UJ27" s="6">
        <v>8414280</v>
      </c>
      <c r="UK27" s="2" t="s">
        <v>97</v>
      </c>
      <c r="UL27" s="6">
        <v>8414280</v>
      </c>
      <c r="UM27" s="6">
        <v>55160280</v>
      </c>
      <c r="UN27" s="6">
        <v>34044971</v>
      </c>
      <c r="UO27" s="6">
        <v>50000</v>
      </c>
      <c r="UP27" s="6">
        <v>0</v>
      </c>
      <c r="UQ27" s="6">
        <v>50000</v>
      </c>
      <c r="US27" s="6">
        <v>0</v>
      </c>
      <c r="UV27" s="6">
        <v>0</v>
      </c>
      <c r="UW27" s="6">
        <v>50000</v>
      </c>
      <c r="UX27" s="6">
        <v>0</v>
      </c>
      <c r="UY27" s="6">
        <v>50000</v>
      </c>
      <c r="UZ27" s="2" t="s">
        <v>4562</v>
      </c>
      <c r="VA27" s="2" t="s">
        <v>182</v>
      </c>
      <c r="VB27" s="2" t="s">
        <v>17</v>
      </c>
      <c r="VI27" s="388" t="s">
        <v>646</v>
      </c>
      <c r="VJ27" s="2" t="s">
        <v>98</v>
      </c>
      <c r="VK27" s="2" t="s">
        <v>185</v>
      </c>
      <c r="VL27" s="23">
        <f t="shared" si="0"/>
        <v>143</v>
      </c>
      <c r="VM27" s="17">
        <f t="shared" si="1"/>
        <v>1.1916666666666667</v>
      </c>
      <c r="VN27" s="17" t="str">
        <f t="shared" si="2"/>
        <v>NC-MR-E</v>
      </c>
      <c r="VO27" s="17" t="str">
        <f t="shared" si="15"/>
        <v>NC-MR-E-ESS</v>
      </c>
      <c r="VP27" s="57">
        <v>1</v>
      </c>
      <c r="VQ27" s="17">
        <f t="shared" si="3"/>
        <v>1.1100000000000001</v>
      </c>
      <c r="VR27" s="14">
        <f t="shared" si="4"/>
        <v>1</v>
      </c>
      <c r="VS27" s="14">
        <f t="shared" si="5"/>
        <v>1</v>
      </c>
      <c r="VT27" s="12">
        <f t="shared" si="6"/>
        <v>0.84479999999999988</v>
      </c>
      <c r="VU27" s="29">
        <f t="shared" si="7"/>
        <v>7032960</v>
      </c>
      <c r="VV27" s="29">
        <f t="shared" si="8"/>
        <v>58608</v>
      </c>
      <c r="VW27" s="351" t="str">
        <f t="shared" si="16"/>
        <v>A</v>
      </c>
      <c r="VX27" s="12" t="str">
        <f t="shared" si="9"/>
        <v>NC-MR-ESS</v>
      </c>
      <c r="VY27" s="23">
        <f t="shared" si="17"/>
        <v>3</v>
      </c>
      <c r="WA27" s="12">
        <f t="shared" si="18"/>
        <v>1</v>
      </c>
      <c r="WB27" s="12">
        <f t="shared" si="19"/>
        <v>1</v>
      </c>
      <c r="WC27" s="12">
        <f t="shared" si="19"/>
        <v>0</v>
      </c>
      <c r="WD27" s="12">
        <f t="shared" si="19"/>
        <v>0</v>
      </c>
      <c r="WE27" s="12">
        <f t="shared" si="20"/>
        <v>1</v>
      </c>
      <c r="WF27" s="12">
        <f t="shared" si="10"/>
        <v>0</v>
      </c>
      <c r="WG27" s="12">
        <f t="shared" si="11"/>
        <v>1</v>
      </c>
      <c r="WH27" s="12">
        <f t="shared" si="12"/>
        <v>0</v>
      </c>
      <c r="WI27" s="31">
        <f t="shared" si="13"/>
        <v>4</v>
      </c>
      <c r="WK27" s="444" t="str">
        <f t="shared" si="21"/>
        <v>NC-MR-ESS-BBY-BRN-NPH-E</v>
      </c>
      <c r="WL27" s="444"/>
      <c r="WM27" s="444"/>
    </row>
    <row r="28" spans="1:611" x14ac:dyDescent="0.25">
      <c r="A28" s="2">
        <v>9321</v>
      </c>
      <c r="B28" s="2" t="s">
        <v>4563</v>
      </c>
      <c r="C28" s="2" t="s">
        <v>4205</v>
      </c>
      <c r="D28" s="3">
        <v>45128</v>
      </c>
      <c r="E28" s="2" t="s">
        <v>9</v>
      </c>
      <c r="F28" s="2">
        <v>1</v>
      </c>
      <c r="G28" s="2" t="s">
        <v>9</v>
      </c>
      <c r="H28" s="2">
        <v>1</v>
      </c>
      <c r="I28" s="2" t="s">
        <v>11</v>
      </c>
      <c r="J28" s="2">
        <v>0</v>
      </c>
      <c r="K28" s="2" t="s">
        <v>9</v>
      </c>
      <c r="L28" s="2">
        <v>1</v>
      </c>
      <c r="M28" s="2" t="s">
        <v>10</v>
      </c>
      <c r="N28" s="2">
        <v>0</v>
      </c>
      <c r="O28" s="2" t="s">
        <v>10</v>
      </c>
      <c r="P28" s="2">
        <v>0</v>
      </c>
      <c r="Q28" s="2" t="s">
        <v>11</v>
      </c>
      <c r="R28" s="2">
        <v>0</v>
      </c>
      <c r="S28" s="2" t="s">
        <v>9</v>
      </c>
      <c r="T28" s="2">
        <v>2</v>
      </c>
      <c r="U28" s="2" t="s">
        <v>9</v>
      </c>
      <c r="V28" s="2">
        <v>2</v>
      </c>
      <c r="W28" s="2" t="s">
        <v>9</v>
      </c>
      <c r="X28" s="2">
        <v>2</v>
      </c>
      <c r="Y28" s="2" t="s">
        <v>12</v>
      </c>
      <c r="Z28" s="2" t="s">
        <v>2914</v>
      </c>
      <c r="AA28" s="2" t="s">
        <v>2914</v>
      </c>
      <c r="AB28" s="2" t="s">
        <v>15</v>
      </c>
      <c r="AC28" s="2" t="s">
        <v>15</v>
      </c>
      <c r="AD28" s="2" t="s">
        <v>15</v>
      </c>
      <c r="AE28" s="2" t="s">
        <v>15</v>
      </c>
      <c r="AF28" s="2">
        <v>2</v>
      </c>
      <c r="AG28" s="2" t="s">
        <v>4564</v>
      </c>
      <c r="AH28" s="2" t="s">
        <v>17</v>
      </c>
      <c r="AI28" s="4">
        <v>0.17241000000000001</v>
      </c>
      <c r="AJ28" s="2" t="s">
        <v>17</v>
      </c>
      <c r="AK28" s="2" t="s">
        <v>9</v>
      </c>
      <c r="AL28" s="2" t="s">
        <v>17</v>
      </c>
      <c r="AM28" s="2" t="s">
        <v>17</v>
      </c>
      <c r="AN28" s="2" t="s">
        <v>17</v>
      </c>
      <c r="AO28" s="2" t="s">
        <v>9</v>
      </c>
      <c r="AP28" s="2" t="s">
        <v>17</v>
      </c>
      <c r="AQ28" s="2" t="s">
        <v>17</v>
      </c>
      <c r="AR28" s="2" t="s">
        <v>17</v>
      </c>
      <c r="AS28" s="2" t="s">
        <v>17</v>
      </c>
      <c r="AT28" s="2">
        <v>5</v>
      </c>
      <c r="AU28" s="5">
        <v>37500</v>
      </c>
      <c r="AV28" s="5">
        <v>460000</v>
      </c>
      <c r="AW28" s="2">
        <v>1</v>
      </c>
      <c r="AX28" s="2">
        <v>4</v>
      </c>
      <c r="AY28" s="2">
        <v>0</v>
      </c>
      <c r="AZ28" s="2">
        <v>17</v>
      </c>
      <c r="BA28" s="2">
        <v>0</v>
      </c>
      <c r="BB28" s="2">
        <v>1</v>
      </c>
      <c r="BC28" s="2">
        <v>0</v>
      </c>
      <c r="BD28" s="2">
        <v>0</v>
      </c>
      <c r="BE28" s="2">
        <v>1</v>
      </c>
      <c r="BF28" s="2">
        <v>1</v>
      </c>
      <c r="BG28" s="2">
        <v>0</v>
      </c>
      <c r="BH28" s="2">
        <v>0</v>
      </c>
      <c r="BI28" s="2">
        <v>13</v>
      </c>
      <c r="BJ28" s="2">
        <v>1</v>
      </c>
      <c r="BK28" s="2">
        <v>0</v>
      </c>
      <c r="BL28" s="2">
        <v>3</v>
      </c>
      <c r="BM28" s="2">
        <v>1</v>
      </c>
      <c r="BN28" s="2">
        <v>9</v>
      </c>
      <c r="BO28" s="2">
        <v>10</v>
      </c>
      <c r="BP28" s="2">
        <v>53.92</v>
      </c>
      <c r="BQ28" s="5">
        <v>10250000</v>
      </c>
      <c r="BR28" s="2">
        <v>1</v>
      </c>
      <c r="BS28" s="4">
        <v>0.06</v>
      </c>
      <c r="BT28" s="2" t="s">
        <v>9</v>
      </c>
      <c r="BU28" s="2" t="s">
        <v>17</v>
      </c>
      <c r="BV28" s="6">
        <v>53369.25</v>
      </c>
      <c r="BW28" s="2" t="s">
        <v>18</v>
      </c>
      <c r="BX28" s="2" t="s">
        <v>17</v>
      </c>
      <c r="BY28" s="2" t="s">
        <v>17</v>
      </c>
      <c r="BZ28" s="2" t="s">
        <v>17</v>
      </c>
      <c r="CA28" s="2" t="s">
        <v>17</v>
      </c>
      <c r="CB28" s="2" t="s">
        <v>17</v>
      </c>
      <c r="CC28" s="2" t="s">
        <v>17</v>
      </c>
      <c r="CE28" s="2" t="s">
        <v>4565</v>
      </c>
      <c r="CF28" s="2" t="s">
        <v>17</v>
      </c>
      <c r="CG28" s="2" t="s">
        <v>17</v>
      </c>
      <c r="DA28" s="2" t="s">
        <v>4566</v>
      </c>
      <c r="DD28" s="2" t="s">
        <v>9</v>
      </c>
      <c r="DE28" s="2" t="s">
        <v>4567</v>
      </c>
      <c r="DF28" s="2" t="s">
        <v>4566</v>
      </c>
      <c r="DG28" s="2" t="s">
        <v>4568</v>
      </c>
      <c r="DH28" s="2" t="s">
        <v>4569</v>
      </c>
      <c r="DI28" s="2">
        <v>111</v>
      </c>
      <c r="DJ28" s="2" t="s">
        <v>4570</v>
      </c>
      <c r="DK28" s="2">
        <v>2021</v>
      </c>
      <c r="DL28" s="2" t="s">
        <v>4209</v>
      </c>
      <c r="DM28" s="2" t="s">
        <v>4210</v>
      </c>
      <c r="DN28" s="2" t="s">
        <v>33</v>
      </c>
      <c r="DO28" s="2" t="s">
        <v>4571</v>
      </c>
      <c r="DP28" s="2" t="s">
        <v>400</v>
      </c>
      <c r="DQ28" s="2" t="s">
        <v>4572</v>
      </c>
      <c r="DR28" s="2" t="s">
        <v>4566</v>
      </c>
      <c r="DS28" s="2">
        <v>1</v>
      </c>
      <c r="DT28" s="2" t="s">
        <v>4573</v>
      </c>
      <c r="DU28" s="2" t="s">
        <v>4574</v>
      </c>
      <c r="DV28" s="2" t="s">
        <v>4575</v>
      </c>
      <c r="DW28" s="2">
        <v>53575</v>
      </c>
      <c r="DX28" s="2" t="s">
        <v>4576</v>
      </c>
      <c r="DY28" s="2" t="s">
        <v>229</v>
      </c>
      <c r="DZ28" s="2" t="s">
        <v>4577</v>
      </c>
      <c r="EA28" s="2" t="s">
        <v>4566</v>
      </c>
      <c r="EB28" s="2" t="s">
        <v>4578</v>
      </c>
      <c r="EC28" s="2" t="s">
        <v>4579</v>
      </c>
      <c r="ED28" s="2" t="s">
        <v>44</v>
      </c>
      <c r="EE28" s="2">
        <v>111</v>
      </c>
      <c r="EF28" s="2" t="s">
        <v>4580</v>
      </c>
      <c r="EG28" s="2">
        <v>3</v>
      </c>
      <c r="EH28" s="2" t="s">
        <v>46</v>
      </c>
      <c r="EI28" s="2" t="s">
        <v>47</v>
      </c>
      <c r="EJ28" s="2" t="s">
        <v>4581</v>
      </c>
      <c r="EK28" s="2" t="s">
        <v>4582</v>
      </c>
      <c r="EL28" s="2" t="s">
        <v>44</v>
      </c>
      <c r="EM28" s="2">
        <v>178</v>
      </c>
      <c r="EN28" s="2" t="s">
        <v>4580</v>
      </c>
      <c r="EO28" s="2">
        <v>4</v>
      </c>
      <c r="EP28" s="2" t="s">
        <v>46</v>
      </c>
      <c r="EQ28" s="2" t="s">
        <v>47</v>
      </c>
      <c r="ER28" s="2" t="s">
        <v>812</v>
      </c>
      <c r="ET28" s="2" t="s">
        <v>4583</v>
      </c>
      <c r="EU28" s="2" t="s">
        <v>4566</v>
      </c>
      <c r="EV28" s="2" t="s">
        <v>4573</v>
      </c>
      <c r="EW28" s="2" t="s">
        <v>4574</v>
      </c>
      <c r="EX28" s="2" t="s">
        <v>4575</v>
      </c>
      <c r="EY28" s="2">
        <v>53575</v>
      </c>
      <c r="EZ28" s="2" t="s">
        <v>4576</v>
      </c>
      <c r="FA28" s="2" t="s">
        <v>229</v>
      </c>
      <c r="FB28" s="2" t="s">
        <v>4584</v>
      </c>
      <c r="FC28" s="2" t="s">
        <v>4585</v>
      </c>
      <c r="FD28" s="2" t="s">
        <v>1466</v>
      </c>
      <c r="FE28" s="2" t="s">
        <v>4586</v>
      </c>
      <c r="FF28" s="2" t="s">
        <v>4587</v>
      </c>
      <c r="FG28" s="2" t="s">
        <v>4588</v>
      </c>
      <c r="FH28" s="2" t="s">
        <v>700</v>
      </c>
      <c r="FI28" s="2" t="s">
        <v>701</v>
      </c>
      <c r="FJ28" s="2">
        <v>30312</v>
      </c>
      <c r="FK28" s="2" t="s">
        <v>4589</v>
      </c>
      <c r="FL28" s="2" t="s">
        <v>229</v>
      </c>
      <c r="FM28" s="2" t="s">
        <v>4590</v>
      </c>
      <c r="FN28" s="2" t="s">
        <v>4591</v>
      </c>
      <c r="FO28" s="2" t="s">
        <v>63</v>
      </c>
      <c r="FP28" s="2" t="s">
        <v>64</v>
      </c>
      <c r="FQ28" s="2" t="s">
        <v>9</v>
      </c>
      <c r="FR28" s="2" t="s">
        <v>17</v>
      </c>
      <c r="FS28" s="2" t="s">
        <v>17</v>
      </c>
      <c r="FT28" s="2" t="s">
        <v>9</v>
      </c>
      <c r="FX28" s="2">
        <v>0</v>
      </c>
      <c r="FY28" s="2">
        <v>0</v>
      </c>
      <c r="FZ28" s="4">
        <v>0</v>
      </c>
      <c r="GA28" s="4">
        <v>0</v>
      </c>
      <c r="GB28" s="2" t="s">
        <v>65</v>
      </c>
      <c r="GC28" s="2" t="s">
        <v>66</v>
      </c>
      <c r="GD28" s="2" t="s">
        <v>67</v>
      </c>
      <c r="GE28" s="2" t="s">
        <v>108</v>
      </c>
      <c r="GJ28" s="2">
        <v>174</v>
      </c>
      <c r="GQ28" s="2">
        <v>174</v>
      </c>
      <c r="GR28" s="2" t="s">
        <v>4411</v>
      </c>
      <c r="GS28" s="2" t="s">
        <v>70</v>
      </c>
      <c r="GT28" s="2" t="s">
        <v>4592</v>
      </c>
      <c r="GU28" s="2" t="s">
        <v>4593</v>
      </c>
      <c r="GV28" s="2" t="s">
        <v>17</v>
      </c>
      <c r="GW28" s="2">
        <v>27.46705</v>
      </c>
      <c r="GX28" s="2">
        <v>-82.576089999999994</v>
      </c>
      <c r="GZ28" s="2" t="s">
        <v>17</v>
      </c>
      <c r="HA28" s="2">
        <v>0</v>
      </c>
      <c r="HC28" s="2">
        <v>0</v>
      </c>
      <c r="HD28" s="2">
        <v>27.467718000000001</v>
      </c>
      <c r="HE28" s="2">
        <v>-82.575505000000007</v>
      </c>
      <c r="HF28" s="2">
        <v>0.08</v>
      </c>
      <c r="HG28" s="2">
        <v>4</v>
      </c>
      <c r="HH28" s="2">
        <v>27.467762</v>
      </c>
      <c r="HI28" s="2">
        <v>-82.575500000000005</v>
      </c>
      <c r="HJ28" s="2">
        <v>0.1</v>
      </c>
      <c r="HZ28" s="2" t="s">
        <v>4594</v>
      </c>
      <c r="IA28" s="2">
        <v>0.5</v>
      </c>
      <c r="IB28" s="2">
        <v>3.5</v>
      </c>
      <c r="IC28" s="2" t="s">
        <v>4595</v>
      </c>
      <c r="ID28" s="2">
        <v>1.5</v>
      </c>
      <c r="IE28" s="2">
        <v>1.5</v>
      </c>
      <c r="IF28" s="2" t="s">
        <v>4596</v>
      </c>
      <c r="IG28" s="2">
        <v>1.2</v>
      </c>
      <c r="IH28" s="2">
        <v>2</v>
      </c>
      <c r="II28" s="2" t="s">
        <v>4597</v>
      </c>
      <c r="IL28" s="2" t="s">
        <v>9</v>
      </c>
      <c r="IM28" s="2" t="s">
        <v>17</v>
      </c>
      <c r="IO28" s="2" t="s">
        <v>17</v>
      </c>
      <c r="IP28" s="2" t="s">
        <v>79</v>
      </c>
      <c r="IQ28" s="2" t="s">
        <v>79</v>
      </c>
      <c r="IR28" s="2">
        <v>4</v>
      </c>
      <c r="IS28" s="2">
        <v>7</v>
      </c>
      <c r="IT28" s="2">
        <v>0</v>
      </c>
      <c r="IU28" s="2">
        <v>11</v>
      </c>
      <c r="IV28" s="2" t="s">
        <v>80</v>
      </c>
      <c r="IW28" s="2" t="s">
        <v>9</v>
      </c>
      <c r="IX28" s="2" t="s">
        <v>9</v>
      </c>
      <c r="IY28" s="2">
        <v>11</v>
      </c>
      <c r="IZ28" s="2">
        <v>174</v>
      </c>
      <c r="JB28" s="2" t="s">
        <v>82</v>
      </c>
      <c r="JH28" s="7">
        <v>0</v>
      </c>
      <c r="JI28" s="2">
        <v>0</v>
      </c>
      <c r="JJ28" s="7">
        <v>0</v>
      </c>
      <c r="JK28" s="2">
        <v>0</v>
      </c>
      <c r="JL28" s="7">
        <v>0</v>
      </c>
      <c r="JN28" s="2">
        <v>30</v>
      </c>
      <c r="JP28" s="2">
        <v>36</v>
      </c>
      <c r="JQ28" s="2">
        <v>50</v>
      </c>
      <c r="JS28" s="2">
        <v>58</v>
      </c>
      <c r="JT28" s="2">
        <v>0</v>
      </c>
      <c r="JU28" s="2">
        <v>0</v>
      </c>
      <c r="JV28" s="2">
        <v>174</v>
      </c>
      <c r="JW28" s="4">
        <v>1</v>
      </c>
      <c r="JX28" s="2">
        <v>174</v>
      </c>
      <c r="JY28" s="4">
        <v>0.59424999999999994</v>
      </c>
      <c r="KE28" s="7">
        <v>0</v>
      </c>
      <c r="KF28" s="2">
        <v>0</v>
      </c>
      <c r="KH28" s="2">
        <v>83</v>
      </c>
      <c r="KI28" s="2">
        <v>7</v>
      </c>
      <c r="KK28" s="2">
        <v>54</v>
      </c>
      <c r="KL28" s="2">
        <v>30</v>
      </c>
      <c r="KQ28" s="2" t="s">
        <v>83</v>
      </c>
      <c r="KR28" s="2" t="s">
        <v>73</v>
      </c>
      <c r="KT28" s="2">
        <v>2</v>
      </c>
      <c r="KU28" s="2" t="s">
        <v>84</v>
      </c>
      <c r="KW28" s="2" t="s">
        <v>86</v>
      </c>
      <c r="KX28" s="2" t="s">
        <v>17</v>
      </c>
      <c r="KY28" s="2" t="s">
        <v>17</v>
      </c>
      <c r="KZ28" s="2" t="s">
        <v>17</v>
      </c>
      <c r="LA28" s="2" t="s">
        <v>17</v>
      </c>
      <c r="LB28" s="2" t="s">
        <v>17</v>
      </c>
      <c r="LC28" s="2" t="s">
        <v>17</v>
      </c>
      <c r="LD28" s="2" t="s">
        <v>17</v>
      </c>
      <c r="LE28" s="2" t="s">
        <v>17</v>
      </c>
      <c r="LF28" s="2" t="s">
        <v>17</v>
      </c>
      <c r="LG28" s="2" t="s">
        <v>17</v>
      </c>
      <c r="LH28" s="2" t="s">
        <v>17</v>
      </c>
      <c r="LI28" s="2" t="s">
        <v>17</v>
      </c>
      <c r="LJ28" s="2" t="s">
        <v>87</v>
      </c>
      <c r="LK28" s="2" t="s">
        <v>17</v>
      </c>
      <c r="LL28" s="2" t="s">
        <v>17</v>
      </c>
      <c r="LM28" s="2">
        <v>0</v>
      </c>
      <c r="LN28" s="2" t="s">
        <v>9</v>
      </c>
      <c r="LO28" s="2" t="s">
        <v>9</v>
      </c>
      <c r="LP28" s="2" t="s">
        <v>17</v>
      </c>
      <c r="LQ28" s="2" t="s">
        <v>17</v>
      </c>
      <c r="LR28" s="2" t="s">
        <v>9</v>
      </c>
      <c r="LS28" s="2" t="s">
        <v>17</v>
      </c>
      <c r="LT28" s="2" t="s">
        <v>17</v>
      </c>
      <c r="LU28" s="2" t="s">
        <v>17</v>
      </c>
      <c r="LV28" s="2" t="s">
        <v>17</v>
      </c>
      <c r="LW28" s="2" t="s">
        <v>17</v>
      </c>
      <c r="LX28" s="2" t="s">
        <v>17</v>
      </c>
      <c r="LY28" s="5">
        <v>6500000</v>
      </c>
      <c r="LZ28" s="5">
        <v>0</v>
      </c>
      <c r="MA28" s="5">
        <v>9500000</v>
      </c>
      <c r="MB28" s="5">
        <v>9500000</v>
      </c>
      <c r="MC28" s="5">
        <v>9500000</v>
      </c>
      <c r="MD28" s="5">
        <v>750000</v>
      </c>
      <c r="ME28" s="5">
        <v>750000</v>
      </c>
      <c r="MF28" s="5">
        <v>750000</v>
      </c>
      <c r="MG28" s="5">
        <v>10000000</v>
      </c>
      <c r="MH28" s="5">
        <v>0</v>
      </c>
      <c r="MI28" s="5">
        <v>10000000</v>
      </c>
      <c r="MJ28" s="5">
        <v>0</v>
      </c>
      <c r="MK28" s="5">
        <v>1638900</v>
      </c>
      <c r="ML28" s="5">
        <v>0</v>
      </c>
      <c r="MM28" s="5">
        <v>0</v>
      </c>
      <c r="MN28" s="2">
        <v>0</v>
      </c>
      <c r="MO28" s="5">
        <v>0</v>
      </c>
      <c r="MP28" s="5">
        <v>0</v>
      </c>
      <c r="MQ28" s="2">
        <v>0</v>
      </c>
      <c r="MR28" s="2">
        <v>0</v>
      </c>
      <c r="MS28" s="2">
        <v>0</v>
      </c>
      <c r="MT28" s="5">
        <v>2950000</v>
      </c>
      <c r="MU28" s="5">
        <v>0</v>
      </c>
      <c r="MV28" s="5">
        <v>4600000</v>
      </c>
      <c r="MW28" s="5">
        <v>0</v>
      </c>
      <c r="MY28" s="5">
        <v>0</v>
      </c>
      <c r="MZ28" s="5">
        <v>0</v>
      </c>
      <c r="NA28" s="5">
        <v>0</v>
      </c>
      <c r="NB28" s="5">
        <v>2500000</v>
      </c>
      <c r="NC28" s="5">
        <v>0</v>
      </c>
      <c r="ND28" s="5">
        <v>5000000</v>
      </c>
      <c r="NE28" s="5">
        <v>0</v>
      </c>
      <c r="NF28" s="5">
        <v>0</v>
      </c>
      <c r="NG28" s="5">
        <v>0</v>
      </c>
      <c r="NH28" s="5"/>
      <c r="NI28" s="5">
        <v>0</v>
      </c>
      <c r="NJ28" s="5">
        <v>2594616</v>
      </c>
      <c r="NK28" s="2" t="s">
        <v>17</v>
      </c>
      <c r="NL28" s="2">
        <v>2023</v>
      </c>
      <c r="NM28" s="2" t="s">
        <v>17</v>
      </c>
      <c r="NO28" s="2" t="s">
        <v>17</v>
      </c>
      <c r="NR28" s="2" t="s">
        <v>17</v>
      </c>
      <c r="NT28" s="2" t="s">
        <v>9</v>
      </c>
      <c r="NU28" s="2" t="s">
        <v>450</v>
      </c>
      <c r="NV28" s="2">
        <v>6.04</v>
      </c>
      <c r="NW28" s="2" t="s">
        <v>4416</v>
      </c>
      <c r="NX28" s="2" t="s">
        <v>118</v>
      </c>
      <c r="NY28" s="2" t="s">
        <v>118</v>
      </c>
      <c r="NZ28" s="2" t="s">
        <v>118</v>
      </c>
      <c r="OA28" s="2" t="s">
        <v>17</v>
      </c>
      <c r="OB28" s="2" t="s">
        <v>119</v>
      </c>
      <c r="OF28" s="2" t="s">
        <v>17</v>
      </c>
      <c r="OG28" s="2" t="s">
        <v>17</v>
      </c>
      <c r="OH28" s="2" t="s">
        <v>85</v>
      </c>
      <c r="OI28" s="6">
        <v>0</v>
      </c>
      <c r="OJ28" s="6">
        <v>285000</v>
      </c>
      <c r="OK28" s="2" t="s">
        <v>17</v>
      </c>
      <c r="OL28" s="2" t="s">
        <v>17</v>
      </c>
      <c r="OM28" s="6">
        <v>0</v>
      </c>
      <c r="ON28" s="6">
        <v>0</v>
      </c>
      <c r="OO28" s="6">
        <v>0</v>
      </c>
      <c r="OP28" s="6">
        <v>0</v>
      </c>
      <c r="OQ28" s="4">
        <v>0</v>
      </c>
      <c r="OR28" s="6">
        <v>0</v>
      </c>
      <c r="OS28" s="4">
        <v>0</v>
      </c>
      <c r="OT28" s="2" t="s">
        <v>17</v>
      </c>
      <c r="OU28" s="2" t="s">
        <v>17</v>
      </c>
      <c r="OV28" s="2">
        <v>3</v>
      </c>
      <c r="OW28" s="2" t="s">
        <v>17</v>
      </c>
      <c r="OX28" s="5">
        <v>9286250</v>
      </c>
      <c r="OY28" s="6">
        <v>53369.25</v>
      </c>
      <c r="PD28" s="8">
        <v>30538600</v>
      </c>
      <c r="PF28" s="8">
        <v>30538600</v>
      </c>
      <c r="PO28" s="8">
        <v>30538600</v>
      </c>
      <c r="PQ28" s="8">
        <v>30538600</v>
      </c>
      <c r="PR28" s="8">
        <v>4275404</v>
      </c>
      <c r="PT28" s="8">
        <v>4275404</v>
      </c>
      <c r="PU28" s="6">
        <v>4275404</v>
      </c>
      <c r="PV28" s="8">
        <v>34814004</v>
      </c>
      <c r="PX28" s="8">
        <v>34814004</v>
      </c>
      <c r="PY28" s="8">
        <v>1526930</v>
      </c>
      <c r="QA28" s="8">
        <v>1526930</v>
      </c>
      <c r="QB28" s="6">
        <v>1740700.2</v>
      </c>
      <c r="QC28" s="8">
        <v>2425299</v>
      </c>
      <c r="QD28" s="8">
        <v>15000</v>
      </c>
      <c r="QE28" s="8">
        <v>2440299</v>
      </c>
      <c r="QF28" s="8">
        <v>125000</v>
      </c>
      <c r="QH28" s="8">
        <v>125000</v>
      </c>
      <c r="QI28" s="8">
        <v>192405</v>
      </c>
      <c r="QK28" s="8">
        <v>192405</v>
      </c>
      <c r="QL28" s="2">
        <v>0</v>
      </c>
      <c r="QM28" s="8">
        <v>362827</v>
      </c>
      <c r="QN28" s="8">
        <v>362827</v>
      </c>
      <c r="QO28" s="2">
        <v>0</v>
      </c>
      <c r="QR28" s="8">
        <v>428840</v>
      </c>
      <c r="QS28" s="8">
        <v>85000</v>
      </c>
      <c r="QT28" s="8">
        <v>513840</v>
      </c>
      <c r="QU28" s="8">
        <v>3171544</v>
      </c>
      <c r="QV28" s="8">
        <v>462827</v>
      </c>
      <c r="QW28" s="8">
        <v>3634371</v>
      </c>
      <c r="QX28" s="8">
        <v>59499</v>
      </c>
      <c r="QZ28" s="8">
        <v>59499</v>
      </c>
      <c r="RA28" s="6">
        <v>181718.55</v>
      </c>
      <c r="RB28" s="8">
        <v>2433679</v>
      </c>
      <c r="RC28" s="8">
        <v>1109607</v>
      </c>
      <c r="RD28" s="8">
        <v>3543286</v>
      </c>
      <c r="RE28" s="8">
        <v>259722</v>
      </c>
      <c r="RF28" s="8">
        <v>259722</v>
      </c>
      <c r="RJ28" s="8">
        <v>2433679</v>
      </c>
      <c r="RK28" s="8">
        <v>1369329</v>
      </c>
      <c r="RL28" s="8">
        <v>3803008</v>
      </c>
      <c r="RM28" s="2">
        <v>0</v>
      </c>
      <c r="RT28" s="8">
        <v>42005656</v>
      </c>
      <c r="RU28" s="8">
        <v>1832156</v>
      </c>
      <c r="RV28" s="8">
        <v>43837812</v>
      </c>
      <c r="RY28" s="2">
        <v>0</v>
      </c>
      <c r="RZ28" s="6">
        <v>0</v>
      </c>
      <c r="SA28" s="8">
        <v>7890806</v>
      </c>
      <c r="SC28" s="8">
        <v>7890806</v>
      </c>
      <c r="SD28" s="6">
        <v>7890806</v>
      </c>
      <c r="SE28" s="8">
        <v>7890806</v>
      </c>
      <c r="SF28" s="8">
        <v>7890806</v>
      </c>
      <c r="SG28" s="6">
        <v>7890806</v>
      </c>
      <c r="SH28" s="8">
        <v>609000</v>
      </c>
      <c r="SI28" s="8">
        <v>609000</v>
      </c>
      <c r="SJ28" s="6">
        <v>609000</v>
      </c>
      <c r="SK28" s="8">
        <v>1450000</v>
      </c>
      <c r="SL28" s="8">
        <v>1450000</v>
      </c>
      <c r="SM28" s="8">
        <v>49896462</v>
      </c>
      <c r="SN28" s="8">
        <v>3891156</v>
      </c>
      <c r="SO28" s="8">
        <v>53787618</v>
      </c>
      <c r="SP28" s="8">
        <v>28226581</v>
      </c>
      <c r="SQ28" s="2" t="s">
        <v>4220</v>
      </c>
      <c r="SR28" s="8">
        <v>6852522.6200000001</v>
      </c>
      <c r="SS28" s="2" t="s">
        <v>95</v>
      </c>
      <c r="SX28" s="8">
        <v>10250000</v>
      </c>
      <c r="SY28" s="2" t="s">
        <v>96</v>
      </c>
      <c r="SZ28" s="2" t="s">
        <v>96</v>
      </c>
      <c r="TA28" s="2" t="s">
        <v>96</v>
      </c>
      <c r="TB28" s="8">
        <v>7393915</v>
      </c>
      <c r="TC28" s="2" t="s">
        <v>4598</v>
      </c>
      <c r="TD28" s="8">
        <v>500000</v>
      </c>
      <c r="TE28" s="2" t="s">
        <v>413</v>
      </c>
      <c r="TF28" s="8">
        <v>564599.38</v>
      </c>
      <c r="TG28" s="8">
        <v>53787618</v>
      </c>
      <c r="TH28" s="2">
        <v>0</v>
      </c>
      <c r="TI28" s="8">
        <v>12743773.140000001</v>
      </c>
      <c r="TJ28" s="2" t="s">
        <v>4220</v>
      </c>
      <c r="TR28" s="8">
        <v>10250000</v>
      </c>
      <c r="TS28" s="8">
        <v>24646387.34</v>
      </c>
      <c r="TT28" s="2" t="s">
        <v>4598</v>
      </c>
      <c r="TU28" s="8">
        <v>500000</v>
      </c>
      <c r="TV28" s="2" t="s">
        <v>413</v>
      </c>
      <c r="TZ28" s="8">
        <v>5647457.5199999996</v>
      </c>
      <c r="UA28" s="8">
        <v>53787618</v>
      </c>
      <c r="UB28" s="6">
        <v>23493773.140000001</v>
      </c>
      <c r="UC28" s="2">
        <v>0</v>
      </c>
      <c r="UD28" s="2">
        <v>174</v>
      </c>
      <c r="UE28" s="5">
        <v>240000</v>
      </c>
      <c r="UF28" s="6">
        <v>320000</v>
      </c>
      <c r="UG28" s="6">
        <v>327500</v>
      </c>
      <c r="UH28" s="6">
        <v>347150</v>
      </c>
      <c r="UI28" s="6">
        <v>60404100</v>
      </c>
      <c r="UJ28" s="6">
        <v>10872738</v>
      </c>
      <c r="UK28" s="2" t="s">
        <v>97</v>
      </c>
      <c r="UL28" s="6">
        <v>10872738</v>
      </c>
      <c r="UM28" s="6">
        <v>71276838</v>
      </c>
      <c r="UN28" s="6">
        <v>51728618</v>
      </c>
      <c r="UQ28" s="6">
        <v>0</v>
      </c>
      <c r="UR28" s="6">
        <v>37500</v>
      </c>
      <c r="US28" s="6">
        <v>37500</v>
      </c>
      <c r="UV28" s="6">
        <v>0</v>
      </c>
      <c r="UW28" s="6">
        <v>37500</v>
      </c>
      <c r="UX28" s="6">
        <v>0</v>
      </c>
      <c r="UY28" s="6">
        <v>37500</v>
      </c>
      <c r="UZ28" s="2" t="s">
        <v>4599</v>
      </c>
      <c r="VA28" s="2" t="s">
        <v>453</v>
      </c>
      <c r="VB28" s="2" t="s">
        <v>17</v>
      </c>
      <c r="VI28" s="388" t="s">
        <v>4567</v>
      </c>
      <c r="VJ28" s="2" t="s">
        <v>98</v>
      </c>
      <c r="VK28" s="2" t="s">
        <v>4600</v>
      </c>
      <c r="VL28" s="23">
        <f t="shared" si="0"/>
        <v>295</v>
      </c>
      <c r="VM28" s="17">
        <f t="shared" si="1"/>
        <v>1.6954022988505748</v>
      </c>
      <c r="VN28" s="17" t="str">
        <f t="shared" si="2"/>
        <v>NC-MR-F</v>
      </c>
      <c r="VO28" s="17" t="str">
        <f t="shared" si="15"/>
        <v>NC-MR-F-Non</v>
      </c>
      <c r="VP28" s="57">
        <v>1</v>
      </c>
      <c r="VQ28" s="17">
        <f t="shared" si="3"/>
        <v>1.1100000000000001</v>
      </c>
      <c r="VR28" s="14">
        <f t="shared" si="4"/>
        <v>1</v>
      </c>
      <c r="VS28" s="14">
        <f t="shared" si="5"/>
        <v>1</v>
      </c>
      <c r="VT28" s="12">
        <f t="shared" si="6"/>
        <v>0.88</v>
      </c>
      <c r="VU28" s="29">
        <f t="shared" si="7"/>
        <v>9279600</v>
      </c>
      <c r="VV28" s="29">
        <f t="shared" si="8"/>
        <v>53331.03</v>
      </c>
      <c r="VW28" s="351" t="str">
        <f t="shared" si="16"/>
        <v>A</v>
      </c>
      <c r="VX28" s="12" t="str">
        <f t="shared" si="9"/>
        <v>NC-MR-Non</v>
      </c>
      <c r="VY28" s="23">
        <f t="shared" si="17"/>
        <v>3</v>
      </c>
      <c r="WA28" s="12">
        <f t="shared" si="18"/>
        <v>0</v>
      </c>
      <c r="WB28" s="12">
        <f t="shared" si="19"/>
        <v>1</v>
      </c>
      <c r="WC28" s="12">
        <f t="shared" si="19"/>
        <v>0</v>
      </c>
      <c r="WD28" s="12">
        <f t="shared" si="19"/>
        <v>0</v>
      </c>
      <c r="WE28" s="12">
        <f t="shared" si="20"/>
        <v>0</v>
      </c>
      <c r="WF28" s="12">
        <f t="shared" si="10"/>
        <v>0</v>
      </c>
      <c r="WG28" s="12">
        <f t="shared" si="11"/>
        <v>1</v>
      </c>
      <c r="WH28" s="12">
        <f t="shared" si="12"/>
        <v>0</v>
      </c>
      <c r="WI28" s="31">
        <f t="shared" si="13"/>
        <v>2</v>
      </c>
      <c r="WK28" s="444" t="str">
        <f t="shared" si="21"/>
        <v>NC-MR-Non-BBY-BRN-NPH-F</v>
      </c>
      <c r="WL28" s="444"/>
      <c r="WM28" s="444"/>
    </row>
    <row r="29" spans="1:611" x14ac:dyDescent="0.25">
      <c r="A29" s="2">
        <v>9304</v>
      </c>
      <c r="B29" s="2" t="s">
        <v>4601</v>
      </c>
      <c r="C29" s="2" t="s">
        <v>4205</v>
      </c>
      <c r="D29" s="3">
        <v>45135</v>
      </c>
      <c r="E29" s="2" t="s">
        <v>9</v>
      </c>
      <c r="F29" s="2">
        <v>1</v>
      </c>
      <c r="G29" s="2" t="s">
        <v>9</v>
      </c>
      <c r="H29" s="2">
        <v>1</v>
      </c>
      <c r="I29" s="2" t="s">
        <v>11</v>
      </c>
      <c r="J29" s="2">
        <v>0</v>
      </c>
      <c r="K29" s="2" t="s">
        <v>9</v>
      </c>
      <c r="L29" s="2">
        <v>1</v>
      </c>
      <c r="M29" s="2" t="s">
        <v>10</v>
      </c>
      <c r="N29" s="2">
        <v>0</v>
      </c>
      <c r="O29" s="2" t="s">
        <v>10</v>
      </c>
      <c r="P29" s="2">
        <v>0</v>
      </c>
      <c r="Q29" s="2" t="s">
        <v>11</v>
      </c>
      <c r="R29" s="2">
        <v>0</v>
      </c>
      <c r="S29" s="2" t="s">
        <v>9</v>
      </c>
      <c r="T29" s="2">
        <v>2</v>
      </c>
      <c r="U29" s="2" t="s">
        <v>9</v>
      </c>
      <c r="V29" s="2">
        <v>2</v>
      </c>
      <c r="W29" s="2" t="s">
        <v>9</v>
      </c>
      <c r="X29" s="2">
        <v>2</v>
      </c>
      <c r="Y29" s="2" t="s">
        <v>12</v>
      </c>
      <c r="Z29" s="2" t="s">
        <v>1211</v>
      </c>
      <c r="AA29" s="2" t="s">
        <v>15</v>
      </c>
      <c r="AB29" s="2" t="s">
        <v>15</v>
      </c>
      <c r="AC29" s="2" t="s">
        <v>15</v>
      </c>
      <c r="AD29" s="2" t="s">
        <v>15</v>
      </c>
      <c r="AE29" s="2" t="s">
        <v>15</v>
      </c>
      <c r="AF29" s="2">
        <v>1</v>
      </c>
      <c r="AG29" s="2" t="s">
        <v>1212</v>
      </c>
      <c r="AH29" s="2" t="s">
        <v>17</v>
      </c>
      <c r="AI29" s="4">
        <v>0.1</v>
      </c>
      <c r="AJ29" s="2" t="s">
        <v>17</v>
      </c>
      <c r="AK29" s="2" t="s">
        <v>9</v>
      </c>
      <c r="AL29" s="2" t="s">
        <v>17</v>
      </c>
      <c r="AM29" s="2" t="s">
        <v>17</v>
      </c>
      <c r="AN29" s="2" t="s">
        <v>17</v>
      </c>
      <c r="AO29" s="2" t="s">
        <v>9</v>
      </c>
      <c r="AP29" s="2" t="s">
        <v>17</v>
      </c>
      <c r="AQ29" s="2" t="s">
        <v>17</v>
      </c>
      <c r="AR29" s="2" t="s">
        <v>17</v>
      </c>
      <c r="AS29" s="2" t="s">
        <v>17</v>
      </c>
      <c r="AT29" s="2">
        <v>5</v>
      </c>
      <c r="AU29" s="5">
        <v>50000</v>
      </c>
      <c r="AV29" s="5">
        <v>460000</v>
      </c>
      <c r="AW29" s="2">
        <v>1</v>
      </c>
      <c r="AX29" s="2">
        <v>15</v>
      </c>
      <c r="AY29" s="2">
        <v>0</v>
      </c>
      <c r="AZ29" s="2">
        <v>17</v>
      </c>
      <c r="BA29" s="2">
        <v>0</v>
      </c>
      <c r="BB29" s="2">
        <v>1</v>
      </c>
      <c r="BC29" s="2">
        <v>1</v>
      </c>
      <c r="BD29" s="2">
        <v>0</v>
      </c>
      <c r="BE29" s="2">
        <v>0</v>
      </c>
      <c r="BF29" s="2">
        <v>1</v>
      </c>
      <c r="BG29" s="2">
        <v>0</v>
      </c>
      <c r="BH29" s="2">
        <v>0</v>
      </c>
      <c r="BI29" s="2">
        <v>13</v>
      </c>
      <c r="BJ29" s="2">
        <v>1</v>
      </c>
      <c r="BK29" s="2">
        <v>0</v>
      </c>
      <c r="BL29" s="2">
        <v>3</v>
      </c>
      <c r="BM29" s="2">
        <v>1</v>
      </c>
      <c r="BN29" s="2">
        <v>10</v>
      </c>
      <c r="BO29" s="2">
        <v>10</v>
      </c>
      <c r="BP29" s="2">
        <v>50.47</v>
      </c>
      <c r="BQ29" s="5">
        <v>3897500</v>
      </c>
      <c r="BR29" s="2">
        <v>1</v>
      </c>
      <c r="BS29" s="4">
        <v>0.06</v>
      </c>
      <c r="BT29" s="2" t="s">
        <v>9</v>
      </c>
      <c r="BU29" s="2" t="s">
        <v>17</v>
      </c>
      <c r="BV29" s="6">
        <v>53693.5</v>
      </c>
      <c r="BW29" s="2" t="s">
        <v>18</v>
      </c>
      <c r="BX29" s="2" t="s">
        <v>17</v>
      </c>
      <c r="BY29" s="2" t="s">
        <v>17</v>
      </c>
      <c r="BZ29" s="2" t="s">
        <v>17</v>
      </c>
      <c r="CA29" s="2" t="s">
        <v>17</v>
      </c>
      <c r="CB29" s="2" t="s">
        <v>17</v>
      </c>
      <c r="CC29" s="2" t="s">
        <v>17</v>
      </c>
      <c r="CE29" s="2" t="s">
        <v>1213</v>
      </c>
      <c r="CF29" s="2" t="s">
        <v>17</v>
      </c>
      <c r="CG29" s="2" t="s">
        <v>17</v>
      </c>
      <c r="DA29" s="2" t="s">
        <v>1171</v>
      </c>
      <c r="DD29" s="2" t="s">
        <v>9</v>
      </c>
      <c r="DE29" s="2" t="s">
        <v>1208</v>
      </c>
      <c r="DF29" s="2" t="s">
        <v>1171</v>
      </c>
      <c r="DG29" s="2" t="s">
        <v>4516</v>
      </c>
      <c r="DH29" s="2" t="s">
        <v>4602</v>
      </c>
      <c r="DI29" s="2">
        <v>318</v>
      </c>
      <c r="DJ29" s="2" t="s">
        <v>965</v>
      </c>
      <c r="DK29" s="2">
        <v>2021</v>
      </c>
      <c r="DL29" s="2" t="s">
        <v>4209</v>
      </c>
      <c r="DM29" s="2" t="s">
        <v>4210</v>
      </c>
      <c r="DN29" s="2" t="s">
        <v>33</v>
      </c>
      <c r="DO29" s="2" t="s">
        <v>1179</v>
      </c>
      <c r="DP29" s="2" t="s">
        <v>951</v>
      </c>
      <c r="DQ29" s="2" t="s">
        <v>1180</v>
      </c>
      <c r="DR29" s="2" t="s">
        <v>1181</v>
      </c>
      <c r="DS29" s="2">
        <v>1</v>
      </c>
      <c r="DT29" s="2" t="s">
        <v>1182</v>
      </c>
      <c r="DU29" s="2" t="s">
        <v>299</v>
      </c>
      <c r="DV29" s="2" t="s">
        <v>39</v>
      </c>
      <c r="DW29" s="2">
        <v>33176</v>
      </c>
      <c r="DX29" s="2" t="s">
        <v>1183</v>
      </c>
      <c r="DY29" s="2">
        <v>218</v>
      </c>
      <c r="DZ29" s="2" t="s">
        <v>1184</v>
      </c>
      <c r="EA29" s="2" t="s">
        <v>1181</v>
      </c>
      <c r="EB29" s="2" t="s">
        <v>1185</v>
      </c>
      <c r="EC29" s="2" t="s">
        <v>330</v>
      </c>
      <c r="ED29" s="2" t="s">
        <v>44</v>
      </c>
      <c r="EE29" s="2">
        <v>300</v>
      </c>
      <c r="EF29" s="2" t="s">
        <v>966</v>
      </c>
      <c r="EG29" s="2">
        <v>11</v>
      </c>
      <c r="EH29" s="2" t="s">
        <v>46</v>
      </c>
      <c r="EI29" s="2" t="s">
        <v>47</v>
      </c>
      <c r="EJ29" s="2" t="s">
        <v>1186</v>
      </c>
      <c r="EK29" s="2" t="s">
        <v>692</v>
      </c>
      <c r="EL29" s="2" t="s">
        <v>44</v>
      </c>
      <c r="EM29" s="2">
        <v>420</v>
      </c>
      <c r="EN29" s="2" t="s">
        <v>966</v>
      </c>
      <c r="EO29" s="2">
        <v>18</v>
      </c>
      <c r="EP29" s="2" t="s">
        <v>46</v>
      </c>
      <c r="EQ29" s="2" t="s">
        <v>47</v>
      </c>
      <c r="ER29" s="2" t="s">
        <v>50</v>
      </c>
      <c r="ES29" s="2" t="s">
        <v>476</v>
      </c>
      <c r="ET29" s="2" t="s">
        <v>1187</v>
      </c>
      <c r="EU29" s="2" t="s">
        <v>1213</v>
      </c>
      <c r="EV29" s="2" t="s">
        <v>4486</v>
      </c>
      <c r="EW29" s="2" t="s">
        <v>396</v>
      </c>
      <c r="EX29" s="2" t="s">
        <v>39</v>
      </c>
      <c r="EY29" s="2">
        <v>33618</v>
      </c>
      <c r="EZ29" s="2" t="s">
        <v>1189</v>
      </c>
      <c r="FB29" s="2" t="s">
        <v>1190</v>
      </c>
      <c r="FN29" s="2" t="s">
        <v>1218</v>
      </c>
      <c r="FO29" s="2" t="s">
        <v>63</v>
      </c>
      <c r="FP29" s="2" t="s">
        <v>64</v>
      </c>
      <c r="FQ29" s="2" t="s">
        <v>9</v>
      </c>
      <c r="FR29" s="2" t="s">
        <v>17</v>
      </c>
      <c r="FS29" s="2" t="s">
        <v>17</v>
      </c>
      <c r="FT29" s="2" t="s">
        <v>9</v>
      </c>
      <c r="FX29" s="2">
        <v>0</v>
      </c>
      <c r="FY29" s="2">
        <v>0</v>
      </c>
      <c r="FZ29" s="4">
        <v>0</v>
      </c>
      <c r="GA29" s="4">
        <v>0</v>
      </c>
      <c r="GB29" s="2" t="s">
        <v>65</v>
      </c>
      <c r="GC29" s="2" t="s">
        <v>66</v>
      </c>
      <c r="GD29" s="2" t="s">
        <v>67</v>
      </c>
      <c r="GE29" s="2" t="s">
        <v>68</v>
      </c>
      <c r="GF29" s="2">
        <v>60</v>
      </c>
      <c r="GG29" s="2">
        <v>60</v>
      </c>
      <c r="GQ29" s="2">
        <v>60</v>
      </c>
      <c r="GR29" s="2" t="s">
        <v>1197</v>
      </c>
      <c r="GS29" s="2" t="s">
        <v>70</v>
      </c>
      <c r="GT29" s="2" t="s">
        <v>1219</v>
      </c>
      <c r="GU29" s="2" t="s">
        <v>1199</v>
      </c>
      <c r="GV29" s="2" t="s">
        <v>17</v>
      </c>
      <c r="GW29" s="2">
        <v>26.683622</v>
      </c>
      <c r="GX29" s="2">
        <v>-81.876462000000004</v>
      </c>
      <c r="GZ29" s="2" t="s">
        <v>17</v>
      </c>
      <c r="HA29" s="2">
        <v>0</v>
      </c>
      <c r="HC29" s="2">
        <v>0</v>
      </c>
      <c r="HD29" s="2">
        <v>26.682341999999998</v>
      </c>
      <c r="HE29" s="2">
        <v>-81.881604999999993</v>
      </c>
      <c r="HF29" s="2">
        <v>0.33</v>
      </c>
      <c r="HG29" s="2">
        <v>1.5</v>
      </c>
      <c r="HZ29" s="2" t="s">
        <v>359</v>
      </c>
      <c r="IA29" s="2">
        <v>0.84</v>
      </c>
      <c r="IB29" s="2">
        <v>2.5</v>
      </c>
      <c r="IF29" s="2" t="s">
        <v>359</v>
      </c>
      <c r="IG29" s="2">
        <v>0.84</v>
      </c>
      <c r="IH29" s="2">
        <v>2.5</v>
      </c>
      <c r="II29" s="2" t="s">
        <v>1202</v>
      </c>
      <c r="IJ29" s="2">
        <v>0.74</v>
      </c>
      <c r="IK29" s="2">
        <v>3.5</v>
      </c>
      <c r="IL29" s="2" t="s">
        <v>17</v>
      </c>
      <c r="IM29" s="2" t="s">
        <v>17</v>
      </c>
      <c r="IO29" s="2" t="s">
        <v>17</v>
      </c>
      <c r="IP29" s="2" t="s">
        <v>79</v>
      </c>
      <c r="IQ29" s="2" t="s">
        <v>79</v>
      </c>
      <c r="IR29" s="2">
        <v>1.5</v>
      </c>
      <c r="IS29" s="2">
        <v>8.5</v>
      </c>
      <c r="IT29" s="2">
        <v>0</v>
      </c>
      <c r="IU29" s="2">
        <v>10</v>
      </c>
      <c r="IV29" s="2" t="s">
        <v>80</v>
      </c>
      <c r="IW29" s="2" t="s">
        <v>9</v>
      </c>
      <c r="IX29" s="2" t="s">
        <v>9</v>
      </c>
      <c r="IY29" s="2">
        <v>10</v>
      </c>
      <c r="IZ29" s="2">
        <v>60</v>
      </c>
      <c r="JB29" s="2" t="s">
        <v>173</v>
      </c>
      <c r="JE29" s="7">
        <v>0.1</v>
      </c>
      <c r="JG29" s="7">
        <v>0.9</v>
      </c>
      <c r="JH29" s="7">
        <v>0</v>
      </c>
      <c r="JI29" s="2">
        <v>60</v>
      </c>
      <c r="JJ29" s="7">
        <v>1</v>
      </c>
      <c r="JK29" s="2">
        <v>60</v>
      </c>
      <c r="JL29" s="7">
        <v>1</v>
      </c>
      <c r="JT29" s="2">
        <v>0</v>
      </c>
      <c r="JU29" s="2">
        <v>0</v>
      </c>
      <c r="JV29" s="2">
        <v>0</v>
      </c>
      <c r="JW29" s="4">
        <v>0</v>
      </c>
      <c r="JX29" s="2">
        <v>0</v>
      </c>
      <c r="JY29" s="4">
        <v>0</v>
      </c>
      <c r="KB29" s="7">
        <v>0.1</v>
      </c>
      <c r="KD29" s="7">
        <v>0.9</v>
      </c>
      <c r="KE29" s="7">
        <v>1</v>
      </c>
      <c r="KF29" s="2">
        <v>60</v>
      </c>
      <c r="KH29" s="2">
        <v>27</v>
      </c>
      <c r="KK29" s="2">
        <v>27</v>
      </c>
      <c r="KL29" s="2">
        <v>6</v>
      </c>
      <c r="KQ29" s="2" t="s">
        <v>83</v>
      </c>
      <c r="KR29" s="2" t="s">
        <v>73</v>
      </c>
      <c r="KT29" s="2">
        <v>1</v>
      </c>
      <c r="KU29" s="2" t="s">
        <v>84</v>
      </c>
      <c r="KW29" s="2" t="s">
        <v>86</v>
      </c>
      <c r="KX29" s="2" t="s">
        <v>17</v>
      </c>
      <c r="KY29" s="2" t="s">
        <v>17</v>
      </c>
      <c r="KZ29" s="2" t="s">
        <v>17</v>
      </c>
      <c r="LA29" s="2" t="s">
        <v>17</v>
      </c>
      <c r="LB29" s="2" t="s">
        <v>17</v>
      </c>
      <c r="LC29" s="2" t="s">
        <v>17</v>
      </c>
      <c r="LD29" s="2" t="s">
        <v>17</v>
      </c>
      <c r="LE29" s="2" t="s">
        <v>17</v>
      </c>
      <c r="LF29" s="2" t="s">
        <v>17</v>
      </c>
      <c r="LG29" s="2" t="s">
        <v>17</v>
      </c>
      <c r="LH29" s="2" t="s">
        <v>17</v>
      </c>
      <c r="LI29" s="2" t="s">
        <v>17</v>
      </c>
      <c r="LJ29" s="2" t="s">
        <v>87</v>
      </c>
      <c r="LK29" s="2" t="s">
        <v>17</v>
      </c>
      <c r="LL29" s="2" t="s">
        <v>17</v>
      </c>
      <c r="LM29" s="2">
        <v>0</v>
      </c>
      <c r="LN29" s="2" t="s">
        <v>17</v>
      </c>
      <c r="LO29" s="2" t="s">
        <v>9</v>
      </c>
      <c r="LP29" s="2" t="s">
        <v>9</v>
      </c>
      <c r="LQ29" s="2" t="s">
        <v>17</v>
      </c>
      <c r="LR29" s="2" t="s">
        <v>9</v>
      </c>
      <c r="LS29" s="2" t="s">
        <v>17</v>
      </c>
      <c r="LT29" s="2" t="s">
        <v>17</v>
      </c>
      <c r="LU29" s="2" t="s">
        <v>17</v>
      </c>
      <c r="LV29" s="2" t="s">
        <v>17</v>
      </c>
      <c r="LW29" s="2" t="s">
        <v>17</v>
      </c>
      <c r="LX29" s="2" t="s">
        <v>17</v>
      </c>
      <c r="LY29" s="5">
        <v>4800000</v>
      </c>
      <c r="LZ29" s="5">
        <v>0</v>
      </c>
      <c r="MA29" s="5">
        <v>5700000</v>
      </c>
      <c r="MB29" s="5">
        <v>3500000</v>
      </c>
      <c r="MC29" s="5">
        <v>3500000</v>
      </c>
      <c r="MD29" s="5">
        <v>397500</v>
      </c>
      <c r="ME29" s="5">
        <v>397500</v>
      </c>
      <c r="MF29" s="5">
        <v>397500</v>
      </c>
      <c r="MG29" s="5">
        <v>6300000</v>
      </c>
      <c r="MH29" s="5">
        <v>0</v>
      </c>
      <c r="MI29" s="5">
        <v>6300000</v>
      </c>
      <c r="MJ29" s="5">
        <v>0</v>
      </c>
      <c r="MK29" s="5">
        <v>397500</v>
      </c>
      <c r="ML29" s="5">
        <v>0</v>
      </c>
      <c r="MM29" s="5">
        <v>0</v>
      </c>
      <c r="MN29" s="2">
        <v>0</v>
      </c>
      <c r="MO29" s="5">
        <v>0</v>
      </c>
      <c r="MP29" s="5">
        <v>0</v>
      </c>
      <c r="MQ29" s="2">
        <v>0</v>
      </c>
      <c r="MR29" s="2">
        <v>0</v>
      </c>
      <c r="MS29" s="2">
        <v>0</v>
      </c>
      <c r="MT29" s="5">
        <v>2950000</v>
      </c>
      <c r="MU29" s="5">
        <v>0</v>
      </c>
      <c r="MV29" s="5">
        <v>4600000</v>
      </c>
      <c r="MW29" s="5">
        <v>0</v>
      </c>
      <c r="MY29" s="5">
        <v>0</v>
      </c>
      <c r="MZ29" s="5">
        <v>0</v>
      </c>
      <c r="NA29" s="5">
        <v>0</v>
      </c>
      <c r="NB29" s="5">
        <v>2500000</v>
      </c>
      <c r="NC29" s="5">
        <v>0</v>
      </c>
      <c r="ND29" s="5">
        <v>5000000</v>
      </c>
      <c r="NE29" s="5">
        <v>0</v>
      </c>
      <c r="NF29" s="5">
        <v>0</v>
      </c>
      <c r="NG29" s="5">
        <v>0</v>
      </c>
      <c r="NH29" s="5"/>
      <c r="NI29" s="5">
        <v>0</v>
      </c>
      <c r="NJ29" s="5">
        <v>784794</v>
      </c>
      <c r="NK29" s="2" t="s">
        <v>17</v>
      </c>
      <c r="NL29" s="2" t="s">
        <v>4292</v>
      </c>
      <c r="NM29" s="2" t="s">
        <v>17</v>
      </c>
      <c r="NO29" s="2" t="s">
        <v>17</v>
      </c>
      <c r="NR29" s="2" t="s">
        <v>17</v>
      </c>
      <c r="NT29" s="2" t="s">
        <v>9</v>
      </c>
      <c r="NU29" s="2" t="s">
        <v>450</v>
      </c>
      <c r="NV29" s="2">
        <v>205.01</v>
      </c>
      <c r="NW29" s="2" t="s">
        <v>1221</v>
      </c>
      <c r="NX29" s="2" t="s">
        <v>118</v>
      </c>
      <c r="NY29" s="2" t="s">
        <v>118</v>
      </c>
      <c r="NZ29" s="2" t="s">
        <v>118</v>
      </c>
      <c r="OA29" s="2" t="s">
        <v>17</v>
      </c>
      <c r="OB29" s="2" t="s">
        <v>119</v>
      </c>
      <c r="OC29" s="5">
        <v>13500000</v>
      </c>
      <c r="OF29" s="2" t="s">
        <v>17</v>
      </c>
      <c r="OG29" s="2" t="s">
        <v>17</v>
      </c>
      <c r="OH29" s="2" t="s">
        <v>85</v>
      </c>
      <c r="OI29" s="6">
        <v>0</v>
      </c>
      <c r="OJ29" s="6">
        <v>105000</v>
      </c>
      <c r="OK29" s="2" t="s">
        <v>17</v>
      </c>
      <c r="OL29" s="2" t="s">
        <v>17</v>
      </c>
      <c r="OM29" s="6">
        <v>0</v>
      </c>
      <c r="ON29" s="6">
        <v>0</v>
      </c>
      <c r="OO29" s="6">
        <v>0</v>
      </c>
      <c r="OP29" s="6">
        <v>0</v>
      </c>
      <c r="OQ29" s="4">
        <v>0</v>
      </c>
      <c r="OR29" s="6">
        <v>0</v>
      </c>
      <c r="OS29" s="4">
        <v>0</v>
      </c>
      <c r="OT29" s="2" t="s">
        <v>17</v>
      </c>
      <c r="OU29" s="2" t="s">
        <v>17</v>
      </c>
      <c r="OW29" s="2" t="s">
        <v>17</v>
      </c>
      <c r="OX29" s="5">
        <v>3221610</v>
      </c>
      <c r="OY29" s="6">
        <v>53693.5</v>
      </c>
      <c r="PD29" s="8">
        <v>8309751</v>
      </c>
      <c r="PF29" s="8">
        <v>8309751</v>
      </c>
      <c r="PO29" s="8">
        <v>8309751</v>
      </c>
      <c r="PQ29" s="8">
        <v>8309751</v>
      </c>
      <c r="PR29" s="8">
        <v>1163365</v>
      </c>
      <c r="PT29" s="8">
        <v>1163365</v>
      </c>
      <c r="PU29" s="6">
        <v>1163365</v>
      </c>
      <c r="PV29" s="8">
        <v>9473116</v>
      </c>
      <c r="PX29" s="8">
        <v>9473116</v>
      </c>
      <c r="PY29" s="8">
        <v>458655</v>
      </c>
      <c r="QA29" s="8">
        <v>458655</v>
      </c>
      <c r="QB29" s="6">
        <v>473655.8</v>
      </c>
      <c r="QC29" s="8">
        <v>634600</v>
      </c>
      <c r="QD29" s="8">
        <v>139149</v>
      </c>
      <c r="QE29" s="8">
        <v>773749</v>
      </c>
      <c r="QF29" s="8">
        <v>120000</v>
      </c>
      <c r="QG29" s="8">
        <v>57000</v>
      </c>
      <c r="QH29" s="8">
        <v>177000</v>
      </c>
      <c r="QI29" s="8">
        <v>742500</v>
      </c>
      <c r="QJ29" s="8">
        <v>7500</v>
      </c>
      <c r="QK29" s="8">
        <v>750000</v>
      </c>
      <c r="QM29" s="8">
        <v>146679</v>
      </c>
      <c r="QN29" s="8">
        <v>146679</v>
      </c>
      <c r="QR29" s="8">
        <v>190632</v>
      </c>
      <c r="QS29" s="8">
        <v>75000</v>
      </c>
      <c r="QT29" s="8">
        <v>265632</v>
      </c>
      <c r="QU29" s="8">
        <v>1687732</v>
      </c>
      <c r="QV29" s="8">
        <v>425328</v>
      </c>
      <c r="QW29" s="8">
        <v>2113060</v>
      </c>
      <c r="QX29" s="8">
        <v>105653</v>
      </c>
      <c r="QZ29" s="8">
        <v>105653</v>
      </c>
      <c r="RA29" s="6">
        <v>105653</v>
      </c>
      <c r="RB29" s="8">
        <v>900937</v>
      </c>
      <c r="RC29" s="8">
        <v>246982</v>
      </c>
      <c r="RD29" s="8">
        <v>1147919</v>
      </c>
      <c r="RE29" s="8">
        <v>65000</v>
      </c>
      <c r="RF29" s="8">
        <v>65000</v>
      </c>
      <c r="RH29" s="8">
        <v>306350</v>
      </c>
      <c r="RI29" s="8">
        <v>306350</v>
      </c>
      <c r="RJ29" s="8">
        <v>900937</v>
      </c>
      <c r="RK29" s="8">
        <v>618332</v>
      </c>
      <c r="RL29" s="8">
        <v>1519269</v>
      </c>
      <c r="RT29" s="8">
        <v>12626093</v>
      </c>
      <c r="RU29" s="8">
        <v>1043660</v>
      </c>
      <c r="RV29" s="8">
        <v>13669753</v>
      </c>
      <c r="RY29" s="2">
        <v>0</v>
      </c>
      <c r="RZ29" s="6">
        <v>0</v>
      </c>
      <c r="SA29" s="8">
        <v>2460555</v>
      </c>
      <c r="SC29" s="8">
        <v>2460555</v>
      </c>
      <c r="SD29" s="6">
        <v>2460555</v>
      </c>
      <c r="SE29" s="8">
        <v>2460555</v>
      </c>
      <c r="SF29" s="8">
        <v>2460555</v>
      </c>
      <c r="SG29" s="6">
        <v>2460555</v>
      </c>
      <c r="SJ29" s="6">
        <v>210000</v>
      </c>
      <c r="SK29" s="8">
        <v>900000</v>
      </c>
      <c r="SL29" s="8">
        <v>900000</v>
      </c>
      <c r="SM29" s="8">
        <v>15086648</v>
      </c>
      <c r="SN29" s="8">
        <v>1943660</v>
      </c>
      <c r="SO29" s="8">
        <v>17030308</v>
      </c>
      <c r="SP29" s="8">
        <v>13500000</v>
      </c>
      <c r="SQ29" s="2" t="s">
        <v>4295</v>
      </c>
      <c r="SX29" s="8">
        <v>3897500</v>
      </c>
      <c r="SY29" s="2" t="s">
        <v>96</v>
      </c>
      <c r="SZ29" s="2" t="s">
        <v>96</v>
      </c>
      <c r="TA29" s="2" t="s">
        <v>96</v>
      </c>
      <c r="TB29" s="8">
        <v>1059366</v>
      </c>
      <c r="TF29" s="2">
        <v>0</v>
      </c>
      <c r="TG29" s="8">
        <v>18456866</v>
      </c>
      <c r="TH29" s="8">
        <v>1426558</v>
      </c>
      <c r="TI29" s="8">
        <v>4000000</v>
      </c>
      <c r="TJ29" s="2" t="s">
        <v>4295</v>
      </c>
      <c r="TR29" s="8">
        <v>3897500</v>
      </c>
      <c r="TS29" s="8">
        <v>7062440</v>
      </c>
      <c r="TZ29" s="8">
        <v>2070368</v>
      </c>
      <c r="UA29" s="8">
        <v>17030308</v>
      </c>
      <c r="UB29" s="6">
        <v>7897500</v>
      </c>
      <c r="UC29" s="2">
        <v>0</v>
      </c>
      <c r="UD29" s="2">
        <v>60</v>
      </c>
      <c r="UE29" s="5">
        <v>240000</v>
      </c>
      <c r="UF29" s="6">
        <v>320000</v>
      </c>
      <c r="UG29" s="6">
        <v>327500</v>
      </c>
      <c r="UH29" s="6">
        <v>347150</v>
      </c>
      <c r="UI29" s="6">
        <v>20829000</v>
      </c>
      <c r="UJ29" s="6">
        <v>3749220</v>
      </c>
      <c r="UK29" s="2" t="s">
        <v>97</v>
      </c>
      <c r="UL29" s="6">
        <v>3749220</v>
      </c>
      <c r="UM29" s="6">
        <v>24578220</v>
      </c>
      <c r="UN29" s="6">
        <v>16130308</v>
      </c>
      <c r="UQ29" s="6">
        <v>0</v>
      </c>
      <c r="US29" s="6">
        <v>0</v>
      </c>
      <c r="UU29" s="6">
        <v>50000</v>
      </c>
      <c r="UV29" s="6">
        <v>50000</v>
      </c>
      <c r="UW29" s="6">
        <v>50000</v>
      </c>
      <c r="UX29" s="6">
        <v>0</v>
      </c>
      <c r="UY29" s="6">
        <v>50000</v>
      </c>
      <c r="UZ29" s="2" t="s">
        <v>4498</v>
      </c>
      <c r="VA29" s="2" t="s">
        <v>3288</v>
      </c>
      <c r="VB29" s="2" t="s">
        <v>17</v>
      </c>
      <c r="VI29" s="388" t="s">
        <v>4520</v>
      </c>
      <c r="VJ29" s="2" t="s">
        <v>98</v>
      </c>
      <c r="VK29" s="2" t="s">
        <v>4521</v>
      </c>
      <c r="VL29" s="23">
        <f t="shared" si="0"/>
        <v>99</v>
      </c>
      <c r="VM29" s="17">
        <f t="shared" si="1"/>
        <v>1.65</v>
      </c>
      <c r="VN29" s="17" t="str">
        <f t="shared" si="2"/>
        <v>NC-GA-F</v>
      </c>
      <c r="VO29" s="17" t="str">
        <f t="shared" si="15"/>
        <v>NC-GA-F-ESS</v>
      </c>
      <c r="VP29" s="57">
        <v>1</v>
      </c>
      <c r="VQ29" s="17">
        <f t="shared" si="3"/>
        <v>1.1100000000000001</v>
      </c>
      <c r="VR29" s="14">
        <f t="shared" si="4"/>
        <v>1</v>
      </c>
      <c r="VS29" s="14">
        <f t="shared" si="5"/>
        <v>1</v>
      </c>
      <c r="VT29" s="12">
        <f t="shared" si="6"/>
        <v>0.85439999999999994</v>
      </c>
      <c r="VU29" s="29">
        <f t="shared" si="7"/>
        <v>3319344</v>
      </c>
      <c r="VV29" s="29">
        <f t="shared" si="8"/>
        <v>55322.400000000001</v>
      </c>
      <c r="VW29" s="351" t="str">
        <f t="shared" si="16"/>
        <v>A</v>
      </c>
      <c r="VX29" s="12" t="str">
        <f t="shared" si="9"/>
        <v>NC-GA-ESS</v>
      </c>
      <c r="VY29" s="23">
        <f t="shared" si="17"/>
        <v>3</v>
      </c>
      <c r="WA29" s="12">
        <f t="shared" si="18"/>
        <v>0</v>
      </c>
      <c r="WB29" s="12">
        <f t="shared" si="19"/>
        <v>1</v>
      </c>
      <c r="WC29" s="12">
        <f t="shared" si="19"/>
        <v>0</v>
      </c>
      <c r="WD29" s="12">
        <f t="shared" si="19"/>
        <v>0</v>
      </c>
      <c r="WE29" s="12">
        <f t="shared" si="20"/>
        <v>1</v>
      </c>
      <c r="WF29" s="12">
        <f t="shared" si="10"/>
        <v>1</v>
      </c>
      <c r="WG29" s="12">
        <f t="shared" si="11"/>
        <v>0</v>
      </c>
      <c r="WH29" s="12">
        <f t="shared" si="12"/>
        <v>0</v>
      </c>
      <c r="WI29" s="31">
        <f t="shared" si="13"/>
        <v>3</v>
      </c>
      <c r="WK29" s="444" t="str">
        <f t="shared" si="21"/>
        <v>NC-GA-ESS-BBY-BRN-NPH-F</v>
      </c>
      <c r="WL29" s="444"/>
      <c r="WM29" s="444"/>
    </row>
    <row r="30" spans="1:611" x14ac:dyDescent="0.25">
      <c r="A30" s="2">
        <v>9230</v>
      </c>
      <c r="B30" s="2" t="s">
        <v>4603</v>
      </c>
      <c r="C30" s="2" t="s">
        <v>4205</v>
      </c>
      <c r="D30" s="3">
        <v>45128</v>
      </c>
      <c r="E30" s="2" t="s">
        <v>9</v>
      </c>
      <c r="F30" s="2">
        <v>1</v>
      </c>
      <c r="G30" s="2" t="s">
        <v>9</v>
      </c>
      <c r="H30" s="2">
        <v>1</v>
      </c>
      <c r="I30" s="2" t="s">
        <v>11</v>
      </c>
      <c r="J30" s="2">
        <v>0</v>
      </c>
      <c r="K30" s="2" t="s">
        <v>9</v>
      </c>
      <c r="L30" s="2">
        <v>1</v>
      </c>
      <c r="M30" s="2" t="s">
        <v>10</v>
      </c>
      <c r="N30" s="2">
        <v>0</v>
      </c>
      <c r="O30" s="2" t="s">
        <v>10</v>
      </c>
      <c r="P30" s="2">
        <v>0</v>
      </c>
      <c r="Q30" s="2" t="s">
        <v>11</v>
      </c>
      <c r="R30" s="2">
        <v>0</v>
      </c>
      <c r="S30" s="2" t="s">
        <v>9</v>
      </c>
      <c r="T30" s="2">
        <v>2</v>
      </c>
      <c r="U30" s="2" t="s">
        <v>9</v>
      </c>
      <c r="V30" s="2">
        <v>2</v>
      </c>
      <c r="W30" s="2" t="s">
        <v>9</v>
      </c>
      <c r="X30" s="2">
        <v>2</v>
      </c>
      <c r="Y30" s="2" t="s">
        <v>12</v>
      </c>
      <c r="Z30" s="2" t="s">
        <v>834</v>
      </c>
      <c r="AA30" s="2" t="s">
        <v>1271</v>
      </c>
      <c r="AB30" s="2" t="s">
        <v>4537</v>
      </c>
      <c r="AC30" s="2" t="s">
        <v>15</v>
      </c>
      <c r="AD30" s="2" t="s">
        <v>15</v>
      </c>
      <c r="AE30" s="2" t="s">
        <v>15</v>
      </c>
      <c r="AF30" s="2">
        <v>3</v>
      </c>
      <c r="AG30" s="2" t="s">
        <v>4604</v>
      </c>
      <c r="AH30" s="2" t="s">
        <v>17</v>
      </c>
      <c r="AI30" s="4">
        <v>0.15232000000000001</v>
      </c>
      <c r="AJ30" s="2" t="s">
        <v>17</v>
      </c>
      <c r="AK30" s="2" t="s">
        <v>9</v>
      </c>
      <c r="AL30" s="2" t="s">
        <v>17</v>
      </c>
      <c r="AM30" s="2" t="s">
        <v>17</v>
      </c>
      <c r="AN30" s="2" t="s">
        <v>17</v>
      </c>
      <c r="AO30" s="2" t="s">
        <v>9</v>
      </c>
      <c r="AP30" s="2" t="s">
        <v>17</v>
      </c>
      <c r="AQ30" s="2" t="s">
        <v>17</v>
      </c>
      <c r="AR30" s="2" t="s">
        <v>17</v>
      </c>
      <c r="AS30" s="2" t="s">
        <v>17</v>
      </c>
      <c r="AT30" s="2">
        <v>5</v>
      </c>
      <c r="AU30" s="5">
        <v>50000</v>
      </c>
      <c r="AV30" s="5">
        <v>460000</v>
      </c>
      <c r="AW30" s="2">
        <v>1</v>
      </c>
      <c r="AX30" s="2">
        <v>5</v>
      </c>
      <c r="AY30" s="2">
        <v>0</v>
      </c>
      <c r="AZ30" s="2">
        <v>16</v>
      </c>
      <c r="BA30" s="2">
        <v>0</v>
      </c>
      <c r="BB30" s="2">
        <v>1</v>
      </c>
      <c r="BC30" s="2">
        <v>0</v>
      </c>
      <c r="BD30" s="2">
        <v>0</v>
      </c>
      <c r="BE30" s="2">
        <v>1</v>
      </c>
      <c r="BF30" s="2">
        <v>1</v>
      </c>
      <c r="BG30" s="2">
        <v>0</v>
      </c>
      <c r="BH30" s="2">
        <v>0</v>
      </c>
      <c r="BI30" s="2">
        <v>13</v>
      </c>
      <c r="BJ30" s="2">
        <v>1</v>
      </c>
      <c r="BK30" s="2">
        <v>0</v>
      </c>
      <c r="BL30" s="2">
        <v>3</v>
      </c>
      <c r="BM30" s="2">
        <v>1</v>
      </c>
      <c r="BN30" s="2">
        <v>9</v>
      </c>
      <c r="BO30" s="2">
        <v>10</v>
      </c>
      <c r="BP30" s="2">
        <v>59.75</v>
      </c>
      <c r="BQ30" s="5">
        <v>8190000</v>
      </c>
      <c r="BR30" s="2">
        <v>1</v>
      </c>
      <c r="BS30" s="4">
        <v>0.06</v>
      </c>
      <c r="BT30" s="2" t="s">
        <v>9</v>
      </c>
      <c r="BU30" s="2" t="s">
        <v>17</v>
      </c>
      <c r="BV30" s="6">
        <v>53695.98</v>
      </c>
      <c r="BW30" s="2" t="s">
        <v>18</v>
      </c>
      <c r="BX30" s="2" t="s">
        <v>17</v>
      </c>
      <c r="BY30" s="2" t="s">
        <v>17</v>
      </c>
      <c r="BZ30" s="2" t="s">
        <v>17</v>
      </c>
      <c r="CA30" s="2" t="s">
        <v>17</v>
      </c>
      <c r="CB30" s="2" t="s">
        <v>17</v>
      </c>
      <c r="CC30" s="2" t="s">
        <v>17</v>
      </c>
      <c r="CE30" s="2" t="s">
        <v>1919</v>
      </c>
      <c r="CF30" s="2" t="s">
        <v>17</v>
      </c>
      <c r="CG30" s="2" t="s">
        <v>17</v>
      </c>
      <c r="DA30" s="2" t="s">
        <v>1920</v>
      </c>
      <c r="DB30" s="2" t="s">
        <v>1921</v>
      </c>
      <c r="DD30" s="2" t="s">
        <v>9</v>
      </c>
      <c r="DE30" s="2" t="s">
        <v>1922</v>
      </c>
      <c r="DF30" s="2" t="s">
        <v>1920</v>
      </c>
      <c r="DG30" s="2" t="s">
        <v>4605</v>
      </c>
      <c r="DH30" s="2" t="s">
        <v>330</v>
      </c>
      <c r="DI30" s="2">
        <v>220</v>
      </c>
      <c r="DJ30" s="2" t="s">
        <v>4606</v>
      </c>
      <c r="DK30" s="2">
        <v>2012</v>
      </c>
      <c r="DL30" s="2" t="s">
        <v>4209</v>
      </c>
      <c r="DM30" s="2" t="s">
        <v>4210</v>
      </c>
      <c r="DN30" s="2" t="s">
        <v>33</v>
      </c>
      <c r="DO30" s="2" t="s">
        <v>656</v>
      </c>
      <c r="DQ30" s="2" t="s">
        <v>1929</v>
      </c>
      <c r="DR30" s="2" t="s">
        <v>1930</v>
      </c>
      <c r="DS30" s="2">
        <v>1</v>
      </c>
      <c r="DT30" s="2" t="s">
        <v>1931</v>
      </c>
      <c r="DU30" s="2" t="s">
        <v>1932</v>
      </c>
      <c r="DV30" s="2" t="s">
        <v>1933</v>
      </c>
      <c r="DW30" s="2">
        <v>63102</v>
      </c>
      <c r="DX30" s="2" t="s">
        <v>1934</v>
      </c>
      <c r="DZ30" s="2" t="s">
        <v>1935</v>
      </c>
      <c r="EA30" s="2" t="s">
        <v>1930</v>
      </c>
      <c r="EB30" s="2" t="s">
        <v>1936</v>
      </c>
      <c r="EC30" s="2" t="s">
        <v>1928</v>
      </c>
      <c r="ED30" s="2" t="s">
        <v>44</v>
      </c>
      <c r="EE30" s="2">
        <v>82</v>
      </c>
      <c r="EF30" s="2" t="s">
        <v>4607</v>
      </c>
      <c r="EG30" s="2">
        <v>18</v>
      </c>
      <c r="EH30" s="2" t="s">
        <v>46</v>
      </c>
      <c r="EI30" s="2" t="s">
        <v>47</v>
      </c>
      <c r="EJ30" s="2" t="s">
        <v>1938</v>
      </c>
      <c r="EK30" s="2" t="s">
        <v>1928</v>
      </c>
      <c r="EL30" s="2" t="s">
        <v>44</v>
      </c>
      <c r="EM30" s="2">
        <v>101</v>
      </c>
      <c r="EN30" s="2" t="s">
        <v>4607</v>
      </c>
      <c r="EO30" s="2">
        <v>40</v>
      </c>
      <c r="EP30" s="2" t="s">
        <v>46</v>
      </c>
      <c r="EQ30" s="2" t="s">
        <v>47</v>
      </c>
      <c r="ER30" s="2" t="s">
        <v>1939</v>
      </c>
      <c r="ES30" s="2" t="s">
        <v>657</v>
      </c>
      <c r="ET30" s="2" t="s">
        <v>1940</v>
      </c>
      <c r="EU30" s="2" t="s">
        <v>1919</v>
      </c>
      <c r="EV30" s="2" t="s">
        <v>1931</v>
      </c>
      <c r="EW30" s="2" t="s">
        <v>1932</v>
      </c>
      <c r="EX30" s="2" t="s">
        <v>1933</v>
      </c>
      <c r="EY30" s="2">
        <v>63102</v>
      </c>
      <c r="EZ30" s="2" t="s">
        <v>1941</v>
      </c>
      <c r="FB30" s="2" t="s">
        <v>1942</v>
      </c>
      <c r="FC30" s="2" t="s">
        <v>1943</v>
      </c>
      <c r="FD30" s="2" t="s">
        <v>1660</v>
      </c>
      <c r="FE30" s="2" t="s">
        <v>1944</v>
      </c>
      <c r="FF30" s="2" t="s">
        <v>1945</v>
      </c>
      <c r="FG30" s="2" t="s">
        <v>1931</v>
      </c>
      <c r="FH30" s="2" t="s">
        <v>1932</v>
      </c>
      <c r="FI30" s="2" t="s">
        <v>1933</v>
      </c>
      <c r="FJ30" s="2">
        <v>63102</v>
      </c>
      <c r="FK30" s="2" t="s">
        <v>1946</v>
      </c>
      <c r="FM30" s="2" t="s">
        <v>1947</v>
      </c>
      <c r="FN30" s="2" t="s">
        <v>1948</v>
      </c>
      <c r="FO30" s="2" t="s">
        <v>63</v>
      </c>
      <c r="FP30" s="2" t="s">
        <v>64</v>
      </c>
      <c r="FQ30" s="2" t="s">
        <v>9</v>
      </c>
      <c r="FR30" s="2" t="s">
        <v>17</v>
      </c>
      <c r="FS30" s="2" t="s">
        <v>17</v>
      </c>
      <c r="FT30" s="2" t="s">
        <v>9</v>
      </c>
      <c r="FX30" s="2">
        <v>0</v>
      </c>
      <c r="FY30" s="2">
        <v>0</v>
      </c>
      <c r="FZ30" s="4">
        <v>0</v>
      </c>
      <c r="GA30" s="4">
        <v>0</v>
      </c>
      <c r="GB30" s="2" t="s">
        <v>65</v>
      </c>
      <c r="GC30" s="2" t="s">
        <v>66</v>
      </c>
      <c r="GD30" s="2" t="s">
        <v>67</v>
      </c>
      <c r="GE30" s="2" t="s">
        <v>68</v>
      </c>
      <c r="GF30" s="2">
        <v>116</v>
      </c>
      <c r="GG30" s="2">
        <v>116</v>
      </c>
      <c r="GL30" s="2">
        <v>35</v>
      </c>
      <c r="GQ30" s="2">
        <v>151</v>
      </c>
      <c r="GR30" s="2" t="s">
        <v>1197</v>
      </c>
      <c r="GS30" s="2" t="s">
        <v>70</v>
      </c>
      <c r="GT30" s="2" t="s">
        <v>4608</v>
      </c>
      <c r="GU30" s="2" t="s">
        <v>1469</v>
      </c>
      <c r="GV30" s="2" t="s">
        <v>9</v>
      </c>
      <c r="GW30" s="2">
        <v>26.633524000000001</v>
      </c>
      <c r="GX30" s="2">
        <v>-81.849917000000005</v>
      </c>
      <c r="GY30" s="2" t="s">
        <v>4609</v>
      </c>
      <c r="GZ30" s="2" t="s">
        <v>9</v>
      </c>
      <c r="HA30" s="2">
        <v>3</v>
      </c>
      <c r="HC30" s="2">
        <v>0</v>
      </c>
      <c r="HD30" s="2">
        <v>26.641090999999999</v>
      </c>
      <c r="HE30" s="2">
        <v>-81.852012999999999</v>
      </c>
      <c r="HF30" s="2">
        <v>0.54</v>
      </c>
      <c r="HG30" s="2">
        <v>5</v>
      </c>
      <c r="HH30" s="2">
        <v>26.640841000000002</v>
      </c>
      <c r="HI30" s="2">
        <v>-81.851927000000003</v>
      </c>
      <c r="HJ30" s="2">
        <v>0.52</v>
      </c>
      <c r="HK30" s="2">
        <v>26.641347</v>
      </c>
      <c r="HL30" s="2">
        <v>-81.852286000000007</v>
      </c>
      <c r="HM30" s="2">
        <v>0.56000000000000005</v>
      </c>
      <c r="HZ30" s="2" t="s">
        <v>316</v>
      </c>
      <c r="IA30" s="2">
        <v>1.68</v>
      </c>
      <c r="IB30" s="2">
        <v>1</v>
      </c>
      <c r="IF30" s="2" t="s">
        <v>4547</v>
      </c>
      <c r="IG30" s="2">
        <v>0.72</v>
      </c>
      <c r="IH30" s="2">
        <v>3</v>
      </c>
      <c r="II30" s="2" t="s">
        <v>4548</v>
      </c>
      <c r="IJ30" s="2">
        <v>0.97</v>
      </c>
      <c r="IK30" s="2">
        <v>3</v>
      </c>
      <c r="IL30" s="2" t="s">
        <v>17</v>
      </c>
      <c r="IM30" s="2" t="s">
        <v>17</v>
      </c>
      <c r="IO30" s="2" t="s">
        <v>17</v>
      </c>
      <c r="IP30" s="2" t="s">
        <v>79</v>
      </c>
      <c r="IQ30" s="2" t="s">
        <v>79</v>
      </c>
      <c r="IR30" s="2">
        <v>5</v>
      </c>
      <c r="IS30" s="2">
        <v>7</v>
      </c>
      <c r="IT30" s="2">
        <v>3</v>
      </c>
      <c r="IU30" s="2">
        <v>15</v>
      </c>
      <c r="IV30" s="2" t="s">
        <v>80</v>
      </c>
      <c r="IW30" s="2" t="s">
        <v>9</v>
      </c>
      <c r="IX30" s="2" t="s">
        <v>9</v>
      </c>
      <c r="IY30" s="2">
        <v>12</v>
      </c>
      <c r="IZ30" s="2">
        <v>151</v>
      </c>
      <c r="JB30" s="2" t="s">
        <v>82</v>
      </c>
      <c r="JH30" s="7">
        <v>0</v>
      </c>
      <c r="JI30" s="2">
        <v>0</v>
      </c>
      <c r="JJ30" s="7">
        <v>0</v>
      </c>
      <c r="JK30" s="2">
        <v>0</v>
      </c>
      <c r="JL30" s="7">
        <v>0</v>
      </c>
      <c r="JN30" s="2">
        <v>23</v>
      </c>
      <c r="JP30" s="2">
        <v>62</v>
      </c>
      <c r="JQ30" s="2">
        <v>32</v>
      </c>
      <c r="JS30" s="2">
        <v>4</v>
      </c>
      <c r="JT30" s="2">
        <v>30</v>
      </c>
      <c r="JU30" s="2">
        <v>30</v>
      </c>
      <c r="JV30" s="2">
        <v>121</v>
      </c>
      <c r="JW30" s="4">
        <v>0.80132000000000003</v>
      </c>
      <c r="JX30" s="2">
        <v>151</v>
      </c>
      <c r="JY30" s="4">
        <v>0.49835000000000002</v>
      </c>
      <c r="KE30" s="7">
        <v>0</v>
      </c>
      <c r="KF30" s="2">
        <v>0</v>
      </c>
      <c r="KH30" s="2">
        <v>60</v>
      </c>
      <c r="KI30" s="2">
        <v>52</v>
      </c>
      <c r="KL30" s="2">
        <v>2</v>
      </c>
      <c r="KM30" s="2">
        <v>32</v>
      </c>
      <c r="KO30" s="2">
        <v>5</v>
      </c>
      <c r="KQ30" s="2" t="s">
        <v>83</v>
      </c>
      <c r="KR30" s="2" t="s">
        <v>73</v>
      </c>
      <c r="KT30" s="2">
        <v>20</v>
      </c>
      <c r="KU30" s="2" t="s">
        <v>84</v>
      </c>
      <c r="KW30" s="2" t="s">
        <v>86</v>
      </c>
      <c r="KX30" s="2" t="s">
        <v>17</v>
      </c>
      <c r="KY30" s="2" t="s">
        <v>17</v>
      </c>
      <c r="KZ30" s="2" t="s">
        <v>17</v>
      </c>
      <c r="LA30" s="2" t="s">
        <v>17</v>
      </c>
      <c r="LB30" s="2" t="s">
        <v>17</v>
      </c>
      <c r="LC30" s="2" t="s">
        <v>17</v>
      </c>
      <c r="LD30" s="2" t="s">
        <v>17</v>
      </c>
      <c r="LE30" s="2" t="s">
        <v>17</v>
      </c>
      <c r="LF30" s="2" t="s">
        <v>17</v>
      </c>
      <c r="LG30" s="2" t="s">
        <v>17</v>
      </c>
      <c r="LH30" s="2" t="s">
        <v>17</v>
      </c>
      <c r="LI30" s="2" t="s">
        <v>17</v>
      </c>
      <c r="LJ30" s="2" t="s">
        <v>87</v>
      </c>
      <c r="LK30" s="2" t="s">
        <v>17</v>
      </c>
      <c r="LL30" s="2" t="s">
        <v>17</v>
      </c>
      <c r="LM30" s="2">
        <v>0</v>
      </c>
      <c r="LN30" s="2" t="s">
        <v>17</v>
      </c>
      <c r="LO30" s="2" t="s">
        <v>17</v>
      </c>
      <c r="LP30" s="2" t="s">
        <v>9</v>
      </c>
      <c r="LQ30" s="2" t="s">
        <v>9</v>
      </c>
      <c r="LR30" s="2" t="s">
        <v>9</v>
      </c>
      <c r="LS30" s="2" t="s">
        <v>17</v>
      </c>
      <c r="LT30" s="2" t="s">
        <v>17</v>
      </c>
      <c r="LU30" s="2" t="s">
        <v>17</v>
      </c>
      <c r="LV30" s="2" t="s">
        <v>17</v>
      </c>
      <c r="LW30" s="2" t="s">
        <v>17</v>
      </c>
      <c r="LX30" s="2" t="s">
        <v>17</v>
      </c>
      <c r="LY30" s="5">
        <v>6500000</v>
      </c>
      <c r="LZ30" s="5">
        <v>0</v>
      </c>
      <c r="MA30" s="5">
        <v>9500000</v>
      </c>
      <c r="MB30" s="5">
        <v>7440000</v>
      </c>
      <c r="MC30" s="5">
        <v>7440000</v>
      </c>
      <c r="MD30" s="5">
        <v>750000</v>
      </c>
      <c r="ME30" s="5">
        <v>750000</v>
      </c>
      <c r="MF30" s="5">
        <v>750000</v>
      </c>
      <c r="MG30" s="5">
        <v>10000000</v>
      </c>
      <c r="MH30" s="5">
        <v>0</v>
      </c>
      <c r="MI30" s="5">
        <v>10000000</v>
      </c>
      <c r="MJ30" s="5">
        <v>0</v>
      </c>
      <c r="MK30" s="5">
        <v>1118200</v>
      </c>
      <c r="ML30" s="5">
        <v>0</v>
      </c>
      <c r="MM30" s="5">
        <v>0</v>
      </c>
      <c r="MN30" s="2">
        <v>0</v>
      </c>
      <c r="MO30" s="5">
        <v>0</v>
      </c>
      <c r="MP30" s="5">
        <v>0</v>
      </c>
      <c r="MQ30" s="2">
        <v>0</v>
      </c>
      <c r="MR30" s="2">
        <v>0</v>
      </c>
      <c r="MS30" s="2">
        <v>0</v>
      </c>
      <c r="MT30" s="5">
        <v>2950000</v>
      </c>
      <c r="MU30" s="5">
        <v>0</v>
      </c>
      <c r="MV30" s="5">
        <v>4600000</v>
      </c>
      <c r="MW30" s="5">
        <v>0</v>
      </c>
      <c r="MY30" s="5">
        <v>0</v>
      </c>
      <c r="MZ30" s="5">
        <v>0</v>
      </c>
      <c r="NA30" s="5">
        <v>0</v>
      </c>
      <c r="NB30" s="5">
        <v>2500000</v>
      </c>
      <c r="NC30" s="5">
        <v>0</v>
      </c>
      <c r="ND30" s="5">
        <v>5000000</v>
      </c>
      <c r="NE30" s="5">
        <v>0</v>
      </c>
      <c r="NF30" s="5">
        <v>0</v>
      </c>
      <c r="NG30" s="5">
        <v>0</v>
      </c>
      <c r="NH30" s="5"/>
      <c r="NI30" s="5">
        <v>0</v>
      </c>
      <c r="NJ30" s="5">
        <v>2688265</v>
      </c>
      <c r="NK30" s="2" t="s">
        <v>9</v>
      </c>
      <c r="NL30" s="2" t="s">
        <v>4292</v>
      </c>
      <c r="NM30" s="2" t="s">
        <v>17</v>
      </c>
      <c r="NO30" s="2" t="s">
        <v>17</v>
      </c>
      <c r="NR30" s="2" t="s">
        <v>17</v>
      </c>
      <c r="NT30" s="2" t="s">
        <v>9</v>
      </c>
      <c r="NU30" s="2" t="s">
        <v>450</v>
      </c>
      <c r="NV30" s="2">
        <v>6</v>
      </c>
      <c r="NW30" s="2" t="s">
        <v>1221</v>
      </c>
      <c r="NX30" s="2" t="s">
        <v>118</v>
      </c>
      <c r="NY30" s="2" t="s">
        <v>118</v>
      </c>
      <c r="NZ30" s="2" t="s">
        <v>118</v>
      </c>
      <c r="OA30" s="2" t="s">
        <v>17</v>
      </c>
      <c r="OB30" s="2" t="s">
        <v>119</v>
      </c>
      <c r="OC30" s="5">
        <v>34000000</v>
      </c>
      <c r="OF30" s="2" t="s">
        <v>17</v>
      </c>
      <c r="OG30" s="2" t="s">
        <v>17</v>
      </c>
      <c r="OH30" s="2" t="s">
        <v>85</v>
      </c>
      <c r="OI30" s="6">
        <v>0</v>
      </c>
      <c r="OJ30" s="6">
        <v>223200</v>
      </c>
      <c r="OK30" s="2" t="s">
        <v>17</v>
      </c>
      <c r="OL30" s="2" t="s">
        <v>17</v>
      </c>
      <c r="OM30" s="6">
        <v>0</v>
      </c>
      <c r="ON30" s="6">
        <v>0</v>
      </c>
      <c r="OO30" s="6">
        <v>0</v>
      </c>
      <c r="OP30" s="6">
        <v>0</v>
      </c>
      <c r="OQ30" s="4">
        <v>0</v>
      </c>
      <c r="OR30" s="6">
        <v>0</v>
      </c>
      <c r="OS30" s="4">
        <v>0</v>
      </c>
      <c r="OT30" s="2" t="s">
        <v>9</v>
      </c>
      <c r="OU30" s="2" t="s">
        <v>9</v>
      </c>
      <c r="OV30" s="2" t="s">
        <v>1951</v>
      </c>
      <c r="OW30" s="2" t="s">
        <v>17</v>
      </c>
      <c r="OX30" s="5">
        <v>6497214</v>
      </c>
      <c r="OY30" s="6">
        <v>53695.98</v>
      </c>
      <c r="PD30" s="8">
        <v>35565388</v>
      </c>
      <c r="PF30" s="8">
        <v>35565388</v>
      </c>
      <c r="PG30" s="8">
        <v>6361439</v>
      </c>
      <c r="PI30" s="8">
        <v>6361439</v>
      </c>
      <c r="PO30" s="8">
        <v>41926827</v>
      </c>
      <c r="PQ30" s="8">
        <v>41926827</v>
      </c>
      <c r="PR30" s="8">
        <v>5869755</v>
      </c>
      <c r="PT30" s="8">
        <v>5869755</v>
      </c>
      <c r="PU30" s="6">
        <v>5869755</v>
      </c>
      <c r="PV30" s="8">
        <v>47796582</v>
      </c>
      <c r="PX30" s="8">
        <v>47796582</v>
      </c>
      <c r="PY30" s="8">
        <v>2389829</v>
      </c>
      <c r="QA30" s="8">
        <v>2389829</v>
      </c>
      <c r="QB30" s="6">
        <v>2389829.1</v>
      </c>
      <c r="QC30" s="8">
        <v>1713098</v>
      </c>
      <c r="QD30" s="8">
        <v>367020</v>
      </c>
      <c r="QE30" s="8">
        <v>2080118</v>
      </c>
      <c r="QF30" s="8">
        <v>113750</v>
      </c>
      <c r="QG30" s="8">
        <v>113750</v>
      </c>
      <c r="QH30" s="8">
        <v>227500</v>
      </c>
      <c r="QL30" s="8">
        <v>456377</v>
      </c>
      <c r="QM30" s="8">
        <v>178401</v>
      </c>
      <c r="QN30" s="8">
        <v>634778</v>
      </c>
      <c r="QR30" s="8">
        <v>480150</v>
      </c>
      <c r="QS30" s="8">
        <v>1553150</v>
      </c>
      <c r="QT30" s="8">
        <v>2033300</v>
      </c>
      <c r="QU30" s="8">
        <v>2763375</v>
      </c>
      <c r="QV30" s="8">
        <v>2212321</v>
      </c>
      <c r="QW30" s="8">
        <v>4975696</v>
      </c>
      <c r="QX30" s="8">
        <v>150000</v>
      </c>
      <c r="QZ30" s="8">
        <v>150000</v>
      </c>
      <c r="RA30" s="6">
        <v>248784.8</v>
      </c>
      <c r="RB30" s="8">
        <v>1554240</v>
      </c>
      <c r="RC30" s="8">
        <v>1554240</v>
      </c>
      <c r="RD30" s="8">
        <v>3108480</v>
      </c>
      <c r="RE30" s="8">
        <v>264380</v>
      </c>
      <c r="RF30" s="8">
        <v>264380</v>
      </c>
      <c r="RJ30" s="8">
        <v>1554240</v>
      </c>
      <c r="RK30" s="8">
        <v>1818620</v>
      </c>
      <c r="RL30" s="8">
        <v>3372860</v>
      </c>
      <c r="RT30" s="8">
        <v>54654026</v>
      </c>
      <c r="RU30" s="8">
        <v>4030941</v>
      </c>
      <c r="RV30" s="8">
        <v>58684967</v>
      </c>
      <c r="RY30" s="2">
        <v>0</v>
      </c>
      <c r="RZ30" s="6">
        <v>0</v>
      </c>
      <c r="SA30" s="8">
        <v>10562585</v>
      </c>
      <c r="SC30" s="8">
        <v>10562585</v>
      </c>
      <c r="SD30" s="6">
        <v>10563294</v>
      </c>
      <c r="SE30" s="8">
        <v>10562585</v>
      </c>
      <c r="SF30" s="8">
        <v>10562585</v>
      </c>
      <c r="SG30" s="6">
        <v>10563294</v>
      </c>
      <c r="SJ30" s="6">
        <v>528500</v>
      </c>
      <c r="SK30" s="2">
        <v>125</v>
      </c>
      <c r="SL30" s="2">
        <v>125</v>
      </c>
      <c r="SM30" s="8">
        <v>65216611</v>
      </c>
      <c r="SN30" s="8">
        <v>4031066</v>
      </c>
      <c r="SO30" s="8">
        <v>69247677</v>
      </c>
      <c r="SP30" s="8">
        <v>34000000</v>
      </c>
      <c r="SQ30" s="2" t="s">
        <v>4295</v>
      </c>
      <c r="SR30" s="8">
        <v>22422813</v>
      </c>
      <c r="SS30" s="2" t="s">
        <v>413</v>
      </c>
      <c r="SX30" s="8">
        <v>8190000</v>
      </c>
      <c r="SY30" s="2" t="s">
        <v>96</v>
      </c>
      <c r="SZ30" s="2" t="s">
        <v>96</v>
      </c>
      <c r="TA30" s="2" t="s">
        <v>96</v>
      </c>
      <c r="TB30" s="8">
        <v>4884132</v>
      </c>
      <c r="TC30" s="2" t="s">
        <v>453</v>
      </c>
      <c r="TD30" s="8">
        <v>50000</v>
      </c>
      <c r="TE30" s="2" t="s">
        <v>180</v>
      </c>
      <c r="TF30" s="2">
        <v>0</v>
      </c>
      <c r="TG30" s="8">
        <v>69546945</v>
      </c>
      <c r="TH30" s="8">
        <v>299268</v>
      </c>
      <c r="TI30" s="8">
        <v>11000000</v>
      </c>
      <c r="TJ30" s="2" t="s">
        <v>4295</v>
      </c>
      <c r="TK30" s="8">
        <v>22422813</v>
      </c>
      <c r="TL30" s="2" t="s">
        <v>413</v>
      </c>
      <c r="TR30" s="8">
        <v>8190000</v>
      </c>
      <c r="TS30" s="8">
        <v>25535964</v>
      </c>
      <c r="TT30" s="2" t="s">
        <v>453</v>
      </c>
      <c r="TU30" s="8">
        <v>50000</v>
      </c>
      <c r="TV30" s="2" t="s">
        <v>180</v>
      </c>
      <c r="TZ30" s="8">
        <v>2048900</v>
      </c>
      <c r="UA30" s="8">
        <v>69247677</v>
      </c>
      <c r="UB30" s="6">
        <v>41662813</v>
      </c>
      <c r="UC30" s="2">
        <v>0</v>
      </c>
      <c r="UD30" s="2">
        <v>151</v>
      </c>
      <c r="UE30" s="5">
        <v>240000</v>
      </c>
      <c r="UF30" s="6">
        <v>320000</v>
      </c>
      <c r="UG30" s="6">
        <v>335000</v>
      </c>
      <c r="UH30" s="6">
        <v>355100</v>
      </c>
      <c r="UI30" s="6">
        <v>53620100</v>
      </c>
      <c r="UJ30" s="6">
        <v>9651618</v>
      </c>
      <c r="UK30" s="2" t="s">
        <v>97</v>
      </c>
      <c r="UL30" s="6">
        <v>9651618</v>
      </c>
      <c r="UM30" s="6">
        <v>63271718</v>
      </c>
      <c r="UN30" s="6">
        <v>69247552</v>
      </c>
      <c r="UQ30" s="6">
        <v>0</v>
      </c>
      <c r="UR30" s="6">
        <v>50000</v>
      </c>
      <c r="US30" s="6">
        <v>50000</v>
      </c>
      <c r="UV30" s="6">
        <v>0</v>
      </c>
      <c r="UW30" s="6">
        <v>50000</v>
      </c>
      <c r="UX30" s="6">
        <v>0</v>
      </c>
      <c r="UY30" s="6">
        <v>50000</v>
      </c>
      <c r="UZ30" s="2" t="s">
        <v>1954</v>
      </c>
      <c r="VA30" s="2" t="s">
        <v>453</v>
      </c>
      <c r="VB30" s="2" t="s">
        <v>9</v>
      </c>
      <c r="VC30" s="2">
        <v>97</v>
      </c>
      <c r="VD30" s="2">
        <v>29</v>
      </c>
      <c r="VE30" s="2" t="s">
        <v>9</v>
      </c>
      <c r="VF30" s="2">
        <v>29</v>
      </c>
      <c r="VG30" s="2" t="s">
        <v>17</v>
      </c>
      <c r="VI30" s="388" t="s">
        <v>1922</v>
      </c>
      <c r="VJ30" s="2" t="s">
        <v>98</v>
      </c>
      <c r="VK30" s="2" t="s">
        <v>4549</v>
      </c>
      <c r="VL30" s="23">
        <f t="shared" si="0"/>
        <v>286</v>
      </c>
      <c r="VM30" s="17">
        <f t="shared" si="1"/>
        <v>1.8940397350993377</v>
      </c>
      <c r="VN30" s="17" t="str">
        <f t="shared" si="2"/>
        <v>NC-GA-F</v>
      </c>
      <c r="VO30" s="17" t="str">
        <f t="shared" si="15"/>
        <v>NC-GA-F-ESS</v>
      </c>
      <c r="VP30" s="57">
        <v>1</v>
      </c>
      <c r="VQ30" s="17">
        <f t="shared" si="3"/>
        <v>1.1100000000000001</v>
      </c>
      <c r="VR30" s="14">
        <f t="shared" si="4"/>
        <v>1</v>
      </c>
      <c r="VS30" s="14">
        <f t="shared" si="5"/>
        <v>0.87</v>
      </c>
      <c r="VT30" s="12">
        <f t="shared" si="6"/>
        <v>0.8788768211920529</v>
      </c>
      <c r="VU30" s="29">
        <f t="shared" si="7"/>
        <v>6314561.215915232</v>
      </c>
      <c r="VV30" s="29">
        <f t="shared" si="8"/>
        <v>52186.46</v>
      </c>
      <c r="VW30" s="351" t="str">
        <f t="shared" si="16"/>
        <v>A</v>
      </c>
      <c r="VX30" s="12" t="str">
        <f t="shared" si="9"/>
        <v>NC-GA-ESS</v>
      </c>
      <c r="VY30" s="23">
        <f t="shared" si="17"/>
        <v>3</v>
      </c>
      <c r="WA30" s="12">
        <f t="shared" si="18"/>
        <v>0</v>
      </c>
      <c r="WB30" s="12">
        <f t="shared" si="19"/>
        <v>1</v>
      </c>
      <c r="WC30" s="12">
        <f t="shared" si="19"/>
        <v>0</v>
      </c>
      <c r="WD30" s="12">
        <f t="shared" si="19"/>
        <v>1</v>
      </c>
      <c r="WE30" s="12">
        <f t="shared" si="20"/>
        <v>1</v>
      </c>
      <c r="WF30" s="12">
        <f t="shared" si="10"/>
        <v>1</v>
      </c>
      <c r="WG30" s="12">
        <f t="shared" si="11"/>
        <v>0</v>
      </c>
      <c r="WH30" s="12">
        <f t="shared" si="12"/>
        <v>0</v>
      </c>
      <c r="WI30" s="31">
        <f t="shared" si="13"/>
        <v>4</v>
      </c>
      <c r="WK30" s="444" t="str">
        <f t="shared" si="21"/>
        <v>NC-GA-ESS-BBY-BRN-PHA-F</v>
      </c>
      <c r="WL30" s="444"/>
      <c r="WM30" s="444"/>
    </row>
    <row r="31" spans="1:611" x14ac:dyDescent="0.25">
      <c r="A31" s="2">
        <v>9323</v>
      </c>
      <c r="B31" s="2" t="s">
        <v>4610</v>
      </c>
      <c r="C31" s="2" t="s">
        <v>4205</v>
      </c>
      <c r="D31" s="3">
        <v>45135</v>
      </c>
      <c r="E31" s="2" t="s">
        <v>9</v>
      </c>
      <c r="F31" s="2">
        <v>1</v>
      </c>
      <c r="G31" s="2" t="s">
        <v>9</v>
      </c>
      <c r="H31" s="2">
        <v>1</v>
      </c>
      <c r="I31" s="2" t="s">
        <v>11</v>
      </c>
      <c r="J31" s="2">
        <v>0</v>
      </c>
      <c r="K31" s="2" t="s">
        <v>9</v>
      </c>
      <c r="L31" s="2">
        <v>1</v>
      </c>
      <c r="M31" s="2" t="s">
        <v>10</v>
      </c>
      <c r="N31" s="2">
        <v>0</v>
      </c>
      <c r="O31" s="2" t="s">
        <v>10</v>
      </c>
      <c r="P31" s="2">
        <v>0</v>
      </c>
      <c r="Q31" s="2" t="s">
        <v>11</v>
      </c>
      <c r="R31" s="2">
        <v>0</v>
      </c>
      <c r="S31" s="2" t="s">
        <v>9</v>
      </c>
      <c r="T31" s="2">
        <v>2</v>
      </c>
      <c r="U31" s="2" t="s">
        <v>9</v>
      </c>
      <c r="V31" s="2">
        <v>2</v>
      </c>
      <c r="W31" s="2" t="s">
        <v>9</v>
      </c>
      <c r="X31" s="2">
        <v>2</v>
      </c>
      <c r="Y31" s="2" t="s">
        <v>12</v>
      </c>
      <c r="Z31" s="2" t="s">
        <v>944</v>
      </c>
      <c r="AA31" s="2" t="s">
        <v>282</v>
      </c>
      <c r="AB31" s="2" t="s">
        <v>123</v>
      </c>
      <c r="AC31" s="2" t="s">
        <v>15</v>
      </c>
      <c r="AD31" s="2" t="s">
        <v>15</v>
      </c>
      <c r="AE31" s="2" t="s">
        <v>15</v>
      </c>
      <c r="AF31" s="2">
        <v>3</v>
      </c>
      <c r="AG31" s="2" t="s">
        <v>283</v>
      </c>
      <c r="AH31" s="2" t="s">
        <v>17</v>
      </c>
      <c r="AI31" s="4">
        <v>0.1</v>
      </c>
      <c r="AJ31" s="2" t="s">
        <v>17</v>
      </c>
      <c r="AK31" s="2" t="s">
        <v>9</v>
      </c>
      <c r="AL31" s="2" t="s">
        <v>17</v>
      </c>
      <c r="AM31" s="2" t="s">
        <v>9</v>
      </c>
      <c r="AN31" s="2" t="s">
        <v>17</v>
      </c>
      <c r="AO31" s="2" t="s">
        <v>17</v>
      </c>
      <c r="AP31" s="2" t="s">
        <v>17</v>
      </c>
      <c r="AQ31" s="2" t="s">
        <v>17</v>
      </c>
      <c r="AR31" s="2" t="s">
        <v>17</v>
      </c>
      <c r="AS31" s="2" t="s">
        <v>17</v>
      </c>
      <c r="AT31" s="2">
        <v>5</v>
      </c>
      <c r="AU31" s="5">
        <v>75000</v>
      </c>
      <c r="AV31" s="5">
        <v>610000</v>
      </c>
      <c r="AW31" s="2">
        <v>0</v>
      </c>
      <c r="AX31" s="2">
        <v>7</v>
      </c>
      <c r="AY31" s="2">
        <v>0</v>
      </c>
      <c r="AZ31" s="2">
        <v>17</v>
      </c>
      <c r="BA31" s="2">
        <v>0</v>
      </c>
      <c r="BB31" s="2">
        <v>1</v>
      </c>
      <c r="BC31" s="2">
        <v>0</v>
      </c>
      <c r="BD31" s="2">
        <v>3</v>
      </c>
      <c r="BE31" s="2">
        <v>0</v>
      </c>
      <c r="BF31" s="2">
        <v>1</v>
      </c>
      <c r="BG31" s="2">
        <v>0</v>
      </c>
      <c r="BH31" s="2">
        <v>0</v>
      </c>
      <c r="BI31" s="2">
        <v>13</v>
      </c>
      <c r="BJ31" s="2">
        <v>1</v>
      </c>
      <c r="BK31" s="2">
        <v>0</v>
      </c>
      <c r="BL31" s="2">
        <v>2</v>
      </c>
      <c r="BM31" s="2">
        <v>1</v>
      </c>
      <c r="BN31" s="2">
        <v>9</v>
      </c>
      <c r="BO31" s="2">
        <v>10</v>
      </c>
      <c r="BP31" s="2">
        <v>42.82</v>
      </c>
      <c r="BQ31" s="5">
        <v>6019800</v>
      </c>
      <c r="BR31" s="2">
        <v>1</v>
      </c>
      <c r="BS31" s="4">
        <v>0.06</v>
      </c>
      <c r="BT31" s="2" t="s">
        <v>9</v>
      </c>
      <c r="BU31" s="2" t="s">
        <v>17</v>
      </c>
      <c r="BV31" s="6">
        <v>54374.05</v>
      </c>
      <c r="BW31" s="2" t="s">
        <v>126</v>
      </c>
      <c r="BX31" s="2" t="s">
        <v>17</v>
      </c>
      <c r="BY31" s="2" t="s">
        <v>17</v>
      </c>
      <c r="BZ31" s="2" t="s">
        <v>17</v>
      </c>
      <c r="CA31" s="2" t="s">
        <v>17</v>
      </c>
      <c r="CB31" s="2" t="s">
        <v>17</v>
      </c>
      <c r="CC31" s="2" t="s">
        <v>17</v>
      </c>
      <c r="CD31" s="2" t="s">
        <v>9</v>
      </c>
      <c r="CE31" s="2" t="s">
        <v>4611</v>
      </c>
      <c r="CF31" s="2" t="s">
        <v>17</v>
      </c>
      <c r="CG31" s="2" t="s">
        <v>17</v>
      </c>
      <c r="DA31" s="2" t="s">
        <v>4612</v>
      </c>
      <c r="DB31" s="2" t="s">
        <v>4526</v>
      </c>
      <c r="DD31" s="2" t="s">
        <v>9</v>
      </c>
      <c r="DE31" s="2" t="s">
        <v>1231</v>
      </c>
      <c r="DF31" s="2" t="s">
        <v>4612</v>
      </c>
      <c r="DG31" s="2" t="s">
        <v>4527</v>
      </c>
      <c r="DH31" s="2" t="s">
        <v>1238</v>
      </c>
      <c r="DI31" s="2">
        <v>60</v>
      </c>
      <c r="DJ31" s="2" t="s">
        <v>375</v>
      </c>
      <c r="DK31" s="2">
        <v>2021</v>
      </c>
      <c r="DL31" s="2" t="s">
        <v>4209</v>
      </c>
      <c r="DM31" s="2" t="s">
        <v>4210</v>
      </c>
      <c r="DN31" s="2" t="s">
        <v>33</v>
      </c>
      <c r="DO31" s="2" t="s">
        <v>812</v>
      </c>
      <c r="DQ31" s="2" t="s">
        <v>948</v>
      </c>
      <c r="DR31" s="2" t="s">
        <v>1239</v>
      </c>
      <c r="DS31" s="2">
        <v>1</v>
      </c>
      <c r="DT31" s="2" t="s">
        <v>1240</v>
      </c>
      <c r="DU31" s="2" t="s">
        <v>469</v>
      </c>
      <c r="DV31" s="2" t="s">
        <v>39</v>
      </c>
      <c r="DW31" s="2">
        <v>32257</v>
      </c>
      <c r="DX31" s="2" t="s">
        <v>1241</v>
      </c>
      <c r="DZ31" s="2" t="s">
        <v>471</v>
      </c>
      <c r="EA31" s="2" t="s">
        <v>1239</v>
      </c>
      <c r="EB31" s="2" t="s">
        <v>1242</v>
      </c>
      <c r="EC31" s="2" t="s">
        <v>1243</v>
      </c>
      <c r="ED31" s="2" t="s">
        <v>44</v>
      </c>
      <c r="EE31" s="2">
        <v>130</v>
      </c>
      <c r="EF31" s="2" t="s">
        <v>390</v>
      </c>
      <c r="EG31" s="2">
        <v>5</v>
      </c>
      <c r="EH31" s="2" t="s">
        <v>46</v>
      </c>
      <c r="EI31" s="2" t="s">
        <v>47</v>
      </c>
      <c r="EJ31" s="2" t="s">
        <v>1245</v>
      </c>
      <c r="EK31" s="2" t="s">
        <v>1243</v>
      </c>
      <c r="EL31" s="2" t="s">
        <v>44</v>
      </c>
      <c r="EM31" s="2">
        <v>123</v>
      </c>
      <c r="EN31" s="2" t="s">
        <v>390</v>
      </c>
      <c r="EO31" s="2">
        <v>6</v>
      </c>
      <c r="EP31" s="2" t="s">
        <v>46</v>
      </c>
      <c r="EQ31" s="2" t="s">
        <v>47</v>
      </c>
      <c r="ER31" s="2" t="s">
        <v>1246</v>
      </c>
      <c r="ET31" s="2" t="s">
        <v>571</v>
      </c>
      <c r="EU31" s="2" t="s">
        <v>1247</v>
      </c>
      <c r="EV31" s="2" t="s">
        <v>1248</v>
      </c>
      <c r="EW31" s="2" t="s">
        <v>510</v>
      </c>
      <c r="EX31" s="2" t="s">
        <v>39</v>
      </c>
      <c r="EY31" s="2">
        <v>32819</v>
      </c>
      <c r="EZ31" s="2" t="s">
        <v>1249</v>
      </c>
      <c r="FB31" s="2" t="s">
        <v>1250</v>
      </c>
      <c r="FC31" s="2" t="s">
        <v>656</v>
      </c>
      <c r="FE31" s="2" t="s">
        <v>1251</v>
      </c>
      <c r="FF31" s="2" t="s">
        <v>3241</v>
      </c>
      <c r="FG31" s="2" t="s">
        <v>1248</v>
      </c>
      <c r="FH31" s="2" t="s">
        <v>510</v>
      </c>
      <c r="FI31" s="2" t="s">
        <v>39</v>
      </c>
      <c r="FJ31" s="2">
        <v>32819</v>
      </c>
      <c r="FK31" s="2" t="s">
        <v>1252</v>
      </c>
      <c r="FM31" s="2" t="s">
        <v>1253</v>
      </c>
      <c r="FN31" s="2" t="s">
        <v>4613</v>
      </c>
      <c r="FO31" s="2" t="s">
        <v>63</v>
      </c>
      <c r="FP31" s="2" t="s">
        <v>64</v>
      </c>
      <c r="FQ31" s="2" t="s">
        <v>9</v>
      </c>
      <c r="FR31" s="2" t="s">
        <v>17</v>
      </c>
      <c r="FS31" s="2" t="s">
        <v>17</v>
      </c>
      <c r="FT31" s="2" t="s">
        <v>9</v>
      </c>
      <c r="FX31" s="2">
        <v>0</v>
      </c>
      <c r="FY31" s="2">
        <v>0</v>
      </c>
      <c r="FZ31" s="4">
        <v>0</v>
      </c>
      <c r="GA31" s="4">
        <v>0</v>
      </c>
      <c r="GB31" s="2" t="s">
        <v>65</v>
      </c>
      <c r="GC31" s="2" t="s">
        <v>66</v>
      </c>
      <c r="GD31" s="2" t="s">
        <v>67</v>
      </c>
      <c r="GE31" s="2" t="s">
        <v>108</v>
      </c>
      <c r="GI31" s="2">
        <v>80</v>
      </c>
      <c r="GQ31" s="2">
        <v>80</v>
      </c>
      <c r="GR31" s="2" t="s">
        <v>2802</v>
      </c>
      <c r="GS31" s="2" t="s">
        <v>2686</v>
      </c>
      <c r="GT31" s="2" t="s">
        <v>4614</v>
      </c>
      <c r="GU31" s="2" t="s">
        <v>1144</v>
      </c>
      <c r="GV31" s="2" t="s">
        <v>17</v>
      </c>
      <c r="GW31" s="2">
        <v>27.867979999999999</v>
      </c>
      <c r="GX31" s="2">
        <v>-82.639775999999998</v>
      </c>
      <c r="GZ31" s="2" t="s">
        <v>17</v>
      </c>
      <c r="HA31" s="2">
        <v>0</v>
      </c>
      <c r="HB31" s="2" t="s">
        <v>17</v>
      </c>
      <c r="HC31" s="2">
        <v>0</v>
      </c>
      <c r="HD31" s="2">
        <v>27.871448999999998</v>
      </c>
      <c r="HE31" s="2">
        <v>-82.639009000000001</v>
      </c>
      <c r="HF31" s="2">
        <v>0.24</v>
      </c>
      <c r="HG31" s="2">
        <v>5.5</v>
      </c>
      <c r="HH31" s="2">
        <v>27.869133000000001</v>
      </c>
      <c r="HI31" s="2">
        <v>-82.647197000000006</v>
      </c>
      <c r="HJ31" s="2">
        <v>0.46</v>
      </c>
      <c r="HK31" s="2">
        <v>27.866387</v>
      </c>
      <c r="HL31" s="2">
        <v>-82.646844999999999</v>
      </c>
      <c r="HM31" s="2">
        <v>0.45</v>
      </c>
      <c r="HZ31" s="2" t="s">
        <v>4531</v>
      </c>
      <c r="IA31" s="2">
        <v>0.38</v>
      </c>
      <c r="IB31" s="2">
        <v>3.5</v>
      </c>
      <c r="IC31" s="2" t="s">
        <v>4616</v>
      </c>
      <c r="ID31" s="2">
        <v>1.07</v>
      </c>
      <c r="IE31" s="2">
        <v>2</v>
      </c>
      <c r="IF31" s="2" t="s">
        <v>4532</v>
      </c>
      <c r="IG31" s="2">
        <v>0.38</v>
      </c>
      <c r="IH31" s="2">
        <v>3.5</v>
      </c>
      <c r="IL31" s="2" t="s">
        <v>9</v>
      </c>
      <c r="IM31" s="2" t="s">
        <v>17</v>
      </c>
      <c r="IO31" s="2" t="s">
        <v>17</v>
      </c>
      <c r="IP31" s="2" t="s">
        <v>79</v>
      </c>
      <c r="IQ31" s="2" t="s">
        <v>79</v>
      </c>
      <c r="IR31" s="2">
        <v>5.5</v>
      </c>
      <c r="IS31" s="2">
        <v>9</v>
      </c>
      <c r="IT31" s="2">
        <v>0</v>
      </c>
      <c r="IU31" s="2">
        <v>14.5</v>
      </c>
      <c r="IV31" s="2" t="s">
        <v>9</v>
      </c>
      <c r="IW31" s="2" t="s">
        <v>9</v>
      </c>
      <c r="IX31" s="2" t="s">
        <v>9</v>
      </c>
      <c r="IY31" s="2">
        <v>14.5</v>
      </c>
      <c r="IZ31" s="2">
        <v>80</v>
      </c>
      <c r="JB31" s="2" t="s">
        <v>173</v>
      </c>
      <c r="JE31" s="7">
        <v>0.1</v>
      </c>
      <c r="JG31" s="7">
        <v>0.9</v>
      </c>
      <c r="JH31" s="7">
        <v>0</v>
      </c>
      <c r="JI31" s="2">
        <v>80</v>
      </c>
      <c r="JJ31" s="7">
        <v>1</v>
      </c>
      <c r="JK31" s="2">
        <v>80</v>
      </c>
      <c r="JL31" s="7">
        <v>1</v>
      </c>
      <c r="JT31" s="2">
        <v>0</v>
      </c>
      <c r="JU31" s="2">
        <v>0</v>
      </c>
      <c r="JV31" s="2">
        <v>0</v>
      </c>
      <c r="JW31" s="4">
        <v>0</v>
      </c>
      <c r="JX31" s="2">
        <v>0</v>
      </c>
      <c r="JY31" s="4">
        <v>0</v>
      </c>
      <c r="KB31" s="7">
        <v>0.1</v>
      </c>
      <c r="KD31" s="7">
        <v>0.9</v>
      </c>
      <c r="KE31" s="7">
        <v>1</v>
      </c>
      <c r="KF31" s="2">
        <v>80</v>
      </c>
      <c r="KH31" s="2">
        <v>52</v>
      </c>
      <c r="KK31" s="2">
        <v>28</v>
      </c>
      <c r="KQ31" s="2" t="s">
        <v>83</v>
      </c>
      <c r="KS31" s="2" t="s">
        <v>73</v>
      </c>
      <c r="KT31" s="2">
        <v>1</v>
      </c>
      <c r="KU31" s="2" t="s">
        <v>84</v>
      </c>
      <c r="KW31" s="2" t="s">
        <v>86</v>
      </c>
      <c r="KX31" s="2" t="s">
        <v>17</v>
      </c>
      <c r="KY31" s="2" t="s">
        <v>17</v>
      </c>
      <c r="KZ31" s="2" t="s">
        <v>17</v>
      </c>
      <c r="LA31" s="2" t="s">
        <v>17</v>
      </c>
      <c r="LB31" s="2" t="s">
        <v>17</v>
      </c>
      <c r="LC31" s="2" t="s">
        <v>17</v>
      </c>
      <c r="LD31" s="2" t="s">
        <v>17</v>
      </c>
      <c r="LE31" s="2" t="s">
        <v>17</v>
      </c>
      <c r="LF31" s="2" t="s">
        <v>17</v>
      </c>
      <c r="LG31" s="2" t="s">
        <v>17</v>
      </c>
      <c r="LH31" s="2" t="s">
        <v>17</v>
      </c>
      <c r="LI31" s="2" t="s">
        <v>17</v>
      </c>
      <c r="LJ31" s="2" t="s">
        <v>87</v>
      </c>
      <c r="LK31" s="2" t="s">
        <v>17</v>
      </c>
      <c r="LL31" s="2" t="s">
        <v>17</v>
      </c>
      <c r="LM31" s="2">
        <v>0</v>
      </c>
      <c r="LN31" s="2" t="s">
        <v>17</v>
      </c>
      <c r="LO31" s="2" t="s">
        <v>17</v>
      </c>
      <c r="LP31" s="2" t="s">
        <v>17</v>
      </c>
      <c r="LQ31" s="2" t="s">
        <v>17</v>
      </c>
      <c r="LR31" s="2" t="s">
        <v>17</v>
      </c>
      <c r="LS31" s="2" t="s">
        <v>17</v>
      </c>
      <c r="LT31" s="2" t="s">
        <v>9</v>
      </c>
      <c r="LU31" s="2" t="s">
        <v>9</v>
      </c>
      <c r="LV31" s="2" t="s">
        <v>9</v>
      </c>
      <c r="LW31" s="2" t="s">
        <v>17</v>
      </c>
      <c r="LX31" s="2" t="s">
        <v>17</v>
      </c>
      <c r="LY31" s="5">
        <v>6400000</v>
      </c>
      <c r="LZ31" s="5">
        <v>0</v>
      </c>
      <c r="MA31" s="5">
        <v>7600000</v>
      </c>
      <c r="MB31" s="5">
        <v>5500000</v>
      </c>
      <c r="MC31" s="5">
        <v>5500000</v>
      </c>
      <c r="MD31" s="5">
        <v>519800</v>
      </c>
      <c r="ME31" s="5">
        <v>519800</v>
      </c>
      <c r="MF31" s="5">
        <v>519800</v>
      </c>
      <c r="MG31" s="5">
        <v>8400000</v>
      </c>
      <c r="MH31" s="5">
        <v>0</v>
      </c>
      <c r="MI31" s="5">
        <v>8400000</v>
      </c>
      <c r="MJ31" s="5">
        <v>0</v>
      </c>
      <c r="MK31" s="5">
        <v>519800</v>
      </c>
      <c r="ML31" s="5">
        <v>0</v>
      </c>
      <c r="MM31" s="5">
        <v>0</v>
      </c>
      <c r="MN31" s="2">
        <v>0</v>
      </c>
      <c r="MO31" s="5">
        <v>0</v>
      </c>
      <c r="MP31" s="5">
        <v>0</v>
      </c>
      <c r="MQ31" s="2">
        <v>0</v>
      </c>
      <c r="MR31" s="2">
        <v>0</v>
      </c>
      <c r="MS31" s="2">
        <v>0</v>
      </c>
      <c r="MT31" s="5">
        <v>2950000</v>
      </c>
      <c r="MU31" s="5">
        <v>0</v>
      </c>
      <c r="MV31" s="5">
        <v>4600000</v>
      </c>
      <c r="MW31" s="5">
        <v>0</v>
      </c>
      <c r="MY31" s="5">
        <v>0</v>
      </c>
      <c r="MZ31" s="5">
        <v>0</v>
      </c>
      <c r="NA31" s="5">
        <v>0</v>
      </c>
      <c r="NB31" s="5">
        <v>2500000</v>
      </c>
      <c r="NC31" s="5">
        <v>0</v>
      </c>
      <c r="ND31" s="5">
        <v>5000000</v>
      </c>
      <c r="NE31" s="5">
        <v>0</v>
      </c>
      <c r="NF31" s="5">
        <v>0</v>
      </c>
      <c r="NG31" s="5">
        <v>0</v>
      </c>
      <c r="NH31" s="5"/>
      <c r="NI31" s="5">
        <v>0</v>
      </c>
      <c r="NJ31" s="5">
        <v>1092856</v>
      </c>
      <c r="NK31" s="2" t="s">
        <v>17</v>
      </c>
      <c r="NL31" s="2">
        <v>2023</v>
      </c>
      <c r="NM31" s="2" t="s">
        <v>17</v>
      </c>
      <c r="NO31" s="2" t="s">
        <v>9</v>
      </c>
      <c r="NP31" s="2">
        <v>33716</v>
      </c>
      <c r="NQ31" s="2" t="s">
        <v>3249</v>
      </c>
      <c r="NR31" s="2" t="s">
        <v>17</v>
      </c>
      <c r="NT31" s="2" t="s">
        <v>17</v>
      </c>
      <c r="NX31" s="2" t="s">
        <v>118</v>
      </c>
      <c r="NY31" s="2" t="s">
        <v>118</v>
      </c>
      <c r="NZ31" s="2" t="s">
        <v>118</v>
      </c>
      <c r="OA31" s="2" t="s">
        <v>17</v>
      </c>
      <c r="OB31" s="2" t="s">
        <v>119</v>
      </c>
      <c r="OF31" s="2" t="s">
        <v>17</v>
      </c>
      <c r="OG31" s="2" t="s">
        <v>17</v>
      </c>
      <c r="OH31" s="2" t="s">
        <v>85</v>
      </c>
      <c r="OI31" s="6">
        <v>0</v>
      </c>
      <c r="OJ31" s="6">
        <v>165000</v>
      </c>
      <c r="OK31" s="2" t="s">
        <v>17</v>
      </c>
      <c r="OL31" s="2" t="s">
        <v>17</v>
      </c>
      <c r="OM31" s="6">
        <v>0</v>
      </c>
      <c r="ON31" s="6">
        <v>0</v>
      </c>
      <c r="OO31" s="6">
        <v>0</v>
      </c>
      <c r="OP31" s="6">
        <v>0</v>
      </c>
      <c r="OQ31" s="4">
        <v>0</v>
      </c>
      <c r="OR31" s="6">
        <v>0</v>
      </c>
      <c r="OS31" s="4">
        <v>0</v>
      </c>
      <c r="OT31" s="2" t="s">
        <v>17</v>
      </c>
      <c r="OU31" s="2" t="s">
        <v>9</v>
      </c>
      <c r="OV31" s="2" t="s">
        <v>2865</v>
      </c>
      <c r="OW31" s="2" t="s">
        <v>17</v>
      </c>
      <c r="OX31" s="5">
        <v>4349924</v>
      </c>
      <c r="OY31" s="6">
        <v>54374.05</v>
      </c>
      <c r="PD31" s="8">
        <v>10498800</v>
      </c>
      <c r="PF31" s="8">
        <v>10498800</v>
      </c>
      <c r="PG31" s="8">
        <v>1500000</v>
      </c>
      <c r="PH31" s="8">
        <v>100000</v>
      </c>
      <c r="PI31" s="8">
        <v>1600000</v>
      </c>
      <c r="PO31" s="8">
        <v>11998800</v>
      </c>
      <c r="PP31" s="8">
        <v>100000</v>
      </c>
      <c r="PQ31" s="8">
        <v>12098800</v>
      </c>
      <c r="PR31" s="8">
        <v>1679832</v>
      </c>
      <c r="PT31" s="8">
        <v>1679832</v>
      </c>
      <c r="PU31" s="6">
        <v>1693832</v>
      </c>
      <c r="PV31" s="8">
        <v>13678632</v>
      </c>
      <c r="PW31" s="8">
        <v>100000</v>
      </c>
      <c r="PX31" s="8">
        <v>13778632</v>
      </c>
      <c r="PY31" s="8">
        <v>683931</v>
      </c>
      <c r="QA31" s="8">
        <v>683931</v>
      </c>
      <c r="QB31" s="6">
        <v>688931.6</v>
      </c>
      <c r="QC31" s="8">
        <v>919745</v>
      </c>
      <c r="QD31" s="8">
        <v>100749</v>
      </c>
      <c r="QE31" s="8">
        <v>1020494</v>
      </c>
      <c r="QF31" s="8">
        <v>106642</v>
      </c>
      <c r="QH31" s="8">
        <v>106642</v>
      </c>
      <c r="QI31" s="8">
        <v>608631</v>
      </c>
      <c r="QK31" s="8">
        <v>608631</v>
      </c>
      <c r="QM31" s="8">
        <v>268000</v>
      </c>
      <c r="QN31" s="8">
        <v>268000</v>
      </c>
      <c r="QR31" s="8">
        <v>267232</v>
      </c>
      <c r="QT31" s="8">
        <v>267232</v>
      </c>
      <c r="QU31" s="8">
        <v>1902250</v>
      </c>
      <c r="QV31" s="8">
        <v>368749</v>
      </c>
      <c r="QW31" s="8">
        <v>2270999</v>
      </c>
      <c r="QX31" s="8">
        <v>74800</v>
      </c>
      <c r="QY31" s="8">
        <v>4599</v>
      </c>
      <c r="QZ31" s="8">
        <v>79399</v>
      </c>
      <c r="RA31" s="6">
        <v>113549.95</v>
      </c>
      <c r="RB31" s="8">
        <v>1480875</v>
      </c>
      <c r="RD31" s="8">
        <v>1480875</v>
      </c>
      <c r="RE31" s="8">
        <v>792655</v>
      </c>
      <c r="RF31" s="8">
        <v>792655</v>
      </c>
      <c r="RJ31" s="8">
        <v>1480875</v>
      </c>
      <c r="RK31" s="8">
        <v>792655</v>
      </c>
      <c r="RL31" s="8">
        <v>2273530</v>
      </c>
      <c r="RT31" s="8">
        <v>17820488</v>
      </c>
      <c r="RU31" s="8">
        <v>1266003</v>
      </c>
      <c r="RV31" s="8">
        <v>19086491</v>
      </c>
      <c r="RY31" s="2">
        <v>0</v>
      </c>
      <c r="RZ31" s="6">
        <v>0</v>
      </c>
      <c r="SA31" s="8">
        <v>3395978</v>
      </c>
      <c r="SC31" s="8">
        <v>3395978</v>
      </c>
      <c r="SD31" s="6">
        <v>3435568</v>
      </c>
      <c r="SE31" s="8">
        <v>3395978</v>
      </c>
      <c r="SF31" s="8">
        <v>3395978</v>
      </c>
      <c r="SG31" s="6">
        <v>3435568</v>
      </c>
      <c r="SH31" s="8">
        <v>224868</v>
      </c>
      <c r="SI31" s="8">
        <v>224868</v>
      </c>
      <c r="SJ31" s="6">
        <v>280000</v>
      </c>
      <c r="SK31" s="8">
        <v>2900000</v>
      </c>
      <c r="SL31" s="8">
        <v>2900000</v>
      </c>
      <c r="SM31" s="8">
        <v>21216466</v>
      </c>
      <c r="SN31" s="8">
        <v>4390871</v>
      </c>
      <c r="SO31" s="8">
        <v>25607337</v>
      </c>
      <c r="SP31" s="8">
        <v>16500000</v>
      </c>
      <c r="SQ31" s="2" t="s">
        <v>4220</v>
      </c>
      <c r="SX31" s="8">
        <v>6019800</v>
      </c>
      <c r="SY31" s="2" t="s">
        <v>96</v>
      </c>
      <c r="SZ31" s="2" t="s">
        <v>96</v>
      </c>
      <c r="TA31" s="2" t="s">
        <v>96</v>
      </c>
      <c r="TB31" s="8">
        <v>1507990</v>
      </c>
      <c r="TF31" s="8">
        <v>1579547</v>
      </c>
      <c r="TG31" s="8">
        <v>25607337</v>
      </c>
      <c r="TH31" s="2">
        <v>0</v>
      </c>
      <c r="TI31" s="8">
        <v>6600000</v>
      </c>
      <c r="TJ31" s="2" t="s">
        <v>4220</v>
      </c>
      <c r="TR31" s="8">
        <v>6019800</v>
      </c>
      <c r="TS31" s="8">
        <v>10053269</v>
      </c>
      <c r="TZ31" s="8">
        <v>2934268</v>
      </c>
      <c r="UA31" s="8">
        <v>25607337</v>
      </c>
      <c r="UB31" s="6">
        <v>12619800</v>
      </c>
      <c r="UC31" s="2">
        <v>0</v>
      </c>
      <c r="UD31" s="2">
        <v>80</v>
      </c>
      <c r="UE31" s="5">
        <v>270000</v>
      </c>
      <c r="UF31" s="6">
        <v>360000</v>
      </c>
      <c r="UG31" s="6">
        <v>375000</v>
      </c>
      <c r="UH31" s="6">
        <v>397500</v>
      </c>
      <c r="UI31" s="6">
        <v>31800000</v>
      </c>
      <c r="UJ31" s="6">
        <v>5724000</v>
      </c>
      <c r="UK31" s="2" t="s">
        <v>97</v>
      </c>
      <c r="UL31" s="6">
        <v>5724000</v>
      </c>
      <c r="UM31" s="6">
        <v>37524000</v>
      </c>
      <c r="UN31" s="6">
        <v>22482469</v>
      </c>
      <c r="UQ31" s="6">
        <v>0</v>
      </c>
      <c r="US31" s="6">
        <v>0</v>
      </c>
      <c r="UU31" s="6">
        <v>91160</v>
      </c>
      <c r="UV31" s="6">
        <v>91160</v>
      </c>
      <c r="UW31" s="6">
        <v>91160</v>
      </c>
      <c r="UX31" s="6">
        <v>0</v>
      </c>
      <c r="UY31" s="6">
        <v>91160</v>
      </c>
      <c r="UZ31" s="2" t="s">
        <v>2867</v>
      </c>
      <c r="VA31" s="2" t="s">
        <v>3288</v>
      </c>
      <c r="VB31" s="2" t="s">
        <v>17</v>
      </c>
      <c r="VI31" s="388" t="s">
        <v>1231</v>
      </c>
      <c r="VJ31" s="2" t="s">
        <v>98</v>
      </c>
      <c r="VK31" s="2" t="s">
        <v>1247</v>
      </c>
      <c r="VL31" s="23">
        <f t="shared" si="0"/>
        <v>108</v>
      </c>
      <c r="VM31" s="17">
        <f t="shared" si="1"/>
        <v>1.35</v>
      </c>
      <c r="VN31" s="17" t="str">
        <f t="shared" si="2"/>
        <v>NC-MR-E</v>
      </c>
      <c r="VO31" s="17" t="str">
        <f t="shared" si="15"/>
        <v>NC-MR-E-ESS</v>
      </c>
      <c r="VP31" s="57">
        <v>1</v>
      </c>
      <c r="VQ31" s="17">
        <f t="shared" si="3"/>
        <v>1.1100000000000001</v>
      </c>
      <c r="VR31" s="14">
        <f t="shared" si="4"/>
        <v>1</v>
      </c>
      <c r="VS31" s="14">
        <f t="shared" si="5"/>
        <v>0.87</v>
      </c>
      <c r="VT31" s="12">
        <f t="shared" si="6"/>
        <v>0.8448</v>
      </c>
      <c r="VU31" s="29">
        <f t="shared" si="7"/>
        <v>4487028.4800000004</v>
      </c>
      <c r="VV31" s="29">
        <f t="shared" si="8"/>
        <v>56087.86</v>
      </c>
      <c r="VW31" s="351" t="str">
        <f t="shared" si="16"/>
        <v>A</v>
      </c>
      <c r="VX31" s="12" t="str">
        <f t="shared" si="9"/>
        <v>NC-MR-ESS</v>
      </c>
      <c r="VY31" s="23">
        <f t="shared" si="17"/>
        <v>3</v>
      </c>
      <c r="WA31" s="12">
        <f t="shared" si="18"/>
        <v>1</v>
      </c>
      <c r="WB31" s="12">
        <f t="shared" si="19"/>
        <v>1</v>
      </c>
      <c r="WC31" s="12">
        <f t="shared" si="19"/>
        <v>0</v>
      </c>
      <c r="WD31" s="12">
        <f t="shared" si="19"/>
        <v>1</v>
      </c>
      <c r="WE31" s="12">
        <f t="shared" si="20"/>
        <v>1</v>
      </c>
      <c r="WF31" s="12">
        <f t="shared" si="10"/>
        <v>0</v>
      </c>
      <c r="WG31" s="12">
        <f t="shared" si="11"/>
        <v>1</v>
      </c>
      <c r="WH31" s="12">
        <f t="shared" si="12"/>
        <v>0</v>
      </c>
      <c r="WI31" s="31">
        <f t="shared" si="13"/>
        <v>5</v>
      </c>
      <c r="WK31" s="444" t="str">
        <f t="shared" si="21"/>
        <v>NC-MR-ESS-BBY-BRN-PHA-E</v>
      </c>
      <c r="WL31" s="444"/>
      <c r="WM31" s="444"/>
    </row>
    <row r="32" spans="1:611" x14ac:dyDescent="0.25">
      <c r="A32" s="2">
        <v>9259</v>
      </c>
      <c r="B32" s="2" t="s">
        <v>4618</v>
      </c>
      <c r="C32" s="2" t="s">
        <v>4205</v>
      </c>
      <c r="D32" s="3">
        <v>45128</v>
      </c>
      <c r="E32" s="2" t="s">
        <v>9</v>
      </c>
      <c r="F32" s="2">
        <v>1</v>
      </c>
      <c r="G32" s="2" t="s">
        <v>9</v>
      </c>
      <c r="H32" s="2">
        <v>1</v>
      </c>
      <c r="I32" s="2" t="s">
        <v>11</v>
      </c>
      <c r="J32" s="2">
        <v>0</v>
      </c>
      <c r="K32" s="2" t="s">
        <v>9</v>
      </c>
      <c r="L32" s="2">
        <v>1</v>
      </c>
      <c r="M32" s="2" t="s">
        <v>10</v>
      </c>
      <c r="N32" s="2">
        <v>0</v>
      </c>
      <c r="O32" s="2" t="s">
        <v>10</v>
      </c>
      <c r="P32" s="2">
        <v>0</v>
      </c>
      <c r="Q32" s="2" t="s">
        <v>11</v>
      </c>
      <c r="R32" s="2">
        <v>0</v>
      </c>
      <c r="S32" s="2" t="s">
        <v>9</v>
      </c>
      <c r="T32" s="2">
        <v>2</v>
      </c>
      <c r="U32" s="2" t="s">
        <v>9</v>
      </c>
      <c r="V32" s="2">
        <v>2</v>
      </c>
      <c r="W32" s="2" t="s">
        <v>9</v>
      </c>
      <c r="X32" s="2">
        <v>2</v>
      </c>
      <c r="Y32" s="2" t="s">
        <v>12</v>
      </c>
      <c r="Z32" s="2" t="s">
        <v>15</v>
      </c>
      <c r="AA32" s="2" t="s">
        <v>15</v>
      </c>
      <c r="AB32" s="2" t="s">
        <v>15</v>
      </c>
      <c r="AC32" s="2" t="s">
        <v>15</v>
      </c>
      <c r="AD32" s="2" t="s">
        <v>15</v>
      </c>
      <c r="AE32" s="2" t="s">
        <v>3769</v>
      </c>
      <c r="AF32" s="2">
        <v>0</v>
      </c>
      <c r="AG32" s="2" t="s">
        <v>234</v>
      </c>
      <c r="AH32" s="2" t="s">
        <v>17</v>
      </c>
      <c r="AI32" s="4">
        <v>0.15267</v>
      </c>
      <c r="AJ32" s="2" t="s">
        <v>17</v>
      </c>
      <c r="AK32" s="2" t="s">
        <v>9</v>
      </c>
      <c r="AL32" s="2" t="s">
        <v>17</v>
      </c>
      <c r="AM32" s="2" t="s">
        <v>17</v>
      </c>
      <c r="AN32" s="2" t="s">
        <v>17</v>
      </c>
      <c r="AO32" s="2" t="s">
        <v>9</v>
      </c>
      <c r="AP32" s="2" t="s">
        <v>17</v>
      </c>
      <c r="AQ32" s="2" t="s">
        <v>17</v>
      </c>
      <c r="AR32" s="2" t="s">
        <v>17</v>
      </c>
      <c r="AS32" s="2" t="s">
        <v>17</v>
      </c>
      <c r="AT32" s="2">
        <v>5</v>
      </c>
      <c r="AU32" s="5">
        <v>250000</v>
      </c>
      <c r="AV32" s="2" t="s">
        <v>85</v>
      </c>
      <c r="AW32" s="2">
        <v>0</v>
      </c>
      <c r="AX32" s="2">
        <v>7</v>
      </c>
      <c r="AY32" s="2">
        <v>0</v>
      </c>
      <c r="AZ32" s="2">
        <v>17</v>
      </c>
      <c r="BA32" s="2">
        <v>0</v>
      </c>
      <c r="BB32" s="2">
        <v>1</v>
      </c>
      <c r="BC32" s="2">
        <v>1</v>
      </c>
      <c r="BD32" s="2">
        <v>5</v>
      </c>
      <c r="BE32" s="2">
        <v>1</v>
      </c>
      <c r="BF32" s="2">
        <v>1</v>
      </c>
      <c r="BG32" s="2">
        <v>0</v>
      </c>
      <c r="BH32" s="2">
        <v>0</v>
      </c>
      <c r="BI32" s="2">
        <v>13</v>
      </c>
      <c r="BJ32" s="2">
        <v>1</v>
      </c>
      <c r="BK32" s="2">
        <v>0</v>
      </c>
      <c r="BL32" s="2">
        <v>2</v>
      </c>
      <c r="BM32" s="2">
        <v>1</v>
      </c>
      <c r="BN32" s="2">
        <v>10</v>
      </c>
      <c r="BO32" s="2">
        <v>10</v>
      </c>
      <c r="BP32" s="2">
        <v>44.08</v>
      </c>
      <c r="BQ32" s="5">
        <v>9500000</v>
      </c>
      <c r="BR32" s="2">
        <v>1</v>
      </c>
      <c r="BS32" s="4">
        <v>0.06</v>
      </c>
      <c r="BT32" s="2" t="s">
        <v>9</v>
      </c>
      <c r="BU32" s="2" t="s">
        <v>17</v>
      </c>
      <c r="BV32" s="6">
        <v>54798.38</v>
      </c>
      <c r="BW32" s="2" t="s">
        <v>126</v>
      </c>
      <c r="BX32" s="2" t="s">
        <v>17</v>
      </c>
      <c r="BY32" s="2" t="s">
        <v>17</v>
      </c>
      <c r="BZ32" s="2" t="s">
        <v>17</v>
      </c>
      <c r="CA32" s="2" t="s">
        <v>17</v>
      </c>
      <c r="CB32" s="2" t="s">
        <v>17</v>
      </c>
      <c r="CC32" s="2" t="s">
        <v>17</v>
      </c>
      <c r="CD32" s="2" t="s">
        <v>9</v>
      </c>
      <c r="CE32" s="2" t="s">
        <v>3770</v>
      </c>
      <c r="CF32" s="2" t="s">
        <v>17</v>
      </c>
      <c r="CG32" s="2" t="s">
        <v>9</v>
      </c>
      <c r="DA32" s="2" t="s">
        <v>608</v>
      </c>
      <c r="DB32" s="2" t="s">
        <v>3771</v>
      </c>
      <c r="DD32" s="2" t="s">
        <v>9</v>
      </c>
      <c r="DE32" s="2" t="s">
        <v>21</v>
      </c>
      <c r="DF32" s="2" t="s">
        <v>3771</v>
      </c>
      <c r="DG32" s="2" t="s">
        <v>22</v>
      </c>
      <c r="DH32" s="2" t="s">
        <v>3756</v>
      </c>
      <c r="DI32" s="2">
        <v>90</v>
      </c>
      <c r="DJ32" s="2" t="s">
        <v>4619</v>
      </c>
      <c r="DK32" s="2">
        <v>2017</v>
      </c>
      <c r="DL32" s="2" t="s">
        <v>4209</v>
      </c>
      <c r="DM32" s="2" t="s">
        <v>4210</v>
      </c>
      <c r="DN32" s="2" t="s">
        <v>33</v>
      </c>
      <c r="DO32" s="2" t="s">
        <v>34</v>
      </c>
      <c r="DQ32" s="2" t="s">
        <v>35</v>
      </c>
      <c r="DR32" s="2" t="s">
        <v>615</v>
      </c>
      <c r="DS32" s="2">
        <v>1</v>
      </c>
      <c r="DT32" s="2" t="s">
        <v>616</v>
      </c>
      <c r="DU32" s="2" t="s">
        <v>38</v>
      </c>
      <c r="DV32" s="2" t="s">
        <v>39</v>
      </c>
      <c r="DW32" s="2">
        <v>32405</v>
      </c>
      <c r="DX32" s="2" t="s">
        <v>617</v>
      </c>
      <c r="DZ32" s="2" t="s">
        <v>618</v>
      </c>
      <c r="EA32" s="2" t="s">
        <v>615</v>
      </c>
      <c r="EB32" s="2" t="s">
        <v>619</v>
      </c>
      <c r="EC32" s="2" t="s">
        <v>620</v>
      </c>
      <c r="ED32" s="2" t="s">
        <v>44</v>
      </c>
      <c r="EE32" s="2">
        <v>126</v>
      </c>
      <c r="EF32" s="2" t="s">
        <v>4620</v>
      </c>
      <c r="EG32" s="2">
        <v>41</v>
      </c>
      <c r="EH32" s="2" t="s">
        <v>46</v>
      </c>
      <c r="EI32" s="2" t="s">
        <v>47</v>
      </c>
      <c r="EJ32" s="2" t="s">
        <v>621</v>
      </c>
      <c r="EK32" s="2" t="s">
        <v>622</v>
      </c>
      <c r="EL32" s="2" t="s">
        <v>44</v>
      </c>
      <c r="EM32" s="2">
        <v>272</v>
      </c>
      <c r="EN32" s="2" t="s">
        <v>4620</v>
      </c>
      <c r="EO32" s="2">
        <v>22</v>
      </c>
      <c r="EP32" s="2" t="s">
        <v>46</v>
      </c>
      <c r="EQ32" s="2" t="s">
        <v>47</v>
      </c>
      <c r="ER32" s="2" t="s">
        <v>50</v>
      </c>
      <c r="ET32" s="2" t="s">
        <v>51</v>
      </c>
      <c r="EU32" s="2" t="s">
        <v>4621</v>
      </c>
      <c r="EV32" s="2" t="s">
        <v>4622</v>
      </c>
      <c r="EW32" s="2" t="s">
        <v>54</v>
      </c>
      <c r="EX32" s="2" t="s">
        <v>55</v>
      </c>
      <c r="EY32" s="2">
        <v>91730</v>
      </c>
      <c r="EZ32" s="2" t="s">
        <v>4623</v>
      </c>
      <c r="FB32" s="2" t="s">
        <v>4624</v>
      </c>
      <c r="FC32" s="2" t="s">
        <v>4625</v>
      </c>
      <c r="FE32" s="2" t="s">
        <v>59</v>
      </c>
      <c r="FF32" s="2" t="s">
        <v>4626</v>
      </c>
      <c r="FG32" s="2" t="s">
        <v>4622</v>
      </c>
      <c r="FH32" s="2" t="s">
        <v>54</v>
      </c>
      <c r="FI32" s="2" t="s">
        <v>55</v>
      </c>
      <c r="FJ32" s="2">
        <v>91730</v>
      </c>
      <c r="FK32" s="2" t="s">
        <v>4627</v>
      </c>
      <c r="FM32" s="2" t="s">
        <v>4628</v>
      </c>
      <c r="FN32" s="2" t="s">
        <v>3773</v>
      </c>
      <c r="FO32" s="2" t="s">
        <v>63</v>
      </c>
      <c r="FP32" s="2" t="s">
        <v>64</v>
      </c>
      <c r="FQ32" s="2" t="s">
        <v>9</v>
      </c>
      <c r="FR32" s="2" t="s">
        <v>17</v>
      </c>
      <c r="FS32" s="2" t="s">
        <v>17</v>
      </c>
      <c r="FT32" s="2" t="s">
        <v>9</v>
      </c>
      <c r="FX32" s="2">
        <v>0</v>
      </c>
      <c r="FY32" s="2">
        <v>0</v>
      </c>
      <c r="FZ32" s="4">
        <v>0</v>
      </c>
      <c r="GA32" s="4">
        <v>0</v>
      </c>
      <c r="GB32" s="2" t="s">
        <v>65</v>
      </c>
      <c r="GC32" s="2" t="s">
        <v>66</v>
      </c>
      <c r="GD32" s="2" t="s">
        <v>67</v>
      </c>
      <c r="GE32" s="2" t="s">
        <v>2684</v>
      </c>
      <c r="GK32" s="2">
        <v>131</v>
      </c>
      <c r="GQ32" s="2">
        <v>131</v>
      </c>
      <c r="GR32" s="2" t="s">
        <v>3332</v>
      </c>
      <c r="GS32" s="2" t="s">
        <v>2686</v>
      </c>
      <c r="GT32" s="2" t="s">
        <v>3774</v>
      </c>
      <c r="GU32" s="2" t="s">
        <v>299</v>
      </c>
      <c r="GV32" s="2" t="s">
        <v>17</v>
      </c>
      <c r="GW32" s="2">
        <v>25.808305000000001</v>
      </c>
      <c r="GX32" s="2">
        <v>-80.239913000000001</v>
      </c>
      <c r="GZ32" s="2" t="s">
        <v>17</v>
      </c>
      <c r="HA32" s="2">
        <v>0</v>
      </c>
      <c r="HB32" s="2" t="s">
        <v>17</v>
      </c>
      <c r="HC32" s="2">
        <v>0</v>
      </c>
      <c r="HV32" s="2">
        <v>25.813067</v>
      </c>
      <c r="HW32" s="2">
        <v>-80.230979000000005</v>
      </c>
      <c r="HX32" s="2">
        <v>0.66</v>
      </c>
      <c r="HY32" s="2">
        <v>5</v>
      </c>
      <c r="HZ32" s="2" t="s">
        <v>3164</v>
      </c>
      <c r="IA32" s="2">
        <v>0.52</v>
      </c>
      <c r="IB32" s="2">
        <v>3</v>
      </c>
      <c r="IC32" s="2" t="s">
        <v>3776</v>
      </c>
      <c r="ID32" s="2">
        <v>0.46</v>
      </c>
      <c r="IE32" s="2">
        <v>3.5</v>
      </c>
      <c r="II32" s="2" t="s">
        <v>3778</v>
      </c>
      <c r="IJ32" s="2">
        <v>0.36</v>
      </c>
      <c r="IK32" s="2">
        <v>4</v>
      </c>
      <c r="IL32" s="2" t="s">
        <v>17</v>
      </c>
      <c r="IM32" s="2" t="s">
        <v>17</v>
      </c>
      <c r="IO32" s="2" t="s">
        <v>17</v>
      </c>
      <c r="IP32" s="2" t="s">
        <v>79</v>
      </c>
      <c r="IQ32" s="2" t="s">
        <v>79</v>
      </c>
      <c r="IR32" s="2">
        <v>5</v>
      </c>
      <c r="IS32" s="2">
        <v>10.5</v>
      </c>
      <c r="IT32" s="2">
        <v>0</v>
      </c>
      <c r="IU32" s="2">
        <v>15.5</v>
      </c>
      <c r="IV32" s="2" t="s">
        <v>9</v>
      </c>
      <c r="IW32" s="2" t="s">
        <v>9</v>
      </c>
      <c r="IX32" s="2" t="s">
        <v>9</v>
      </c>
      <c r="IY32" s="2">
        <v>15.5</v>
      </c>
      <c r="IZ32" s="2">
        <v>131</v>
      </c>
      <c r="JB32" s="2" t="s">
        <v>82</v>
      </c>
      <c r="JH32" s="7">
        <v>0</v>
      </c>
      <c r="JI32" s="2">
        <v>0</v>
      </c>
      <c r="JJ32" s="7">
        <v>0</v>
      </c>
      <c r="JK32" s="2">
        <v>0</v>
      </c>
      <c r="JL32" s="7">
        <v>0</v>
      </c>
      <c r="JN32" s="2">
        <v>20</v>
      </c>
      <c r="JQ32" s="2">
        <v>86</v>
      </c>
      <c r="JR32" s="2">
        <v>15</v>
      </c>
      <c r="JS32" s="2">
        <v>10</v>
      </c>
      <c r="JT32" s="2">
        <v>0</v>
      </c>
      <c r="JU32" s="2">
        <v>0</v>
      </c>
      <c r="JV32" s="2">
        <v>131</v>
      </c>
      <c r="JW32" s="4">
        <v>1</v>
      </c>
      <c r="JX32" s="2">
        <v>131</v>
      </c>
      <c r="JY32" s="4">
        <v>0.58091999999999999</v>
      </c>
      <c r="KE32" s="7">
        <v>0</v>
      </c>
      <c r="KF32" s="2">
        <v>0</v>
      </c>
      <c r="KH32" s="2">
        <v>131</v>
      </c>
      <c r="KQ32" s="2" t="s">
        <v>83</v>
      </c>
      <c r="KS32" s="2" t="s">
        <v>73</v>
      </c>
      <c r="KT32" s="2">
        <v>1</v>
      </c>
      <c r="KU32" s="2" t="s">
        <v>84</v>
      </c>
      <c r="KW32" s="2" t="s">
        <v>86</v>
      </c>
      <c r="KX32" s="2" t="s">
        <v>17</v>
      </c>
      <c r="KY32" s="2" t="s">
        <v>17</v>
      </c>
      <c r="KZ32" s="2" t="s">
        <v>17</v>
      </c>
      <c r="LA32" s="2" t="s">
        <v>17</v>
      </c>
      <c r="LB32" s="2" t="s">
        <v>17</v>
      </c>
      <c r="LC32" s="2" t="s">
        <v>17</v>
      </c>
      <c r="LD32" s="2" t="s">
        <v>17</v>
      </c>
      <c r="LE32" s="2" t="s">
        <v>17</v>
      </c>
      <c r="LF32" s="2" t="s">
        <v>17</v>
      </c>
      <c r="LG32" s="2" t="s">
        <v>17</v>
      </c>
      <c r="LH32" s="2" t="s">
        <v>17</v>
      </c>
      <c r="LI32" s="2" t="s">
        <v>17</v>
      </c>
      <c r="LJ32" s="2" t="s">
        <v>87</v>
      </c>
      <c r="LK32" s="2" t="s">
        <v>17</v>
      </c>
      <c r="LL32" s="2" t="s">
        <v>17</v>
      </c>
      <c r="LM32" s="2">
        <v>0</v>
      </c>
      <c r="LN32" s="2" t="s">
        <v>17</v>
      </c>
      <c r="LO32" s="2" t="s">
        <v>17</v>
      </c>
      <c r="LP32" s="2" t="s">
        <v>17</v>
      </c>
      <c r="LQ32" s="2" t="s">
        <v>17</v>
      </c>
      <c r="LR32" s="2" t="s">
        <v>17</v>
      </c>
      <c r="LS32" s="2" t="s">
        <v>17</v>
      </c>
      <c r="LT32" s="2" t="s">
        <v>17</v>
      </c>
      <c r="LU32" s="2" t="s">
        <v>17</v>
      </c>
      <c r="LV32" s="2" t="s">
        <v>9</v>
      </c>
      <c r="LW32" s="2" t="s">
        <v>9</v>
      </c>
      <c r="LX32" s="2" t="s">
        <v>9</v>
      </c>
      <c r="LY32" s="5">
        <v>6500000</v>
      </c>
      <c r="LZ32" s="5">
        <v>0</v>
      </c>
      <c r="MA32" s="5">
        <v>11000000</v>
      </c>
      <c r="MB32" s="5">
        <v>8750000</v>
      </c>
      <c r="MC32" s="5">
        <v>8750000</v>
      </c>
      <c r="MD32" s="5">
        <v>750000</v>
      </c>
      <c r="ME32" s="5">
        <v>750000</v>
      </c>
      <c r="MF32" s="5">
        <v>750000</v>
      </c>
      <c r="MG32" s="5">
        <v>10000000</v>
      </c>
      <c r="MH32" s="5">
        <v>0</v>
      </c>
      <c r="MI32" s="5">
        <v>10000000</v>
      </c>
      <c r="MJ32" s="5">
        <v>0</v>
      </c>
      <c r="MK32" s="5">
        <v>1400000</v>
      </c>
      <c r="ML32" s="5">
        <v>0</v>
      </c>
      <c r="MM32" s="5">
        <v>0</v>
      </c>
      <c r="MN32" s="2">
        <v>0</v>
      </c>
      <c r="MO32" s="5">
        <v>0</v>
      </c>
      <c r="MP32" s="5">
        <v>0</v>
      </c>
      <c r="MQ32" s="2">
        <v>0</v>
      </c>
      <c r="MR32" s="2">
        <v>0</v>
      </c>
      <c r="MS32" s="2">
        <v>0</v>
      </c>
      <c r="MT32" s="5">
        <v>2950000</v>
      </c>
      <c r="MU32" s="5">
        <v>0</v>
      </c>
      <c r="MV32" s="5">
        <v>4600000</v>
      </c>
      <c r="MW32" s="5">
        <v>0</v>
      </c>
      <c r="MY32" s="5">
        <v>0</v>
      </c>
      <c r="MZ32" s="5">
        <v>0</v>
      </c>
      <c r="NA32" s="5">
        <v>0</v>
      </c>
      <c r="NB32" s="5">
        <v>2500000</v>
      </c>
      <c r="NC32" s="5">
        <v>0</v>
      </c>
      <c r="ND32" s="5">
        <v>5000000</v>
      </c>
      <c r="NE32" s="5">
        <v>0</v>
      </c>
      <c r="NF32" s="5">
        <v>0</v>
      </c>
      <c r="NG32" s="5">
        <v>0</v>
      </c>
      <c r="NH32" s="5"/>
      <c r="NI32" s="5">
        <v>0</v>
      </c>
      <c r="NJ32" s="5">
        <v>2040000</v>
      </c>
      <c r="NK32" s="2" t="s">
        <v>17</v>
      </c>
      <c r="NL32" s="2" t="s">
        <v>4292</v>
      </c>
      <c r="NM32" s="2" t="s">
        <v>17</v>
      </c>
      <c r="NO32" s="2" t="s">
        <v>17</v>
      </c>
      <c r="NR32" s="2" t="s">
        <v>17</v>
      </c>
      <c r="NT32" s="2" t="s">
        <v>9</v>
      </c>
      <c r="NU32" s="2" t="s">
        <v>450</v>
      </c>
      <c r="NV32" s="2">
        <v>24.03</v>
      </c>
      <c r="NW32" s="2" t="s">
        <v>3342</v>
      </c>
      <c r="NX32" s="2" t="s">
        <v>118</v>
      </c>
      <c r="NY32" s="2" t="s">
        <v>118</v>
      </c>
      <c r="NZ32" s="2" t="s">
        <v>118</v>
      </c>
      <c r="OA32" s="2" t="s">
        <v>17</v>
      </c>
      <c r="OB32" s="2" t="s">
        <v>119</v>
      </c>
      <c r="OC32" s="5">
        <v>25000000</v>
      </c>
      <c r="OF32" s="2" t="s">
        <v>17</v>
      </c>
      <c r="OG32" s="2" t="s">
        <v>17</v>
      </c>
      <c r="OH32" s="2" t="s">
        <v>85</v>
      </c>
      <c r="OI32" s="6">
        <v>0</v>
      </c>
      <c r="OJ32" s="6">
        <v>262500</v>
      </c>
      <c r="OK32" s="2" t="s">
        <v>17</v>
      </c>
      <c r="OL32" s="2" t="s">
        <v>17</v>
      </c>
      <c r="OM32" s="6">
        <v>0</v>
      </c>
      <c r="ON32" s="6">
        <v>0</v>
      </c>
      <c r="OO32" s="6">
        <v>0</v>
      </c>
      <c r="OP32" s="6">
        <v>0</v>
      </c>
      <c r="OQ32" s="4">
        <v>0</v>
      </c>
      <c r="OR32" s="6">
        <v>0</v>
      </c>
      <c r="OS32" s="4">
        <v>0</v>
      </c>
      <c r="OT32" s="2" t="s">
        <v>17</v>
      </c>
      <c r="OU32" s="2" t="s">
        <v>17</v>
      </c>
      <c r="OW32" s="2" t="s">
        <v>17</v>
      </c>
      <c r="OX32" s="5">
        <v>7178588</v>
      </c>
      <c r="OY32" s="6">
        <v>54798.38</v>
      </c>
      <c r="OZ32" s="8">
        <v>50000</v>
      </c>
      <c r="PA32" s="8">
        <v>50000</v>
      </c>
      <c r="PD32" s="8">
        <v>24513528</v>
      </c>
      <c r="PF32" s="8">
        <v>24513528</v>
      </c>
      <c r="PH32" s="8">
        <v>400000</v>
      </c>
      <c r="PI32" s="8">
        <v>400000</v>
      </c>
      <c r="PO32" s="8">
        <v>24513528</v>
      </c>
      <c r="PP32" s="8">
        <v>450000</v>
      </c>
      <c r="PQ32" s="8">
        <v>24963528</v>
      </c>
      <c r="PR32" s="8">
        <v>3494893</v>
      </c>
      <c r="PT32" s="8">
        <v>3494893</v>
      </c>
      <c r="PU32" s="6">
        <v>3494893</v>
      </c>
      <c r="PV32" s="8">
        <v>28008421</v>
      </c>
      <c r="PW32" s="8">
        <v>450000</v>
      </c>
      <c r="PX32" s="8">
        <v>28458421</v>
      </c>
      <c r="PY32" s="8">
        <v>1422921</v>
      </c>
      <c r="QA32" s="8">
        <v>1422921</v>
      </c>
      <c r="QB32" s="6">
        <v>1422921.05</v>
      </c>
      <c r="QC32" s="8">
        <v>2403637</v>
      </c>
      <c r="QE32" s="8">
        <v>2403637</v>
      </c>
      <c r="QF32" s="8">
        <v>448220</v>
      </c>
      <c r="QH32" s="8">
        <v>448220</v>
      </c>
      <c r="QI32" s="8">
        <v>594565</v>
      </c>
      <c r="QK32" s="8">
        <v>594565</v>
      </c>
      <c r="QM32" s="8">
        <v>147302</v>
      </c>
      <c r="QN32" s="8">
        <v>147302</v>
      </c>
      <c r="QU32" s="8">
        <v>3446422</v>
      </c>
      <c r="QV32" s="8">
        <v>147302</v>
      </c>
      <c r="QW32" s="8">
        <v>3593724</v>
      </c>
      <c r="QX32" s="8">
        <v>179686</v>
      </c>
      <c r="QZ32" s="8">
        <v>179686</v>
      </c>
      <c r="RA32" s="6">
        <v>179686.2</v>
      </c>
      <c r="RB32" s="8">
        <v>1673458</v>
      </c>
      <c r="RC32" s="8">
        <v>751106</v>
      </c>
      <c r="RD32" s="8">
        <v>2424564</v>
      </c>
      <c r="RE32" s="8">
        <v>187417</v>
      </c>
      <c r="RF32" s="8">
        <v>187417</v>
      </c>
      <c r="RH32" s="8">
        <v>235000</v>
      </c>
      <c r="RI32" s="8">
        <v>235000</v>
      </c>
      <c r="RJ32" s="8">
        <v>1673458</v>
      </c>
      <c r="RK32" s="8">
        <v>1173523</v>
      </c>
      <c r="RL32" s="8">
        <v>2846981</v>
      </c>
      <c r="RT32" s="8">
        <v>34730908</v>
      </c>
      <c r="RU32" s="8">
        <v>1770825</v>
      </c>
      <c r="RV32" s="8">
        <v>36501733</v>
      </c>
      <c r="RY32" s="2">
        <v>0</v>
      </c>
      <c r="RZ32" s="6">
        <v>0</v>
      </c>
      <c r="SA32" s="8">
        <v>6570311</v>
      </c>
      <c r="SC32" s="8">
        <v>6570311</v>
      </c>
      <c r="SD32" s="6">
        <v>6570311</v>
      </c>
      <c r="SE32" s="8">
        <v>6570311</v>
      </c>
      <c r="SF32" s="8">
        <v>6570311</v>
      </c>
      <c r="SG32" s="6">
        <v>6570311</v>
      </c>
      <c r="SH32" s="8">
        <v>458500</v>
      </c>
      <c r="SI32" s="8">
        <v>458500</v>
      </c>
      <c r="SJ32" s="6">
        <v>458500</v>
      </c>
      <c r="SK32" s="8">
        <v>3250000</v>
      </c>
      <c r="SL32" s="8">
        <v>3250000</v>
      </c>
      <c r="SM32" s="8">
        <v>41301219</v>
      </c>
      <c r="SN32" s="8">
        <v>5479325</v>
      </c>
      <c r="SO32" s="8">
        <v>46780544</v>
      </c>
      <c r="SP32" s="8">
        <v>25000000</v>
      </c>
      <c r="SQ32" s="2" t="s">
        <v>4295</v>
      </c>
      <c r="SX32" s="8">
        <v>9500000</v>
      </c>
      <c r="SY32" s="2" t="s">
        <v>96</v>
      </c>
      <c r="SZ32" s="2" t="s">
        <v>96</v>
      </c>
      <c r="TA32" s="2" t="s">
        <v>96</v>
      </c>
      <c r="TB32" s="8">
        <v>6782322</v>
      </c>
      <c r="TF32" s="8">
        <v>5498222</v>
      </c>
      <c r="TG32" s="8">
        <v>46780544</v>
      </c>
      <c r="TH32" s="2">
        <v>0</v>
      </c>
      <c r="TI32" s="8">
        <v>13742000</v>
      </c>
      <c r="TJ32" s="2" t="s">
        <v>4295</v>
      </c>
      <c r="TR32" s="8">
        <v>9500000</v>
      </c>
      <c r="TS32" s="8">
        <v>19378062</v>
      </c>
      <c r="TZ32" s="8">
        <v>4160482</v>
      </c>
      <c r="UA32" s="8">
        <v>46780544</v>
      </c>
      <c r="UB32" s="6">
        <v>23242000</v>
      </c>
      <c r="UC32" s="2">
        <v>0</v>
      </c>
      <c r="UD32" s="2">
        <v>131</v>
      </c>
      <c r="UE32" s="5">
        <v>310000</v>
      </c>
      <c r="UF32" s="6">
        <v>413333.33</v>
      </c>
      <c r="UG32" s="6">
        <v>420833.33</v>
      </c>
      <c r="UH32" s="6">
        <v>446083.33</v>
      </c>
      <c r="UI32" s="6">
        <v>58436916.670000002</v>
      </c>
      <c r="UJ32" s="6">
        <v>10518645</v>
      </c>
      <c r="UK32" s="2" t="s">
        <v>97</v>
      </c>
      <c r="UL32" s="6">
        <v>10518645</v>
      </c>
      <c r="UM32" s="6">
        <v>68955561.670000002</v>
      </c>
      <c r="UN32" s="6">
        <v>43022044</v>
      </c>
      <c r="UT32" s="6">
        <v>924381.85</v>
      </c>
      <c r="UW32" s="6">
        <v>924381.85</v>
      </c>
      <c r="UX32" s="6">
        <v>0</v>
      </c>
      <c r="UY32" s="6">
        <v>0</v>
      </c>
      <c r="UZ32" s="2" t="s">
        <v>3387</v>
      </c>
      <c r="VA32" s="2" t="s">
        <v>3288</v>
      </c>
      <c r="VB32" s="2" t="s">
        <v>17</v>
      </c>
      <c r="VI32" s="388" t="s">
        <v>21</v>
      </c>
      <c r="VJ32" s="2" t="s">
        <v>98</v>
      </c>
      <c r="VK32" s="2" t="s">
        <v>99</v>
      </c>
      <c r="VL32" s="23">
        <f t="shared" si="0"/>
        <v>131</v>
      </c>
      <c r="VM32" s="17">
        <f t="shared" si="1"/>
        <v>1</v>
      </c>
      <c r="VN32" s="17" t="str">
        <f t="shared" si="2"/>
        <v>NC-HR-E</v>
      </c>
      <c r="VO32" s="17" t="str">
        <f t="shared" si="15"/>
        <v>NC-HR-E-ESS</v>
      </c>
      <c r="VP32" s="57">
        <v>1</v>
      </c>
      <c r="VQ32" s="17">
        <f t="shared" si="3"/>
        <v>1.1100000000000001</v>
      </c>
      <c r="VR32" s="14">
        <f t="shared" si="4"/>
        <v>1</v>
      </c>
      <c r="VS32" s="14">
        <f t="shared" si="5"/>
        <v>1</v>
      </c>
      <c r="VT32" s="12">
        <f t="shared" si="6"/>
        <v>0.83519999999999994</v>
      </c>
      <c r="VU32" s="29">
        <f t="shared" si="7"/>
        <v>8111879.9999999991</v>
      </c>
      <c r="VV32" s="29">
        <f t="shared" si="8"/>
        <v>61922.75</v>
      </c>
      <c r="VW32" s="351" t="str">
        <f t="shared" si="16"/>
        <v>A</v>
      </c>
      <c r="VX32" s="12" t="str">
        <f t="shared" si="9"/>
        <v>NC-HR-ESS</v>
      </c>
      <c r="VY32" s="23">
        <f t="shared" si="17"/>
        <v>4</v>
      </c>
      <c r="WA32" s="12">
        <f t="shared" si="18"/>
        <v>1</v>
      </c>
      <c r="WB32" s="12">
        <f t="shared" si="19"/>
        <v>1</v>
      </c>
      <c r="WC32" s="12">
        <f t="shared" si="19"/>
        <v>0</v>
      </c>
      <c r="WD32" s="12">
        <f t="shared" si="19"/>
        <v>0</v>
      </c>
      <c r="WE32" s="12">
        <f t="shared" si="20"/>
        <v>1</v>
      </c>
      <c r="WF32" s="12">
        <f t="shared" si="10"/>
        <v>0</v>
      </c>
      <c r="WG32" s="12">
        <f t="shared" si="11"/>
        <v>0</v>
      </c>
      <c r="WH32" s="12">
        <f t="shared" si="12"/>
        <v>1</v>
      </c>
      <c r="WI32" s="31">
        <f t="shared" si="13"/>
        <v>4</v>
      </c>
      <c r="WK32" s="444" t="str">
        <f t="shared" si="21"/>
        <v>NC-HR-ESS-BBY-BRN-NPH-E</v>
      </c>
      <c r="WL32" s="444"/>
      <c r="WM32" s="444"/>
    </row>
    <row r="33" spans="1:611" x14ac:dyDescent="0.25">
      <c r="A33" s="2">
        <v>9296</v>
      </c>
      <c r="B33" s="2" t="s">
        <v>4629</v>
      </c>
      <c r="C33" s="2" t="s">
        <v>4205</v>
      </c>
      <c r="D33" s="3">
        <v>45128</v>
      </c>
      <c r="E33" s="2" t="s">
        <v>9</v>
      </c>
      <c r="F33" s="2">
        <v>1</v>
      </c>
      <c r="G33" s="2" t="s">
        <v>9</v>
      </c>
      <c r="H33" s="2">
        <v>1</v>
      </c>
      <c r="I33" s="2" t="s">
        <v>11</v>
      </c>
      <c r="J33" s="2">
        <v>0</v>
      </c>
      <c r="K33" s="2" t="s">
        <v>9</v>
      </c>
      <c r="L33" s="2">
        <v>1</v>
      </c>
      <c r="M33" s="2" t="s">
        <v>10</v>
      </c>
      <c r="N33" s="2">
        <v>0</v>
      </c>
      <c r="O33" s="2" t="s">
        <v>10</v>
      </c>
      <c r="P33" s="2">
        <v>0</v>
      </c>
      <c r="Q33" s="2" t="s">
        <v>11</v>
      </c>
      <c r="R33" s="2">
        <v>0</v>
      </c>
      <c r="S33" s="2" t="s">
        <v>9</v>
      </c>
      <c r="T33" s="2">
        <v>2</v>
      </c>
      <c r="U33" s="2" t="s">
        <v>9</v>
      </c>
      <c r="V33" s="2">
        <v>2</v>
      </c>
      <c r="W33" s="2" t="s">
        <v>9</v>
      </c>
      <c r="X33" s="2">
        <v>2</v>
      </c>
      <c r="Y33" s="2" t="s">
        <v>12</v>
      </c>
      <c r="Z33" s="2" t="s">
        <v>1608</v>
      </c>
      <c r="AA33" s="2" t="s">
        <v>1227</v>
      </c>
      <c r="AB33" s="2" t="s">
        <v>435</v>
      </c>
      <c r="AC33" s="2" t="s">
        <v>15</v>
      </c>
      <c r="AD33" s="2" t="s">
        <v>15</v>
      </c>
      <c r="AE33" s="2" t="s">
        <v>15</v>
      </c>
      <c r="AF33" s="2">
        <v>3</v>
      </c>
      <c r="AG33" s="2" t="s">
        <v>436</v>
      </c>
      <c r="AH33" s="2" t="s">
        <v>17</v>
      </c>
      <c r="AI33" s="4">
        <v>0.15454999999999999</v>
      </c>
      <c r="AJ33" s="2" t="s">
        <v>17</v>
      </c>
      <c r="AK33" s="2" t="s">
        <v>9</v>
      </c>
      <c r="AL33" s="2" t="s">
        <v>17</v>
      </c>
      <c r="AM33" s="2" t="s">
        <v>17</v>
      </c>
      <c r="AN33" s="2" t="s">
        <v>17</v>
      </c>
      <c r="AO33" s="2" t="s">
        <v>9</v>
      </c>
      <c r="AP33" s="2" t="s">
        <v>17</v>
      </c>
      <c r="AQ33" s="2" t="s">
        <v>17</v>
      </c>
      <c r="AR33" s="2" t="s">
        <v>17</v>
      </c>
      <c r="AS33" s="2" t="s">
        <v>17</v>
      </c>
      <c r="AT33" s="2">
        <v>5</v>
      </c>
      <c r="AU33" s="5">
        <v>250000</v>
      </c>
      <c r="AV33" s="2" t="s">
        <v>85</v>
      </c>
      <c r="AW33" s="2">
        <v>0</v>
      </c>
      <c r="AX33" s="2">
        <v>16</v>
      </c>
      <c r="AY33" s="2">
        <v>0</v>
      </c>
      <c r="AZ33" s="2">
        <v>17</v>
      </c>
      <c r="BA33" s="2">
        <v>0</v>
      </c>
      <c r="BB33" s="2">
        <v>1</v>
      </c>
      <c r="BC33" s="2">
        <v>0</v>
      </c>
      <c r="BD33" s="2">
        <v>3</v>
      </c>
      <c r="BE33" s="2">
        <v>1</v>
      </c>
      <c r="BF33" s="2">
        <v>1</v>
      </c>
      <c r="BG33" s="2">
        <v>0</v>
      </c>
      <c r="BH33" s="2">
        <v>0</v>
      </c>
      <c r="BI33" s="2">
        <v>13</v>
      </c>
      <c r="BJ33" s="2">
        <v>1</v>
      </c>
      <c r="BK33" s="2">
        <v>0</v>
      </c>
      <c r="BL33" s="2">
        <v>2</v>
      </c>
      <c r="BM33" s="2">
        <v>1</v>
      </c>
      <c r="BN33" s="2">
        <v>10</v>
      </c>
      <c r="BO33" s="2">
        <v>10</v>
      </c>
      <c r="BP33" s="2">
        <v>44.06</v>
      </c>
      <c r="BQ33" s="5">
        <v>8100000</v>
      </c>
      <c r="BR33" s="2">
        <v>1</v>
      </c>
      <c r="BS33" s="4">
        <v>0.06</v>
      </c>
      <c r="BT33" s="2" t="s">
        <v>9</v>
      </c>
      <c r="BU33" s="2" t="s">
        <v>17</v>
      </c>
      <c r="BV33" s="6">
        <v>54818.3</v>
      </c>
      <c r="BW33" s="2" t="s">
        <v>126</v>
      </c>
      <c r="BX33" s="2" t="s">
        <v>17</v>
      </c>
      <c r="BY33" s="2" t="s">
        <v>17</v>
      </c>
      <c r="BZ33" s="2" t="s">
        <v>17</v>
      </c>
      <c r="CA33" s="2" t="s">
        <v>17</v>
      </c>
      <c r="CB33" s="2" t="s">
        <v>17</v>
      </c>
      <c r="CC33" s="2" t="s">
        <v>17</v>
      </c>
      <c r="CD33" s="2" t="s">
        <v>9</v>
      </c>
      <c r="CE33" s="2" t="s">
        <v>4630</v>
      </c>
      <c r="CF33" s="2" t="s">
        <v>17</v>
      </c>
      <c r="CG33" s="2" t="s">
        <v>9</v>
      </c>
      <c r="DA33" s="2" t="s">
        <v>608</v>
      </c>
      <c r="DB33" s="2" t="s">
        <v>609</v>
      </c>
      <c r="DD33" s="2" t="s">
        <v>9</v>
      </c>
      <c r="DE33" s="2" t="s">
        <v>610</v>
      </c>
      <c r="DF33" s="2" t="s">
        <v>608</v>
      </c>
      <c r="DG33" s="2" t="s">
        <v>611</v>
      </c>
      <c r="DH33" s="2" t="s">
        <v>330</v>
      </c>
      <c r="DI33" s="2">
        <v>94</v>
      </c>
      <c r="DJ33" s="2" t="s">
        <v>3002</v>
      </c>
      <c r="DK33" s="2">
        <v>2015</v>
      </c>
      <c r="DL33" s="2" t="s">
        <v>4209</v>
      </c>
      <c r="DM33" s="2" t="s">
        <v>4210</v>
      </c>
      <c r="DN33" s="2" t="s">
        <v>33</v>
      </c>
      <c r="DO33" s="2" t="s">
        <v>34</v>
      </c>
      <c r="DQ33" s="2" t="s">
        <v>35</v>
      </c>
      <c r="DR33" s="2" t="s">
        <v>615</v>
      </c>
      <c r="DS33" s="2">
        <v>1</v>
      </c>
      <c r="DT33" s="2" t="s">
        <v>616</v>
      </c>
      <c r="DU33" s="2" t="s">
        <v>38</v>
      </c>
      <c r="DV33" s="2" t="s">
        <v>39</v>
      </c>
      <c r="DW33" s="2">
        <v>32405</v>
      </c>
      <c r="DX33" s="2" t="s">
        <v>617</v>
      </c>
      <c r="DZ33" s="2" t="s">
        <v>618</v>
      </c>
      <c r="EA33" s="2" t="s">
        <v>615</v>
      </c>
      <c r="EB33" s="2" t="s">
        <v>619</v>
      </c>
      <c r="EC33" s="2" t="s">
        <v>620</v>
      </c>
      <c r="ED33" s="2" t="s">
        <v>44</v>
      </c>
      <c r="EE33" s="2">
        <v>126</v>
      </c>
      <c r="EF33" s="2" t="s">
        <v>3003</v>
      </c>
      <c r="EG33" s="2">
        <v>41</v>
      </c>
      <c r="EH33" s="2" t="s">
        <v>46</v>
      </c>
      <c r="EI33" s="2" t="s">
        <v>47</v>
      </c>
      <c r="EJ33" s="2" t="s">
        <v>621</v>
      </c>
      <c r="EK33" s="2" t="s">
        <v>622</v>
      </c>
      <c r="EL33" s="2" t="s">
        <v>44</v>
      </c>
      <c r="EM33" s="2">
        <v>272</v>
      </c>
      <c r="EN33" s="2" t="s">
        <v>3003</v>
      </c>
      <c r="EO33" s="2">
        <v>22</v>
      </c>
      <c r="EP33" s="2" t="s">
        <v>46</v>
      </c>
      <c r="EQ33" s="2" t="s">
        <v>47</v>
      </c>
      <c r="ER33" s="2" t="s">
        <v>623</v>
      </c>
      <c r="ET33" s="2" t="s">
        <v>624</v>
      </c>
      <c r="EU33" s="2" t="s">
        <v>625</v>
      </c>
      <c r="EV33" s="2" t="s">
        <v>626</v>
      </c>
      <c r="EW33" s="2" t="s">
        <v>627</v>
      </c>
      <c r="EX33" s="2" t="s">
        <v>39</v>
      </c>
      <c r="EY33" s="2">
        <v>33407</v>
      </c>
      <c r="EZ33" s="2" t="s">
        <v>628</v>
      </c>
      <c r="FB33" s="2" t="s">
        <v>629</v>
      </c>
      <c r="FN33" s="2" t="s">
        <v>3762</v>
      </c>
      <c r="FO33" s="2" t="s">
        <v>63</v>
      </c>
      <c r="FP33" s="2" t="s">
        <v>64</v>
      </c>
      <c r="FQ33" s="2" t="s">
        <v>9</v>
      </c>
      <c r="FR33" s="2" t="s">
        <v>17</v>
      </c>
      <c r="FS33" s="2" t="s">
        <v>17</v>
      </c>
      <c r="FT33" s="2" t="s">
        <v>9</v>
      </c>
      <c r="FX33" s="2">
        <v>0</v>
      </c>
      <c r="FY33" s="2">
        <v>0</v>
      </c>
      <c r="FZ33" s="4">
        <v>0</v>
      </c>
      <c r="GA33" s="4">
        <v>0</v>
      </c>
      <c r="GB33" s="2" t="s">
        <v>65</v>
      </c>
      <c r="GC33" s="2" t="s">
        <v>66</v>
      </c>
      <c r="GD33" s="2" t="s">
        <v>67</v>
      </c>
      <c r="GE33" s="2" t="s">
        <v>2684</v>
      </c>
      <c r="GK33" s="2">
        <v>110</v>
      </c>
      <c r="GQ33" s="2">
        <v>110</v>
      </c>
      <c r="GR33" s="2" t="s">
        <v>3332</v>
      </c>
      <c r="GS33" s="2" t="s">
        <v>2686</v>
      </c>
      <c r="GT33" s="2" t="s">
        <v>3763</v>
      </c>
      <c r="GU33" s="2" t="s">
        <v>2720</v>
      </c>
      <c r="GV33" s="2" t="s">
        <v>17</v>
      </c>
      <c r="GW33" s="2">
        <v>25.520907999999999</v>
      </c>
      <c r="GX33" s="2">
        <v>-80.426040999999998</v>
      </c>
      <c r="GZ33" s="2" t="s">
        <v>17</v>
      </c>
      <c r="HA33" s="2">
        <v>0</v>
      </c>
      <c r="HB33" s="2" t="s">
        <v>17</v>
      </c>
      <c r="HC33" s="2">
        <v>0</v>
      </c>
      <c r="HD33" s="2">
        <v>25.517939999999999</v>
      </c>
      <c r="HE33" s="2">
        <v>-80.425443000000001</v>
      </c>
      <c r="HF33" s="2">
        <v>0.21</v>
      </c>
      <c r="HG33" s="2">
        <v>6</v>
      </c>
      <c r="HH33" s="2">
        <v>25.517894999999999</v>
      </c>
      <c r="HI33" s="2">
        <v>-80.424329</v>
      </c>
      <c r="HJ33" s="2">
        <v>0.23</v>
      </c>
      <c r="HK33" s="2">
        <v>25.521747999999999</v>
      </c>
      <c r="HL33" s="2">
        <v>-80.422560000000004</v>
      </c>
      <c r="HM33" s="2">
        <v>0.23</v>
      </c>
      <c r="HZ33" s="2" t="s">
        <v>406</v>
      </c>
      <c r="IA33" s="2">
        <v>0.15</v>
      </c>
      <c r="IB33" s="2">
        <v>4</v>
      </c>
      <c r="IC33" s="2" t="s">
        <v>3764</v>
      </c>
      <c r="ID33" s="2">
        <v>0.67</v>
      </c>
      <c r="IE33" s="2">
        <v>3</v>
      </c>
      <c r="IF33" s="2" t="s">
        <v>76</v>
      </c>
      <c r="IG33" s="2">
        <v>0.15</v>
      </c>
      <c r="IH33" s="2">
        <v>4</v>
      </c>
      <c r="IL33" s="2" t="s">
        <v>17</v>
      </c>
      <c r="IM33" s="2" t="s">
        <v>17</v>
      </c>
      <c r="IO33" s="2" t="s">
        <v>17</v>
      </c>
      <c r="IP33" s="2" t="s">
        <v>79</v>
      </c>
      <c r="IQ33" s="2" t="s">
        <v>79</v>
      </c>
      <c r="IR33" s="2">
        <v>6</v>
      </c>
      <c r="IS33" s="2">
        <v>11</v>
      </c>
      <c r="IT33" s="2">
        <v>0</v>
      </c>
      <c r="IU33" s="2">
        <v>17</v>
      </c>
      <c r="IV33" s="2" t="s">
        <v>9</v>
      </c>
      <c r="IW33" s="2" t="s">
        <v>9</v>
      </c>
      <c r="IX33" s="2" t="s">
        <v>9</v>
      </c>
      <c r="IY33" s="2">
        <v>17</v>
      </c>
      <c r="IZ33" s="2">
        <v>110</v>
      </c>
      <c r="JB33" s="2" t="s">
        <v>82</v>
      </c>
      <c r="JH33" s="7">
        <v>0</v>
      </c>
      <c r="JI33" s="2">
        <v>0</v>
      </c>
      <c r="JJ33" s="7">
        <v>0</v>
      </c>
      <c r="JK33" s="2">
        <v>0</v>
      </c>
      <c r="JL33" s="7">
        <v>0</v>
      </c>
      <c r="JN33" s="2">
        <v>17</v>
      </c>
      <c r="JQ33" s="2">
        <v>72</v>
      </c>
      <c r="JR33" s="2">
        <v>12</v>
      </c>
      <c r="JS33" s="2">
        <v>9</v>
      </c>
      <c r="JT33" s="2">
        <v>0</v>
      </c>
      <c r="JU33" s="2">
        <v>0</v>
      </c>
      <c r="JV33" s="2">
        <v>110</v>
      </c>
      <c r="JW33" s="4">
        <v>1</v>
      </c>
      <c r="JX33" s="2">
        <v>110</v>
      </c>
      <c r="JY33" s="4">
        <v>0.58091000000000004</v>
      </c>
      <c r="KE33" s="7">
        <v>0</v>
      </c>
      <c r="KF33" s="2">
        <v>0</v>
      </c>
      <c r="KH33" s="2">
        <v>110</v>
      </c>
      <c r="KQ33" s="2" t="s">
        <v>83</v>
      </c>
      <c r="KS33" s="2" t="s">
        <v>73</v>
      </c>
      <c r="KT33" s="2">
        <v>1</v>
      </c>
      <c r="KU33" s="2" t="s">
        <v>84</v>
      </c>
      <c r="KW33" s="2" t="s">
        <v>86</v>
      </c>
      <c r="KX33" s="2" t="s">
        <v>17</v>
      </c>
      <c r="KY33" s="2" t="s">
        <v>17</v>
      </c>
      <c r="KZ33" s="2" t="s">
        <v>17</v>
      </c>
      <c r="LA33" s="2" t="s">
        <v>17</v>
      </c>
      <c r="LB33" s="2" t="s">
        <v>17</v>
      </c>
      <c r="LC33" s="2" t="s">
        <v>17</v>
      </c>
      <c r="LD33" s="2" t="s">
        <v>17</v>
      </c>
      <c r="LE33" s="2" t="s">
        <v>17</v>
      </c>
      <c r="LF33" s="2" t="s">
        <v>17</v>
      </c>
      <c r="LG33" s="2" t="s">
        <v>17</v>
      </c>
      <c r="LH33" s="2" t="s">
        <v>17</v>
      </c>
      <c r="LI33" s="2" t="s">
        <v>17</v>
      </c>
      <c r="LJ33" s="2" t="s">
        <v>87</v>
      </c>
      <c r="LK33" s="2" t="s">
        <v>17</v>
      </c>
      <c r="LL33" s="2" t="s">
        <v>17</v>
      </c>
      <c r="LM33" s="2">
        <v>0</v>
      </c>
      <c r="LN33" s="2" t="s">
        <v>17</v>
      </c>
      <c r="LO33" s="2" t="s">
        <v>17</v>
      </c>
      <c r="LP33" s="2" t="s">
        <v>17</v>
      </c>
      <c r="LQ33" s="2" t="s">
        <v>17</v>
      </c>
      <c r="LR33" s="2" t="s">
        <v>17</v>
      </c>
      <c r="LS33" s="2" t="s">
        <v>17</v>
      </c>
      <c r="LT33" s="2" t="s">
        <v>17</v>
      </c>
      <c r="LU33" s="2" t="s">
        <v>17</v>
      </c>
      <c r="LV33" s="2" t="s">
        <v>9</v>
      </c>
      <c r="LW33" s="2" t="s">
        <v>9</v>
      </c>
      <c r="LX33" s="2" t="s">
        <v>9</v>
      </c>
      <c r="LY33" s="5">
        <v>6500000</v>
      </c>
      <c r="LZ33" s="5">
        <v>0</v>
      </c>
      <c r="MA33" s="5">
        <v>10450000</v>
      </c>
      <c r="MB33" s="5">
        <v>7350000</v>
      </c>
      <c r="MC33" s="5">
        <v>7350000</v>
      </c>
      <c r="MD33" s="5">
        <v>750000</v>
      </c>
      <c r="ME33" s="5">
        <v>750000</v>
      </c>
      <c r="MF33" s="5">
        <v>750000</v>
      </c>
      <c r="MG33" s="5">
        <v>10000000</v>
      </c>
      <c r="MH33" s="5">
        <v>0</v>
      </c>
      <c r="MI33" s="5">
        <v>10000000</v>
      </c>
      <c r="MJ33" s="5">
        <v>0</v>
      </c>
      <c r="MK33" s="5">
        <v>1100000</v>
      </c>
      <c r="ML33" s="5">
        <v>0</v>
      </c>
      <c r="MM33" s="5">
        <v>0</v>
      </c>
      <c r="MN33" s="2">
        <v>0</v>
      </c>
      <c r="MO33" s="5">
        <v>0</v>
      </c>
      <c r="MP33" s="5">
        <v>0</v>
      </c>
      <c r="MQ33" s="2">
        <v>0</v>
      </c>
      <c r="MR33" s="2">
        <v>0</v>
      </c>
      <c r="MS33" s="2">
        <v>0</v>
      </c>
      <c r="MT33" s="5">
        <v>2950000</v>
      </c>
      <c r="MU33" s="5">
        <v>0</v>
      </c>
      <c r="MV33" s="5">
        <v>4600000</v>
      </c>
      <c r="MW33" s="5">
        <v>0</v>
      </c>
      <c r="MY33" s="5">
        <v>0</v>
      </c>
      <c r="MZ33" s="5">
        <v>0</v>
      </c>
      <c r="NA33" s="5">
        <v>0</v>
      </c>
      <c r="NB33" s="5">
        <v>2500000</v>
      </c>
      <c r="NC33" s="5">
        <v>0</v>
      </c>
      <c r="ND33" s="5">
        <v>5000000</v>
      </c>
      <c r="NE33" s="5">
        <v>0</v>
      </c>
      <c r="NF33" s="5">
        <v>0</v>
      </c>
      <c r="NG33" s="5">
        <v>0</v>
      </c>
      <c r="NH33" s="5"/>
      <c r="NI33" s="5">
        <v>0</v>
      </c>
      <c r="NJ33" s="5">
        <v>1781123</v>
      </c>
      <c r="NK33" s="2" t="s">
        <v>17</v>
      </c>
      <c r="NL33" s="2" t="s">
        <v>4292</v>
      </c>
      <c r="NM33" s="2" t="s">
        <v>17</v>
      </c>
      <c r="NO33" s="2" t="s">
        <v>17</v>
      </c>
      <c r="NR33" s="2" t="s">
        <v>17</v>
      </c>
      <c r="NT33" s="2" t="s">
        <v>9</v>
      </c>
      <c r="NU33" s="2" t="s">
        <v>450</v>
      </c>
      <c r="NV33" s="2">
        <v>108.04</v>
      </c>
      <c r="NW33" s="2" t="s">
        <v>3342</v>
      </c>
      <c r="NX33" s="2" t="s">
        <v>118</v>
      </c>
      <c r="NY33" s="2" t="s">
        <v>118</v>
      </c>
      <c r="NZ33" s="2" t="s">
        <v>118</v>
      </c>
      <c r="OA33" s="2" t="s">
        <v>17</v>
      </c>
      <c r="OB33" s="2" t="s">
        <v>119</v>
      </c>
      <c r="OC33" s="5">
        <v>22000000</v>
      </c>
      <c r="OF33" s="2" t="s">
        <v>17</v>
      </c>
      <c r="OG33" s="2" t="s">
        <v>17</v>
      </c>
      <c r="OH33" s="2" t="s">
        <v>85</v>
      </c>
      <c r="OI33" s="6">
        <v>0</v>
      </c>
      <c r="OJ33" s="6">
        <v>220500</v>
      </c>
      <c r="OK33" s="2" t="s">
        <v>17</v>
      </c>
      <c r="OL33" s="2" t="s">
        <v>17</v>
      </c>
      <c r="OM33" s="6">
        <v>0</v>
      </c>
      <c r="ON33" s="6">
        <v>0</v>
      </c>
      <c r="OO33" s="6">
        <v>0</v>
      </c>
      <c r="OP33" s="6">
        <v>0</v>
      </c>
      <c r="OQ33" s="4">
        <v>0</v>
      </c>
      <c r="OR33" s="6">
        <v>0</v>
      </c>
      <c r="OS33" s="4">
        <v>0</v>
      </c>
      <c r="OT33" s="2" t="s">
        <v>17</v>
      </c>
      <c r="OU33" s="2" t="s">
        <v>17</v>
      </c>
      <c r="OW33" s="2" t="s">
        <v>17</v>
      </c>
      <c r="OX33" s="5">
        <v>6030014</v>
      </c>
      <c r="OY33" s="6">
        <v>54818.3</v>
      </c>
      <c r="PD33" s="8">
        <v>20714519</v>
      </c>
      <c r="PF33" s="8">
        <v>20714519</v>
      </c>
      <c r="PH33" s="8">
        <v>350000</v>
      </c>
      <c r="PI33" s="8">
        <v>350000</v>
      </c>
      <c r="PO33" s="8">
        <v>20714519</v>
      </c>
      <c r="PP33" s="8">
        <v>350000</v>
      </c>
      <c r="PQ33" s="8">
        <v>21064519</v>
      </c>
      <c r="PR33" s="8">
        <v>2949032</v>
      </c>
      <c r="PT33" s="8">
        <v>2949032</v>
      </c>
      <c r="PU33" s="6">
        <v>2949032</v>
      </c>
      <c r="PV33" s="8">
        <v>23663551</v>
      </c>
      <c r="PW33" s="8">
        <v>350000</v>
      </c>
      <c r="PX33" s="8">
        <v>24013551</v>
      </c>
      <c r="PY33" s="8">
        <v>1200677</v>
      </c>
      <c r="QA33" s="8">
        <v>1200677</v>
      </c>
      <c r="QB33" s="6">
        <v>1200677.55</v>
      </c>
      <c r="QC33" s="8">
        <v>2635338</v>
      </c>
      <c r="QE33" s="8">
        <v>2635338</v>
      </c>
      <c r="QF33" s="8">
        <v>378213</v>
      </c>
      <c r="QH33" s="8">
        <v>378213</v>
      </c>
      <c r="QI33" s="8">
        <v>521225</v>
      </c>
      <c r="QK33" s="8">
        <v>521225</v>
      </c>
      <c r="QM33" s="8">
        <v>147708</v>
      </c>
      <c r="QN33" s="8">
        <v>147708</v>
      </c>
      <c r="QU33" s="8">
        <v>3534776</v>
      </c>
      <c r="QV33" s="8">
        <v>147708</v>
      </c>
      <c r="QW33" s="8">
        <v>3682484</v>
      </c>
      <c r="QX33" s="8">
        <v>184124</v>
      </c>
      <c r="QZ33" s="8">
        <v>184124</v>
      </c>
      <c r="RA33" s="6">
        <v>184124.2</v>
      </c>
      <c r="RB33" s="8">
        <v>1428693</v>
      </c>
      <c r="RC33" s="8">
        <v>462178</v>
      </c>
      <c r="RD33" s="8">
        <v>1890871</v>
      </c>
      <c r="RE33" s="8">
        <v>396212</v>
      </c>
      <c r="RF33" s="8">
        <v>396212</v>
      </c>
      <c r="RH33" s="8">
        <v>205000</v>
      </c>
      <c r="RI33" s="8">
        <v>205000</v>
      </c>
      <c r="RJ33" s="8">
        <v>1428693</v>
      </c>
      <c r="RK33" s="8">
        <v>1063390</v>
      </c>
      <c r="RL33" s="8">
        <v>2492083</v>
      </c>
      <c r="RT33" s="8">
        <v>30011821</v>
      </c>
      <c r="RU33" s="8">
        <v>1561098</v>
      </c>
      <c r="RV33" s="8">
        <v>31572919</v>
      </c>
      <c r="RY33" s="2">
        <v>0</v>
      </c>
      <c r="RZ33" s="6">
        <v>0</v>
      </c>
      <c r="SA33" s="8">
        <v>5683125</v>
      </c>
      <c r="SC33" s="8">
        <v>5683125</v>
      </c>
      <c r="SD33" s="6">
        <v>5683125</v>
      </c>
      <c r="SE33" s="8">
        <v>5683125</v>
      </c>
      <c r="SF33" s="8">
        <v>5683125</v>
      </c>
      <c r="SG33" s="6">
        <v>5683125</v>
      </c>
      <c r="SH33" s="8">
        <v>385000</v>
      </c>
      <c r="SI33" s="8">
        <v>385000</v>
      </c>
      <c r="SJ33" s="6">
        <v>385000</v>
      </c>
      <c r="SK33" s="8">
        <v>3300000</v>
      </c>
      <c r="SL33" s="8">
        <v>3300000</v>
      </c>
      <c r="SM33" s="8">
        <v>35694946</v>
      </c>
      <c r="SN33" s="8">
        <v>5246098</v>
      </c>
      <c r="SO33" s="8">
        <v>40941044</v>
      </c>
      <c r="SP33" s="8">
        <v>22000000</v>
      </c>
      <c r="SQ33" s="2" t="s">
        <v>4295</v>
      </c>
      <c r="SX33" s="8">
        <v>8100000</v>
      </c>
      <c r="SY33" s="2" t="s">
        <v>96</v>
      </c>
      <c r="SZ33" s="2" t="s">
        <v>96</v>
      </c>
      <c r="TA33" s="2" t="s">
        <v>96</v>
      </c>
      <c r="TB33" s="8">
        <v>5921642</v>
      </c>
      <c r="TF33" s="8">
        <v>4919402</v>
      </c>
      <c r="TG33" s="8">
        <v>40941044</v>
      </c>
      <c r="TH33" s="2">
        <v>0</v>
      </c>
      <c r="TI33" s="8">
        <v>11467000</v>
      </c>
      <c r="TJ33" s="2" t="s">
        <v>4295</v>
      </c>
      <c r="TR33" s="8">
        <v>8100000</v>
      </c>
      <c r="TS33" s="8">
        <v>16918977</v>
      </c>
      <c r="TZ33" s="8">
        <v>4455067</v>
      </c>
      <c r="UA33" s="8">
        <v>40941044</v>
      </c>
      <c r="UB33" s="6">
        <v>19567000</v>
      </c>
      <c r="UC33" s="2">
        <v>0</v>
      </c>
      <c r="UD33" s="2">
        <v>110</v>
      </c>
      <c r="UE33" s="5">
        <v>310000</v>
      </c>
      <c r="UF33" s="6">
        <v>413333.33</v>
      </c>
      <c r="UG33" s="6">
        <v>420833.33</v>
      </c>
      <c r="UH33" s="6">
        <v>446083.33</v>
      </c>
      <c r="UI33" s="6">
        <v>49069166.670000002</v>
      </c>
      <c r="UJ33" s="6">
        <v>8832450</v>
      </c>
      <c r="UK33" s="2" t="s">
        <v>97</v>
      </c>
      <c r="UL33" s="6">
        <v>8832450</v>
      </c>
      <c r="UM33" s="6">
        <v>57901616.670000002</v>
      </c>
      <c r="UN33" s="6">
        <v>37256044</v>
      </c>
      <c r="UT33" s="6">
        <v>1459931.94</v>
      </c>
      <c r="UW33" s="6">
        <v>1459931.94</v>
      </c>
      <c r="UX33" s="6">
        <v>0</v>
      </c>
      <c r="UY33" s="6">
        <v>0</v>
      </c>
      <c r="UZ33" s="2" t="s">
        <v>3387</v>
      </c>
      <c r="VA33" s="2" t="s">
        <v>3288</v>
      </c>
      <c r="VB33" s="2" t="s">
        <v>17</v>
      </c>
      <c r="VI33" s="388" t="s">
        <v>646</v>
      </c>
      <c r="VJ33" s="2" t="s">
        <v>98</v>
      </c>
      <c r="VK33" s="2" t="s">
        <v>185</v>
      </c>
      <c r="VL33" s="23">
        <f t="shared" si="0"/>
        <v>110</v>
      </c>
      <c r="VM33" s="17">
        <f t="shared" si="1"/>
        <v>1</v>
      </c>
      <c r="VN33" s="17" t="str">
        <f t="shared" si="2"/>
        <v>NC-HR-E</v>
      </c>
      <c r="VO33" s="17" t="str">
        <f t="shared" si="15"/>
        <v>NC-HR-E-ESS</v>
      </c>
      <c r="VP33" s="57">
        <v>1</v>
      </c>
      <c r="VQ33" s="17">
        <f t="shared" si="3"/>
        <v>1.1100000000000001</v>
      </c>
      <c r="VR33" s="14">
        <f t="shared" si="4"/>
        <v>1</v>
      </c>
      <c r="VS33" s="14">
        <f t="shared" si="5"/>
        <v>1</v>
      </c>
      <c r="VT33" s="12">
        <f t="shared" si="6"/>
        <v>0.83520000000000005</v>
      </c>
      <c r="VU33" s="29">
        <f t="shared" si="7"/>
        <v>6813979.2000000011</v>
      </c>
      <c r="VV33" s="29">
        <f t="shared" si="8"/>
        <v>61945.27</v>
      </c>
      <c r="VW33" s="351" t="str">
        <f t="shared" si="16"/>
        <v>A</v>
      </c>
      <c r="VX33" s="12" t="str">
        <f t="shared" si="9"/>
        <v>NC-HR-ESS</v>
      </c>
      <c r="VY33" s="23">
        <f t="shared" si="17"/>
        <v>4</v>
      </c>
      <c r="WA33" s="12">
        <f t="shared" si="18"/>
        <v>1</v>
      </c>
      <c r="WB33" s="12">
        <f t="shared" si="19"/>
        <v>1</v>
      </c>
      <c r="WC33" s="12">
        <f t="shared" si="19"/>
        <v>0</v>
      </c>
      <c r="WD33" s="12">
        <f t="shared" si="19"/>
        <v>0</v>
      </c>
      <c r="WE33" s="12">
        <f t="shared" si="20"/>
        <v>1</v>
      </c>
      <c r="WF33" s="12">
        <f t="shared" si="10"/>
        <v>0</v>
      </c>
      <c r="WG33" s="12">
        <f t="shared" si="11"/>
        <v>0</v>
      </c>
      <c r="WH33" s="12">
        <f t="shared" si="12"/>
        <v>1</v>
      </c>
      <c r="WI33" s="31">
        <f t="shared" si="13"/>
        <v>4</v>
      </c>
      <c r="WK33" s="444" t="str">
        <f t="shared" si="21"/>
        <v>NC-HR-ESS-BBY-BRN-NPH-E</v>
      </c>
      <c r="WL33" s="444"/>
      <c r="WM33" s="444"/>
    </row>
    <row r="34" spans="1:611" x14ac:dyDescent="0.25">
      <c r="A34" s="2">
        <v>9269</v>
      </c>
      <c r="B34" s="2" t="s">
        <v>4631</v>
      </c>
      <c r="C34" s="2" t="s">
        <v>4205</v>
      </c>
      <c r="D34" s="3">
        <v>45128</v>
      </c>
      <c r="E34" s="2" t="s">
        <v>9</v>
      </c>
      <c r="F34" s="2">
        <v>1</v>
      </c>
      <c r="G34" s="2" t="s">
        <v>9</v>
      </c>
      <c r="H34" s="2">
        <v>1</v>
      </c>
      <c r="I34" s="2" t="s">
        <v>11</v>
      </c>
      <c r="J34" s="2">
        <v>0</v>
      </c>
      <c r="K34" s="2" t="s">
        <v>9</v>
      </c>
      <c r="L34" s="2">
        <v>1</v>
      </c>
      <c r="M34" s="2" t="s">
        <v>10</v>
      </c>
      <c r="N34" s="2">
        <v>0</v>
      </c>
      <c r="O34" s="2" t="s">
        <v>10</v>
      </c>
      <c r="P34" s="2">
        <v>0</v>
      </c>
      <c r="Q34" s="2" t="s">
        <v>11</v>
      </c>
      <c r="R34" s="2">
        <v>0</v>
      </c>
      <c r="S34" s="2" t="s">
        <v>9</v>
      </c>
      <c r="T34" s="2">
        <v>2</v>
      </c>
      <c r="U34" s="2" t="s">
        <v>9</v>
      </c>
      <c r="V34" s="2">
        <v>2</v>
      </c>
      <c r="W34" s="2" t="s">
        <v>9</v>
      </c>
      <c r="X34" s="2">
        <v>2</v>
      </c>
      <c r="Y34" s="2" t="s">
        <v>12</v>
      </c>
      <c r="Z34" s="2" t="s">
        <v>771</v>
      </c>
      <c r="AA34" s="2" t="s">
        <v>1262</v>
      </c>
      <c r="AB34" s="2" t="s">
        <v>15</v>
      </c>
      <c r="AC34" s="2" t="s">
        <v>15</v>
      </c>
      <c r="AD34" s="2" t="s">
        <v>15</v>
      </c>
      <c r="AE34" s="2" t="s">
        <v>15</v>
      </c>
      <c r="AF34" s="2">
        <v>2</v>
      </c>
      <c r="AG34" s="2" t="s">
        <v>4632</v>
      </c>
      <c r="AH34" s="2" t="s">
        <v>17</v>
      </c>
      <c r="AI34" s="4">
        <v>0.25</v>
      </c>
      <c r="AJ34" s="2" t="s">
        <v>17</v>
      </c>
      <c r="AK34" s="2" t="s">
        <v>9</v>
      </c>
      <c r="AL34" s="2" t="s">
        <v>17</v>
      </c>
      <c r="AM34" s="2" t="s">
        <v>17</v>
      </c>
      <c r="AN34" s="2" t="s">
        <v>17</v>
      </c>
      <c r="AO34" s="2" t="s">
        <v>17</v>
      </c>
      <c r="AP34" s="2" t="s">
        <v>17</v>
      </c>
      <c r="AQ34" s="2" t="s">
        <v>17</v>
      </c>
      <c r="AR34" s="2" t="s">
        <v>17</v>
      </c>
      <c r="AS34" s="2" t="s">
        <v>9</v>
      </c>
      <c r="AT34" s="2">
        <v>5</v>
      </c>
      <c r="AU34" s="5">
        <v>50000</v>
      </c>
      <c r="AV34" s="5">
        <v>460000</v>
      </c>
      <c r="AW34" s="2">
        <v>0</v>
      </c>
      <c r="AX34" s="2">
        <v>5</v>
      </c>
      <c r="AY34" s="2">
        <v>0</v>
      </c>
      <c r="AZ34" s="2">
        <v>17</v>
      </c>
      <c r="BA34" s="2">
        <v>0</v>
      </c>
      <c r="BB34" s="2">
        <v>1</v>
      </c>
      <c r="BC34" s="2">
        <v>0</v>
      </c>
      <c r="BD34" s="2">
        <v>0</v>
      </c>
      <c r="BE34" s="2">
        <v>1</v>
      </c>
      <c r="BF34" s="2">
        <v>1</v>
      </c>
      <c r="BG34" s="2">
        <v>0</v>
      </c>
      <c r="BH34" s="2">
        <v>0</v>
      </c>
      <c r="BI34" s="2">
        <v>13</v>
      </c>
      <c r="BJ34" s="2">
        <v>1</v>
      </c>
      <c r="BK34" s="2">
        <v>0</v>
      </c>
      <c r="BL34" s="2">
        <v>3</v>
      </c>
      <c r="BM34" s="2">
        <v>1</v>
      </c>
      <c r="BN34" s="2">
        <v>10</v>
      </c>
      <c r="BO34" s="2">
        <v>10</v>
      </c>
      <c r="BP34" s="2">
        <v>36.700000000000003</v>
      </c>
      <c r="BQ34" s="5">
        <v>8440500</v>
      </c>
      <c r="BR34" s="2">
        <v>1</v>
      </c>
      <c r="BS34" s="4">
        <v>0.06</v>
      </c>
      <c r="BT34" s="2" t="s">
        <v>9</v>
      </c>
      <c r="BU34" s="2" t="s">
        <v>17</v>
      </c>
      <c r="BV34" s="6">
        <v>59704.84</v>
      </c>
      <c r="BW34" s="2" t="s">
        <v>18</v>
      </c>
      <c r="BX34" s="2" t="s">
        <v>17</v>
      </c>
      <c r="BY34" s="2" t="s">
        <v>17</v>
      </c>
      <c r="BZ34" s="2" t="s">
        <v>17</v>
      </c>
      <c r="CA34" s="2" t="s">
        <v>17</v>
      </c>
      <c r="CB34" s="2" t="s">
        <v>17</v>
      </c>
      <c r="CC34" s="2" t="s">
        <v>17</v>
      </c>
      <c r="CD34" s="2" t="s">
        <v>17</v>
      </c>
      <c r="CE34" s="2" t="s">
        <v>4633</v>
      </c>
      <c r="CF34" s="2" t="s">
        <v>17</v>
      </c>
      <c r="CG34" s="2" t="s">
        <v>17</v>
      </c>
      <c r="DA34" s="2" t="s">
        <v>4634</v>
      </c>
      <c r="DB34" s="2" t="s">
        <v>1214</v>
      </c>
      <c r="DD34" s="2" t="s">
        <v>9</v>
      </c>
      <c r="DE34" s="2" t="s">
        <v>1523</v>
      </c>
      <c r="DF34" s="2" t="s">
        <v>4634</v>
      </c>
      <c r="DG34" s="2" t="s">
        <v>1276</v>
      </c>
      <c r="DH34" s="2" t="s">
        <v>1277</v>
      </c>
      <c r="DI34" s="2">
        <v>144</v>
      </c>
      <c r="DJ34" s="2" t="s">
        <v>795</v>
      </c>
      <c r="DK34" s="2">
        <v>2020</v>
      </c>
      <c r="DL34" s="2" t="s">
        <v>4209</v>
      </c>
      <c r="DM34" s="2" t="s">
        <v>4210</v>
      </c>
      <c r="DN34" s="2" t="s">
        <v>33</v>
      </c>
      <c r="DO34" s="2" t="s">
        <v>4110</v>
      </c>
      <c r="DQ34" s="2" t="s">
        <v>1283</v>
      </c>
      <c r="DR34" s="2" t="s">
        <v>1284</v>
      </c>
      <c r="DS34" s="2">
        <v>1</v>
      </c>
      <c r="DT34" s="2" t="s">
        <v>2899</v>
      </c>
      <c r="DU34" s="2" t="s">
        <v>1286</v>
      </c>
      <c r="DV34" s="2" t="s">
        <v>39</v>
      </c>
      <c r="DW34" s="2">
        <v>33511</v>
      </c>
      <c r="DX34" s="2" t="s">
        <v>2900</v>
      </c>
      <c r="DZ34" s="2" t="s">
        <v>2901</v>
      </c>
      <c r="EA34" s="2" t="s">
        <v>1284</v>
      </c>
      <c r="EB34" s="2" t="s">
        <v>2747</v>
      </c>
      <c r="EC34" s="2" t="s">
        <v>947</v>
      </c>
      <c r="ED34" s="2" t="s">
        <v>44</v>
      </c>
      <c r="EE34" s="2">
        <v>192</v>
      </c>
      <c r="EF34" s="2" t="s">
        <v>810</v>
      </c>
      <c r="EG34" s="2">
        <v>7</v>
      </c>
      <c r="EH34" s="2" t="s">
        <v>46</v>
      </c>
      <c r="EI34" s="2" t="s">
        <v>47</v>
      </c>
      <c r="EJ34" s="2" t="s">
        <v>4635</v>
      </c>
      <c r="EK34" s="2" t="s">
        <v>947</v>
      </c>
      <c r="EL34" s="2" t="s">
        <v>44</v>
      </c>
      <c r="EM34" s="2">
        <v>168</v>
      </c>
      <c r="EN34" s="2" t="s">
        <v>810</v>
      </c>
      <c r="EO34" s="2">
        <v>4</v>
      </c>
      <c r="EP34" s="2" t="s">
        <v>46</v>
      </c>
      <c r="EQ34" s="2" t="s">
        <v>47</v>
      </c>
      <c r="ER34" s="2" t="s">
        <v>1293</v>
      </c>
      <c r="ES34" s="2" t="s">
        <v>3808</v>
      </c>
      <c r="ET34" s="2" t="s">
        <v>1294</v>
      </c>
      <c r="EU34" s="2" t="s">
        <v>4636</v>
      </c>
      <c r="EV34" s="2" t="s">
        <v>4114</v>
      </c>
      <c r="EW34" s="2" t="s">
        <v>1297</v>
      </c>
      <c r="EX34" s="2" t="s">
        <v>39</v>
      </c>
      <c r="EY34" s="2">
        <v>33444</v>
      </c>
      <c r="EZ34" s="2" t="s">
        <v>2760</v>
      </c>
      <c r="FB34" s="2" t="s">
        <v>1299</v>
      </c>
      <c r="FC34" s="2" t="s">
        <v>399</v>
      </c>
      <c r="FD34" s="2" t="s">
        <v>4637</v>
      </c>
      <c r="FE34" s="2" t="s">
        <v>1802</v>
      </c>
      <c r="FF34" s="2" t="s">
        <v>2762</v>
      </c>
      <c r="FG34" s="2" t="s">
        <v>4638</v>
      </c>
      <c r="FH34" s="2" t="s">
        <v>1297</v>
      </c>
      <c r="FI34" s="2" t="s">
        <v>39</v>
      </c>
      <c r="FJ34" s="2">
        <v>33483</v>
      </c>
      <c r="FK34" s="2" t="s">
        <v>4639</v>
      </c>
      <c r="FM34" s="2" t="s">
        <v>1541</v>
      </c>
      <c r="FN34" s="2" t="s">
        <v>4640</v>
      </c>
      <c r="FO34" s="2" t="s">
        <v>63</v>
      </c>
      <c r="FP34" s="2" t="s">
        <v>64</v>
      </c>
      <c r="FQ34" s="2" t="s">
        <v>9</v>
      </c>
      <c r="FR34" s="2" t="s">
        <v>17</v>
      </c>
      <c r="FS34" s="2" t="s">
        <v>17</v>
      </c>
      <c r="FT34" s="2" t="s">
        <v>9</v>
      </c>
      <c r="FX34" s="2">
        <v>0</v>
      </c>
      <c r="FY34" s="2">
        <v>0</v>
      </c>
      <c r="FZ34" s="4">
        <v>0</v>
      </c>
      <c r="GA34" s="4">
        <v>0</v>
      </c>
      <c r="GB34" s="2" t="s">
        <v>65</v>
      </c>
      <c r="GC34" s="2" t="s">
        <v>66</v>
      </c>
      <c r="GD34" s="2" t="s">
        <v>67</v>
      </c>
      <c r="GE34" s="2" t="s">
        <v>68</v>
      </c>
      <c r="GF34" s="2">
        <v>96</v>
      </c>
      <c r="GG34" s="2">
        <v>96</v>
      </c>
      <c r="GQ34" s="2">
        <v>96</v>
      </c>
      <c r="GR34" s="2" t="s">
        <v>1197</v>
      </c>
      <c r="GS34" s="2" t="s">
        <v>70</v>
      </c>
      <c r="GT34" s="2" t="s">
        <v>4641</v>
      </c>
      <c r="GU34" s="2" t="s">
        <v>4642</v>
      </c>
      <c r="GV34" s="2" t="s">
        <v>17</v>
      </c>
      <c r="GW34" s="2">
        <v>26.671408</v>
      </c>
      <c r="GX34" s="2">
        <v>-81.913447000000005</v>
      </c>
      <c r="GZ34" s="2" t="s">
        <v>9</v>
      </c>
      <c r="HA34" s="2">
        <v>3</v>
      </c>
      <c r="HB34" s="2" t="s">
        <v>17</v>
      </c>
      <c r="HC34" s="2">
        <v>0</v>
      </c>
      <c r="HD34" s="2">
        <v>26.6675</v>
      </c>
      <c r="HE34" s="2">
        <v>-81.911974999999998</v>
      </c>
      <c r="HF34" s="2">
        <v>0.28999999999999998</v>
      </c>
      <c r="HG34" s="2">
        <v>4</v>
      </c>
      <c r="HH34" s="2">
        <v>26.667283000000001</v>
      </c>
      <c r="HI34" s="2">
        <v>-81.911991999999998</v>
      </c>
      <c r="HJ34" s="2">
        <v>0.3</v>
      </c>
      <c r="HZ34" s="2" t="s">
        <v>595</v>
      </c>
      <c r="IA34" s="2">
        <v>0.94</v>
      </c>
      <c r="IB34" s="2">
        <v>2.5</v>
      </c>
      <c r="IF34" s="2" t="s">
        <v>76</v>
      </c>
      <c r="IG34" s="2">
        <v>0.94</v>
      </c>
      <c r="IH34" s="2">
        <v>2.5</v>
      </c>
      <c r="II34" s="2" t="s">
        <v>4643</v>
      </c>
      <c r="IJ34" s="2">
        <v>0.54</v>
      </c>
      <c r="IK34" s="2">
        <v>3.5</v>
      </c>
      <c r="IL34" s="2" t="s">
        <v>17</v>
      </c>
      <c r="IM34" s="2" t="s">
        <v>17</v>
      </c>
      <c r="IO34" s="2" t="s">
        <v>17</v>
      </c>
      <c r="IP34" s="2" t="s">
        <v>79</v>
      </c>
      <c r="IQ34" s="2" t="s">
        <v>79</v>
      </c>
      <c r="IR34" s="2">
        <v>4</v>
      </c>
      <c r="IS34" s="2">
        <v>8.5</v>
      </c>
      <c r="IT34" s="2">
        <v>3</v>
      </c>
      <c r="IU34" s="2">
        <v>15.5</v>
      </c>
      <c r="IV34" s="2" t="s">
        <v>80</v>
      </c>
      <c r="IW34" s="2" t="s">
        <v>9</v>
      </c>
      <c r="IX34" s="2" t="s">
        <v>9</v>
      </c>
      <c r="IY34" s="2">
        <v>12.5</v>
      </c>
      <c r="IZ34" s="2">
        <v>96</v>
      </c>
      <c r="JB34" s="2" t="s">
        <v>82</v>
      </c>
      <c r="JH34" s="7">
        <v>0</v>
      </c>
      <c r="JI34" s="2">
        <v>0</v>
      </c>
      <c r="JJ34" s="7">
        <v>0</v>
      </c>
      <c r="JK34" s="2">
        <v>0</v>
      </c>
      <c r="JL34" s="7">
        <v>0</v>
      </c>
      <c r="JN34" s="2">
        <v>24</v>
      </c>
      <c r="JQ34" s="2">
        <v>24</v>
      </c>
      <c r="JR34" s="2">
        <v>24</v>
      </c>
      <c r="JS34" s="2">
        <v>24</v>
      </c>
      <c r="JT34" s="2">
        <v>0</v>
      </c>
      <c r="JU34" s="2">
        <v>0</v>
      </c>
      <c r="JV34" s="2">
        <v>96</v>
      </c>
      <c r="JW34" s="4">
        <v>1</v>
      </c>
      <c r="JX34" s="2">
        <v>96</v>
      </c>
      <c r="JY34" s="4">
        <v>0.6</v>
      </c>
      <c r="KE34" s="7">
        <v>0</v>
      </c>
      <c r="KF34" s="2">
        <v>0</v>
      </c>
      <c r="KH34" s="2">
        <v>12</v>
      </c>
      <c r="KI34" s="2">
        <v>36</v>
      </c>
      <c r="KL34" s="2">
        <v>48</v>
      </c>
      <c r="KQ34" s="2" t="s">
        <v>83</v>
      </c>
      <c r="KR34" s="2" t="s">
        <v>73</v>
      </c>
      <c r="KT34" s="2">
        <v>4</v>
      </c>
      <c r="KU34" s="2" t="s">
        <v>84</v>
      </c>
      <c r="KW34" s="2" t="s">
        <v>86</v>
      </c>
      <c r="KX34" s="2" t="s">
        <v>17</v>
      </c>
      <c r="KY34" s="2" t="s">
        <v>17</v>
      </c>
      <c r="KZ34" s="2" t="s">
        <v>17</v>
      </c>
      <c r="LA34" s="2" t="s">
        <v>17</v>
      </c>
      <c r="LB34" s="2" t="s">
        <v>17</v>
      </c>
      <c r="LC34" s="2" t="s">
        <v>17</v>
      </c>
      <c r="LD34" s="2" t="s">
        <v>17</v>
      </c>
      <c r="LE34" s="2" t="s">
        <v>17</v>
      </c>
      <c r="LF34" s="2" t="s">
        <v>17</v>
      </c>
      <c r="LG34" s="2" t="s">
        <v>17</v>
      </c>
      <c r="LH34" s="2" t="s">
        <v>17</v>
      </c>
      <c r="LI34" s="2" t="s">
        <v>17</v>
      </c>
      <c r="LJ34" s="2" t="s">
        <v>87</v>
      </c>
      <c r="LK34" s="2" t="s">
        <v>17</v>
      </c>
      <c r="LL34" s="2" t="s">
        <v>17</v>
      </c>
      <c r="LM34" s="2">
        <v>0</v>
      </c>
      <c r="LN34" s="2" t="s">
        <v>17</v>
      </c>
      <c r="LO34" s="2" t="s">
        <v>9</v>
      </c>
      <c r="LP34" s="2" t="s">
        <v>9</v>
      </c>
      <c r="LQ34" s="2" t="s">
        <v>17</v>
      </c>
      <c r="LR34" s="2" t="s">
        <v>9</v>
      </c>
      <c r="LS34" s="2" t="s">
        <v>17</v>
      </c>
      <c r="LT34" s="2" t="s">
        <v>17</v>
      </c>
      <c r="LU34" s="2" t="s">
        <v>17</v>
      </c>
      <c r="LV34" s="2" t="s">
        <v>17</v>
      </c>
      <c r="LW34" s="2" t="s">
        <v>17</v>
      </c>
      <c r="LX34" s="2" t="s">
        <v>17</v>
      </c>
      <c r="LY34" s="5">
        <v>6500000</v>
      </c>
      <c r="LZ34" s="5">
        <v>0</v>
      </c>
      <c r="MA34" s="5">
        <v>9120000</v>
      </c>
      <c r="MB34" s="5">
        <v>7700000</v>
      </c>
      <c r="MC34" s="5">
        <v>7700000</v>
      </c>
      <c r="MD34" s="5">
        <v>740500</v>
      </c>
      <c r="ME34" s="5">
        <v>740500</v>
      </c>
      <c r="MF34" s="5">
        <v>740500</v>
      </c>
      <c r="MG34" s="5">
        <v>10000000</v>
      </c>
      <c r="MH34" s="5">
        <v>0</v>
      </c>
      <c r="MI34" s="5">
        <v>10000000</v>
      </c>
      <c r="MJ34" s="5">
        <v>0</v>
      </c>
      <c r="MK34" s="5">
        <v>740500</v>
      </c>
      <c r="ML34" s="5">
        <v>0</v>
      </c>
      <c r="MM34" s="5">
        <v>0</v>
      </c>
      <c r="MN34" s="2">
        <v>0</v>
      </c>
      <c r="MO34" s="5">
        <v>0</v>
      </c>
      <c r="MP34" s="5">
        <v>0</v>
      </c>
      <c r="MQ34" s="2">
        <v>0</v>
      </c>
      <c r="MR34" s="2">
        <v>0</v>
      </c>
      <c r="MS34" s="2">
        <v>0</v>
      </c>
      <c r="MT34" s="5">
        <v>2950000</v>
      </c>
      <c r="MU34" s="5">
        <v>0</v>
      </c>
      <c r="MV34" s="5">
        <v>4600000</v>
      </c>
      <c r="MW34" s="5">
        <v>0</v>
      </c>
      <c r="MY34" s="5">
        <v>0</v>
      </c>
      <c r="MZ34" s="5">
        <v>0</v>
      </c>
      <c r="NA34" s="5">
        <v>0</v>
      </c>
      <c r="NB34" s="5">
        <v>2500000</v>
      </c>
      <c r="NC34" s="5">
        <v>0</v>
      </c>
      <c r="ND34" s="5">
        <v>5000000</v>
      </c>
      <c r="NE34" s="5">
        <v>0</v>
      </c>
      <c r="NF34" s="5">
        <v>0</v>
      </c>
      <c r="NG34" s="5">
        <v>0</v>
      </c>
      <c r="NH34" s="5"/>
      <c r="NI34" s="5">
        <v>0</v>
      </c>
      <c r="NJ34" s="5">
        <v>1291111</v>
      </c>
      <c r="NK34" s="2" t="s">
        <v>17</v>
      </c>
      <c r="NL34" s="2">
        <v>2023</v>
      </c>
      <c r="NM34" s="2" t="s">
        <v>17</v>
      </c>
      <c r="NO34" s="2" t="s">
        <v>17</v>
      </c>
      <c r="NR34" s="2" t="s">
        <v>17</v>
      </c>
      <c r="NT34" s="2" t="s">
        <v>17</v>
      </c>
      <c r="NX34" s="2" t="s">
        <v>118</v>
      </c>
      <c r="NY34" s="2" t="s">
        <v>118</v>
      </c>
      <c r="NZ34" s="2" t="s">
        <v>118</v>
      </c>
      <c r="OA34" s="2" t="s">
        <v>17</v>
      </c>
      <c r="OF34" s="2" t="s">
        <v>17</v>
      </c>
      <c r="OG34" s="2" t="s">
        <v>17</v>
      </c>
      <c r="OH34" s="2" t="s">
        <v>85</v>
      </c>
      <c r="OI34" s="6">
        <v>0</v>
      </c>
      <c r="OJ34" s="6">
        <v>231000</v>
      </c>
      <c r="OK34" s="2" t="s">
        <v>17</v>
      </c>
      <c r="OL34" s="2" t="s">
        <v>17</v>
      </c>
      <c r="OM34" s="6">
        <v>0</v>
      </c>
      <c r="ON34" s="6">
        <v>0</v>
      </c>
      <c r="OO34" s="6">
        <v>0</v>
      </c>
      <c r="OP34" s="6">
        <v>0</v>
      </c>
      <c r="OQ34" s="4">
        <v>0</v>
      </c>
      <c r="OR34" s="6">
        <v>0</v>
      </c>
      <c r="OS34" s="4">
        <v>0</v>
      </c>
      <c r="OT34" s="2" t="s">
        <v>9</v>
      </c>
      <c r="OU34" s="2" t="s">
        <v>9</v>
      </c>
      <c r="OV34" s="2" t="s">
        <v>4644</v>
      </c>
      <c r="OW34" s="2" t="s">
        <v>17</v>
      </c>
      <c r="OX34" s="5">
        <v>5731664</v>
      </c>
      <c r="OY34" s="6">
        <v>59704.84</v>
      </c>
      <c r="OZ34" s="8">
        <v>540000</v>
      </c>
      <c r="PA34" s="8">
        <v>540000</v>
      </c>
      <c r="PD34" s="8">
        <v>18828421</v>
      </c>
      <c r="PE34" s="2">
        <v>0</v>
      </c>
      <c r="PF34" s="8">
        <v>18828421</v>
      </c>
      <c r="PO34" s="8">
        <v>18828421</v>
      </c>
      <c r="PP34" s="8">
        <v>540000</v>
      </c>
      <c r="PQ34" s="8">
        <v>19368421</v>
      </c>
      <c r="PR34" s="8">
        <v>2711578</v>
      </c>
      <c r="PS34" s="2">
        <v>0</v>
      </c>
      <c r="PT34" s="8">
        <v>2711578</v>
      </c>
      <c r="PU34" s="6">
        <v>2711578</v>
      </c>
      <c r="PV34" s="8">
        <v>21539999</v>
      </c>
      <c r="PW34" s="8">
        <v>540000</v>
      </c>
      <c r="PX34" s="8">
        <v>22079999</v>
      </c>
      <c r="PY34" s="8">
        <v>1103999</v>
      </c>
      <c r="PZ34" s="2">
        <v>0</v>
      </c>
      <c r="QA34" s="8">
        <v>1103999</v>
      </c>
      <c r="QB34" s="6">
        <v>1103999.95</v>
      </c>
      <c r="QC34" s="8">
        <v>1312500</v>
      </c>
      <c r="QD34" s="8">
        <v>422000</v>
      </c>
      <c r="QE34" s="8">
        <v>1734500</v>
      </c>
      <c r="QF34" s="8">
        <v>276000</v>
      </c>
      <c r="QG34" s="8">
        <v>274059</v>
      </c>
      <c r="QH34" s="8">
        <v>550059</v>
      </c>
      <c r="QI34" s="8">
        <v>728571</v>
      </c>
      <c r="QK34" s="8">
        <v>728571</v>
      </c>
      <c r="QM34" s="8">
        <v>362743</v>
      </c>
      <c r="QN34" s="8">
        <v>362743</v>
      </c>
      <c r="QP34" s="8">
        <v>250000</v>
      </c>
      <c r="QQ34" s="8">
        <v>250000</v>
      </c>
      <c r="QR34" s="8">
        <v>493750</v>
      </c>
      <c r="QS34" s="8">
        <v>115000</v>
      </c>
      <c r="QT34" s="8">
        <v>608750</v>
      </c>
      <c r="QU34" s="8">
        <v>2810821</v>
      </c>
      <c r="QV34" s="8">
        <v>1423802</v>
      </c>
      <c r="QW34" s="8">
        <v>4234623</v>
      </c>
      <c r="QX34" s="8">
        <v>144791</v>
      </c>
      <c r="QZ34" s="8">
        <v>144791</v>
      </c>
      <c r="RA34" s="6">
        <v>211731.15</v>
      </c>
      <c r="RB34" s="8">
        <v>309405</v>
      </c>
      <c r="RD34" s="8">
        <v>309405</v>
      </c>
      <c r="RE34" s="8">
        <v>141583</v>
      </c>
      <c r="RF34" s="8">
        <v>141583</v>
      </c>
      <c r="RG34" s="8">
        <v>1098653</v>
      </c>
      <c r="RH34" s="8">
        <v>908241</v>
      </c>
      <c r="RI34" s="8">
        <v>2006894</v>
      </c>
      <c r="RJ34" s="8">
        <v>1408058</v>
      </c>
      <c r="RK34" s="8">
        <v>1049824</v>
      </c>
      <c r="RL34" s="8">
        <v>2457882</v>
      </c>
      <c r="RT34" s="8">
        <v>27007668</v>
      </c>
      <c r="RU34" s="8">
        <v>3013626</v>
      </c>
      <c r="RV34" s="8">
        <v>30021294</v>
      </c>
      <c r="RY34" s="2">
        <v>0</v>
      </c>
      <c r="RZ34" s="6">
        <v>0</v>
      </c>
      <c r="SA34" s="8">
        <v>5403832</v>
      </c>
      <c r="SC34" s="8">
        <v>5403832</v>
      </c>
      <c r="SD34" s="6">
        <v>5403832</v>
      </c>
      <c r="SE34" s="8">
        <v>5403832</v>
      </c>
      <c r="SF34" s="8">
        <v>5403832</v>
      </c>
      <c r="SG34" s="6">
        <v>5403832</v>
      </c>
      <c r="SH34" s="8">
        <v>336000</v>
      </c>
      <c r="SI34" s="8">
        <v>336000</v>
      </c>
      <c r="SJ34" s="6">
        <v>336000</v>
      </c>
      <c r="SK34" s="8">
        <v>960000</v>
      </c>
      <c r="SL34" s="8">
        <v>960000</v>
      </c>
      <c r="SM34" s="8">
        <v>32411500</v>
      </c>
      <c r="SN34" s="8">
        <v>4309626</v>
      </c>
      <c r="SO34" s="8">
        <v>36721126</v>
      </c>
      <c r="SP34" s="8">
        <v>22500000</v>
      </c>
      <c r="SQ34" s="2" t="s">
        <v>4220</v>
      </c>
      <c r="SR34" s="8">
        <v>960000</v>
      </c>
      <c r="SS34" s="2" t="s">
        <v>1316</v>
      </c>
      <c r="SX34" s="8">
        <v>8440500</v>
      </c>
      <c r="SY34" s="2" t="s">
        <v>96</v>
      </c>
      <c r="SZ34" s="2" t="s">
        <v>96</v>
      </c>
      <c r="TA34" s="2" t="s">
        <v>96</v>
      </c>
      <c r="TB34" s="8">
        <v>2427046</v>
      </c>
      <c r="TF34" s="8">
        <v>2393580</v>
      </c>
      <c r="TG34" s="8">
        <v>36721126</v>
      </c>
      <c r="TH34" s="2">
        <v>0</v>
      </c>
      <c r="TI34" s="8">
        <v>10891000</v>
      </c>
      <c r="TJ34" s="2" t="s">
        <v>4220</v>
      </c>
      <c r="TK34" s="8">
        <v>960000</v>
      </c>
      <c r="TL34" s="2" t="s">
        <v>1316</v>
      </c>
      <c r="TR34" s="8">
        <v>8440500</v>
      </c>
      <c r="TS34" s="8">
        <v>12135227</v>
      </c>
      <c r="TZ34" s="8">
        <v>4294399</v>
      </c>
      <c r="UA34" s="8">
        <v>36721126</v>
      </c>
      <c r="UB34" s="6">
        <v>20291500</v>
      </c>
      <c r="UC34" s="2">
        <v>0</v>
      </c>
      <c r="UD34" s="2">
        <v>96</v>
      </c>
      <c r="UE34" s="5">
        <v>240000</v>
      </c>
      <c r="UF34" s="6">
        <v>320000</v>
      </c>
      <c r="UG34" s="6">
        <v>335000</v>
      </c>
      <c r="UH34" s="6">
        <v>355100</v>
      </c>
      <c r="UI34" s="6">
        <v>34089600</v>
      </c>
      <c r="UJ34" s="6">
        <v>6136128</v>
      </c>
      <c r="UK34" s="2" t="s">
        <v>97</v>
      </c>
      <c r="UL34" s="6">
        <v>6136128</v>
      </c>
      <c r="UM34" s="6">
        <v>40225728</v>
      </c>
      <c r="UN34" s="6">
        <v>34635126</v>
      </c>
      <c r="UQ34" s="6">
        <v>0</v>
      </c>
      <c r="US34" s="6">
        <v>0</v>
      </c>
      <c r="UU34" s="6">
        <v>50000</v>
      </c>
      <c r="UV34" s="6">
        <v>50000</v>
      </c>
      <c r="UW34" s="6">
        <v>50000</v>
      </c>
      <c r="UX34" s="6">
        <v>0</v>
      </c>
      <c r="UY34" s="6">
        <v>50000</v>
      </c>
      <c r="UZ34" s="2" t="s">
        <v>4498</v>
      </c>
      <c r="VA34" s="2" t="s">
        <v>3288</v>
      </c>
      <c r="VB34" s="2" t="s">
        <v>9</v>
      </c>
      <c r="VC34" s="2">
        <v>50</v>
      </c>
      <c r="VD34" s="2">
        <v>50</v>
      </c>
      <c r="VE34" s="2" t="s">
        <v>9</v>
      </c>
      <c r="VF34" s="2">
        <v>50</v>
      </c>
      <c r="VG34" s="2" t="s">
        <v>17</v>
      </c>
      <c r="VI34" s="387" t="s">
        <v>1275</v>
      </c>
      <c r="VJ34" s="2" t="s">
        <v>98</v>
      </c>
      <c r="VK34" s="2" t="s">
        <v>1319</v>
      </c>
      <c r="VL34" s="23">
        <f t="shared" ref="VL34:VL62" si="22">KG34+KH34+2*(KI34+KK34)+3*(KL34+KM34)+4*(KN34+KO34)</f>
        <v>228</v>
      </c>
      <c r="VM34" s="17">
        <f t="shared" ref="VM34:VM62" si="23">VL34/IZ34</f>
        <v>2.375</v>
      </c>
      <c r="VN34" s="17" t="str">
        <f t="shared" ref="VN34:VN62" si="24">IF(GG34+GH34=MAX(GG34:GO34),"NC-GA-",IF(GI34+GJ34=MAX(GG34:GO34),"NC-MR-",IF(GK34=MAX(GG34:GO34),"NC-HR-",IF(GL34+GM34=MAX(GG34:GO34),"NC-OT-",IF(GN34+GO34=MAX(GG34:GO34),"AR-GA-","Nothing")))))&amp;IF(BW34="Family","F","E")</f>
        <v>NC-GA-F</v>
      </c>
      <c r="VO34" s="17" t="str">
        <f t="shared" si="15"/>
        <v>NC-GA-F-ESS</v>
      </c>
      <c r="VP34" s="57">
        <v>1</v>
      </c>
      <c r="VQ34" s="17">
        <f t="shared" ref="VQ34:VQ62" si="25">IF(OR(NM34="Yes",NO34="Yes",NR34="Yes",NT34="Yes"),$OY$75,1)</f>
        <v>1</v>
      </c>
      <c r="VR34" s="14">
        <f t="shared" ref="VR34:VR62" si="26">IF(GR34="Broward",Broward_Q,1)</f>
        <v>1</v>
      </c>
      <c r="VS34" s="14">
        <f t="shared" ref="VS34:VS62" si="27">IF(OR(OT34="Yes",OU34="Yes"),PHA_Q,1)</f>
        <v>0.87</v>
      </c>
      <c r="VT34" s="12">
        <f t="shared" ref="VT34:VT62" si="28">(GG34*NC_GA_Q*ESSC_Q+GH34*NC_GA_Q+GI34*NC_MR_Q*ESSC_Q+GJ34*NC_MR_Q+GK34*NC_HR_Q*ESSC_Q+GL34*NC_OT_Q*ESSC_Q+GM34*NC_OT_Q+GN34*1+GO34*1)/(GG34+GH34+GI34+GJ34+GK34+GL34+GM34+GN34+GO34)</f>
        <v>0.85439999999999994</v>
      </c>
      <c r="VU34" s="29">
        <f t="shared" ref="VU34:VU62" si="29">MC34*VQ34*VR34*VS34*VT34*IF(BW34="Elderly Non-ALF",Elderly_Q,1)</f>
        <v>5723625.5999999996</v>
      </c>
      <c r="VV34" s="29">
        <f t="shared" ref="VV34:VV62" si="30">ROUND(VU34/(JI34+JV34),2)</f>
        <v>59621.1</v>
      </c>
      <c r="VW34" s="351" t="str">
        <f t="shared" si="16"/>
        <v>A</v>
      </c>
      <c r="VX34" s="12" t="str">
        <f t="shared" ref="VX34:VX62" si="31">IF(GG34=MAX(GG34:GO34),"NC-GA-ESS",IF(GH34=MAX(GG34:GO34),"NC-GA-Non",IF(GI34=MAX(GG34:GO34),"NC-MR-ESS",IF(GJ34=MAX(GG34:GO34),"NC-MR-Non",IF(GK34=MAX(GG34:GO34),"NC-HR-ESS",IF(GL34=MAX(GG34:GO34),"NC-Other-ESS",IF(GM34=MAX(GG34:GO34),"NC-Other-Non",IF(GN34=MAX(GG34:GO34),"AR-GA-ESS",IF(GO34=MAX(GG34:GO34),"AR-GA-Non","Nothing")))))))))</f>
        <v>NC-GA-ESS</v>
      </c>
      <c r="VY34" s="23">
        <f t="shared" si="17"/>
        <v>3</v>
      </c>
      <c r="WA34" s="12">
        <f t="shared" si="18"/>
        <v>0</v>
      </c>
      <c r="WB34" s="12">
        <f t="shared" si="19"/>
        <v>0</v>
      </c>
      <c r="WC34" s="12">
        <f t="shared" si="19"/>
        <v>0</v>
      </c>
      <c r="WD34" s="12">
        <f t="shared" si="19"/>
        <v>1</v>
      </c>
      <c r="WE34" s="12">
        <f t="shared" si="20"/>
        <v>1</v>
      </c>
      <c r="WF34" s="12">
        <f t="shared" ref="WF34:WF62" si="32">IF(GG34+GH34&gt;0,1,0)</f>
        <v>1</v>
      </c>
      <c r="WG34" s="12">
        <f t="shared" ref="WG34:WG62" si="33">IF(GI34+GJ34&gt;0,1,0)</f>
        <v>0</v>
      </c>
      <c r="WH34" s="12">
        <f t="shared" ref="WH34:WH62" si="34">IF(GK34&gt;1,1,0)</f>
        <v>0</v>
      </c>
      <c r="WI34" s="31">
        <f t="shared" ref="WI34:WI62" si="35">SUM(WA34:WH34)</f>
        <v>3</v>
      </c>
      <c r="WK34" s="444" t="str">
        <f t="shared" si="21"/>
        <v>NC-GA-ESS-BBN-BRN-PHA-F</v>
      </c>
      <c r="WL34" s="444"/>
      <c r="WM34" s="444"/>
    </row>
    <row r="35" spans="1:611" x14ac:dyDescent="0.25">
      <c r="A35" s="2">
        <v>9316</v>
      </c>
      <c r="B35" s="2" t="s">
        <v>4645</v>
      </c>
      <c r="C35" s="2" t="s">
        <v>4205</v>
      </c>
      <c r="D35" s="3">
        <v>45128</v>
      </c>
      <c r="E35" s="2" t="s">
        <v>9</v>
      </c>
      <c r="F35" s="2">
        <v>1</v>
      </c>
      <c r="G35" s="2" t="s">
        <v>9</v>
      </c>
      <c r="H35" s="2">
        <v>1</v>
      </c>
      <c r="I35" s="2" t="s">
        <v>11</v>
      </c>
      <c r="J35" s="2">
        <v>0</v>
      </c>
      <c r="K35" s="2" t="s">
        <v>9</v>
      </c>
      <c r="L35" s="2">
        <v>1</v>
      </c>
      <c r="M35" s="2" t="s">
        <v>10</v>
      </c>
      <c r="N35" s="2">
        <v>0</v>
      </c>
      <c r="O35" s="2" t="s">
        <v>10</v>
      </c>
      <c r="P35" s="2">
        <v>0</v>
      </c>
      <c r="Q35" s="2" t="s">
        <v>11</v>
      </c>
      <c r="R35" s="2">
        <v>0</v>
      </c>
      <c r="S35" s="2" t="s">
        <v>9</v>
      </c>
      <c r="T35" s="2">
        <v>2</v>
      </c>
      <c r="U35" s="2" t="s">
        <v>9</v>
      </c>
      <c r="V35" s="2">
        <v>2</v>
      </c>
      <c r="W35" s="2" t="s">
        <v>9</v>
      </c>
      <c r="X35" s="2">
        <v>2</v>
      </c>
      <c r="Y35" s="2" t="s">
        <v>12</v>
      </c>
      <c r="Z35" s="2" t="s">
        <v>1667</v>
      </c>
      <c r="AA35" s="2" t="s">
        <v>1667</v>
      </c>
      <c r="AB35" s="2" t="s">
        <v>435</v>
      </c>
      <c r="AC35" s="2" t="s">
        <v>15</v>
      </c>
      <c r="AD35" s="2" t="s">
        <v>15</v>
      </c>
      <c r="AE35" s="2" t="s">
        <v>15</v>
      </c>
      <c r="AF35" s="2">
        <v>3</v>
      </c>
      <c r="AG35" s="2" t="s">
        <v>2881</v>
      </c>
      <c r="AH35" s="2" t="s">
        <v>17</v>
      </c>
      <c r="AI35" s="4">
        <v>0.15217</v>
      </c>
      <c r="AJ35" s="2" t="s">
        <v>17</v>
      </c>
      <c r="AK35" s="2" t="s">
        <v>9</v>
      </c>
      <c r="AL35" s="2" t="s">
        <v>17</v>
      </c>
      <c r="AM35" s="2" t="s">
        <v>9</v>
      </c>
      <c r="AN35" s="2" t="s">
        <v>17</v>
      </c>
      <c r="AO35" s="2" t="s">
        <v>17</v>
      </c>
      <c r="AP35" s="2" t="s">
        <v>17</v>
      </c>
      <c r="AQ35" s="2" t="s">
        <v>17</v>
      </c>
      <c r="AR35" s="2" t="s">
        <v>17</v>
      </c>
      <c r="AS35" s="2" t="s">
        <v>17</v>
      </c>
      <c r="AT35" s="2">
        <v>5</v>
      </c>
      <c r="AU35" s="5">
        <v>75000</v>
      </c>
      <c r="AV35" s="5">
        <v>610000</v>
      </c>
      <c r="AW35" s="2">
        <v>0</v>
      </c>
      <c r="AX35" s="2">
        <v>5</v>
      </c>
      <c r="AY35" s="2">
        <v>0</v>
      </c>
      <c r="AZ35" s="2">
        <v>17</v>
      </c>
      <c r="BA35" s="2">
        <v>0</v>
      </c>
      <c r="BB35" s="2">
        <v>1</v>
      </c>
      <c r="BC35" s="2">
        <v>1</v>
      </c>
      <c r="BD35" s="2">
        <v>3</v>
      </c>
      <c r="BE35" s="2">
        <v>1</v>
      </c>
      <c r="BF35" s="2">
        <v>1</v>
      </c>
      <c r="BG35" s="2">
        <v>0</v>
      </c>
      <c r="BH35" s="2">
        <v>0</v>
      </c>
      <c r="BI35" s="2">
        <v>13</v>
      </c>
      <c r="BJ35" s="2">
        <v>1</v>
      </c>
      <c r="BK35" s="2">
        <v>0</v>
      </c>
      <c r="BL35" s="2">
        <v>2</v>
      </c>
      <c r="BM35" s="2">
        <v>1</v>
      </c>
      <c r="BN35" s="2">
        <v>10</v>
      </c>
      <c r="BO35" s="2">
        <v>10</v>
      </c>
      <c r="BP35" s="2">
        <v>36.93</v>
      </c>
      <c r="BQ35" s="5">
        <v>11750000</v>
      </c>
      <c r="BR35" s="2">
        <v>1</v>
      </c>
      <c r="BS35" s="4">
        <v>0.06</v>
      </c>
      <c r="BT35" s="2" t="s">
        <v>9</v>
      </c>
      <c r="BU35" s="2" t="s">
        <v>17</v>
      </c>
      <c r="BV35" s="6">
        <v>65395</v>
      </c>
      <c r="BW35" s="2" t="s">
        <v>126</v>
      </c>
      <c r="BX35" s="2" t="s">
        <v>17</v>
      </c>
      <c r="BY35" s="2" t="s">
        <v>17</v>
      </c>
      <c r="BZ35" s="2" t="s">
        <v>17</v>
      </c>
      <c r="CA35" s="2" t="s">
        <v>17</v>
      </c>
      <c r="CB35" s="2" t="s">
        <v>17</v>
      </c>
      <c r="CC35" s="2" t="s">
        <v>17</v>
      </c>
      <c r="CD35" s="2" t="s">
        <v>9</v>
      </c>
      <c r="CE35" s="2" t="s">
        <v>4646</v>
      </c>
      <c r="CF35" s="2" t="s">
        <v>17</v>
      </c>
      <c r="CG35" s="2" t="s">
        <v>17</v>
      </c>
      <c r="DA35" s="2" t="s">
        <v>4647</v>
      </c>
      <c r="DD35" s="2" t="s">
        <v>9</v>
      </c>
      <c r="DE35" s="2" t="s">
        <v>1018</v>
      </c>
      <c r="DF35" s="2" t="s">
        <v>4647</v>
      </c>
      <c r="DG35" s="2" t="s">
        <v>1019</v>
      </c>
      <c r="DH35" s="2" t="s">
        <v>1020</v>
      </c>
      <c r="DI35" s="2">
        <v>96</v>
      </c>
      <c r="DJ35" s="2" t="s">
        <v>4648</v>
      </c>
      <c r="DK35" s="2">
        <v>2020</v>
      </c>
      <c r="DL35" s="2" t="s">
        <v>4209</v>
      </c>
      <c r="DM35" s="2" t="s">
        <v>4210</v>
      </c>
      <c r="DN35" s="2" t="s">
        <v>33</v>
      </c>
      <c r="DO35" s="2" t="s">
        <v>1024</v>
      </c>
      <c r="DQ35" s="2" t="s">
        <v>1025</v>
      </c>
      <c r="DR35" s="2" t="s">
        <v>1026</v>
      </c>
      <c r="DS35" s="2">
        <v>1</v>
      </c>
      <c r="DT35" s="2" t="s">
        <v>1027</v>
      </c>
      <c r="DU35" s="2" t="s">
        <v>510</v>
      </c>
      <c r="DV35" s="2" t="s">
        <v>39</v>
      </c>
      <c r="DW35" s="2">
        <v>32801</v>
      </c>
      <c r="DX35" s="2" t="s">
        <v>1028</v>
      </c>
      <c r="DY35" s="2">
        <v>2001</v>
      </c>
      <c r="DZ35" s="2" t="s">
        <v>1029</v>
      </c>
      <c r="EA35" s="2" t="s">
        <v>1026</v>
      </c>
      <c r="EB35" s="2" t="s">
        <v>1030</v>
      </c>
      <c r="EC35" s="2" t="s">
        <v>1031</v>
      </c>
      <c r="ED35" s="2" t="s">
        <v>44</v>
      </c>
      <c r="EE35" s="2">
        <v>85</v>
      </c>
      <c r="EF35" s="2" t="s">
        <v>4649</v>
      </c>
      <c r="EG35" s="2">
        <v>4</v>
      </c>
      <c r="EH35" s="2" t="s">
        <v>46</v>
      </c>
      <c r="EI35" s="2" t="s">
        <v>47</v>
      </c>
      <c r="EJ35" s="2" t="s">
        <v>1022</v>
      </c>
      <c r="EK35" s="2" t="s">
        <v>1023</v>
      </c>
      <c r="EL35" s="2" t="s">
        <v>44</v>
      </c>
      <c r="EM35" s="2">
        <v>100</v>
      </c>
      <c r="EN35" s="2" t="s">
        <v>4649</v>
      </c>
      <c r="EO35" s="2">
        <v>4</v>
      </c>
      <c r="EP35" s="2" t="s">
        <v>46</v>
      </c>
      <c r="EQ35" s="2" t="s">
        <v>47</v>
      </c>
      <c r="ER35" s="2" t="s">
        <v>1024</v>
      </c>
      <c r="ET35" s="2" t="s">
        <v>1025</v>
      </c>
      <c r="EU35" s="2" t="s">
        <v>4650</v>
      </c>
      <c r="EV35" s="2" t="s">
        <v>1027</v>
      </c>
      <c r="EW35" s="2" t="s">
        <v>510</v>
      </c>
      <c r="EX35" s="2" t="s">
        <v>39</v>
      </c>
      <c r="EY35" s="2">
        <v>32801</v>
      </c>
      <c r="EZ35" s="2" t="s">
        <v>1028</v>
      </c>
      <c r="FA35" s="2">
        <v>2001</v>
      </c>
      <c r="FB35" s="2" t="s">
        <v>4651</v>
      </c>
      <c r="FC35" s="2" t="s">
        <v>1032</v>
      </c>
      <c r="FE35" s="2" t="s">
        <v>1033</v>
      </c>
      <c r="FF35" s="2" t="s">
        <v>4647</v>
      </c>
      <c r="FG35" s="2" t="s">
        <v>1027</v>
      </c>
      <c r="FH35" s="2" t="s">
        <v>510</v>
      </c>
      <c r="FI35" s="2" t="s">
        <v>39</v>
      </c>
      <c r="FJ35" s="2">
        <v>32801</v>
      </c>
      <c r="FK35" s="2" t="s">
        <v>1034</v>
      </c>
      <c r="FL35" s="2">
        <v>2</v>
      </c>
      <c r="FM35" s="2" t="s">
        <v>1035</v>
      </c>
      <c r="FN35" s="2" t="s">
        <v>4652</v>
      </c>
      <c r="FO35" s="2" t="s">
        <v>63</v>
      </c>
      <c r="FP35" s="2" t="s">
        <v>64</v>
      </c>
      <c r="FQ35" s="2" t="s">
        <v>9</v>
      </c>
      <c r="FR35" s="2" t="s">
        <v>17</v>
      </c>
      <c r="FS35" s="2" t="s">
        <v>17</v>
      </c>
      <c r="FT35" s="2" t="s">
        <v>9</v>
      </c>
      <c r="FX35" s="2">
        <v>0</v>
      </c>
      <c r="FY35" s="2">
        <v>0</v>
      </c>
      <c r="FZ35" s="4">
        <v>0</v>
      </c>
      <c r="GA35" s="4">
        <v>0</v>
      </c>
      <c r="GB35" s="2" t="s">
        <v>65</v>
      </c>
      <c r="GC35" s="2" t="s">
        <v>66</v>
      </c>
      <c r="GD35" s="2" t="s">
        <v>67</v>
      </c>
      <c r="GE35" s="2" t="s">
        <v>2684</v>
      </c>
      <c r="GK35" s="2">
        <v>138</v>
      </c>
      <c r="GQ35" s="2">
        <v>138</v>
      </c>
      <c r="GR35" s="2" t="s">
        <v>2826</v>
      </c>
      <c r="GS35" s="2" t="s">
        <v>2686</v>
      </c>
      <c r="GT35" s="2" t="s">
        <v>4653</v>
      </c>
      <c r="GU35" s="2" t="s">
        <v>510</v>
      </c>
      <c r="GV35" s="2" t="s">
        <v>17</v>
      </c>
      <c r="GW35" s="2">
        <v>28.539476000000001</v>
      </c>
      <c r="GX35" s="2">
        <v>-81.372140999999999</v>
      </c>
      <c r="GZ35" s="2" t="s">
        <v>17</v>
      </c>
      <c r="HA35" s="2">
        <v>0</v>
      </c>
      <c r="HB35" s="2" t="s">
        <v>17</v>
      </c>
      <c r="HC35" s="2">
        <v>0</v>
      </c>
      <c r="HD35" s="2">
        <v>28.540526</v>
      </c>
      <c r="HE35" s="2">
        <v>-81.372667000000007</v>
      </c>
      <c r="HF35" s="2">
        <v>0.08</v>
      </c>
      <c r="HG35" s="2">
        <v>6</v>
      </c>
      <c r="HH35" s="2">
        <v>28.538497</v>
      </c>
      <c r="HI35" s="2">
        <v>-81.372846999999993</v>
      </c>
      <c r="HJ35" s="2">
        <v>0.09</v>
      </c>
      <c r="HK35" s="2">
        <v>28.539522999999999</v>
      </c>
      <c r="HL35" s="2">
        <v>-81.375686999999999</v>
      </c>
      <c r="HM35" s="2">
        <v>0.22</v>
      </c>
      <c r="HZ35" s="2" t="s">
        <v>4654</v>
      </c>
      <c r="IA35" s="2">
        <v>0.2</v>
      </c>
      <c r="IB35" s="2">
        <v>4</v>
      </c>
      <c r="IF35" s="2" t="s">
        <v>4654</v>
      </c>
      <c r="IG35" s="2">
        <v>0.2</v>
      </c>
      <c r="IH35" s="2">
        <v>4</v>
      </c>
      <c r="II35" s="2" t="s">
        <v>4655</v>
      </c>
      <c r="IJ35" s="2">
        <v>0.53</v>
      </c>
      <c r="IK35" s="2">
        <v>3.5</v>
      </c>
      <c r="IL35" s="2" t="s">
        <v>9</v>
      </c>
      <c r="IM35" s="2" t="s">
        <v>17</v>
      </c>
      <c r="IO35" s="2" t="s">
        <v>17</v>
      </c>
      <c r="IP35" s="2" t="s">
        <v>79</v>
      </c>
      <c r="IQ35" s="2" t="s">
        <v>79</v>
      </c>
      <c r="IR35" s="2">
        <v>6</v>
      </c>
      <c r="IS35" s="2">
        <v>11.5</v>
      </c>
      <c r="IT35" s="2">
        <v>0</v>
      </c>
      <c r="IU35" s="2">
        <v>17.5</v>
      </c>
      <c r="IV35" s="2" t="s">
        <v>9</v>
      </c>
      <c r="IW35" s="2" t="s">
        <v>9</v>
      </c>
      <c r="IX35" s="2" t="s">
        <v>9</v>
      </c>
      <c r="IY35" s="2">
        <v>17.5</v>
      </c>
      <c r="IZ35" s="2">
        <v>138</v>
      </c>
      <c r="JB35" s="2" t="s">
        <v>82</v>
      </c>
      <c r="JH35" s="7">
        <v>0</v>
      </c>
      <c r="JI35" s="2">
        <v>0</v>
      </c>
      <c r="JJ35" s="7">
        <v>0</v>
      </c>
      <c r="JK35" s="2">
        <v>0</v>
      </c>
      <c r="JL35" s="7">
        <v>0</v>
      </c>
      <c r="JN35" s="2">
        <v>21</v>
      </c>
      <c r="JP35" s="2">
        <v>10</v>
      </c>
      <c r="JQ35" s="2">
        <v>34</v>
      </c>
      <c r="JR35" s="2">
        <v>73</v>
      </c>
      <c r="JT35" s="2">
        <v>0</v>
      </c>
      <c r="JU35" s="2">
        <v>0</v>
      </c>
      <c r="JV35" s="2">
        <v>138</v>
      </c>
      <c r="JW35" s="4">
        <v>1</v>
      </c>
      <c r="JX35" s="2">
        <v>138</v>
      </c>
      <c r="JY35" s="4">
        <v>0.6</v>
      </c>
      <c r="KE35" s="7">
        <v>0</v>
      </c>
      <c r="KF35" s="2">
        <v>0</v>
      </c>
      <c r="KG35" s="2">
        <v>67</v>
      </c>
      <c r="KH35" s="2">
        <v>54</v>
      </c>
      <c r="KK35" s="2">
        <v>17</v>
      </c>
      <c r="KQ35" s="2" t="s">
        <v>83</v>
      </c>
      <c r="KS35" s="2" t="s">
        <v>73</v>
      </c>
      <c r="KT35" s="2">
        <v>1</v>
      </c>
      <c r="KU35" s="2" t="s">
        <v>84</v>
      </c>
      <c r="KW35" s="2" t="s">
        <v>530</v>
      </c>
      <c r="KX35" s="2" t="s">
        <v>17</v>
      </c>
      <c r="KY35" s="2" t="s">
        <v>17</v>
      </c>
      <c r="KZ35" s="2" t="s">
        <v>17</v>
      </c>
      <c r="LA35" s="2" t="s">
        <v>17</v>
      </c>
      <c r="LB35" s="2" t="s">
        <v>17</v>
      </c>
      <c r="LC35" s="2" t="s">
        <v>17</v>
      </c>
      <c r="LD35" s="2" t="s">
        <v>17</v>
      </c>
      <c r="LE35" s="2" t="s">
        <v>17</v>
      </c>
      <c r="LF35" s="2" t="s">
        <v>17</v>
      </c>
      <c r="LG35" s="2" t="s">
        <v>17</v>
      </c>
      <c r="LH35" s="2" t="s">
        <v>17</v>
      </c>
      <c r="LI35" s="2" t="s">
        <v>17</v>
      </c>
      <c r="LJ35" s="2" t="s">
        <v>87</v>
      </c>
      <c r="LK35" s="2" t="s">
        <v>17</v>
      </c>
      <c r="LL35" s="2" t="s">
        <v>17</v>
      </c>
      <c r="LM35" s="2">
        <v>0</v>
      </c>
      <c r="LN35" s="2" t="s">
        <v>17</v>
      </c>
      <c r="LO35" s="2" t="s">
        <v>17</v>
      </c>
      <c r="LP35" s="2" t="s">
        <v>17</v>
      </c>
      <c r="LQ35" s="2" t="s">
        <v>17</v>
      </c>
      <c r="LR35" s="2" t="s">
        <v>17</v>
      </c>
      <c r="LS35" s="2" t="s">
        <v>17</v>
      </c>
      <c r="LT35" s="2" t="s">
        <v>9</v>
      </c>
      <c r="LU35" s="2" t="s">
        <v>9</v>
      </c>
      <c r="LV35" s="2" t="s">
        <v>17</v>
      </c>
      <c r="LW35" s="2" t="s">
        <v>9</v>
      </c>
      <c r="LX35" s="2" t="s">
        <v>17</v>
      </c>
      <c r="LY35" s="5">
        <v>6500000</v>
      </c>
      <c r="LZ35" s="5">
        <v>0</v>
      </c>
      <c r="MA35" s="5">
        <v>11000000</v>
      </c>
      <c r="MB35" s="5">
        <v>11000000</v>
      </c>
      <c r="MC35" s="5">
        <v>11000000</v>
      </c>
      <c r="MD35" s="5">
        <v>750000</v>
      </c>
      <c r="ME35" s="5">
        <v>750000</v>
      </c>
      <c r="MF35" s="5">
        <v>750000</v>
      </c>
      <c r="MG35" s="5">
        <v>10000000</v>
      </c>
      <c r="MH35" s="5">
        <v>0</v>
      </c>
      <c r="MI35" s="5">
        <v>10000000</v>
      </c>
      <c r="MJ35" s="5">
        <v>0</v>
      </c>
      <c r="MK35" s="5">
        <v>891500</v>
      </c>
      <c r="ML35" s="5">
        <v>0</v>
      </c>
      <c r="MM35" s="5">
        <v>0</v>
      </c>
      <c r="MN35" s="2">
        <v>0</v>
      </c>
      <c r="MO35" s="5">
        <v>0</v>
      </c>
      <c r="MP35" s="5">
        <v>0</v>
      </c>
      <c r="MQ35" s="2">
        <v>0</v>
      </c>
      <c r="MR35" s="2">
        <v>0</v>
      </c>
      <c r="MS35" s="2">
        <v>0</v>
      </c>
      <c r="MT35" s="5">
        <v>2950000</v>
      </c>
      <c r="MU35" s="5">
        <v>0</v>
      </c>
      <c r="MV35" s="5">
        <v>4600000</v>
      </c>
      <c r="MW35" s="5">
        <v>0</v>
      </c>
      <c r="MY35" s="5">
        <v>0</v>
      </c>
      <c r="MZ35" s="5">
        <v>0</v>
      </c>
      <c r="NA35" s="5">
        <v>0</v>
      </c>
      <c r="NB35" s="5">
        <v>2500000</v>
      </c>
      <c r="NC35" s="5">
        <v>0</v>
      </c>
      <c r="ND35" s="5">
        <v>5000000</v>
      </c>
      <c r="NE35" s="5">
        <v>0</v>
      </c>
      <c r="NF35" s="5">
        <v>0</v>
      </c>
      <c r="NG35" s="5">
        <v>0</v>
      </c>
      <c r="NH35" s="5"/>
      <c r="NI35" s="5">
        <v>0</v>
      </c>
      <c r="NJ35" s="5">
        <v>2375000</v>
      </c>
      <c r="NK35" s="2" t="s">
        <v>17</v>
      </c>
      <c r="NL35" s="2" t="s">
        <v>4292</v>
      </c>
      <c r="NM35" s="2" t="s">
        <v>17</v>
      </c>
      <c r="NO35" s="2" t="s">
        <v>9</v>
      </c>
      <c r="NP35" s="2">
        <v>32801</v>
      </c>
      <c r="NQ35" s="2" t="s">
        <v>2835</v>
      </c>
      <c r="NR35" s="2" t="s">
        <v>17</v>
      </c>
      <c r="NT35" s="2" t="s">
        <v>17</v>
      </c>
      <c r="NX35" s="2" t="s">
        <v>118</v>
      </c>
      <c r="NY35" s="2" t="s">
        <v>118</v>
      </c>
      <c r="NZ35" s="2" t="s">
        <v>118</v>
      </c>
      <c r="OA35" s="2" t="s">
        <v>17</v>
      </c>
      <c r="OB35" s="2" t="s">
        <v>119</v>
      </c>
      <c r="OC35" s="5">
        <v>33000000</v>
      </c>
      <c r="OF35" s="2" t="s">
        <v>17</v>
      </c>
      <c r="OG35" s="2" t="s">
        <v>17</v>
      </c>
      <c r="OH35" s="2" t="s">
        <v>85</v>
      </c>
      <c r="OI35" s="6">
        <v>0</v>
      </c>
      <c r="OJ35" s="6">
        <v>330000</v>
      </c>
      <c r="OK35" s="2" t="s">
        <v>17</v>
      </c>
      <c r="OL35" s="2" t="s">
        <v>17</v>
      </c>
      <c r="OM35" s="6">
        <v>0</v>
      </c>
      <c r="ON35" s="6">
        <v>0</v>
      </c>
      <c r="OO35" s="6">
        <v>0</v>
      </c>
      <c r="OP35" s="6">
        <v>0</v>
      </c>
      <c r="OQ35" s="4">
        <v>0</v>
      </c>
      <c r="OR35" s="6">
        <v>0</v>
      </c>
      <c r="OS35" s="4">
        <v>0</v>
      </c>
      <c r="OT35" s="2" t="s">
        <v>17</v>
      </c>
      <c r="OU35" s="2" t="s">
        <v>17</v>
      </c>
      <c r="OW35" s="2" t="s">
        <v>17</v>
      </c>
      <c r="OX35" s="5">
        <v>9024510</v>
      </c>
      <c r="OY35" s="6">
        <v>65395</v>
      </c>
      <c r="PD35" s="8">
        <v>26530740</v>
      </c>
      <c r="PF35" s="8">
        <v>26530740</v>
      </c>
      <c r="PG35" s="8">
        <v>1656000</v>
      </c>
      <c r="PI35" s="8">
        <v>1656000</v>
      </c>
      <c r="PL35" s="8">
        <v>297307</v>
      </c>
      <c r="PN35" s="8">
        <v>297307</v>
      </c>
      <c r="PO35" s="8">
        <v>28484047</v>
      </c>
      <c r="PQ35" s="8">
        <v>28484047</v>
      </c>
      <c r="PR35" s="8">
        <v>3946143</v>
      </c>
      <c r="PT35" s="8">
        <v>3946143</v>
      </c>
      <c r="PU35" s="6">
        <v>3987766</v>
      </c>
      <c r="PV35" s="8">
        <v>32430190</v>
      </c>
      <c r="PX35" s="8">
        <v>32430190</v>
      </c>
      <c r="PY35" s="8">
        <v>1606644</v>
      </c>
      <c r="QA35" s="8">
        <v>1606644</v>
      </c>
      <c r="QB35" s="6">
        <v>1621509.5</v>
      </c>
      <c r="QC35" s="8">
        <v>675000</v>
      </c>
      <c r="QE35" s="8">
        <v>675000</v>
      </c>
      <c r="QF35" s="8">
        <v>80000</v>
      </c>
      <c r="QH35" s="8">
        <v>80000</v>
      </c>
      <c r="QI35" s="8">
        <v>1042394</v>
      </c>
      <c r="QK35" s="8">
        <v>1042394</v>
      </c>
      <c r="QM35" s="8">
        <v>603000</v>
      </c>
      <c r="QN35" s="8">
        <v>603000</v>
      </c>
      <c r="QR35" s="8">
        <v>140000</v>
      </c>
      <c r="QS35" s="8">
        <v>210000</v>
      </c>
      <c r="QT35" s="8">
        <v>350000</v>
      </c>
      <c r="QU35" s="8">
        <v>1937394</v>
      </c>
      <c r="QV35" s="8">
        <v>813000</v>
      </c>
      <c r="QW35" s="8">
        <v>2750394</v>
      </c>
      <c r="QX35" s="8">
        <v>100000</v>
      </c>
      <c r="QZ35" s="8">
        <v>100000</v>
      </c>
      <c r="RA35" s="6">
        <v>137519.70000000001</v>
      </c>
      <c r="RB35" s="8">
        <v>262500</v>
      </c>
      <c r="RD35" s="8">
        <v>262500</v>
      </c>
      <c r="RE35" s="8">
        <v>154800</v>
      </c>
      <c r="RF35" s="8">
        <v>154800</v>
      </c>
      <c r="RG35" s="8">
        <v>2182500</v>
      </c>
      <c r="RH35" s="8">
        <v>817500</v>
      </c>
      <c r="RI35" s="8">
        <v>3000000</v>
      </c>
      <c r="RJ35" s="8">
        <v>2445000</v>
      </c>
      <c r="RK35" s="8">
        <v>972300</v>
      </c>
      <c r="RL35" s="8">
        <v>3417300</v>
      </c>
      <c r="RT35" s="8">
        <v>38519228</v>
      </c>
      <c r="RU35" s="8">
        <v>1785300</v>
      </c>
      <c r="RV35" s="8">
        <v>40304528</v>
      </c>
      <c r="RY35" s="2">
        <v>0</v>
      </c>
      <c r="RZ35" s="6">
        <v>0</v>
      </c>
      <c r="SA35" s="8">
        <v>7254815</v>
      </c>
      <c r="SC35" s="8">
        <v>7254815</v>
      </c>
      <c r="SD35" s="6">
        <v>7254815</v>
      </c>
      <c r="SE35" s="8">
        <v>7254815</v>
      </c>
      <c r="SF35" s="8">
        <v>7254815</v>
      </c>
      <c r="SG35" s="6">
        <v>7254815</v>
      </c>
      <c r="SH35" s="8">
        <v>477377</v>
      </c>
      <c r="SI35" s="8">
        <v>477377</v>
      </c>
      <c r="SJ35" s="6">
        <v>483000</v>
      </c>
      <c r="SK35" s="8">
        <v>5000000</v>
      </c>
      <c r="SL35" s="8">
        <v>5000000</v>
      </c>
      <c r="SM35" s="8">
        <v>45774043</v>
      </c>
      <c r="SN35" s="8">
        <v>7262677</v>
      </c>
      <c r="SO35" s="8">
        <v>53036720</v>
      </c>
      <c r="SP35" s="8">
        <v>33000000</v>
      </c>
      <c r="SQ35" s="2" t="s">
        <v>4295</v>
      </c>
      <c r="SR35" s="8">
        <v>1500000</v>
      </c>
      <c r="SS35" s="2" t="s">
        <v>1316</v>
      </c>
      <c r="ST35" s="8">
        <v>1500000</v>
      </c>
      <c r="SU35" s="2" t="s">
        <v>1316</v>
      </c>
      <c r="SX35" s="8">
        <v>11750000</v>
      </c>
      <c r="SY35" s="2" t="s">
        <v>96</v>
      </c>
      <c r="SZ35" s="2" t="s">
        <v>96</v>
      </c>
      <c r="TA35" s="2" t="s">
        <v>96</v>
      </c>
      <c r="TB35" s="8">
        <v>11280122</v>
      </c>
      <c r="TF35" s="2">
        <v>0</v>
      </c>
      <c r="TG35" s="8">
        <v>59030122</v>
      </c>
      <c r="TH35" s="8">
        <v>5993402</v>
      </c>
      <c r="TI35" s="8">
        <v>8600000</v>
      </c>
      <c r="TJ35" s="2" t="s">
        <v>95</v>
      </c>
      <c r="TK35" s="8">
        <v>1500000</v>
      </c>
      <c r="TL35" s="2" t="s">
        <v>1316</v>
      </c>
      <c r="TM35" s="8">
        <v>1500000</v>
      </c>
      <c r="TN35" s="2" t="s">
        <v>1316</v>
      </c>
      <c r="TR35" s="8">
        <v>11750000</v>
      </c>
      <c r="TS35" s="8">
        <v>22560244</v>
      </c>
      <c r="TZ35" s="8">
        <v>7126476</v>
      </c>
      <c r="UA35" s="8">
        <v>53036720</v>
      </c>
      <c r="UB35" s="6">
        <v>23350000</v>
      </c>
      <c r="UC35" s="2">
        <v>0</v>
      </c>
      <c r="UD35" s="2">
        <v>138</v>
      </c>
      <c r="UE35" s="5">
        <v>290000</v>
      </c>
      <c r="UF35" s="6">
        <v>386666.67</v>
      </c>
      <c r="UG35" s="6">
        <v>394166.67</v>
      </c>
      <c r="UH35" s="6">
        <v>417816.67</v>
      </c>
      <c r="UI35" s="6">
        <v>57658700</v>
      </c>
      <c r="UJ35" s="6">
        <v>10378566</v>
      </c>
      <c r="UK35" s="2" t="s">
        <v>97</v>
      </c>
      <c r="UL35" s="6">
        <v>10378566</v>
      </c>
      <c r="UM35" s="6">
        <v>68037266</v>
      </c>
      <c r="UN35" s="6">
        <v>47559343</v>
      </c>
      <c r="UQ35" s="6">
        <v>0</v>
      </c>
      <c r="US35" s="6">
        <v>0</v>
      </c>
      <c r="UU35" s="6">
        <v>391230</v>
      </c>
      <c r="UV35" s="6">
        <v>391230</v>
      </c>
      <c r="UW35" s="6">
        <v>391230</v>
      </c>
      <c r="UX35" s="6">
        <v>0</v>
      </c>
      <c r="UY35" s="6">
        <v>391230</v>
      </c>
      <c r="UZ35" s="2" t="s">
        <v>4656</v>
      </c>
      <c r="VA35" s="2" t="s">
        <v>3288</v>
      </c>
      <c r="VB35" s="2" t="s">
        <v>17</v>
      </c>
      <c r="VI35" s="388" t="s">
        <v>1050</v>
      </c>
      <c r="VJ35" s="2" t="s">
        <v>98</v>
      </c>
      <c r="VK35" s="2" t="s">
        <v>4274</v>
      </c>
      <c r="VL35" s="23">
        <f t="shared" si="22"/>
        <v>155</v>
      </c>
      <c r="VM35" s="17">
        <f t="shared" si="23"/>
        <v>1.1231884057971016</v>
      </c>
      <c r="VN35" s="17" t="str">
        <f t="shared" si="24"/>
        <v>NC-HR-E</v>
      </c>
      <c r="VO35" s="17" t="str">
        <f t="shared" si="15"/>
        <v>NC-HR-E-ESS</v>
      </c>
      <c r="VP35" s="57">
        <v>1</v>
      </c>
      <c r="VQ35" s="17">
        <f t="shared" si="25"/>
        <v>1.1100000000000001</v>
      </c>
      <c r="VR35" s="14">
        <f t="shared" si="26"/>
        <v>1</v>
      </c>
      <c r="VS35" s="14">
        <f t="shared" si="27"/>
        <v>1</v>
      </c>
      <c r="VT35" s="12">
        <f t="shared" si="28"/>
        <v>0.83519999999999994</v>
      </c>
      <c r="VU35" s="29">
        <f t="shared" si="29"/>
        <v>10197792</v>
      </c>
      <c r="VV35" s="29">
        <f t="shared" si="30"/>
        <v>73897.039999999994</v>
      </c>
      <c r="VW35" s="351" t="str">
        <f t="shared" si="16"/>
        <v>A</v>
      </c>
      <c r="VX35" s="12" t="str">
        <f t="shared" si="31"/>
        <v>NC-HR-ESS</v>
      </c>
      <c r="VY35" s="23">
        <f t="shared" si="17"/>
        <v>4</v>
      </c>
      <c r="WA35" s="12">
        <f t="shared" si="18"/>
        <v>1</v>
      </c>
      <c r="WB35" s="12">
        <f t="shared" si="19"/>
        <v>1</v>
      </c>
      <c r="WC35" s="12">
        <f t="shared" si="19"/>
        <v>0</v>
      </c>
      <c r="WD35" s="12">
        <f t="shared" si="19"/>
        <v>0</v>
      </c>
      <c r="WE35" s="12">
        <f t="shared" si="20"/>
        <v>1</v>
      </c>
      <c r="WF35" s="12">
        <f t="shared" si="32"/>
        <v>0</v>
      </c>
      <c r="WG35" s="12">
        <f t="shared" si="33"/>
        <v>0</v>
      </c>
      <c r="WH35" s="12">
        <f t="shared" si="34"/>
        <v>1</v>
      </c>
      <c r="WI35" s="31">
        <f t="shared" si="35"/>
        <v>4</v>
      </c>
      <c r="WK35" s="444" t="str">
        <f t="shared" si="21"/>
        <v>NC-HR-ESS-BBY-BRN-NPH-E</v>
      </c>
      <c r="WL35" s="444"/>
      <c r="WM35" s="444"/>
    </row>
    <row r="36" spans="1:611" x14ac:dyDescent="0.25">
      <c r="A36" s="2">
        <v>9324</v>
      </c>
      <c r="B36" s="2" t="s">
        <v>4657</v>
      </c>
      <c r="C36" s="2" t="s">
        <v>4205</v>
      </c>
      <c r="D36" s="3">
        <v>45135</v>
      </c>
      <c r="E36" s="2" t="s">
        <v>9</v>
      </c>
      <c r="F36" s="2">
        <v>1</v>
      </c>
      <c r="G36" s="2" t="s">
        <v>9</v>
      </c>
      <c r="H36" s="2">
        <v>1</v>
      </c>
      <c r="I36" s="2" t="s">
        <v>11</v>
      </c>
      <c r="J36" s="2">
        <v>0</v>
      </c>
      <c r="K36" s="2" t="s">
        <v>9</v>
      </c>
      <c r="L36" s="2">
        <v>1</v>
      </c>
      <c r="M36" s="2" t="s">
        <v>10</v>
      </c>
      <c r="N36" s="2">
        <v>0</v>
      </c>
      <c r="O36" s="2" t="s">
        <v>10</v>
      </c>
      <c r="P36" s="2">
        <v>0</v>
      </c>
      <c r="Q36" s="2" t="s">
        <v>11</v>
      </c>
      <c r="R36" s="2">
        <v>0</v>
      </c>
      <c r="S36" s="2" t="s">
        <v>9</v>
      </c>
      <c r="T36" s="2">
        <v>2</v>
      </c>
      <c r="U36" s="2" t="s">
        <v>9</v>
      </c>
      <c r="V36" s="2">
        <v>2</v>
      </c>
      <c r="W36" s="2" t="s">
        <v>9</v>
      </c>
      <c r="X36" s="2">
        <v>2</v>
      </c>
      <c r="Y36" s="2" t="s">
        <v>12</v>
      </c>
      <c r="Z36" s="2" t="s">
        <v>15</v>
      </c>
      <c r="AA36" s="2" t="s">
        <v>15</v>
      </c>
      <c r="AB36" s="2" t="s">
        <v>15</v>
      </c>
      <c r="AC36" s="2" t="s">
        <v>15</v>
      </c>
      <c r="AD36" s="2" t="s">
        <v>15</v>
      </c>
      <c r="AE36" s="2" t="s">
        <v>15</v>
      </c>
      <c r="AF36" s="2">
        <v>0</v>
      </c>
      <c r="AG36" s="2" t="s">
        <v>234</v>
      </c>
      <c r="AH36" s="2" t="s">
        <v>17</v>
      </c>
      <c r="AI36" s="4">
        <v>0.1</v>
      </c>
      <c r="AJ36" s="2" t="s">
        <v>17</v>
      </c>
      <c r="AK36" s="2" t="s">
        <v>9</v>
      </c>
      <c r="AL36" s="2" t="s">
        <v>17</v>
      </c>
      <c r="AM36" s="2" t="s">
        <v>17</v>
      </c>
      <c r="AN36" s="2" t="s">
        <v>17</v>
      </c>
      <c r="AO36" s="2" t="s">
        <v>9</v>
      </c>
      <c r="AP36" s="2" t="s">
        <v>17</v>
      </c>
      <c r="AQ36" s="2" t="s">
        <v>17</v>
      </c>
      <c r="AR36" s="2" t="s">
        <v>17</v>
      </c>
      <c r="AS36" s="2" t="s">
        <v>17</v>
      </c>
      <c r="AT36" s="2">
        <v>5</v>
      </c>
      <c r="AU36" s="5">
        <v>37500</v>
      </c>
      <c r="AV36" s="5">
        <v>460000</v>
      </c>
      <c r="AW36" s="2">
        <v>1</v>
      </c>
      <c r="AX36" s="2">
        <v>5</v>
      </c>
      <c r="AY36" s="2">
        <v>0</v>
      </c>
      <c r="AZ36" s="2">
        <v>17</v>
      </c>
      <c r="BA36" s="2">
        <v>0</v>
      </c>
      <c r="BB36" s="2">
        <v>1</v>
      </c>
      <c r="BC36" s="2">
        <v>1</v>
      </c>
      <c r="BD36" s="2">
        <v>0</v>
      </c>
      <c r="BE36" s="2">
        <v>0</v>
      </c>
      <c r="BF36" s="2">
        <v>1</v>
      </c>
      <c r="BG36" s="2">
        <v>0</v>
      </c>
      <c r="BH36" s="2">
        <v>0</v>
      </c>
      <c r="BI36" s="2">
        <v>13</v>
      </c>
      <c r="BJ36" s="2">
        <v>1</v>
      </c>
      <c r="BK36" s="2">
        <v>0</v>
      </c>
      <c r="BL36" s="2">
        <v>3</v>
      </c>
      <c r="BM36" s="2">
        <v>1</v>
      </c>
      <c r="BN36" s="2">
        <v>9</v>
      </c>
      <c r="BO36" s="2">
        <v>10</v>
      </c>
      <c r="BP36" s="2">
        <v>37.68</v>
      </c>
      <c r="BQ36" s="5">
        <v>7000000</v>
      </c>
      <c r="BR36" s="2">
        <v>1</v>
      </c>
      <c r="BS36" s="4">
        <v>0.06</v>
      </c>
      <c r="BT36" s="2" t="s">
        <v>9</v>
      </c>
      <c r="BU36" s="2" t="s">
        <v>17</v>
      </c>
      <c r="BV36" s="6">
        <v>66877.17</v>
      </c>
      <c r="BW36" s="2" t="s">
        <v>18</v>
      </c>
      <c r="BX36" s="2" t="s">
        <v>17</v>
      </c>
      <c r="BY36" s="2" t="s">
        <v>17</v>
      </c>
      <c r="BZ36" s="2" t="s">
        <v>17</v>
      </c>
      <c r="CA36" s="2" t="s">
        <v>17</v>
      </c>
      <c r="CB36" s="2" t="s">
        <v>17</v>
      </c>
      <c r="CC36" s="2" t="s">
        <v>17</v>
      </c>
      <c r="CE36" s="2" t="s">
        <v>4658</v>
      </c>
      <c r="CF36" s="2" t="s">
        <v>17</v>
      </c>
      <c r="CG36" s="2" t="s">
        <v>17</v>
      </c>
      <c r="DA36" s="2" t="s">
        <v>1446</v>
      </c>
      <c r="DB36" s="2" t="s">
        <v>4659</v>
      </c>
      <c r="DC36" s="2" t="s">
        <v>4660</v>
      </c>
      <c r="DD36" s="2" t="s">
        <v>9</v>
      </c>
      <c r="DE36" s="2" t="s">
        <v>1447</v>
      </c>
      <c r="DF36" s="2" t="s">
        <v>1446</v>
      </c>
      <c r="DG36" s="2" t="s">
        <v>1452</v>
      </c>
      <c r="DH36" s="2" t="s">
        <v>1449</v>
      </c>
      <c r="DI36" s="2">
        <v>60</v>
      </c>
      <c r="DJ36" s="2" t="s">
        <v>375</v>
      </c>
      <c r="DK36" s="2">
        <v>2010</v>
      </c>
      <c r="DL36" s="2" t="s">
        <v>4209</v>
      </c>
      <c r="DM36" s="2" t="s">
        <v>4210</v>
      </c>
      <c r="DN36" s="2" t="s">
        <v>33</v>
      </c>
      <c r="DO36" s="2" t="s">
        <v>399</v>
      </c>
      <c r="DQ36" s="2" t="s">
        <v>1454</v>
      </c>
      <c r="DR36" s="2" t="s">
        <v>1455</v>
      </c>
      <c r="DS36" s="2">
        <v>1</v>
      </c>
      <c r="DT36" s="2" t="s">
        <v>4661</v>
      </c>
      <c r="DU36" s="2" t="s">
        <v>1529</v>
      </c>
      <c r="DV36" s="2" t="s">
        <v>39</v>
      </c>
      <c r="DW36" s="2">
        <v>34205</v>
      </c>
      <c r="DX36" s="2" t="s">
        <v>4662</v>
      </c>
      <c r="DZ36" s="2" t="s">
        <v>1459</v>
      </c>
      <c r="EA36" s="2" t="s">
        <v>1455</v>
      </c>
      <c r="EB36" s="2" t="s">
        <v>4663</v>
      </c>
      <c r="EC36" s="2" t="s">
        <v>1461</v>
      </c>
      <c r="ED36" s="2" t="s">
        <v>44</v>
      </c>
      <c r="EE36" s="2">
        <v>80</v>
      </c>
      <c r="EF36" s="2" t="s">
        <v>390</v>
      </c>
      <c r="EG36" s="2">
        <v>22</v>
      </c>
      <c r="EH36" s="2" t="s">
        <v>46</v>
      </c>
      <c r="EI36" s="2" t="s">
        <v>47</v>
      </c>
      <c r="EJ36" s="2" t="s">
        <v>1463</v>
      </c>
      <c r="EK36" s="2" t="s">
        <v>1464</v>
      </c>
      <c r="EL36" s="2" t="s">
        <v>44</v>
      </c>
      <c r="EM36" s="2">
        <v>53</v>
      </c>
      <c r="EN36" s="2" t="s">
        <v>390</v>
      </c>
      <c r="EO36" s="2">
        <v>7</v>
      </c>
      <c r="EP36" s="2" t="s">
        <v>46</v>
      </c>
      <c r="EQ36" s="2" t="s">
        <v>47</v>
      </c>
      <c r="ER36" s="2" t="s">
        <v>1465</v>
      </c>
      <c r="ES36" s="2" t="s">
        <v>201</v>
      </c>
      <c r="ET36" s="2" t="s">
        <v>1467</v>
      </c>
      <c r="EU36" s="2" t="s">
        <v>4658</v>
      </c>
      <c r="EV36" s="2" t="s">
        <v>1468</v>
      </c>
      <c r="EW36" s="2" t="s">
        <v>1469</v>
      </c>
      <c r="EX36" s="2" t="s">
        <v>39</v>
      </c>
      <c r="EY36" s="2">
        <v>33907</v>
      </c>
      <c r="EZ36" s="2" t="s">
        <v>4664</v>
      </c>
      <c r="FB36" s="2" t="s">
        <v>1471</v>
      </c>
      <c r="FC36" s="2" t="s">
        <v>294</v>
      </c>
      <c r="FE36" s="2" t="s">
        <v>1467</v>
      </c>
      <c r="FF36" s="2" t="s">
        <v>1446</v>
      </c>
      <c r="FG36" s="2" t="s">
        <v>1468</v>
      </c>
      <c r="FH36" s="2" t="s">
        <v>1469</v>
      </c>
      <c r="FI36" s="2" t="s">
        <v>39</v>
      </c>
      <c r="FJ36" s="2">
        <v>33907</v>
      </c>
      <c r="FK36" s="2" t="s">
        <v>4665</v>
      </c>
      <c r="FM36" s="2" t="s">
        <v>1474</v>
      </c>
      <c r="FN36" s="2" t="s">
        <v>4666</v>
      </c>
      <c r="FO36" s="2" t="s">
        <v>63</v>
      </c>
      <c r="FP36" s="2" t="s">
        <v>64</v>
      </c>
      <c r="FQ36" s="2" t="s">
        <v>9</v>
      </c>
      <c r="FR36" s="2" t="s">
        <v>17</v>
      </c>
      <c r="FS36" s="2" t="s">
        <v>17</v>
      </c>
      <c r="FT36" s="2" t="s">
        <v>9</v>
      </c>
      <c r="FX36" s="2">
        <v>0</v>
      </c>
      <c r="FY36" s="2">
        <v>0</v>
      </c>
      <c r="FZ36" s="4">
        <v>0</v>
      </c>
      <c r="GA36" s="4">
        <v>0</v>
      </c>
      <c r="GB36" s="2" t="s">
        <v>65</v>
      </c>
      <c r="GC36" s="2" t="s">
        <v>66</v>
      </c>
      <c r="GD36" s="2" t="s">
        <v>67</v>
      </c>
      <c r="GE36" s="2" t="s">
        <v>68</v>
      </c>
      <c r="GF36" s="2">
        <v>80</v>
      </c>
      <c r="GG36" s="2">
        <v>80</v>
      </c>
      <c r="GQ36" s="2">
        <v>80</v>
      </c>
      <c r="GR36" s="2" t="s">
        <v>1112</v>
      </c>
      <c r="GS36" s="2" t="s">
        <v>70</v>
      </c>
      <c r="GT36" s="2" t="s">
        <v>4667</v>
      </c>
      <c r="GU36" s="2" t="s">
        <v>1497</v>
      </c>
      <c r="GV36" s="2" t="s">
        <v>17</v>
      </c>
      <c r="GW36" s="2">
        <v>26.416374000000001</v>
      </c>
      <c r="GX36" s="2">
        <v>-81.428310999999994</v>
      </c>
      <c r="GZ36" s="2" t="s">
        <v>17</v>
      </c>
      <c r="HA36" s="2">
        <v>0</v>
      </c>
      <c r="HC36" s="2">
        <v>0</v>
      </c>
      <c r="IC36" s="2" t="s">
        <v>4668</v>
      </c>
      <c r="ID36" s="2">
        <v>0.72</v>
      </c>
      <c r="IE36" s="2">
        <v>3</v>
      </c>
      <c r="IF36" s="2" t="s">
        <v>224</v>
      </c>
      <c r="IG36" s="2">
        <v>0.73</v>
      </c>
      <c r="IH36" s="2">
        <v>3</v>
      </c>
      <c r="II36" s="2" t="s">
        <v>4669</v>
      </c>
      <c r="IJ36" s="2">
        <v>0.23</v>
      </c>
      <c r="IK36" s="2">
        <v>4</v>
      </c>
      <c r="IL36" s="2" t="s">
        <v>17</v>
      </c>
      <c r="IM36" s="2" t="s">
        <v>17</v>
      </c>
      <c r="IO36" s="2" t="s">
        <v>17</v>
      </c>
      <c r="IP36" s="2" t="s">
        <v>79</v>
      </c>
      <c r="IQ36" s="2" t="s">
        <v>79</v>
      </c>
      <c r="IR36" s="2">
        <v>0</v>
      </c>
      <c r="IS36" s="2">
        <v>10</v>
      </c>
      <c r="IT36" s="2">
        <v>0</v>
      </c>
      <c r="IU36" s="2">
        <v>10</v>
      </c>
      <c r="IV36" s="2" t="s">
        <v>80</v>
      </c>
      <c r="IW36" s="2" t="s">
        <v>9</v>
      </c>
      <c r="IX36" s="2" t="s">
        <v>9</v>
      </c>
      <c r="IY36" s="2">
        <v>10</v>
      </c>
      <c r="IZ36" s="2">
        <v>80</v>
      </c>
      <c r="JB36" s="2" t="s">
        <v>173</v>
      </c>
      <c r="JC36" s="7">
        <v>0.1</v>
      </c>
      <c r="JG36" s="7">
        <v>0.9</v>
      </c>
      <c r="JH36" s="7">
        <v>0</v>
      </c>
      <c r="JI36" s="2">
        <v>80</v>
      </c>
      <c r="JJ36" s="7">
        <v>1</v>
      </c>
      <c r="JK36" s="2">
        <v>80</v>
      </c>
      <c r="JL36" s="7">
        <v>1</v>
      </c>
      <c r="JT36" s="2">
        <v>0</v>
      </c>
      <c r="JU36" s="2">
        <v>0</v>
      </c>
      <c r="JV36" s="2">
        <v>0</v>
      </c>
      <c r="JW36" s="4">
        <v>0</v>
      </c>
      <c r="JX36" s="2">
        <v>0</v>
      </c>
      <c r="JY36" s="4">
        <v>0</v>
      </c>
      <c r="JZ36" s="7">
        <v>0.1</v>
      </c>
      <c r="KD36" s="7">
        <v>0.9</v>
      </c>
      <c r="KE36" s="7">
        <v>1</v>
      </c>
      <c r="KF36" s="2">
        <v>80</v>
      </c>
      <c r="KK36" s="2">
        <v>40</v>
      </c>
      <c r="KL36" s="2">
        <v>40</v>
      </c>
      <c r="KQ36" s="2" t="s">
        <v>83</v>
      </c>
      <c r="KR36" s="2" t="s">
        <v>73</v>
      </c>
      <c r="KT36" s="2">
        <v>3</v>
      </c>
      <c r="KU36" s="2" t="s">
        <v>84</v>
      </c>
      <c r="KW36" s="2" t="s">
        <v>86</v>
      </c>
      <c r="KX36" s="2" t="s">
        <v>17</v>
      </c>
      <c r="KY36" s="2" t="s">
        <v>17</v>
      </c>
      <c r="KZ36" s="2" t="s">
        <v>17</v>
      </c>
      <c r="LA36" s="2" t="s">
        <v>17</v>
      </c>
      <c r="LB36" s="2" t="s">
        <v>17</v>
      </c>
      <c r="LC36" s="2" t="s">
        <v>17</v>
      </c>
      <c r="LD36" s="2" t="s">
        <v>17</v>
      </c>
      <c r="LE36" s="2" t="s">
        <v>17</v>
      </c>
      <c r="LF36" s="2" t="s">
        <v>17</v>
      </c>
      <c r="LG36" s="2" t="s">
        <v>17</v>
      </c>
      <c r="LH36" s="2" t="s">
        <v>17</v>
      </c>
      <c r="LI36" s="2" t="s">
        <v>17</v>
      </c>
      <c r="LJ36" s="2" t="s">
        <v>87</v>
      </c>
      <c r="LK36" s="2" t="s">
        <v>17</v>
      </c>
      <c r="LL36" s="2" t="s">
        <v>17</v>
      </c>
      <c r="LM36" s="2">
        <v>0</v>
      </c>
      <c r="LN36" s="2" t="s">
        <v>17</v>
      </c>
      <c r="LO36" s="2" t="s">
        <v>17</v>
      </c>
      <c r="LP36" s="2" t="s">
        <v>9</v>
      </c>
      <c r="LQ36" s="2" t="s">
        <v>17</v>
      </c>
      <c r="LR36" s="2" t="s">
        <v>9</v>
      </c>
      <c r="LS36" s="2" t="s">
        <v>9</v>
      </c>
      <c r="LT36" s="2" t="s">
        <v>17</v>
      </c>
      <c r="LU36" s="2" t="s">
        <v>17</v>
      </c>
      <c r="LV36" s="2" t="s">
        <v>17</v>
      </c>
      <c r="LW36" s="2" t="s">
        <v>17</v>
      </c>
      <c r="LX36" s="2" t="s">
        <v>17</v>
      </c>
      <c r="LY36" s="5">
        <v>6400000</v>
      </c>
      <c r="LZ36" s="5">
        <v>0</v>
      </c>
      <c r="MA36" s="5">
        <v>7600000</v>
      </c>
      <c r="MB36" s="5">
        <v>6250000</v>
      </c>
      <c r="MC36" s="5">
        <v>6250000</v>
      </c>
      <c r="MD36" s="5">
        <v>750000</v>
      </c>
      <c r="ME36" s="5">
        <v>750000</v>
      </c>
      <c r="MF36" s="5">
        <v>750000</v>
      </c>
      <c r="MG36" s="5">
        <v>8400000</v>
      </c>
      <c r="MH36" s="5">
        <v>0</v>
      </c>
      <c r="MI36" s="5">
        <v>8400000</v>
      </c>
      <c r="MJ36" s="5">
        <v>0</v>
      </c>
      <c r="MK36" s="5">
        <v>964400</v>
      </c>
      <c r="ML36" s="5">
        <v>0</v>
      </c>
      <c r="MM36" s="5">
        <v>0</v>
      </c>
      <c r="MN36" s="2">
        <v>0</v>
      </c>
      <c r="MO36" s="5">
        <v>0</v>
      </c>
      <c r="MP36" s="5">
        <v>0</v>
      </c>
      <c r="MQ36" s="2">
        <v>0</v>
      </c>
      <c r="MR36" s="2">
        <v>0</v>
      </c>
      <c r="MS36" s="2">
        <v>0</v>
      </c>
      <c r="MT36" s="5">
        <v>2950000</v>
      </c>
      <c r="MU36" s="5">
        <v>0</v>
      </c>
      <c r="MV36" s="5">
        <v>4600000</v>
      </c>
      <c r="MW36" s="5">
        <v>0</v>
      </c>
      <c r="MY36" s="5">
        <v>0</v>
      </c>
      <c r="MZ36" s="5">
        <v>0</v>
      </c>
      <c r="NA36" s="5">
        <v>0</v>
      </c>
      <c r="NB36" s="5">
        <v>2500000</v>
      </c>
      <c r="NC36" s="5">
        <v>0</v>
      </c>
      <c r="ND36" s="5">
        <v>5000000</v>
      </c>
      <c r="NE36" s="5">
        <v>0</v>
      </c>
      <c r="NF36" s="5">
        <v>0</v>
      </c>
      <c r="NG36" s="5">
        <v>0</v>
      </c>
      <c r="NH36" s="5"/>
      <c r="NI36" s="5">
        <v>0</v>
      </c>
      <c r="NJ36" s="5">
        <v>1308737</v>
      </c>
      <c r="NK36" s="2" t="s">
        <v>17</v>
      </c>
      <c r="NL36" s="2" t="s">
        <v>4292</v>
      </c>
      <c r="NM36" s="2" t="s">
        <v>17</v>
      </c>
      <c r="NO36" s="2" t="s">
        <v>17</v>
      </c>
      <c r="NR36" s="2" t="s">
        <v>17</v>
      </c>
      <c r="NT36" s="2" t="s">
        <v>9</v>
      </c>
      <c r="NU36" s="2" t="s">
        <v>450</v>
      </c>
      <c r="NV36" s="2">
        <v>112.04</v>
      </c>
      <c r="NW36" s="2" t="s">
        <v>4512</v>
      </c>
      <c r="NX36" s="2" t="s">
        <v>118</v>
      </c>
      <c r="NY36" s="2" t="s">
        <v>118</v>
      </c>
      <c r="NZ36" s="2" t="s">
        <v>118</v>
      </c>
      <c r="OA36" s="2" t="s">
        <v>17</v>
      </c>
      <c r="OB36" s="2" t="s">
        <v>119</v>
      </c>
      <c r="OC36" s="5">
        <v>13200000</v>
      </c>
      <c r="OF36" s="2" t="s">
        <v>17</v>
      </c>
      <c r="OG36" s="2" t="s">
        <v>17</v>
      </c>
      <c r="OH36" s="2" t="s">
        <v>85</v>
      </c>
      <c r="OI36" s="6">
        <v>0</v>
      </c>
      <c r="OJ36" s="6">
        <v>187500</v>
      </c>
      <c r="OK36" s="2" t="s">
        <v>17</v>
      </c>
      <c r="OL36" s="2" t="s">
        <v>17</v>
      </c>
      <c r="OM36" s="6">
        <v>0</v>
      </c>
      <c r="ON36" s="6">
        <v>0</v>
      </c>
      <c r="OO36" s="6">
        <v>0</v>
      </c>
      <c r="OP36" s="6">
        <v>0</v>
      </c>
      <c r="OQ36" s="4">
        <v>0</v>
      </c>
      <c r="OR36" s="6">
        <v>0</v>
      </c>
      <c r="OS36" s="4">
        <v>0</v>
      </c>
      <c r="OT36" s="2" t="s">
        <v>17</v>
      </c>
      <c r="OU36" s="2" t="s">
        <v>9</v>
      </c>
      <c r="OV36" s="2" t="s">
        <v>4670</v>
      </c>
      <c r="OW36" s="2" t="s">
        <v>17</v>
      </c>
      <c r="OX36" s="5">
        <v>5350174</v>
      </c>
      <c r="OY36" s="6">
        <v>66877.17</v>
      </c>
      <c r="PD36" s="8">
        <v>15600000</v>
      </c>
      <c r="PF36" s="8">
        <v>15600000</v>
      </c>
      <c r="PO36" s="8">
        <v>15600000</v>
      </c>
      <c r="PQ36" s="8">
        <v>15600000</v>
      </c>
      <c r="PR36" s="8">
        <v>2180000</v>
      </c>
      <c r="PT36" s="8">
        <v>2180000</v>
      </c>
      <c r="PU36" s="6">
        <v>2184000</v>
      </c>
      <c r="PV36" s="8">
        <v>17780000</v>
      </c>
      <c r="PX36" s="8">
        <v>17780000</v>
      </c>
      <c r="PY36" s="8">
        <v>889000</v>
      </c>
      <c r="QA36" s="8">
        <v>889000</v>
      </c>
      <c r="QB36" s="6">
        <v>889000</v>
      </c>
      <c r="QC36" s="8">
        <v>1192500</v>
      </c>
      <c r="QD36" s="8">
        <v>222500</v>
      </c>
      <c r="QE36" s="8">
        <v>1415000</v>
      </c>
      <c r="QF36" s="8">
        <v>87000</v>
      </c>
      <c r="QH36" s="8">
        <v>87000</v>
      </c>
      <c r="QI36" s="8">
        <v>121500</v>
      </c>
      <c r="QK36" s="8">
        <v>121500</v>
      </c>
      <c r="QM36" s="8">
        <v>431239</v>
      </c>
      <c r="QN36" s="8">
        <v>431239</v>
      </c>
      <c r="QU36" s="8">
        <v>1401000</v>
      </c>
      <c r="QV36" s="8">
        <v>653739</v>
      </c>
      <c r="QW36" s="8">
        <v>2054739</v>
      </c>
      <c r="QX36" s="8">
        <v>91000</v>
      </c>
      <c r="QZ36" s="8">
        <v>91000</v>
      </c>
      <c r="RA36" s="6">
        <v>102736.95</v>
      </c>
      <c r="RB36" s="8">
        <v>1280000</v>
      </c>
      <c r="RD36" s="8">
        <v>1280000</v>
      </c>
      <c r="RE36" s="8">
        <v>112000</v>
      </c>
      <c r="RF36" s="8">
        <v>112000</v>
      </c>
      <c r="RH36" s="8">
        <v>440000</v>
      </c>
      <c r="RI36" s="8">
        <v>440000</v>
      </c>
      <c r="RJ36" s="8">
        <v>1280000</v>
      </c>
      <c r="RK36" s="8">
        <v>552000</v>
      </c>
      <c r="RL36" s="8">
        <v>1832000</v>
      </c>
      <c r="RT36" s="8">
        <v>21441000</v>
      </c>
      <c r="RU36" s="8">
        <v>1205739</v>
      </c>
      <c r="RV36" s="8">
        <v>22646739</v>
      </c>
      <c r="RY36" s="2">
        <v>0</v>
      </c>
      <c r="RZ36" s="6">
        <v>0</v>
      </c>
      <c r="SA36" s="8">
        <v>4050000</v>
      </c>
      <c r="SC36" s="8">
        <v>4050000</v>
      </c>
      <c r="SD36" s="6">
        <v>4076413</v>
      </c>
      <c r="SE36" s="8">
        <v>4050000</v>
      </c>
      <c r="SF36" s="8">
        <v>4050000</v>
      </c>
      <c r="SG36" s="6">
        <v>4076413</v>
      </c>
      <c r="SJ36" s="6">
        <v>280000</v>
      </c>
      <c r="SK36" s="8">
        <v>400000</v>
      </c>
      <c r="SL36" s="8">
        <v>400000</v>
      </c>
      <c r="SM36" s="8">
        <v>25491000</v>
      </c>
      <c r="SN36" s="8">
        <v>1605739</v>
      </c>
      <c r="SO36" s="8">
        <v>27096739</v>
      </c>
      <c r="SP36" s="8">
        <v>13200000</v>
      </c>
      <c r="SQ36" s="2" t="s">
        <v>4295</v>
      </c>
      <c r="SX36" s="8">
        <v>7000000</v>
      </c>
      <c r="SY36" s="2" t="s">
        <v>96</v>
      </c>
      <c r="SZ36" s="2" t="s">
        <v>96</v>
      </c>
      <c r="TA36" s="2" t="s">
        <v>96</v>
      </c>
      <c r="TB36" s="8">
        <v>4030103</v>
      </c>
      <c r="TC36" s="2" t="s">
        <v>4671</v>
      </c>
      <c r="TD36" s="8">
        <v>37500</v>
      </c>
      <c r="TE36" s="2" t="s">
        <v>180</v>
      </c>
      <c r="TF36" s="8">
        <v>2829136</v>
      </c>
      <c r="TG36" s="8">
        <v>27096739</v>
      </c>
      <c r="TH36" s="2">
        <v>0</v>
      </c>
      <c r="TI36" s="8">
        <v>5700000</v>
      </c>
      <c r="TJ36" s="2" t="s">
        <v>4295</v>
      </c>
      <c r="TR36" s="8">
        <v>7000000</v>
      </c>
      <c r="TS36" s="8">
        <v>11514581</v>
      </c>
      <c r="TT36" s="2" t="s">
        <v>4671</v>
      </c>
      <c r="TU36" s="8">
        <v>37500</v>
      </c>
      <c r="TV36" s="2" t="s">
        <v>180</v>
      </c>
      <c r="TZ36" s="8">
        <v>2844658</v>
      </c>
      <c r="UA36" s="8">
        <v>27096739</v>
      </c>
      <c r="UB36" s="6">
        <v>12737500</v>
      </c>
      <c r="UC36" s="2">
        <v>0</v>
      </c>
      <c r="UD36" s="2">
        <v>80</v>
      </c>
      <c r="UE36" s="5">
        <v>240000</v>
      </c>
      <c r="UF36" s="6">
        <v>320000</v>
      </c>
      <c r="UG36" s="6">
        <v>335000</v>
      </c>
      <c r="UH36" s="6">
        <v>355100</v>
      </c>
      <c r="UI36" s="6">
        <v>28408000</v>
      </c>
      <c r="UJ36" s="6">
        <v>5113440</v>
      </c>
      <c r="UK36" s="2" t="s">
        <v>97</v>
      </c>
      <c r="UL36" s="6">
        <v>5113440</v>
      </c>
      <c r="UM36" s="6">
        <v>33521440</v>
      </c>
      <c r="UN36" s="6">
        <v>26696739</v>
      </c>
      <c r="UQ36" s="6">
        <v>0</v>
      </c>
      <c r="UR36" s="6">
        <v>37500</v>
      </c>
      <c r="US36" s="6">
        <v>37500</v>
      </c>
      <c r="UV36" s="6">
        <v>0</v>
      </c>
      <c r="UW36" s="6">
        <v>37500</v>
      </c>
      <c r="UX36" s="6">
        <v>0</v>
      </c>
      <c r="UY36" s="6">
        <v>37500</v>
      </c>
      <c r="UZ36" s="2" t="s">
        <v>1502</v>
      </c>
      <c r="VA36" s="2" t="s">
        <v>453</v>
      </c>
      <c r="VB36" s="2" t="s">
        <v>17</v>
      </c>
      <c r="VI36" s="388" t="s">
        <v>1447</v>
      </c>
      <c r="VJ36" s="2" t="s">
        <v>98</v>
      </c>
      <c r="VK36" s="2" t="s">
        <v>4672</v>
      </c>
      <c r="VL36" s="23">
        <f t="shared" si="22"/>
        <v>200</v>
      </c>
      <c r="VM36" s="17">
        <f t="shared" si="23"/>
        <v>2.5</v>
      </c>
      <c r="VN36" s="17" t="str">
        <f t="shared" si="24"/>
        <v>NC-GA-F</v>
      </c>
      <c r="VO36" s="17" t="str">
        <f t="shared" si="15"/>
        <v>NC-GA-F-ESS</v>
      </c>
      <c r="VP36" s="57">
        <v>1</v>
      </c>
      <c r="VQ36" s="17">
        <f t="shared" si="25"/>
        <v>1.1100000000000001</v>
      </c>
      <c r="VR36" s="14">
        <f t="shared" si="26"/>
        <v>1</v>
      </c>
      <c r="VS36" s="14">
        <f t="shared" si="27"/>
        <v>0.87</v>
      </c>
      <c r="VT36" s="12">
        <f t="shared" si="28"/>
        <v>0.85440000000000005</v>
      </c>
      <c r="VU36" s="29">
        <f t="shared" si="29"/>
        <v>5156838.0000000009</v>
      </c>
      <c r="VV36" s="29">
        <f t="shared" si="30"/>
        <v>64460.480000000003</v>
      </c>
      <c r="VW36" s="351" t="str">
        <f t="shared" si="16"/>
        <v>A</v>
      </c>
      <c r="VX36" s="12" t="str">
        <f t="shared" si="31"/>
        <v>NC-GA-ESS</v>
      </c>
      <c r="VY36" s="23">
        <f t="shared" si="17"/>
        <v>4</v>
      </c>
      <c r="WA36" s="12">
        <f t="shared" si="18"/>
        <v>0</v>
      </c>
      <c r="WB36" s="12">
        <f t="shared" si="19"/>
        <v>1</v>
      </c>
      <c r="WC36" s="12">
        <f t="shared" si="19"/>
        <v>0</v>
      </c>
      <c r="WD36" s="12">
        <f t="shared" si="19"/>
        <v>1</v>
      </c>
      <c r="WE36" s="12">
        <f t="shared" si="20"/>
        <v>1</v>
      </c>
      <c r="WF36" s="12">
        <f t="shared" si="32"/>
        <v>1</v>
      </c>
      <c r="WG36" s="12">
        <f t="shared" si="33"/>
        <v>0</v>
      </c>
      <c r="WH36" s="12">
        <f t="shared" si="34"/>
        <v>0</v>
      </c>
      <c r="WI36" s="31">
        <f t="shared" si="35"/>
        <v>4</v>
      </c>
      <c r="WK36" s="444" t="str">
        <f t="shared" si="21"/>
        <v>NC-GA-ESS-BBY-BRN-PHA-F</v>
      </c>
      <c r="WL36" s="444"/>
      <c r="WM36" s="444"/>
    </row>
    <row r="37" spans="1:611" x14ac:dyDescent="0.25">
      <c r="A37" s="2">
        <v>9192</v>
      </c>
      <c r="B37" s="2" t="s">
        <v>4673</v>
      </c>
      <c r="C37" s="2" t="s">
        <v>4205</v>
      </c>
      <c r="D37" s="3">
        <v>45128</v>
      </c>
      <c r="E37" s="2" t="s">
        <v>9</v>
      </c>
      <c r="F37" s="2">
        <v>1</v>
      </c>
      <c r="G37" s="2" t="s">
        <v>9</v>
      </c>
      <c r="H37" s="2">
        <v>1</v>
      </c>
      <c r="I37" s="2" t="s">
        <v>11</v>
      </c>
      <c r="J37" s="2">
        <v>0</v>
      </c>
      <c r="K37" s="2" t="s">
        <v>9</v>
      </c>
      <c r="L37" s="2">
        <v>1</v>
      </c>
      <c r="M37" s="2" t="s">
        <v>10</v>
      </c>
      <c r="N37" s="2">
        <v>0</v>
      </c>
      <c r="O37" s="2" t="s">
        <v>10</v>
      </c>
      <c r="P37" s="2">
        <v>0</v>
      </c>
      <c r="Q37" s="2" t="s">
        <v>11</v>
      </c>
      <c r="R37" s="2">
        <v>0</v>
      </c>
      <c r="S37" s="2" t="s">
        <v>9</v>
      </c>
      <c r="T37" s="2">
        <v>2</v>
      </c>
      <c r="U37" s="2" t="s">
        <v>9</v>
      </c>
      <c r="V37" s="2">
        <v>2</v>
      </c>
      <c r="W37" s="2" t="s">
        <v>9</v>
      </c>
      <c r="X37" s="2">
        <v>2</v>
      </c>
      <c r="Y37" s="2" t="s">
        <v>12</v>
      </c>
      <c r="Z37" s="2" t="s">
        <v>101</v>
      </c>
      <c r="AA37" s="2" t="s">
        <v>978</v>
      </c>
      <c r="AB37" s="2" t="s">
        <v>978</v>
      </c>
      <c r="AC37" s="2" t="s">
        <v>15</v>
      </c>
      <c r="AD37" s="2" t="s">
        <v>15</v>
      </c>
      <c r="AE37" s="2" t="s">
        <v>15</v>
      </c>
      <c r="AF37" s="2">
        <v>3</v>
      </c>
      <c r="AG37" s="2" t="s">
        <v>4674</v>
      </c>
      <c r="AH37" s="2" t="s">
        <v>17</v>
      </c>
      <c r="AI37" s="4">
        <v>0.15179000000000001</v>
      </c>
      <c r="AJ37" s="2" t="s">
        <v>17</v>
      </c>
      <c r="AK37" s="2" t="s">
        <v>9</v>
      </c>
      <c r="AL37" s="2" t="s">
        <v>17</v>
      </c>
      <c r="AM37" s="2" t="s">
        <v>17</v>
      </c>
      <c r="AN37" s="2" t="s">
        <v>17</v>
      </c>
      <c r="AO37" s="2" t="s">
        <v>9</v>
      </c>
      <c r="AP37" s="2" t="s">
        <v>17</v>
      </c>
      <c r="AQ37" s="2" t="s">
        <v>17</v>
      </c>
      <c r="AR37" s="2" t="s">
        <v>17</v>
      </c>
      <c r="AS37" s="2" t="s">
        <v>17</v>
      </c>
      <c r="AT37" s="2">
        <v>5</v>
      </c>
      <c r="AU37" s="5">
        <v>37500</v>
      </c>
      <c r="AV37" s="5">
        <v>460000</v>
      </c>
      <c r="AW37" s="2">
        <v>1</v>
      </c>
      <c r="AX37" s="2">
        <v>8</v>
      </c>
      <c r="AY37" s="2">
        <v>0</v>
      </c>
      <c r="AZ37" s="2">
        <v>17</v>
      </c>
      <c r="BA37" s="2">
        <v>0</v>
      </c>
      <c r="BB37" s="2">
        <v>1</v>
      </c>
      <c r="BC37" s="2">
        <v>0</v>
      </c>
      <c r="BD37" s="2">
        <v>0</v>
      </c>
      <c r="BE37" s="2">
        <v>1</v>
      </c>
      <c r="BF37" s="2">
        <v>1</v>
      </c>
      <c r="BG37" s="2">
        <v>0</v>
      </c>
      <c r="BH37" s="2">
        <v>0</v>
      </c>
      <c r="BI37" s="2">
        <v>13</v>
      </c>
      <c r="BJ37" s="2">
        <v>1</v>
      </c>
      <c r="BK37" s="2">
        <v>0</v>
      </c>
      <c r="BL37" s="2">
        <v>3</v>
      </c>
      <c r="BM37" s="2">
        <v>1</v>
      </c>
      <c r="BN37" s="2">
        <v>10</v>
      </c>
      <c r="BO37" s="2">
        <v>10</v>
      </c>
      <c r="BP37" s="2">
        <v>36.64</v>
      </c>
      <c r="BQ37" s="5">
        <v>9750000</v>
      </c>
      <c r="BR37" s="2">
        <v>1</v>
      </c>
      <c r="BS37" s="4">
        <v>0.06</v>
      </c>
      <c r="BT37" s="2" t="s">
        <v>9</v>
      </c>
      <c r="BU37" s="2" t="s">
        <v>17</v>
      </c>
      <c r="BV37" s="6">
        <v>68337.72</v>
      </c>
      <c r="BW37" s="2" t="s">
        <v>18</v>
      </c>
      <c r="BX37" s="2" t="s">
        <v>17</v>
      </c>
      <c r="BY37" s="2" t="s">
        <v>17</v>
      </c>
      <c r="BZ37" s="2" t="s">
        <v>17</v>
      </c>
      <c r="CA37" s="2" t="s">
        <v>17</v>
      </c>
      <c r="CB37" s="2" t="s">
        <v>17</v>
      </c>
      <c r="CC37" s="2" t="s">
        <v>17</v>
      </c>
      <c r="CE37" s="2" t="s">
        <v>4675</v>
      </c>
      <c r="CF37" s="2" t="s">
        <v>17</v>
      </c>
      <c r="CG37" s="2" t="s">
        <v>17</v>
      </c>
      <c r="DA37" s="2" t="s">
        <v>844</v>
      </c>
      <c r="DD37" s="2" t="s">
        <v>9</v>
      </c>
      <c r="DE37" s="2" t="s">
        <v>4676</v>
      </c>
      <c r="DF37" s="2" t="s">
        <v>846</v>
      </c>
      <c r="DG37" s="2" t="s">
        <v>847</v>
      </c>
      <c r="DH37" s="2" t="s">
        <v>848</v>
      </c>
      <c r="DI37" s="2">
        <v>92</v>
      </c>
      <c r="DJ37" s="2" t="s">
        <v>3836</v>
      </c>
      <c r="DK37" s="2">
        <v>2015</v>
      </c>
      <c r="DL37" s="2" t="s">
        <v>4209</v>
      </c>
      <c r="DM37" s="2" t="s">
        <v>4210</v>
      </c>
      <c r="DN37" s="2" t="s">
        <v>33</v>
      </c>
      <c r="DO37" s="2" t="s">
        <v>854</v>
      </c>
      <c r="DQ37" s="2" t="s">
        <v>855</v>
      </c>
      <c r="DR37" s="2" t="s">
        <v>856</v>
      </c>
      <c r="DS37" s="2">
        <v>1</v>
      </c>
      <c r="DT37" s="2" t="s">
        <v>4677</v>
      </c>
      <c r="DU37" s="2" t="s">
        <v>858</v>
      </c>
      <c r="DV37" s="2" t="s">
        <v>260</v>
      </c>
      <c r="DW37" s="2">
        <v>78216</v>
      </c>
      <c r="DX37" s="2" t="s">
        <v>859</v>
      </c>
      <c r="DZ37" s="2" t="s">
        <v>860</v>
      </c>
      <c r="EA37" s="2" t="s">
        <v>861</v>
      </c>
      <c r="EB37" s="2" t="s">
        <v>850</v>
      </c>
      <c r="EC37" s="2" t="s">
        <v>848</v>
      </c>
      <c r="ED37" s="2" t="s">
        <v>44</v>
      </c>
      <c r="EE37" s="2">
        <v>88</v>
      </c>
      <c r="EF37" s="2" t="s">
        <v>3841</v>
      </c>
      <c r="EG37" s="2">
        <v>3</v>
      </c>
      <c r="EH37" s="2" t="s">
        <v>46</v>
      </c>
      <c r="EI37" s="2" t="s">
        <v>47</v>
      </c>
      <c r="EJ37" s="2" t="s">
        <v>863</v>
      </c>
      <c r="EK37" s="2" t="s">
        <v>864</v>
      </c>
      <c r="EL37" s="2" t="s">
        <v>44</v>
      </c>
      <c r="EM37" s="2">
        <v>236</v>
      </c>
      <c r="EN37" s="2" t="s">
        <v>3841</v>
      </c>
      <c r="EO37" s="2">
        <v>17</v>
      </c>
      <c r="EP37" s="2" t="s">
        <v>46</v>
      </c>
      <c r="EQ37" s="2" t="s">
        <v>47</v>
      </c>
      <c r="ER37" s="2" t="s">
        <v>865</v>
      </c>
      <c r="ET37" s="2" t="s">
        <v>866</v>
      </c>
      <c r="EU37" s="2" t="s">
        <v>846</v>
      </c>
      <c r="EV37" s="2" t="s">
        <v>4678</v>
      </c>
      <c r="EW37" s="2" t="s">
        <v>869</v>
      </c>
      <c r="EX37" s="2" t="s">
        <v>701</v>
      </c>
      <c r="EY37" s="2">
        <v>30080</v>
      </c>
      <c r="EZ37" s="2" t="s">
        <v>870</v>
      </c>
      <c r="FB37" s="2" t="s">
        <v>871</v>
      </c>
      <c r="FC37" s="2" t="s">
        <v>872</v>
      </c>
      <c r="FE37" s="2" t="s">
        <v>873</v>
      </c>
      <c r="FF37" s="2" t="s">
        <v>4679</v>
      </c>
      <c r="FG37" s="2" t="s">
        <v>4680</v>
      </c>
      <c r="FH37" s="2" t="s">
        <v>396</v>
      </c>
      <c r="FI37" s="2" t="s">
        <v>39</v>
      </c>
      <c r="FJ37" s="2">
        <v>33607</v>
      </c>
      <c r="FK37" s="2" t="s">
        <v>876</v>
      </c>
      <c r="FM37" s="2" t="s">
        <v>877</v>
      </c>
      <c r="FN37" s="2" t="s">
        <v>4681</v>
      </c>
      <c r="FO37" s="2" t="s">
        <v>63</v>
      </c>
      <c r="FP37" s="2" t="s">
        <v>64</v>
      </c>
      <c r="FQ37" s="2" t="s">
        <v>9</v>
      </c>
      <c r="FR37" s="2" t="s">
        <v>17</v>
      </c>
      <c r="FS37" s="2" t="s">
        <v>17</v>
      </c>
      <c r="FT37" s="2" t="s">
        <v>9</v>
      </c>
      <c r="FX37" s="2">
        <v>0</v>
      </c>
      <c r="FY37" s="2">
        <v>0</v>
      </c>
      <c r="FZ37" s="4">
        <v>0</v>
      </c>
      <c r="GA37" s="4">
        <v>0</v>
      </c>
      <c r="GB37" s="2" t="s">
        <v>65</v>
      </c>
      <c r="GC37" s="2" t="s">
        <v>66</v>
      </c>
      <c r="GD37" s="2" t="s">
        <v>67</v>
      </c>
      <c r="GE37" s="2" t="s">
        <v>108</v>
      </c>
      <c r="GI37" s="2">
        <v>112</v>
      </c>
      <c r="GQ37" s="2">
        <v>112</v>
      </c>
      <c r="GR37" s="2" t="s">
        <v>878</v>
      </c>
      <c r="GS37" s="2" t="s">
        <v>70</v>
      </c>
      <c r="GT37" s="2" t="s">
        <v>4682</v>
      </c>
      <c r="GU37" s="2" t="s">
        <v>880</v>
      </c>
      <c r="GV37" s="2" t="s">
        <v>17</v>
      </c>
      <c r="GW37" s="2">
        <v>30.430700000000002</v>
      </c>
      <c r="GX37" s="2">
        <v>-87.232947999999993</v>
      </c>
      <c r="GZ37" s="2" t="s">
        <v>17</v>
      </c>
      <c r="HA37" s="2">
        <v>0</v>
      </c>
      <c r="HC37" s="2">
        <v>0</v>
      </c>
      <c r="HD37" s="2">
        <v>30.4307151044456</v>
      </c>
      <c r="HE37" s="2">
        <v>-87.235030917425206</v>
      </c>
      <c r="HF37" s="2">
        <v>0.12</v>
      </c>
      <c r="HG37" s="2">
        <v>6</v>
      </c>
      <c r="HH37" s="2">
        <v>30.4308526263913</v>
      </c>
      <c r="HI37" s="2">
        <v>-87.235192490278806</v>
      </c>
      <c r="HJ37" s="2">
        <v>0.13</v>
      </c>
      <c r="HK37" s="2">
        <v>30.430474659396499</v>
      </c>
      <c r="HL37" s="2">
        <v>-87.235189681652599</v>
      </c>
      <c r="HM37" s="2">
        <v>0.21</v>
      </c>
      <c r="HZ37" s="2" t="s">
        <v>881</v>
      </c>
      <c r="IA37" s="2">
        <v>0.44</v>
      </c>
      <c r="IB37" s="2">
        <v>3.5</v>
      </c>
      <c r="IC37" s="2" t="s">
        <v>883</v>
      </c>
      <c r="ID37" s="2">
        <v>0.12</v>
      </c>
      <c r="IE37" s="2">
        <v>4</v>
      </c>
      <c r="IF37" s="2" t="s">
        <v>884</v>
      </c>
      <c r="IG37" s="2">
        <v>0.16</v>
      </c>
      <c r="IH37" s="2">
        <v>4</v>
      </c>
      <c r="IL37" s="2" t="s">
        <v>17</v>
      </c>
      <c r="IM37" s="2" t="s">
        <v>17</v>
      </c>
      <c r="IO37" s="2" t="s">
        <v>17</v>
      </c>
      <c r="IP37" s="2" t="s">
        <v>79</v>
      </c>
      <c r="IQ37" s="2" t="s">
        <v>79</v>
      </c>
      <c r="IR37" s="2">
        <v>6</v>
      </c>
      <c r="IS37" s="2">
        <v>11.5</v>
      </c>
      <c r="IT37" s="2">
        <v>0</v>
      </c>
      <c r="IU37" s="2">
        <v>17.5</v>
      </c>
      <c r="IV37" s="2" t="s">
        <v>80</v>
      </c>
      <c r="IW37" s="2" t="s">
        <v>9</v>
      </c>
      <c r="IX37" s="2" t="s">
        <v>9</v>
      </c>
      <c r="IY37" s="2">
        <v>17.5</v>
      </c>
      <c r="IZ37" s="2">
        <v>112</v>
      </c>
      <c r="JB37" s="2" t="s">
        <v>82</v>
      </c>
      <c r="JH37" s="7">
        <v>0</v>
      </c>
      <c r="JI37" s="2">
        <v>0</v>
      </c>
      <c r="JJ37" s="7">
        <v>0</v>
      </c>
      <c r="JK37" s="2">
        <v>0</v>
      </c>
      <c r="JL37" s="7">
        <v>0</v>
      </c>
      <c r="JN37" s="2">
        <v>17</v>
      </c>
      <c r="JQ37" s="2">
        <v>72</v>
      </c>
      <c r="JS37" s="2">
        <v>23</v>
      </c>
      <c r="JT37" s="2">
        <v>0</v>
      </c>
      <c r="JU37" s="2">
        <v>0</v>
      </c>
      <c r="JV37" s="2">
        <v>112</v>
      </c>
      <c r="JW37" s="4">
        <v>1</v>
      </c>
      <c r="JX37" s="2">
        <v>112</v>
      </c>
      <c r="JY37" s="4">
        <v>0.59553999999999996</v>
      </c>
      <c r="KE37" s="7">
        <v>0</v>
      </c>
      <c r="KF37" s="2">
        <v>0</v>
      </c>
      <c r="KH37" s="2">
        <v>18</v>
      </c>
      <c r="KK37" s="2">
        <v>36</v>
      </c>
      <c r="KL37" s="2">
        <v>38</v>
      </c>
      <c r="KN37" s="2">
        <v>20</v>
      </c>
      <c r="KQ37" s="2" t="s">
        <v>83</v>
      </c>
      <c r="KR37" s="2" t="s">
        <v>73</v>
      </c>
      <c r="KT37" s="2">
        <v>1</v>
      </c>
      <c r="KU37" s="2" t="s">
        <v>84</v>
      </c>
      <c r="KW37" s="2" t="s">
        <v>86</v>
      </c>
      <c r="KX37" s="2" t="s">
        <v>17</v>
      </c>
      <c r="KY37" s="2" t="s">
        <v>17</v>
      </c>
      <c r="KZ37" s="2" t="s">
        <v>17</v>
      </c>
      <c r="LA37" s="2" t="s">
        <v>17</v>
      </c>
      <c r="LB37" s="2" t="s">
        <v>17</v>
      </c>
      <c r="LC37" s="2" t="s">
        <v>17</v>
      </c>
      <c r="LD37" s="2" t="s">
        <v>17</v>
      </c>
      <c r="LE37" s="2" t="s">
        <v>17</v>
      </c>
      <c r="LF37" s="2" t="s">
        <v>17</v>
      </c>
      <c r="LG37" s="2" t="s">
        <v>17</v>
      </c>
      <c r="LH37" s="2" t="s">
        <v>17</v>
      </c>
      <c r="LI37" s="2" t="s">
        <v>17</v>
      </c>
      <c r="LJ37" s="2" t="s">
        <v>87</v>
      </c>
      <c r="LK37" s="2" t="s">
        <v>17</v>
      </c>
      <c r="LL37" s="2" t="s">
        <v>17</v>
      </c>
      <c r="LM37" s="2">
        <v>0</v>
      </c>
      <c r="LN37" s="2" t="s">
        <v>17</v>
      </c>
      <c r="LO37" s="2" t="s">
        <v>9</v>
      </c>
      <c r="LP37" s="2" t="s">
        <v>17</v>
      </c>
      <c r="LQ37" s="2" t="s">
        <v>9</v>
      </c>
      <c r="LR37" s="2" t="s">
        <v>9</v>
      </c>
      <c r="LS37" s="2" t="s">
        <v>17</v>
      </c>
      <c r="LT37" s="2" t="s">
        <v>17</v>
      </c>
      <c r="LU37" s="2" t="s">
        <v>17</v>
      </c>
      <c r="LV37" s="2" t="s">
        <v>17</v>
      </c>
      <c r="LW37" s="2" t="s">
        <v>17</v>
      </c>
      <c r="LX37" s="2" t="s">
        <v>17</v>
      </c>
      <c r="LY37" s="5">
        <v>6500000</v>
      </c>
      <c r="LZ37" s="5">
        <v>0</v>
      </c>
      <c r="MA37" s="5">
        <v>9500000</v>
      </c>
      <c r="MB37" s="5">
        <v>9000000</v>
      </c>
      <c r="MC37" s="5">
        <v>9000000</v>
      </c>
      <c r="MD37" s="5">
        <v>750000</v>
      </c>
      <c r="ME37" s="5">
        <v>750000</v>
      </c>
      <c r="MF37" s="5">
        <v>750000</v>
      </c>
      <c r="MG37" s="5">
        <v>10000000</v>
      </c>
      <c r="MH37" s="5">
        <v>0</v>
      </c>
      <c r="MI37" s="5">
        <v>10000000</v>
      </c>
      <c r="MJ37" s="5">
        <v>0</v>
      </c>
      <c r="MK37" s="5">
        <v>857200</v>
      </c>
      <c r="ML37" s="5">
        <v>0</v>
      </c>
      <c r="MM37" s="5">
        <v>0</v>
      </c>
      <c r="MN37" s="2">
        <v>0</v>
      </c>
      <c r="MO37" s="5">
        <v>0</v>
      </c>
      <c r="MP37" s="5">
        <v>0</v>
      </c>
      <c r="MQ37" s="2">
        <v>0</v>
      </c>
      <c r="MR37" s="2">
        <v>0</v>
      </c>
      <c r="MS37" s="2">
        <v>0</v>
      </c>
      <c r="MT37" s="5">
        <v>2950000</v>
      </c>
      <c r="MU37" s="5">
        <v>0</v>
      </c>
      <c r="MV37" s="5">
        <v>4600000</v>
      </c>
      <c r="MW37" s="5">
        <v>0</v>
      </c>
      <c r="MY37" s="5">
        <v>0</v>
      </c>
      <c r="MZ37" s="5">
        <v>0</v>
      </c>
      <c r="NA37" s="5">
        <v>0</v>
      </c>
      <c r="NB37" s="5">
        <v>2500000</v>
      </c>
      <c r="NC37" s="5">
        <v>0</v>
      </c>
      <c r="ND37" s="5">
        <v>5000000</v>
      </c>
      <c r="NE37" s="5">
        <v>0</v>
      </c>
      <c r="NF37" s="5">
        <v>0</v>
      </c>
      <c r="NG37" s="5">
        <v>0</v>
      </c>
      <c r="NH37" s="5"/>
      <c r="NI37" s="5">
        <v>0</v>
      </c>
      <c r="NJ37" s="5">
        <v>1790684</v>
      </c>
      <c r="NK37" s="2" t="s">
        <v>17</v>
      </c>
      <c r="NL37" s="2">
        <v>2023</v>
      </c>
      <c r="NM37" s="2" t="s">
        <v>17</v>
      </c>
      <c r="NO37" s="2" t="s">
        <v>17</v>
      </c>
      <c r="NR37" s="2" t="s">
        <v>17</v>
      </c>
      <c r="NT37" s="2" t="s">
        <v>9</v>
      </c>
      <c r="NU37" s="2" t="s">
        <v>450</v>
      </c>
      <c r="NV37" s="2">
        <v>18</v>
      </c>
      <c r="NW37" s="2" t="s">
        <v>885</v>
      </c>
      <c r="NX37" s="2" t="s">
        <v>118</v>
      </c>
      <c r="NY37" s="2" t="s">
        <v>118</v>
      </c>
      <c r="NZ37" s="2" t="s">
        <v>118</v>
      </c>
      <c r="OA37" s="2" t="s">
        <v>17</v>
      </c>
      <c r="OB37" s="2" t="s">
        <v>119</v>
      </c>
      <c r="OF37" s="2" t="s">
        <v>17</v>
      </c>
      <c r="OG37" s="2" t="s">
        <v>17</v>
      </c>
      <c r="OH37" s="2" t="s">
        <v>85</v>
      </c>
      <c r="OI37" s="6">
        <v>0</v>
      </c>
      <c r="OJ37" s="6">
        <v>270000</v>
      </c>
      <c r="OK37" s="2" t="s">
        <v>17</v>
      </c>
      <c r="OL37" s="2" t="s">
        <v>17</v>
      </c>
      <c r="OM37" s="6">
        <v>0</v>
      </c>
      <c r="ON37" s="6">
        <v>0</v>
      </c>
      <c r="OO37" s="6">
        <v>0</v>
      </c>
      <c r="OP37" s="6">
        <v>0</v>
      </c>
      <c r="OQ37" s="4">
        <v>0</v>
      </c>
      <c r="OR37" s="6">
        <v>0</v>
      </c>
      <c r="OS37" s="4">
        <v>0</v>
      </c>
      <c r="OT37" s="2" t="s">
        <v>17</v>
      </c>
      <c r="OU37" s="2" t="s">
        <v>17</v>
      </c>
      <c r="OW37" s="2" t="s">
        <v>17</v>
      </c>
      <c r="OX37" s="5">
        <v>7653825</v>
      </c>
      <c r="OY37" s="6">
        <v>68337.72</v>
      </c>
      <c r="OZ37" s="2">
        <v>0</v>
      </c>
      <c r="PB37" s="2">
        <v>0</v>
      </c>
      <c r="PD37" s="8">
        <v>18030880</v>
      </c>
      <c r="PE37" s="2">
        <v>0</v>
      </c>
      <c r="PF37" s="8">
        <v>18030880</v>
      </c>
      <c r="PG37" s="8">
        <v>2688000</v>
      </c>
      <c r="PI37" s="8">
        <v>2688000</v>
      </c>
      <c r="PJ37" s="2">
        <v>0</v>
      </c>
      <c r="PL37" s="2">
        <v>0</v>
      </c>
      <c r="PO37" s="8">
        <v>20718880</v>
      </c>
      <c r="PQ37" s="8">
        <v>20718880</v>
      </c>
      <c r="PR37" s="8">
        <v>2900643</v>
      </c>
      <c r="PT37" s="8">
        <v>2900643</v>
      </c>
      <c r="PU37" s="6">
        <v>2900643</v>
      </c>
      <c r="PV37" s="8">
        <v>23619523</v>
      </c>
      <c r="PX37" s="8">
        <v>23619523</v>
      </c>
      <c r="PY37" s="8">
        <v>1180976</v>
      </c>
      <c r="QA37" s="8">
        <v>1180976</v>
      </c>
      <c r="QB37" s="6">
        <v>1180976.1499999999</v>
      </c>
      <c r="QC37" s="8">
        <v>1202450</v>
      </c>
      <c r="QD37" s="8">
        <v>47100</v>
      </c>
      <c r="QE37" s="8">
        <v>1249550</v>
      </c>
      <c r="QF37" s="8">
        <v>318495</v>
      </c>
      <c r="QG37" s="2">
        <v>0</v>
      </c>
      <c r="QH37" s="8">
        <v>318495</v>
      </c>
      <c r="QI37" s="8">
        <v>533113</v>
      </c>
      <c r="QJ37" s="2">
        <v>0</v>
      </c>
      <c r="QK37" s="8">
        <v>533113</v>
      </c>
      <c r="QL37" s="2">
        <v>0</v>
      </c>
      <c r="QM37" s="8">
        <v>285214</v>
      </c>
      <c r="QN37" s="8">
        <v>285214</v>
      </c>
      <c r="QO37" s="2">
        <v>0</v>
      </c>
      <c r="QP37" s="2">
        <v>0</v>
      </c>
      <c r="QR37" s="8">
        <v>161594</v>
      </c>
      <c r="QT37" s="8">
        <v>161594</v>
      </c>
      <c r="QU37" s="8">
        <v>2215652</v>
      </c>
      <c r="QV37" s="8">
        <v>332314</v>
      </c>
      <c r="QW37" s="8">
        <v>2547966</v>
      </c>
      <c r="QX37" s="8">
        <v>127398</v>
      </c>
      <c r="QY37" s="2">
        <v>0</v>
      </c>
      <c r="QZ37" s="8">
        <v>127398</v>
      </c>
      <c r="RA37" s="6">
        <v>127398.3</v>
      </c>
      <c r="RB37" s="8">
        <v>1849050</v>
      </c>
      <c r="RC37" s="2">
        <v>0</v>
      </c>
      <c r="RD37" s="8">
        <v>1849050</v>
      </c>
      <c r="RE37" s="8">
        <v>918600</v>
      </c>
      <c r="RF37" s="8">
        <v>918600</v>
      </c>
      <c r="RG37" s="2">
        <v>0</v>
      </c>
      <c r="RH37" s="2">
        <v>0</v>
      </c>
      <c r="RJ37" s="8">
        <v>1849050</v>
      </c>
      <c r="RK37" s="8">
        <v>918600</v>
      </c>
      <c r="RL37" s="8">
        <v>2767650</v>
      </c>
      <c r="RM37" s="2">
        <v>0</v>
      </c>
      <c r="RO37" s="2">
        <v>0</v>
      </c>
      <c r="RT37" s="8">
        <v>28992599</v>
      </c>
      <c r="RU37" s="8">
        <v>1250914</v>
      </c>
      <c r="RV37" s="8">
        <v>30243513</v>
      </c>
      <c r="RW37" s="2">
        <v>0</v>
      </c>
      <c r="RX37" s="2">
        <v>0</v>
      </c>
      <c r="RY37" s="2">
        <v>0</v>
      </c>
      <c r="RZ37" s="6">
        <v>0</v>
      </c>
      <c r="SA37" s="8">
        <v>5443832</v>
      </c>
      <c r="SC37" s="8">
        <v>5443832</v>
      </c>
      <c r="SD37" s="6">
        <v>5443832</v>
      </c>
      <c r="SE37" s="8">
        <v>5443832</v>
      </c>
      <c r="SF37" s="8">
        <v>5443832</v>
      </c>
      <c r="SG37" s="6">
        <v>5443832</v>
      </c>
      <c r="SH37" s="8">
        <v>392000</v>
      </c>
      <c r="SI37" s="8">
        <v>392000</v>
      </c>
      <c r="SJ37" s="6">
        <v>392000</v>
      </c>
      <c r="SK37" s="8">
        <v>1750000</v>
      </c>
      <c r="SL37" s="8">
        <v>1750000</v>
      </c>
      <c r="SM37" s="8">
        <v>34436431</v>
      </c>
      <c r="SN37" s="8">
        <v>3392914</v>
      </c>
      <c r="SO37" s="8">
        <v>37829345</v>
      </c>
      <c r="SP37" s="8">
        <v>22000000</v>
      </c>
      <c r="SQ37" s="2" t="s">
        <v>4220</v>
      </c>
      <c r="SR37" s="8">
        <v>37500</v>
      </c>
      <c r="SS37" s="2" t="s">
        <v>180</v>
      </c>
      <c r="SX37" s="8">
        <v>9750000</v>
      </c>
      <c r="SY37" s="2" t="s">
        <v>96</v>
      </c>
      <c r="SZ37" s="2" t="s">
        <v>96</v>
      </c>
      <c r="TA37" s="2" t="s">
        <v>96</v>
      </c>
      <c r="TB37" s="8">
        <v>3276571</v>
      </c>
      <c r="TF37" s="8">
        <v>2765274</v>
      </c>
      <c r="TG37" s="8">
        <v>37829345</v>
      </c>
      <c r="TH37" s="2">
        <v>0</v>
      </c>
      <c r="TI37" s="8">
        <v>10100000</v>
      </c>
      <c r="TJ37" s="2" t="s">
        <v>4220</v>
      </c>
      <c r="TK37" s="8">
        <v>37500</v>
      </c>
      <c r="TL37" s="2" t="s">
        <v>180</v>
      </c>
      <c r="TR37" s="8">
        <v>9750000</v>
      </c>
      <c r="TS37" s="8">
        <v>16382855</v>
      </c>
      <c r="TZ37" s="8">
        <v>1558990</v>
      </c>
      <c r="UA37" s="8">
        <v>37829345</v>
      </c>
      <c r="UB37" s="6">
        <v>19887500</v>
      </c>
      <c r="UC37" s="2">
        <v>0</v>
      </c>
      <c r="UD37" s="2">
        <v>112</v>
      </c>
      <c r="UE37" s="5">
        <v>270000</v>
      </c>
      <c r="UF37" s="6">
        <v>360000</v>
      </c>
      <c r="UG37" s="6">
        <v>367500</v>
      </c>
      <c r="UH37" s="6">
        <v>389550</v>
      </c>
      <c r="UI37" s="6">
        <v>43629600</v>
      </c>
      <c r="UJ37" s="6">
        <v>7853328</v>
      </c>
      <c r="UK37" s="2" t="s">
        <v>97</v>
      </c>
      <c r="UL37" s="6">
        <v>7853328</v>
      </c>
      <c r="UM37" s="6">
        <v>51482928</v>
      </c>
      <c r="UN37" s="6">
        <v>35687345</v>
      </c>
      <c r="UO37" s="6">
        <v>37500</v>
      </c>
      <c r="UQ37" s="6">
        <v>37500</v>
      </c>
      <c r="US37" s="6">
        <v>0</v>
      </c>
      <c r="UV37" s="6">
        <v>0</v>
      </c>
      <c r="UW37" s="6">
        <v>37500</v>
      </c>
      <c r="UX37" s="6">
        <v>0</v>
      </c>
      <c r="UY37" s="6">
        <v>37500</v>
      </c>
      <c r="UZ37" s="2" t="s">
        <v>4683</v>
      </c>
      <c r="VA37" s="2" t="s">
        <v>182</v>
      </c>
      <c r="VB37" s="2" t="s">
        <v>17</v>
      </c>
      <c r="VI37" s="388" t="s">
        <v>889</v>
      </c>
      <c r="VJ37" s="2" t="s">
        <v>98</v>
      </c>
      <c r="VK37" s="2" t="s">
        <v>4684</v>
      </c>
      <c r="VL37" s="23">
        <f t="shared" si="22"/>
        <v>284</v>
      </c>
      <c r="VM37" s="17">
        <f t="shared" si="23"/>
        <v>2.5357142857142856</v>
      </c>
      <c r="VN37" s="17" t="str">
        <f t="shared" si="24"/>
        <v>NC-MR-F</v>
      </c>
      <c r="VO37" s="17" t="str">
        <f t="shared" si="15"/>
        <v>NC-MR-F-ESS</v>
      </c>
      <c r="VP37" s="57">
        <v>1</v>
      </c>
      <c r="VQ37" s="17">
        <f t="shared" si="25"/>
        <v>1.1100000000000001</v>
      </c>
      <c r="VR37" s="14">
        <f t="shared" si="26"/>
        <v>1</v>
      </c>
      <c r="VS37" s="14">
        <f t="shared" si="27"/>
        <v>1</v>
      </c>
      <c r="VT37" s="12">
        <f t="shared" si="28"/>
        <v>0.8448</v>
      </c>
      <c r="VU37" s="29">
        <f t="shared" si="29"/>
        <v>8439552</v>
      </c>
      <c r="VV37" s="29">
        <f t="shared" si="30"/>
        <v>75353.14</v>
      </c>
      <c r="VW37" s="351" t="str">
        <f t="shared" si="16"/>
        <v>A</v>
      </c>
      <c r="VX37" s="12" t="str">
        <f t="shared" si="31"/>
        <v>NC-MR-ESS</v>
      </c>
      <c r="VY37" s="23">
        <f t="shared" si="17"/>
        <v>4</v>
      </c>
      <c r="WA37" s="12">
        <f t="shared" si="18"/>
        <v>0</v>
      </c>
      <c r="WB37" s="12">
        <f t="shared" si="19"/>
        <v>1</v>
      </c>
      <c r="WC37" s="12">
        <f t="shared" si="19"/>
        <v>0</v>
      </c>
      <c r="WD37" s="12">
        <f t="shared" si="19"/>
        <v>0</v>
      </c>
      <c r="WE37" s="12">
        <f t="shared" si="20"/>
        <v>1</v>
      </c>
      <c r="WF37" s="12">
        <f t="shared" si="32"/>
        <v>0</v>
      </c>
      <c r="WG37" s="12">
        <f t="shared" si="33"/>
        <v>1</v>
      </c>
      <c r="WH37" s="12">
        <f t="shared" si="34"/>
        <v>0</v>
      </c>
      <c r="WI37" s="31">
        <f t="shared" si="35"/>
        <v>3</v>
      </c>
      <c r="WK37" s="444" t="str">
        <f t="shared" si="21"/>
        <v>NC-MR-ESS-BBY-BRN-NPH-F</v>
      </c>
      <c r="WL37" s="444"/>
      <c r="WM37" s="444"/>
    </row>
    <row r="38" spans="1:611" x14ac:dyDescent="0.25">
      <c r="A38" s="2">
        <v>9322</v>
      </c>
      <c r="B38" s="2" t="s">
        <v>4685</v>
      </c>
      <c r="C38" s="2" t="s">
        <v>4205</v>
      </c>
      <c r="D38" s="3">
        <v>45128</v>
      </c>
      <c r="E38" s="2" t="s">
        <v>9</v>
      </c>
      <c r="F38" s="2">
        <v>1</v>
      </c>
      <c r="G38" s="2" t="s">
        <v>9</v>
      </c>
      <c r="H38" s="2">
        <v>1</v>
      </c>
      <c r="I38" s="2" t="s">
        <v>11</v>
      </c>
      <c r="J38" s="2">
        <v>0</v>
      </c>
      <c r="K38" s="2" t="s">
        <v>9</v>
      </c>
      <c r="L38" s="2">
        <v>1</v>
      </c>
      <c r="M38" s="2" t="s">
        <v>10</v>
      </c>
      <c r="N38" s="2">
        <v>0</v>
      </c>
      <c r="O38" s="2" t="s">
        <v>10</v>
      </c>
      <c r="P38" s="2">
        <v>0</v>
      </c>
      <c r="Q38" s="2" t="s">
        <v>11</v>
      </c>
      <c r="R38" s="2">
        <v>0</v>
      </c>
      <c r="S38" s="2" t="s">
        <v>9</v>
      </c>
      <c r="T38" s="2">
        <v>2</v>
      </c>
      <c r="U38" s="2" t="s">
        <v>9</v>
      </c>
      <c r="V38" s="2">
        <v>2</v>
      </c>
      <c r="W38" s="2" t="s">
        <v>9</v>
      </c>
      <c r="X38" s="2">
        <v>2</v>
      </c>
      <c r="Y38" s="2" t="s">
        <v>12</v>
      </c>
      <c r="Z38" s="2" t="s">
        <v>13</v>
      </c>
      <c r="AA38" s="2" t="s">
        <v>188</v>
      </c>
      <c r="AB38" s="2" t="s">
        <v>189</v>
      </c>
      <c r="AC38" s="2" t="s">
        <v>15</v>
      </c>
      <c r="AD38" s="2" t="s">
        <v>15</v>
      </c>
      <c r="AE38" s="2" t="s">
        <v>15</v>
      </c>
      <c r="AF38" s="2">
        <v>3</v>
      </c>
      <c r="AG38" s="2" t="s">
        <v>190</v>
      </c>
      <c r="AH38" s="2" t="s">
        <v>17</v>
      </c>
      <c r="AI38" s="4">
        <v>0.1</v>
      </c>
      <c r="AJ38" s="2" t="s">
        <v>17</v>
      </c>
      <c r="AK38" s="2" t="s">
        <v>9</v>
      </c>
      <c r="AL38" s="2" t="s">
        <v>17</v>
      </c>
      <c r="AM38" s="2" t="s">
        <v>17</v>
      </c>
      <c r="AN38" s="2" t="s">
        <v>17</v>
      </c>
      <c r="AO38" s="2" t="s">
        <v>9</v>
      </c>
      <c r="AP38" s="2" t="s">
        <v>17</v>
      </c>
      <c r="AQ38" s="2" t="s">
        <v>17</v>
      </c>
      <c r="AR38" s="2" t="s">
        <v>17</v>
      </c>
      <c r="AS38" s="2" t="s">
        <v>17</v>
      </c>
      <c r="AT38" s="2">
        <v>5</v>
      </c>
      <c r="AU38" s="5">
        <v>37500</v>
      </c>
      <c r="AV38" s="5">
        <v>460000</v>
      </c>
      <c r="AW38" s="2">
        <v>0</v>
      </c>
      <c r="AX38" s="2">
        <v>7</v>
      </c>
      <c r="AY38" s="2">
        <v>0</v>
      </c>
      <c r="AZ38" s="2">
        <v>17</v>
      </c>
      <c r="BA38" s="2">
        <v>0</v>
      </c>
      <c r="BB38" s="2">
        <v>1</v>
      </c>
      <c r="BC38" s="2">
        <v>2</v>
      </c>
      <c r="BD38" s="2">
        <v>0</v>
      </c>
      <c r="BE38" s="2">
        <v>0</v>
      </c>
      <c r="BF38" s="2">
        <v>1</v>
      </c>
      <c r="BG38" s="2">
        <v>0</v>
      </c>
      <c r="BH38" s="2">
        <v>0</v>
      </c>
      <c r="BI38" s="2">
        <v>13</v>
      </c>
      <c r="BJ38" s="2">
        <v>1</v>
      </c>
      <c r="BK38" s="2">
        <v>0</v>
      </c>
      <c r="BL38" s="2">
        <v>2</v>
      </c>
      <c r="BM38" s="2">
        <v>1</v>
      </c>
      <c r="BN38" s="2">
        <v>9</v>
      </c>
      <c r="BO38" s="2">
        <v>10</v>
      </c>
      <c r="BP38" s="2">
        <v>40.89</v>
      </c>
      <c r="BQ38" s="5">
        <v>7826700</v>
      </c>
      <c r="BR38" s="2">
        <v>1</v>
      </c>
      <c r="BS38" s="4">
        <v>0.06</v>
      </c>
      <c r="BT38" s="2" t="s">
        <v>9</v>
      </c>
      <c r="BU38" s="2" t="s">
        <v>17</v>
      </c>
      <c r="BV38" s="6">
        <v>70843.679999999993</v>
      </c>
      <c r="BW38" s="2" t="s">
        <v>126</v>
      </c>
      <c r="BX38" s="2" t="s">
        <v>17</v>
      </c>
      <c r="BY38" s="2" t="s">
        <v>17</v>
      </c>
      <c r="BZ38" s="2" t="s">
        <v>17</v>
      </c>
      <c r="CA38" s="2" t="s">
        <v>17</v>
      </c>
      <c r="CB38" s="2" t="s">
        <v>17</v>
      </c>
      <c r="CC38" s="2" t="s">
        <v>17</v>
      </c>
      <c r="CD38" s="2" t="s">
        <v>9</v>
      </c>
      <c r="CE38" s="2" t="s">
        <v>687</v>
      </c>
      <c r="CF38" s="2" t="s">
        <v>17</v>
      </c>
      <c r="CG38" s="2" t="s">
        <v>17</v>
      </c>
      <c r="DA38" s="2" t="s">
        <v>688</v>
      </c>
      <c r="DB38" s="2" t="s">
        <v>689</v>
      </c>
      <c r="DD38" s="2" t="s">
        <v>9</v>
      </c>
      <c r="DE38" s="2" t="s">
        <v>690</v>
      </c>
      <c r="DF38" s="2" t="s">
        <v>688</v>
      </c>
      <c r="DG38" s="2" t="s">
        <v>4686</v>
      </c>
      <c r="DH38" s="2" t="s">
        <v>692</v>
      </c>
      <c r="DI38" s="2">
        <v>200</v>
      </c>
      <c r="DJ38" s="2" t="s">
        <v>3904</v>
      </c>
      <c r="DK38" s="2">
        <v>2018</v>
      </c>
      <c r="DL38" s="2" t="s">
        <v>4209</v>
      </c>
      <c r="DM38" s="2" t="s">
        <v>4210</v>
      </c>
      <c r="DN38" s="2" t="s">
        <v>33</v>
      </c>
      <c r="DO38" s="2" t="s">
        <v>4687</v>
      </c>
      <c r="DQ38" s="2" t="s">
        <v>697</v>
      </c>
      <c r="DR38" s="2" t="s">
        <v>698</v>
      </c>
      <c r="DS38" s="2">
        <v>1</v>
      </c>
      <c r="DT38" s="2" t="s">
        <v>699</v>
      </c>
      <c r="DU38" s="2" t="s">
        <v>708</v>
      </c>
      <c r="DV38" s="2" t="s">
        <v>701</v>
      </c>
      <c r="DW38" s="2">
        <v>30309</v>
      </c>
      <c r="DX38" s="2" t="s">
        <v>702</v>
      </c>
      <c r="DZ38" s="2" t="s">
        <v>703</v>
      </c>
      <c r="EA38" s="2" t="s">
        <v>698</v>
      </c>
      <c r="EB38" s="2" t="s">
        <v>4686</v>
      </c>
      <c r="EC38" s="2" t="s">
        <v>692</v>
      </c>
      <c r="ED38" s="2" t="s">
        <v>44</v>
      </c>
      <c r="EE38" s="2">
        <v>200</v>
      </c>
      <c r="EF38" s="2" t="s">
        <v>3906</v>
      </c>
      <c r="EG38" s="2">
        <v>4</v>
      </c>
      <c r="EH38" s="2" t="s">
        <v>46</v>
      </c>
      <c r="EI38" s="2" t="s">
        <v>47</v>
      </c>
      <c r="EJ38" s="2" t="s">
        <v>704</v>
      </c>
      <c r="EK38" s="2" t="s">
        <v>705</v>
      </c>
      <c r="EL38" s="2" t="s">
        <v>44</v>
      </c>
      <c r="EM38" s="2">
        <v>100</v>
      </c>
      <c r="EN38" s="2" t="s">
        <v>3906</v>
      </c>
      <c r="EO38" s="2">
        <v>4</v>
      </c>
      <c r="EP38" s="2" t="s">
        <v>46</v>
      </c>
      <c r="EQ38" s="2" t="s">
        <v>47</v>
      </c>
      <c r="ER38" s="2" t="s">
        <v>706</v>
      </c>
      <c r="ET38" s="2" t="s">
        <v>707</v>
      </c>
      <c r="EU38" s="2" t="s">
        <v>687</v>
      </c>
      <c r="EV38" s="2" t="s">
        <v>699</v>
      </c>
      <c r="EW38" s="2" t="s">
        <v>700</v>
      </c>
      <c r="EX38" s="2" t="s">
        <v>701</v>
      </c>
      <c r="EY38" s="2">
        <v>30309</v>
      </c>
      <c r="EZ38" s="2" t="s">
        <v>709</v>
      </c>
      <c r="FB38" s="2" t="s">
        <v>710</v>
      </c>
      <c r="FC38" s="2" t="s">
        <v>711</v>
      </c>
      <c r="FE38" s="2" t="s">
        <v>712</v>
      </c>
      <c r="FF38" s="2" t="s">
        <v>687</v>
      </c>
      <c r="FG38" s="2" t="s">
        <v>699</v>
      </c>
      <c r="FH38" s="2" t="s">
        <v>700</v>
      </c>
      <c r="FI38" s="2" t="s">
        <v>701</v>
      </c>
      <c r="FJ38" s="2">
        <v>30309</v>
      </c>
      <c r="FK38" s="2" t="s">
        <v>714</v>
      </c>
      <c r="FM38" s="2" t="s">
        <v>715</v>
      </c>
      <c r="FN38" s="2" t="s">
        <v>716</v>
      </c>
      <c r="FO38" s="2" t="s">
        <v>63</v>
      </c>
      <c r="FP38" s="2" t="s">
        <v>64</v>
      </c>
      <c r="FQ38" s="2" t="s">
        <v>9</v>
      </c>
      <c r="FR38" s="2" t="s">
        <v>17</v>
      </c>
      <c r="FS38" s="2" t="s">
        <v>17</v>
      </c>
      <c r="FT38" s="2" t="s">
        <v>9</v>
      </c>
      <c r="FX38" s="2">
        <v>0</v>
      </c>
      <c r="FY38" s="2">
        <v>0</v>
      </c>
      <c r="FZ38" s="4">
        <v>0</v>
      </c>
      <c r="GA38" s="4">
        <v>0</v>
      </c>
      <c r="GB38" s="2" t="s">
        <v>65</v>
      </c>
      <c r="GC38" s="2" t="s">
        <v>66</v>
      </c>
      <c r="GD38" s="2" t="s">
        <v>67</v>
      </c>
      <c r="GE38" s="2" t="s">
        <v>68</v>
      </c>
      <c r="GH38" s="2">
        <v>100</v>
      </c>
      <c r="GQ38" s="2">
        <v>100</v>
      </c>
      <c r="GR38" s="2" t="s">
        <v>219</v>
      </c>
      <c r="GS38" s="2" t="s">
        <v>70</v>
      </c>
      <c r="GT38" s="2" t="s">
        <v>4688</v>
      </c>
      <c r="GU38" s="2" t="s">
        <v>221</v>
      </c>
      <c r="GV38" s="2" t="s">
        <v>17</v>
      </c>
      <c r="GW38" s="2">
        <v>30.413388000000001</v>
      </c>
      <c r="GX38" s="2">
        <v>-84.268332000000001</v>
      </c>
      <c r="GZ38" s="2" t="s">
        <v>17</v>
      </c>
      <c r="HA38" s="2">
        <v>0</v>
      </c>
      <c r="HB38" s="2" t="s">
        <v>17</v>
      </c>
      <c r="HC38" s="2">
        <v>0</v>
      </c>
      <c r="HD38" s="2">
        <v>30.412773999999999</v>
      </c>
      <c r="HE38" s="2">
        <v>-84.268711999999994</v>
      </c>
      <c r="HF38" s="2">
        <v>0.05</v>
      </c>
      <c r="HG38" s="2">
        <v>6</v>
      </c>
      <c r="HH38" s="2">
        <v>30.412559000000002</v>
      </c>
      <c r="HI38" s="2">
        <v>-84.270826</v>
      </c>
      <c r="HJ38" s="2">
        <v>0.16</v>
      </c>
      <c r="HK38" s="2">
        <v>30.413070999999999</v>
      </c>
      <c r="HL38" s="2">
        <v>-84.264004999999997</v>
      </c>
      <c r="HM38" s="2">
        <v>0.26</v>
      </c>
      <c r="HZ38" s="2" t="s">
        <v>718</v>
      </c>
      <c r="IA38" s="2">
        <v>0.79</v>
      </c>
      <c r="IB38" s="2">
        <v>2.5</v>
      </c>
      <c r="II38" s="2" t="s">
        <v>721</v>
      </c>
      <c r="IJ38" s="2">
        <v>0.49</v>
      </c>
      <c r="IK38" s="2">
        <v>4</v>
      </c>
      <c r="IL38" s="2" t="s">
        <v>17</v>
      </c>
      <c r="IM38" s="2" t="s">
        <v>17</v>
      </c>
      <c r="IO38" s="2" t="s">
        <v>17</v>
      </c>
      <c r="IP38" s="2" t="s">
        <v>79</v>
      </c>
      <c r="IQ38" s="2" t="s">
        <v>79</v>
      </c>
      <c r="IR38" s="2">
        <v>6</v>
      </c>
      <c r="IS38" s="2">
        <v>6.5</v>
      </c>
      <c r="IT38" s="2">
        <v>0</v>
      </c>
      <c r="IU38" s="2">
        <v>12.5</v>
      </c>
      <c r="IV38" s="2" t="s">
        <v>80</v>
      </c>
      <c r="IW38" s="2" t="s">
        <v>9</v>
      </c>
      <c r="IX38" s="2" t="s">
        <v>9</v>
      </c>
      <c r="IY38" s="2">
        <v>12.5</v>
      </c>
      <c r="IZ38" s="2">
        <v>100</v>
      </c>
      <c r="JB38" s="2" t="s">
        <v>173</v>
      </c>
      <c r="JE38" s="7">
        <v>0.1</v>
      </c>
      <c r="JG38" s="7">
        <v>0.9</v>
      </c>
      <c r="JH38" s="7">
        <v>0</v>
      </c>
      <c r="JI38" s="2">
        <v>100</v>
      </c>
      <c r="JJ38" s="7">
        <v>1</v>
      </c>
      <c r="JK38" s="2">
        <v>100</v>
      </c>
      <c r="JL38" s="7">
        <v>1</v>
      </c>
      <c r="JT38" s="2">
        <v>0</v>
      </c>
      <c r="JU38" s="2">
        <v>0</v>
      </c>
      <c r="JV38" s="2">
        <v>0</v>
      </c>
      <c r="JW38" s="4">
        <v>0</v>
      </c>
      <c r="JX38" s="2">
        <v>0</v>
      </c>
      <c r="JY38" s="4">
        <v>0</v>
      </c>
      <c r="KB38" s="7">
        <v>0.1</v>
      </c>
      <c r="KD38" s="7">
        <v>0.9</v>
      </c>
      <c r="KE38" s="7">
        <v>1</v>
      </c>
      <c r="KF38" s="2">
        <v>100</v>
      </c>
      <c r="KH38" s="2">
        <v>89</v>
      </c>
      <c r="KI38" s="2">
        <v>11</v>
      </c>
      <c r="KQ38" s="2" t="s">
        <v>83</v>
      </c>
      <c r="KS38" s="2" t="s">
        <v>73</v>
      </c>
      <c r="KT38" s="2">
        <v>1</v>
      </c>
      <c r="KU38" s="2" t="s">
        <v>84</v>
      </c>
      <c r="KW38" s="2" t="s">
        <v>86</v>
      </c>
      <c r="KX38" s="2" t="s">
        <v>17</v>
      </c>
      <c r="KY38" s="2" t="s">
        <v>17</v>
      </c>
      <c r="KZ38" s="2" t="s">
        <v>17</v>
      </c>
      <c r="LA38" s="2" t="s">
        <v>17</v>
      </c>
      <c r="LB38" s="2" t="s">
        <v>17</v>
      </c>
      <c r="LC38" s="2" t="s">
        <v>17</v>
      </c>
      <c r="LD38" s="2" t="s">
        <v>17</v>
      </c>
      <c r="LE38" s="2" t="s">
        <v>17</v>
      </c>
      <c r="LF38" s="2" t="s">
        <v>17</v>
      </c>
      <c r="LG38" s="2" t="s">
        <v>17</v>
      </c>
      <c r="LH38" s="2" t="s">
        <v>17</v>
      </c>
      <c r="LI38" s="2" t="s">
        <v>17</v>
      </c>
      <c r="LJ38" s="2" t="s">
        <v>87</v>
      </c>
      <c r="LK38" s="2" t="s">
        <v>17</v>
      </c>
      <c r="LL38" s="2" t="s">
        <v>17</v>
      </c>
      <c r="LM38" s="2">
        <v>0</v>
      </c>
      <c r="LN38" s="2" t="s">
        <v>17</v>
      </c>
      <c r="LO38" s="2" t="s">
        <v>17</v>
      </c>
      <c r="LP38" s="2" t="s">
        <v>17</v>
      </c>
      <c r="LQ38" s="2" t="s">
        <v>17</v>
      </c>
      <c r="LR38" s="2" t="s">
        <v>17</v>
      </c>
      <c r="LS38" s="2" t="s">
        <v>17</v>
      </c>
      <c r="LT38" s="2" t="s">
        <v>9</v>
      </c>
      <c r="LU38" s="2" t="s">
        <v>9</v>
      </c>
      <c r="LV38" s="2" t="s">
        <v>17</v>
      </c>
      <c r="LW38" s="2" t="s">
        <v>17</v>
      </c>
      <c r="LX38" s="2" t="s">
        <v>9</v>
      </c>
      <c r="LY38" s="5">
        <v>6500000</v>
      </c>
      <c r="LZ38" s="5">
        <v>0</v>
      </c>
      <c r="MA38" s="5">
        <v>9500000</v>
      </c>
      <c r="MB38" s="5">
        <v>7200000</v>
      </c>
      <c r="MC38" s="5">
        <v>7200000</v>
      </c>
      <c r="MD38" s="5">
        <v>626700</v>
      </c>
      <c r="ME38" s="5">
        <v>626700</v>
      </c>
      <c r="MF38" s="5">
        <v>626700</v>
      </c>
      <c r="MG38" s="5">
        <v>10000000</v>
      </c>
      <c r="MH38" s="5">
        <v>0</v>
      </c>
      <c r="MI38" s="5">
        <v>10000000</v>
      </c>
      <c r="MJ38" s="5">
        <v>0</v>
      </c>
      <c r="MK38" s="5">
        <v>626700</v>
      </c>
      <c r="ML38" s="5">
        <v>0</v>
      </c>
      <c r="MM38" s="5">
        <v>0</v>
      </c>
      <c r="MN38" s="2">
        <v>0</v>
      </c>
      <c r="MO38" s="5">
        <v>0</v>
      </c>
      <c r="MP38" s="5">
        <v>0</v>
      </c>
      <c r="MQ38" s="2">
        <v>0</v>
      </c>
      <c r="MR38" s="2">
        <v>0</v>
      </c>
      <c r="MS38" s="2">
        <v>0</v>
      </c>
      <c r="MT38" s="5">
        <v>2950000</v>
      </c>
      <c r="MU38" s="5">
        <v>0</v>
      </c>
      <c r="MV38" s="5">
        <v>4600000</v>
      </c>
      <c r="MW38" s="5">
        <v>0</v>
      </c>
      <c r="MY38" s="5">
        <v>0</v>
      </c>
      <c r="MZ38" s="5">
        <v>0</v>
      </c>
      <c r="NA38" s="5">
        <v>0</v>
      </c>
      <c r="NB38" s="5">
        <v>2500000</v>
      </c>
      <c r="NC38" s="5">
        <v>0</v>
      </c>
      <c r="ND38" s="5">
        <v>5000000</v>
      </c>
      <c r="NE38" s="5">
        <v>0</v>
      </c>
      <c r="NF38" s="5">
        <v>0</v>
      </c>
      <c r="NG38" s="5">
        <v>0</v>
      </c>
      <c r="NH38" s="5"/>
      <c r="NI38" s="5">
        <v>0</v>
      </c>
      <c r="NJ38" s="5">
        <v>1506771</v>
      </c>
      <c r="NK38" s="2" t="s">
        <v>17</v>
      </c>
      <c r="NL38" s="2" t="s">
        <v>4292</v>
      </c>
      <c r="NM38" s="2" t="s">
        <v>17</v>
      </c>
      <c r="NO38" s="2" t="s">
        <v>17</v>
      </c>
      <c r="NR38" s="2" t="s">
        <v>17</v>
      </c>
      <c r="NT38" s="2" t="s">
        <v>9</v>
      </c>
      <c r="NU38" s="2" t="s">
        <v>450</v>
      </c>
      <c r="NV38" s="2">
        <v>10.01</v>
      </c>
      <c r="NW38" s="2" t="s">
        <v>723</v>
      </c>
      <c r="NX38" s="2" t="s">
        <v>118</v>
      </c>
      <c r="NY38" s="2" t="s">
        <v>118</v>
      </c>
      <c r="NZ38" s="2" t="s">
        <v>118</v>
      </c>
      <c r="OA38" s="2" t="s">
        <v>17</v>
      </c>
      <c r="OB38" s="2" t="s">
        <v>119</v>
      </c>
      <c r="OC38" s="5">
        <v>18000000</v>
      </c>
      <c r="OF38" s="2" t="s">
        <v>17</v>
      </c>
      <c r="OG38" s="2" t="s">
        <v>17</v>
      </c>
      <c r="OH38" s="2" t="s">
        <v>85</v>
      </c>
      <c r="OI38" s="6">
        <v>0</v>
      </c>
      <c r="OJ38" s="6">
        <v>216000</v>
      </c>
      <c r="OK38" s="2" t="s">
        <v>17</v>
      </c>
      <c r="OL38" s="2" t="s">
        <v>17</v>
      </c>
      <c r="OM38" s="6">
        <v>0</v>
      </c>
      <c r="ON38" s="6">
        <v>0</v>
      </c>
      <c r="OO38" s="6">
        <v>0</v>
      </c>
      <c r="OP38" s="6">
        <v>0</v>
      </c>
      <c r="OQ38" s="4">
        <v>0</v>
      </c>
      <c r="OR38" s="6">
        <v>0</v>
      </c>
      <c r="OS38" s="4">
        <v>0</v>
      </c>
      <c r="OT38" s="2" t="s">
        <v>17</v>
      </c>
      <c r="OU38" s="2" t="s">
        <v>9</v>
      </c>
      <c r="OV38" s="2" t="s">
        <v>724</v>
      </c>
      <c r="OW38" s="2" t="s">
        <v>17</v>
      </c>
      <c r="OX38" s="5">
        <v>7084368</v>
      </c>
      <c r="OY38" s="6">
        <v>70843.679999999993</v>
      </c>
      <c r="PD38" s="8">
        <v>15730000</v>
      </c>
      <c r="PF38" s="8">
        <v>15730000</v>
      </c>
      <c r="PG38" s="8">
        <v>1080000</v>
      </c>
      <c r="PH38" s="8">
        <v>120000</v>
      </c>
      <c r="PI38" s="8">
        <v>1200000</v>
      </c>
      <c r="PO38" s="8">
        <v>16810000</v>
      </c>
      <c r="PP38" s="8">
        <v>120000</v>
      </c>
      <c r="PQ38" s="8">
        <v>16930000</v>
      </c>
      <c r="PR38" s="8">
        <v>2353400</v>
      </c>
      <c r="PS38" s="8">
        <v>16800</v>
      </c>
      <c r="PT38" s="8">
        <v>2370200</v>
      </c>
      <c r="PU38" s="6">
        <v>2370200</v>
      </c>
      <c r="PV38" s="8">
        <v>19163400</v>
      </c>
      <c r="PW38" s="8">
        <v>136800</v>
      </c>
      <c r="PX38" s="8">
        <v>19300200</v>
      </c>
      <c r="PY38" s="8">
        <v>958170</v>
      </c>
      <c r="PZ38" s="8">
        <v>6840</v>
      </c>
      <c r="QA38" s="8">
        <v>965010</v>
      </c>
      <c r="QB38" s="6">
        <v>965010</v>
      </c>
      <c r="QC38" s="8">
        <v>1399500</v>
      </c>
      <c r="QD38" s="8">
        <v>155500</v>
      </c>
      <c r="QE38" s="8">
        <v>1555000</v>
      </c>
      <c r="QF38" s="8">
        <v>175000</v>
      </c>
      <c r="QH38" s="8">
        <v>175000</v>
      </c>
      <c r="QI38" s="8">
        <v>355500</v>
      </c>
      <c r="QJ38" s="8">
        <v>22500</v>
      </c>
      <c r="QK38" s="8">
        <v>378000</v>
      </c>
      <c r="QM38" s="8">
        <v>520250</v>
      </c>
      <c r="QN38" s="8">
        <v>520250</v>
      </c>
      <c r="QR38" s="8">
        <v>607500</v>
      </c>
      <c r="QS38" s="8">
        <v>67500</v>
      </c>
      <c r="QT38" s="8">
        <v>675000</v>
      </c>
      <c r="QU38" s="8">
        <v>2537500</v>
      </c>
      <c r="QV38" s="8">
        <v>765750</v>
      </c>
      <c r="QW38" s="8">
        <v>3303250</v>
      </c>
      <c r="QX38" s="8">
        <v>126875</v>
      </c>
      <c r="QY38" s="8">
        <v>30784</v>
      </c>
      <c r="QZ38" s="8">
        <v>157659</v>
      </c>
      <c r="RA38" s="6">
        <v>165162.5</v>
      </c>
      <c r="RB38" s="8">
        <v>532800</v>
      </c>
      <c r="RC38" s="8">
        <v>59200</v>
      </c>
      <c r="RD38" s="8">
        <v>592000</v>
      </c>
      <c r="RE38" s="8">
        <v>775500</v>
      </c>
      <c r="RF38" s="8">
        <v>775500</v>
      </c>
      <c r="RG38" s="8">
        <v>1237500</v>
      </c>
      <c r="RH38" s="8">
        <v>412500</v>
      </c>
      <c r="RI38" s="8">
        <v>1650000</v>
      </c>
      <c r="RJ38" s="8">
        <v>1770300</v>
      </c>
      <c r="RK38" s="8">
        <v>1247200</v>
      </c>
      <c r="RL38" s="8">
        <v>3017500</v>
      </c>
      <c r="RT38" s="8">
        <v>24556245</v>
      </c>
      <c r="RU38" s="8">
        <v>2187374</v>
      </c>
      <c r="RV38" s="8">
        <v>26743619</v>
      </c>
      <c r="RY38" s="2">
        <v>0</v>
      </c>
      <c r="RZ38" s="6">
        <v>0</v>
      </c>
      <c r="SA38" s="8">
        <v>4420124</v>
      </c>
      <c r="SB38" s="8">
        <v>366717</v>
      </c>
      <c r="SC38" s="8">
        <v>4786841</v>
      </c>
      <c r="SD38" s="6">
        <v>4813851</v>
      </c>
      <c r="SE38" s="8" t="s">
        <v>5355</v>
      </c>
      <c r="SF38" s="8">
        <v>4786841</v>
      </c>
      <c r="SG38" s="6">
        <v>4813851</v>
      </c>
      <c r="SH38" s="8">
        <v>350000</v>
      </c>
      <c r="SI38" s="8">
        <v>350000</v>
      </c>
      <c r="SJ38" s="6">
        <v>350000</v>
      </c>
      <c r="SK38" s="8">
        <v>70000</v>
      </c>
      <c r="SL38" s="8">
        <v>70000</v>
      </c>
      <c r="SM38" s="8">
        <v>28976369</v>
      </c>
      <c r="SN38" s="8">
        <v>2974091</v>
      </c>
      <c r="SO38" s="8">
        <v>31950460</v>
      </c>
      <c r="SP38" s="8">
        <v>18000000</v>
      </c>
      <c r="SQ38" s="2" t="s">
        <v>4295</v>
      </c>
      <c r="SR38" s="8">
        <v>1250000</v>
      </c>
      <c r="SS38" s="2" t="s">
        <v>180</v>
      </c>
      <c r="ST38" s="8">
        <v>1000000</v>
      </c>
      <c r="SU38" s="2" t="s">
        <v>413</v>
      </c>
      <c r="SX38" s="8">
        <v>7826700</v>
      </c>
      <c r="SY38" s="2" t="s">
        <v>96</v>
      </c>
      <c r="SZ38" s="2" t="s">
        <v>96</v>
      </c>
      <c r="TA38" s="2" t="s">
        <v>96</v>
      </c>
      <c r="TB38" s="8">
        <v>2011338</v>
      </c>
      <c r="TF38" s="8">
        <v>1862422</v>
      </c>
      <c r="TG38" s="8">
        <v>31950460</v>
      </c>
      <c r="TH38" s="2">
        <v>0</v>
      </c>
      <c r="TI38" s="8">
        <v>6750000</v>
      </c>
      <c r="TJ38" s="2" t="s">
        <v>4295</v>
      </c>
      <c r="TK38" s="8">
        <v>1250000</v>
      </c>
      <c r="TL38" s="2" t="s">
        <v>180</v>
      </c>
      <c r="TM38" s="8">
        <v>1000000</v>
      </c>
      <c r="TN38" s="2" t="s">
        <v>413</v>
      </c>
      <c r="TR38" s="8">
        <v>7826700</v>
      </c>
      <c r="TS38" s="8">
        <v>13408920</v>
      </c>
      <c r="TZ38" s="8">
        <v>1714840</v>
      </c>
      <c r="UA38" s="8">
        <v>31950460</v>
      </c>
      <c r="UB38" s="6">
        <v>16826700</v>
      </c>
      <c r="UC38" s="2">
        <v>0</v>
      </c>
      <c r="UD38" s="2">
        <v>100</v>
      </c>
      <c r="UE38" s="5">
        <v>220000</v>
      </c>
      <c r="UF38" s="6">
        <v>293333.33</v>
      </c>
      <c r="UG38" s="6">
        <v>308333.33</v>
      </c>
      <c r="UH38" s="6">
        <v>326833.33</v>
      </c>
      <c r="UI38" s="6">
        <v>32683333.329999998</v>
      </c>
      <c r="UJ38" s="6">
        <v>5883000</v>
      </c>
      <c r="UK38" s="2" t="s">
        <v>97</v>
      </c>
      <c r="UL38" s="6">
        <v>5883000</v>
      </c>
      <c r="UM38" s="6">
        <v>38566333.329999998</v>
      </c>
      <c r="UN38" s="6">
        <v>31530460</v>
      </c>
      <c r="UO38" s="6">
        <v>1250000</v>
      </c>
      <c r="UQ38" s="6">
        <v>1250000</v>
      </c>
      <c r="US38" s="6">
        <v>0</v>
      </c>
      <c r="UV38" s="6">
        <v>0</v>
      </c>
      <c r="UW38" s="6">
        <v>1250000</v>
      </c>
      <c r="UX38" s="6">
        <v>0</v>
      </c>
      <c r="UY38" s="6">
        <v>1250000</v>
      </c>
      <c r="UZ38" s="2" t="s">
        <v>727</v>
      </c>
      <c r="VA38" s="2" t="s">
        <v>182</v>
      </c>
      <c r="VB38" s="2" t="s">
        <v>17</v>
      </c>
      <c r="VI38" s="388" t="s">
        <v>728</v>
      </c>
      <c r="VJ38" s="2" t="s">
        <v>98</v>
      </c>
      <c r="VK38" s="2" t="s">
        <v>232</v>
      </c>
      <c r="VL38" s="23">
        <f t="shared" si="22"/>
        <v>111</v>
      </c>
      <c r="VM38" s="17">
        <f t="shared" si="23"/>
        <v>1.1100000000000001</v>
      </c>
      <c r="VN38" s="17" t="str">
        <f t="shared" si="24"/>
        <v>NC-GA-E</v>
      </c>
      <c r="VO38" s="17" t="str">
        <f t="shared" si="15"/>
        <v>NC-GA-E-Non</v>
      </c>
      <c r="VP38" s="57">
        <v>1</v>
      </c>
      <c r="VQ38" s="17">
        <f t="shared" si="25"/>
        <v>1.1100000000000001</v>
      </c>
      <c r="VR38" s="14">
        <f t="shared" si="26"/>
        <v>1</v>
      </c>
      <c r="VS38" s="14">
        <f t="shared" si="27"/>
        <v>0.87</v>
      </c>
      <c r="VT38" s="12">
        <f t="shared" si="28"/>
        <v>0.89</v>
      </c>
      <c r="VU38" s="29">
        <f t="shared" si="29"/>
        <v>6188205.6000000006</v>
      </c>
      <c r="VV38" s="29">
        <f t="shared" si="30"/>
        <v>61882.06</v>
      </c>
      <c r="VW38" s="351" t="str">
        <f t="shared" si="16"/>
        <v>A</v>
      </c>
      <c r="VX38" s="12" t="str">
        <f t="shared" si="31"/>
        <v>NC-GA-Non</v>
      </c>
      <c r="VY38" s="23">
        <f t="shared" si="17"/>
        <v>4</v>
      </c>
      <c r="WA38" s="12">
        <f t="shared" si="18"/>
        <v>1</v>
      </c>
      <c r="WB38" s="12">
        <f t="shared" si="19"/>
        <v>1</v>
      </c>
      <c r="WC38" s="12">
        <f t="shared" si="19"/>
        <v>0</v>
      </c>
      <c r="WD38" s="12">
        <f t="shared" si="19"/>
        <v>1</v>
      </c>
      <c r="WE38" s="12">
        <f t="shared" si="20"/>
        <v>0</v>
      </c>
      <c r="WF38" s="12">
        <f t="shared" si="32"/>
        <v>1</v>
      </c>
      <c r="WG38" s="12">
        <f t="shared" si="33"/>
        <v>0</v>
      </c>
      <c r="WH38" s="12">
        <f t="shared" si="34"/>
        <v>0</v>
      </c>
      <c r="WI38" s="22">
        <f t="shared" si="35"/>
        <v>4</v>
      </c>
      <c r="WK38" s="444" t="str">
        <f t="shared" si="21"/>
        <v>NC-GA-Non-BBY-BRN-PHA-E</v>
      </c>
      <c r="WL38" s="444"/>
      <c r="WM38" s="444"/>
    </row>
    <row r="39" spans="1:611" x14ac:dyDescent="0.25">
      <c r="A39" s="2">
        <v>9268</v>
      </c>
      <c r="B39" s="2" t="s">
        <v>4689</v>
      </c>
      <c r="C39" s="2" t="s">
        <v>4205</v>
      </c>
      <c r="D39" s="3">
        <v>45128</v>
      </c>
      <c r="E39" s="2" t="s">
        <v>9</v>
      </c>
      <c r="F39" s="2">
        <v>1</v>
      </c>
      <c r="G39" s="2" t="s">
        <v>9</v>
      </c>
      <c r="H39" s="2">
        <v>1</v>
      </c>
      <c r="I39" s="2" t="s">
        <v>11</v>
      </c>
      <c r="J39" s="2">
        <v>0</v>
      </c>
      <c r="K39" s="2" t="s">
        <v>9</v>
      </c>
      <c r="L39" s="2">
        <v>1</v>
      </c>
      <c r="M39" s="2" t="s">
        <v>10</v>
      </c>
      <c r="N39" s="2">
        <v>0</v>
      </c>
      <c r="O39" s="2" t="s">
        <v>10</v>
      </c>
      <c r="P39" s="2">
        <v>0</v>
      </c>
      <c r="Q39" s="2" t="s">
        <v>11</v>
      </c>
      <c r="R39" s="2">
        <v>0</v>
      </c>
      <c r="S39" s="2" t="s">
        <v>9</v>
      </c>
      <c r="T39" s="2">
        <v>2</v>
      </c>
      <c r="U39" s="2" t="s">
        <v>9</v>
      </c>
      <c r="V39" s="2">
        <v>2</v>
      </c>
      <c r="W39" s="2" t="s">
        <v>9</v>
      </c>
      <c r="X39" s="2">
        <v>2</v>
      </c>
      <c r="Y39" s="2" t="s">
        <v>12</v>
      </c>
      <c r="Z39" s="2" t="s">
        <v>15</v>
      </c>
      <c r="AA39" s="2" t="s">
        <v>15</v>
      </c>
      <c r="AB39" s="2" t="s">
        <v>15</v>
      </c>
      <c r="AC39" s="2" t="s">
        <v>3418</v>
      </c>
      <c r="AD39" s="2" t="s">
        <v>15</v>
      </c>
      <c r="AE39" s="2" t="s">
        <v>15</v>
      </c>
      <c r="AF39" s="2">
        <v>0</v>
      </c>
      <c r="AG39" s="2" t="s">
        <v>234</v>
      </c>
      <c r="AH39" s="2" t="s">
        <v>17</v>
      </c>
      <c r="AI39" s="4">
        <v>0.1</v>
      </c>
      <c r="AJ39" s="2" t="s">
        <v>17</v>
      </c>
      <c r="AK39" s="2" t="s">
        <v>9</v>
      </c>
      <c r="AL39" s="2" t="s">
        <v>17</v>
      </c>
      <c r="AM39" s="2" t="s">
        <v>17</v>
      </c>
      <c r="AN39" s="2" t="s">
        <v>17</v>
      </c>
      <c r="AO39" s="2" t="s">
        <v>9</v>
      </c>
      <c r="AP39" s="2" t="s">
        <v>17</v>
      </c>
      <c r="AQ39" s="2" t="s">
        <v>17</v>
      </c>
      <c r="AR39" s="2" t="s">
        <v>17</v>
      </c>
      <c r="AS39" s="2" t="s">
        <v>17</v>
      </c>
      <c r="AT39" s="2">
        <v>5</v>
      </c>
      <c r="AU39" s="5">
        <v>50000</v>
      </c>
      <c r="AV39" s="5">
        <v>460000</v>
      </c>
      <c r="AW39" s="2">
        <v>0</v>
      </c>
      <c r="AX39" s="2">
        <v>5</v>
      </c>
      <c r="AY39" s="2">
        <v>0</v>
      </c>
      <c r="AZ39" s="2">
        <v>17</v>
      </c>
      <c r="BA39" s="2">
        <v>0</v>
      </c>
      <c r="BB39" s="2">
        <v>1</v>
      </c>
      <c r="BC39" s="2">
        <v>1</v>
      </c>
      <c r="BD39" s="2">
        <v>0</v>
      </c>
      <c r="BE39" s="2">
        <v>0</v>
      </c>
      <c r="BF39" s="2">
        <v>1</v>
      </c>
      <c r="BG39" s="2">
        <v>0</v>
      </c>
      <c r="BH39" s="2">
        <v>0</v>
      </c>
      <c r="BI39" s="2">
        <v>13</v>
      </c>
      <c r="BJ39" s="2">
        <v>1</v>
      </c>
      <c r="BK39" s="2">
        <v>0</v>
      </c>
      <c r="BL39" s="2">
        <v>2</v>
      </c>
      <c r="BM39" s="2">
        <v>1</v>
      </c>
      <c r="BN39" s="2">
        <v>10</v>
      </c>
      <c r="BO39" s="2">
        <v>10</v>
      </c>
      <c r="BP39" s="2">
        <v>35.33</v>
      </c>
      <c r="BQ39" s="5">
        <v>10249000</v>
      </c>
      <c r="BR39" s="2">
        <v>1</v>
      </c>
      <c r="BS39" s="4">
        <v>0.06</v>
      </c>
      <c r="BT39" s="2" t="s">
        <v>9</v>
      </c>
      <c r="BU39" s="2" t="s">
        <v>17</v>
      </c>
      <c r="BV39" s="6">
        <v>70861.289999999994</v>
      </c>
      <c r="BW39" s="2" t="s">
        <v>126</v>
      </c>
      <c r="BX39" s="2" t="s">
        <v>17</v>
      </c>
      <c r="BY39" s="2" t="s">
        <v>17</v>
      </c>
      <c r="BZ39" s="2" t="s">
        <v>17</v>
      </c>
      <c r="CA39" s="2" t="s">
        <v>17</v>
      </c>
      <c r="CB39" s="2" t="s">
        <v>17</v>
      </c>
      <c r="CC39" s="2" t="s">
        <v>17</v>
      </c>
      <c r="CD39" s="2" t="s">
        <v>9</v>
      </c>
      <c r="CE39" s="2" t="s">
        <v>4690</v>
      </c>
      <c r="CF39" s="2" t="s">
        <v>17</v>
      </c>
      <c r="CG39" s="2" t="s">
        <v>17</v>
      </c>
      <c r="DA39" s="2" t="s">
        <v>4691</v>
      </c>
      <c r="DD39" s="2" t="s">
        <v>9</v>
      </c>
      <c r="DE39" s="2" t="s">
        <v>286</v>
      </c>
      <c r="DF39" s="2" t="s">
        <v>4691</v>
      </c>
      <c r="DG39" s="2" t="s">
        <v>287</v>
      </c>
      <c r="DH39" s="2" t="s">
        <v>147</v>
      </c>
      <c r="DI39" s="2">
        <v>100</v>
      </c>
      <c r="DJ39" s="2" t="s">
        <v>1900</v>
      </c>
      <c r="DK39" s="2">
        <v>2021</v>
      </c>
      <c r="DL39" s="2" t="s">
        <v>4209</v>
      </c>
      <c r="DM39" s="2" t="s">
        <v>4210</v>
      </c>
      <c r="DN39" s="2" t="s">
        <v>33</v>
      </c>
      <c r="DO39" s="2" t="s">
        <v>1059</v>
      </c>
      <c r="DP39" s="2" t="s">
        <v>295</v>
      </c>
      <c r="DQ39" s="2" t="s">
        <v>296</v>
      </c>
      <c r="DR39" s="2" t="s">
        <v>4692</v>
      </c>
      <c r="DS39" s="2">
        <v>1</v>
      </c>
      <c r="DT39" s="2" t="s">
        <v>1060</v>
      </c>
      <c r="DU39" s="2" t="s">
        <v>299</v>
      </c>
      <c r="DV39" s="2" t="s">
        <v>39</v>
      </c>
      <c r="DW39" s="2">
        <v>33133</v>
      </c>
      <c r="DX39" s="2" t="s">
        <v>1061</v>
      </c>
      <c r="DY39" s="2">
        <v>125</v>
      </c>
      <c r="DZ39" s="2" t="s">
        <v>301</v>
      </c>
      <c r="EA39" s="2" t="s">
        <v>297</v>
      </c>
      <c r="EB39" s="2" t="s">
        <v>302</v>
      </c>
      <c r="EC39" s="2" t="s">
        <v>3076</v>
      </c>
      <c r="ED39" s="2" t="s">
        <v>44</v>
      </c>
      <c r="EE39" s="2">
        <v>144</v>
      </c>
      <c r="EF39" s="2" t="s">
        <v>1901</v>
      </c>
      <c r="EG39" s="2">
        <v>7</v>
      </c>
      <c r="EH39" s="2" t="s">
        <v>46</v>
      </c>
      <c r="EI39" s="2" t="s">
        <v>47</v>
      </c>
      <c r="EJ39" s="2" t="s">
        <v>304</v>
      </c>
      <c r="EK39" s="2" t="s">
        <v>2705</v>
      </c>
      <c r="EL39" s="2" t="s">
        <v>44</v>
      </c>
      <c r="EM39" s="2">
        <v>150</v>
      </c>
      <c r="EN39" s="2" t="s">
        <v>1901</v>
      </c>
      <c r="EO39" s="2">
        <v>5</v>
      </c>
      <c r="EP39" s="2" t="s">
        <v>46</v>
      </c>
      <c r="EQ39" s="2" t="s">
        <v>47</v>
      </c>
      <c r="ER39" s="2" t="s">
        <v>294</v>
      </c>
      <c r="ES39" s="2" t="s">
        <v>295</v>
      </c>
      <c r="ET39" s="2" t="s">
        <v>296</v>
      </c>
      <c r="EU39" s="2" t="s">
        <v>4690</v>
      </c>
      <c r="EV39" s="2" t="s">
        <v>1060</v>
      </c>
      <c r="EW39" s="2" t="s">
        <v>299</v>
      </c>
      <c r="EX39" s="2" t="s">
        <v>39</v>
      </c>
      <c r="EY39" s="2">
        <v>33133</v>
      </c>
      <c r="EZ39" s="2" t="s">
        <v>1061</v>
      </c>
      <c r="FA39" s="2">
        <v>125</v>
      </c>
      <c r="FB39" s="2" t="s">
        <v>301</v>
      </c>
      <c r="FC39" s="2" t="s">
        <v>307</v>
      </c>
      <c r="FE39" s="2" t="s">
        <v>308</v>
      </c>
      <c r="FF39" s="2" t="s">
        <v>309</v>
      </c>
      <c r="FG39" s="2" t="s">
        <v>1060</v>
      </c>
      <c r="FH39" s="2" t="s">
        <v>299</v>
      </c>
      <c r="FI39" s="2" t="s">
        <v>39</v>
      </c>
      <c r="FJ39" s="2">
        <v>33133</v>
      </c>
      <c r="FK39" s="2" t="s">
        <v>1063</v>
      </c>
      <c r="FM39" s="2" t="s">
        <v>311</v>
      </c>
      <c r="FN39" s="2" t="s">
        <v>4693</v>
      </c>
      <c r="FO39" s="2" t="s">
        <v>63</v>
      </c>
      <c r="FP39" s="2" t="s">
        <v>64</v>
      </c>
      <c r="FQ39" s="2" t="s">
        <v>9</v>
      </c>
      <c r="FR39" s="2" t="s">
        <v>17</v>
      </c>
      <c r="FS39" s="2" t="s">
        <v>17</v>
      </c>
      <c r="FT39" s="2" t="s">
        <v>9</v>
      </c>
      <c r="FX39" s="2">
        <v>0</v>
      </c>
      <c r="FY39" s="2">
        <v>0</v>
      </c>
      <c r="FZ39" s="4">
        <v>0</v>
      </c>
      <c r="GA39" s="4">
        <v>0</v>
      </c>
      <c r="GB39" s="2" t="s">
        <v>65</v>
      </c>
      <c r="GC39" s="2" t="s">
        <v>66</v>
      </c>
      <c r="GD39" s="2" t="s">
        <v>67</v>
      </c>
      <c r="GE39" s="2" t="s">
        <v>1612</v>
      </c>
      <c r="GI39" s="2">
        <v>114</v>
      </c>
      <c r="GQ39" s="2">
        <v>114</v>
      </c>
      <c r="GR39" s="2" t="s">
        <v>1197</v>
      </c>
      <c r="GS39" s="2" t="s">
        <v>70</v>
      </c>
      <c r="GT39" s="2" t="s">
        <v>4694</v>
      </c>
      <c r="GU39" s="2" t="s">
        <v>1469</v>
      </c>
      <c r="GV39" s="2" t="s">
        <v>17</v>
      </c>
      <c r="GW39" s="2">
        <v>26.600697</v>
      </c>
      <c r="GX39" s="2">
        <v>-81.860056</v>
      </c>
      <c r="GZ39" s="2" t="s">
        <v>17</v>
      </c>
      <c r="HA39" s="2">
        <v>0</v>
      </c>
      <c r="HB39" s="2" t="s">
        <v>17</v>
      </c>
      <c r="HC39" s="2">
        <v>0</v>
      </c>
      <c r="HN39" s="2">
        <v>26.599333000000001</v>
      </c>
      <c r="HO39" s="2">
        <v>-81.866833</v>
      </c>
      <c r="HP39" s="2">
        <v>0.43</v>
      </c>
      <c r="HQ39" s="2">
        <v>5.5</v>
      </c>
      <c r="HZ39" s="2" t="s">
        <v>1115</v>
      </c>
      <c r="IA39" s="2">
        <v>0.75</v>
      </c>
      <c r="IB39" s="2">
        <v>3</v>
      </c>
      <c r="IC39" s="2" t="s">
        <v>4696</v>
      </c>
      <c r="ID39" s="2">
        <v>0.69</v>
      </c>
      <c r="IE39" s="2">
        <v>3</v>
      </c>
      <c r="II39" s="2" t="s">
        <v>4698</v>
      </c>
      <c r="IJ39" s="2">
        <v>0.99</v>
      </c>
      <c r="IK39" s="2">
        <v>3</v>
      </c>
      <c r="IL39" s="2" t="s">
        <v>17</v>
      </c>
      <c r="IM39" s="2" t="s">
        <v>17</v>
      </c>
      <c r="IO39" s="2" t="s">
        <v>17</v>
      </c>
      <c r="IP39" s="2" t="s">
        <v>79</v>
      </c>
      <c r="IQ39" s="2" t="s">
        <v>79</v>
      </c>
      <c r="IR39" s="2">
        <v>5.5</v>
      </c>
      <c r="IS39" s="2">
        <v>9</v>
      </c>
      <c r="IT39" s="2">
        <v>0</v>
      </c>
      <c r="IU39" s="2">
        <v>14.5</v>
      </c>
      <c r="IV39" s="2" t="s">
        <v>80</v>
      </c>
      <c r="IW39" s="2" t="s">
        <v>9</v>
      </c>
      <c r="IX39" s="2" t="s">
        <v>9</v>
      </c>
      <c r="IY39" s="2">
        <v>14.5</v>
      </c>
      <c r="IZ39" s="2">
        <v>114</v>
      </c>
      <c r="JB39" s="2" t="s">
        <v>173</v>
      </c>
      <c r="JE39" s="7">
        <v>0.1</v>
      </c>
      <c r="JG39" s="7">
        <v>0.9</v>
      </c>
      <c r="JH39" s="7">
        <v>0</v>
      </c>
      <c r="JI39" s="2">
        <v>114</v>
      </c>
      <c r="JJ39" s="7">
        <v>1</v>
      </c>
      <c r="JK39" s="2">
        <v>114</v>
      </c>
      <c r="JL39" s="7">
        <v>1</v>
      </c>
      <c r="JT39" s="2">
        <v>0</v>
      </c>
      <c r="JU39" s="2">
        <v>0</v>
      </c>
      <c r="JV39" s="2">
        <v>0</v>
      </c>
      <c r="JW39" s="4">
        <v>0</v>
      </c>
      <c r="JX39" s="2">
        <v>0</v>
      </c>
      <c r="JY39" s="4">
        <v>0</v>
      </c>
      <c r="KD39" s="7">
        <v>1</v>
      </c>
      <c r="KE39" s="7">
        <v>1</v>
      </c>
      <c r="KF39" s="2">
        <v>114</v>
      </c>
      <c r="KH39" s="2">
        <v>93</v>
      </c>
      <c r="KK39" s="2">
        <v>21</v>
      </c>
      <c r="KQ39" s="2" t="s">
        <v>83</v>
      </c>
      <c r="KS39" s="2" t="s">
        <v>73</v>
      </c>
      <c r="KT39" s="2">
        <v>1</v>
      </c>
      <c r="KU39" s="2" t="s">
        <v>84</v>
      </c>
      <c r="KW39" s="2" t="s">
        <v>86</v>
      </c>
      <c r="KX39" s="2" t="s">
        <v>17</v>
      </c>
      <c r="KY39" s="2" t="s">
        <v>17</v>
      </c>
      <c r="KZ39" s="2" t="s">
        <v>17</v>
      </c>
      <c r="LA39" s="2" t="s">
        <v>17</v>
      </c>
      <c r="LB39" s="2" t="s">
        <v>17</v>
      </c>
      <c r="LC39" s="2" t="s">
        <v>17</v>
      </c>
      <c r="LD39" s="2" t="s">
        <v>17</v>
      </c>
      <c r="LE39" s="2" t="s">
        <v>17</v>
      </c>
      <c r="LF39" s="2" t="s">
        <v>17</v>
      </c>
      <c r="LG39" s="2" t="s">
        <v>17</v>
      </c>
      <c r="LH39" s="2" t="s">
        <v>17</v>
      </c>
      <c r="LI39" s="2" t="s">
        <v>17</v>
      </c>
      <c r="LJ39" s="2" t="s">
        <v>87</v>
      </c>
      <c r="LK39" s="2" t="s">
        <v>17</v>
      </c>
      <c r="LL39" s="2" t="s">
        <v>17</v>
      </c>
      <c r="LM39" s="2">
        <v>0</v>
      </c>
      <c r="LN39" s="2" t="s">
        <v>17</v>
      </c>
      <c r="LO39" s="2" t="s">
        <v>17</v>
      </c>
      <c r="LP39" s="2" t="s">
        <v>17</v>
      </c>
      <c r="LQ39" s="2" t="s">
        <v>17</v>
      </c>
      <c r="LR39" s="2" t="s">
        <v>17</v>
      </c>
      <c r="LS39" s="2" t="s">
        <v>17</v>
      </c>
      <c r="LT39" s="2" t="s">
        <v>17</v>
      </c>
      <c r="LU39" s="2" t="s">
        <v>17</v>
      </c>
      <c r="LV39" s="2" t="s">
        <v>9</v>
      </c>
      <c r="LW39" s="2" t="s">
        <v>9</v>
      </c>
      <c r="LX39" s="2" t="s">
        <v>9</v>
      </c>
      <c r="LY39" s="5">
        <v>6500000</v>
      </c>
      <c r="LZ39" s="5">
        <v>0</v>
      </c>
      <c r="MA39" s="5">
        <v>9500000</v>
      </c>
      <c r="MB39" s="5">
        <v>9499000</v>
      </c>
      <c r="MC39" s="5">
        <v>9499000</v>
      </c>
      <c r="MD39" s="5">
        <v>750000</v>
      </c>
      <c r="ME39" s="5">
        <v>750000</v>
      </c>
      <c r="MF39" s="5">
        <v>750000</v>
      </c>
      <c r="MG39" s="5">
        <v>10000000</v>
      </c>
      <c r="MH39" s="5">
        <v>0</v>
      </c>
      <c r="MI39" s="5">
        <v>10000000</v>
      </c>
      <c r="MJ39" s="5">
        <v>0</v>
      </c>
      <c r="MK39" s="5">
        <v>753000</v>
      </c>
      <c r="ML39" s="5">
        <v>0</v>
      </c>
      <c r="MM39" s="5">
        <v>0</v>
      </c>
      <c r="MN39" s="2">
        <v>0</v>
      </c>
      <c r="MO39" s="5">
        <v>0</v>
      </c>
      <c r="MP39" s="5">
        <v>0</v>
      </c>
      <c r="MQ39" s="2">
        <v>0</v>
      </c>
      <c r="MR39" s="2">
        <v>0</v>
      </c>
      <c r="MS39" s="2">
        <v>0</v>
      </c>
      <c r="MT39" s="5">
        <v>2950000</v>
      </c>
      <c r="MU39" s="5">
        <v>0</v>
      </c>
      <c r="MV39" s="5">
        <v>4600000</v>
      </c>
      <c r="MW39" s="5">
        <v>0</v>
      </c>
      <c r="MY39" s="5">
        <v>0</v>
      </c>
      <c r="MZ39" s="5">
        <v>0</v>
      </c>
      <c r="NA39" s="5">
        <v>0</v>
      </c>
      <c r="NB39" s="5">
        <v>2500000</v>
      </c>
      <c r="NC39" s="5">
        <v>0</v>
      </c>
      <c r="ND39" s="5">
        <v>5000000</v>
      </c>
      <c r="NE39" s="5">
        <v>0</v>
      </c>
      <c r="NF39" s="5">
        <v>0</v>
      </c>
      <c r="NG39" s="5">
        <v>0</v>
      </c>
      <c r="NH39" s="5"/>
      <c r="NI39" s="5">
        <v>0</v>
      </c>
      <c r="NJ39" s="5">
        <v>1622380</v>
      </c>
      <c r="NK39" s="2" t="s">
        <v>9</v>
      </c>
      <c r="NL39" s="2" t="s">
        <v>4292</v>
      </c>
      <c r="NM39" s="2" t="s">
        <v>17</v>
      </c>
      <c r="NO39" s="2" t="s">
        <v>17</v>
      </c>
      <c r="NR39" s="2" t="s">
        <v>17</v>
      </c>
      <c r="NT39" s="2" t="s">
        <v>9</v>
      </c>
      <c r="NU39" s="2" t="s">
        <v>450</v>
      </c>
      <c r="NV39" s="2">
        <v>11.03</v>
      </c>
      <c r="NW39" s="2" t="s">
        <v>1221</v>
      </c>
      <c r="NX39" s="2" t="s">
        <v>118</v>
      </c>
      <c r="NY39" s="2" t="s">
        <v>118</v>
      </c>
      <c r="NZ39" s="2" t="s">
        <v>118</v>
      </c>
      <c r="OA39" s="2" t="s">
        <v>17</v>
      </c>
      <c r="OB39" s="2" t="s">
        <v>119</v>
      </c>
      <c r="OC39" s="5">
        <v>17200000</v>
      </c>
      <c r="OF39" s="2" t="s">
        <v>17</v>
      </c>
      <c r="OG39" s="2" t="s">
        <v>17</v>
      </c>
      <c r="OH39" s="2" t="s">
        <v>85</v>
      </c>
      <c r="OI39" s="6">
        <v>0</v>
      </c>
      <c r="OJ39" s="6">
        <v>284970</v>
      </c>
      <c r="OK39" s="2" t="s">
        <v>17</v>
      </c>
      <c r="OL39" s="2" t="s">
        <v>17</v>
      </c>
      <c r="OM39" s="6">
        <v>0</v>
      </c>
      <c r="ON39" s="6">
        <v>0</v>
      </c>
      <c r="OO39" s="6">
        <v>0</v>
      </c>
      <c r="OP39" s="6">
        <v>0</v>
      </c>
      <c r="OQ39" s="4">
        <v>0</v>
      </c>
      <c r="OR39" s="6">
        <v>0</v>
      </c>
      <c r="OS39" s="4">
        <v>0</v>
      </c>
      <c r="OT39" s="2" t="s">
        <v>17</v>
      </c>
      <c r="OU39" s="2" t="s">
        <v>17</v>
      </c>
      <c r="OW39" s="2" t="s">
        <v>17</v>
      </c>
      <c r="OX39" s="5">
        <v>8078187</v>
      </c>
      <c r="OY39" s="6">
        <v>70861.289999999994</v>
      </c>
      <c r="PD39" s="8">
        <v>18840138</v>
      </c>
      <c r="PF39" s="8">
        <v>18840138</v>
      </c>
      <c r="PO39" s="8">
        <v>18840138</v>
      </c>
      <c r="PQ39" s="8">
        <v>18840138</v>
      </c>
      <c r="PR39" s="8">
        <v>2637619</v>
      </c>
      <c r="PT39" s="8">
        <v>2637619</v>
      </c>
      <c r="PU39" s="6">
        <v>2637619</v>
      </c>
      <c r="PV39" s="8">
        <v>21477757</v>
      </c>
      <c r="PX39" s="8">
        <v>21477757</v>
      </c>
      <c r="PY39" s="8">
        <v>1073887</v>
      </c>
      <c r="QA39" s="8">
        <v>1073887</v>
      </c>
      <c r="QB39" s="6">
        <v>1073887.8500000001</v>
      </c>
      <c r="QC39" s="8">
        <v>1813365</v>
      </c>
      <c r="QE39" s="8">
        <v>1813365</v>
      </c>
      <c r="QF39" s="8">
        <v>461522</v>
      </c>
      <c r="QH39" s="8">
        <v>461522</v>
      </c>
      <c r="QI39" s="8">
        <v>1089440</v>
      </c>
      <c r="QK39" s="8">
        <v>1089440</v>
      </c>
      <c r="QM39" s="8">
        <v>341549</v>
      </c>
      <c r="QN39" s="8">
        <v>341549</v>
      </c>
      <c r="QU39" s="8">
        <v>3364327</v>
      </c>
      <c r="QV39" s="8">
        <v>341549</v>
      </c>
      <c r="QW39" s="8">
        <v>3705876</v>
      </c>
      <c r="QX39" s="8">
        <v>185293</v>
      </c>
      <c r="QZ39" s="8">
        <v>185293</v>
      </c>
      <c r="RA39" s="6">
        <v>185293.8</v>
      </c>
      <c r="RB39" s="8">
        <v>756880</v>
      </c>
      <c r="RC39" s="8">
        <v>552508</v>
      </c>
      <c r="RD39" s="8">
        <v>1309388</v>
      </c>
      <c r="RE39" s="8">
        <v>85500</v>
      </c>
      <c r="RF39" s="8">
        <v>85500</v>
      </c>
      <c r="RH39" s="8">
        <v>255010</v>
      </c>
      <c r="RI39" s="8">
        <v>255010</v>
      </c>
      <c r="RJ39" s="8">
        <v>756880</v>
      </c>
      <c r="RK39" s="8">
        <v>893018</v>
      </c>
      <c r="RL39" s="8">
        <v>1649898</v>
      </c>
      <c r="RT39" s="8">
        <v>26858144</v>
      </c>
      <c r="RU39" s="8">
        <v>1234567</v>
      </c>
      <c r="RV39" s="8">
        <v>28092711</v>
      </c>
      <c r="RY39" s="2">
        <v>0</v>
      </c>
      <c r="RZ39" s="6">
        <v>0</v>
      </c>
      <c r="SA39" s="8">
        <v>5056687</v>
      </c>
      <c r="SC39" s="8">
        <v>5056687</v>
      </c>
      <c r="SD39" s="6">
        <v>5056687</v>
      </c>
      <c r="SE39" s="8">
        <v>5056687</v>
      </c>
      <c r="SF39" s="8">
        <v>5056687</v>
      </c>
      <c r="SG39" s="6">
        <v>5056687</v>
      </c>
      <c r="SH39" s="8">
        <v>287844</v>
      </c>
      <c r="SI39" s="8">
        <v>287844</v>
      </c>
      <c r="SJ39" s="6">
        <v>399000</v>
      </c>
      <c r="SK39" s="8">
        <v>2250000</v>
      </c>
      <c r="SL39" s="8">
        <v>2250000</v>
      </c>
      <c r="SM39" s="8">
        <v>31914831</v>
      </c>
      <c r="SN39" s="8">
        <v>3772411</v>
      </c>
      <c r="SO39" s="8">
        <v>35687242</v>
      </c>
      <c r="SP39" s="8">
        <v>17200000</v>
      </c>
      <c r="SQ39" s="2" t="s">
        <v>4295</v>
      </c>
      <c r="SX39" s="8">
        <v>10249000</v>
      </c>
      <c r="SY39" s="2" t="s">
        <v>96</v>
      </c>
      <c r="SZ39" s="2" t="s">
        <v>96</v>
      </c>
      <c r="TA39" s="2" t="s">
        <v>96</v>
      </c>
      <c r="TB39" s="8">
        <v>7381100</v>
      </c>
      <c r="TF39" s="8">
        <v>857142</v>
      </c>
      <c r="TG39" s="8">
        <v>35687242</v>
      </c>
      <c r="TH39" s="2">
        <v>0</v>
      </c>
      <c r="TI39" s="8">
        <v>7050000</v>
      </c>
      <c r="TJ39" s="2" t="s">
        <v>4295</v>
      </c>
      <c r="TR39" s="8">
        <v>10249000</v>
      </c>
      <c r="TS39" s="8">
        <v>14762200</v>
      </c>
      <c r="TT39" s="2" t="s">
        <v>4700</v>
      </c>
      <c r="TU39" s="8">
        <v>50000</v>
      </c>
      <c r="TV39" s="2" t="s">
        <v>453</v>
      </c>
      <c r="TZ39" s="8">
        <v>3576042</v>
      </c>
      <c r="UA39" s="8">
        <v>35687242</v>
      </c>
      <c r="UB39" s="6">
        <v>17349000</v>
      </c>
      <c r="UC39" s="2">
        <v>0</v>
      </c>
      <c r="UD39" s="2">
        <v>114</v>
      </c>
      <c r="UE39" s="5">
        <v>270000</v>
      </c>
      <c r="UF39" s="6">
        <v>360000</v>
      </c>
      <c r="UG39" s="6">
        <v>367500</v>
      </c>
      <c r="UH39" s="6">
        <v>389550</v>
      </c>
      <c r="UI39" s="6">
        <v>44408700</v>
      </c>
      <c r="UJ39" s="6">
        <v>7993566</v>
      </c>
      <c r="UK39" s="2" t="s">
        <v>97</v>
      </c>
      <c r="UL39" s="6">
        <v>7993566</v>
      </c>
      <c r="UM39" s="6">
        <v>52402266</v>
      </c>
      <c r="UN39" s="6">
        <v>33149398</v>
      </c>
      <c r="UQ39" s="6">
        <v>0</v>
      </c>
      <c r="UR39" s="6">
        <v>50000</v>
      </c>
      <c r="US39" s="6">
        <v>50000</v>
      </c>
      <c r="UV39" s="6">
        <v>0</v>
      </c>
      <c r="UW39" s="6">
        <v>50000</v>
      </c>
      <c r="UX39" s="6">
        <v>0</v>
      </c>
      <c r="UY39" s="6">
        <v>50000</v>
      </c>
      <c r="UZ39" s="2" t="s">
        <v>1954</v>
      </c>
      <c r="VA39" s="2" t="s">
        <v>453</v>
      </c>
      <c r="VB39" s="2" t="s">
        <v>17</v>
      </c>
      <c r="VI39" s="388" t="s">
        <v>286</v>
      </c>
      <c r="VJ39" s="2" t="s">
        <v>98</v>
      </c>
      <c r="VK39" s="2" t="s">
        <v>4701</v>
      </c>
      <c r="VL39" s="23">
        <f t="shared" si="22"/>
        <v>135</v>
      </c>
      <c r="VM39" s="17">
        <f t="shared" si="23"/>
        <v>1.1842105263157894</v>
      </c>
      <c r="VN39" s="17" t="str">
        <f t="shared" si="24"/>
        <v>NC-MR-E</v>
      </c>
      <c r="VO39" s="17" t="str">
        <f t="shared" si="15"/>
        <v>NC-MR-E-ESS</v>
      </c>
      <c r="VP39" s="57">
        <v>1</v>
      </c>
      <c r="VQ39" s="17">
        <f t="shared" si="25"/>
        <v>1.1100000000000001</v>
      </c>
      <c r="VR39" s="14">
        <f t="shared" si="26"/>
        <v>1</v>
      </c>
      <c r="VS39" s="14">
        <f t="shared" si="27"/>
        <v>1</v>
      </c>
      <c r="VT39" s="12">
        <f t="shared" si="28"/>
        <v>0.84480000000000011</v>
      </c>
      <c r="VU39" s="29">
        <f t="shared" si="29"/>
        <v>8907478.2720000017</v>
      </c>
      <c r="VV39" s="29">
        <f t="shared" si="30"/>
        <v>78135.77</v>
      </c>
      <c r="VW39" s="351" t="str">
        <f t="shared" si="16"/>
        <v>A</v>
      </c>
      <c r="VX39" s="12" t="str">
        <f t="shared" si="31"/>
        <v>NC-MR-ESS</v>
      </c>
      <c r="VY39" s="23">
        <f t="shared" si="17"/>
        <v>4</v>
      </c>
      <c r="WA39" s="12">
        <f t="shared" si="18"/>
        <v>1</v>
      </c>
      <c r="WB39" s="12">
        <f t="shared" si="19"/>
        <v>1</v>
      </c>
      <c r="WC39" s="12">
        <f t="shared" si="19"/>
        <v>0</v>
      </c>
      <c r="WD39" s="12">
        <f t="shared" si="19"/>
        <v>0</v>
      </c>
      <c r="WE39" s="12">
        <f t="shared" si="20"/>
        <v>1</v>
      </c>
      <c r="WF39" s="12">
        <f t="shared" si="32"/>
        <v>0</v>
      </c>
      <c r="WG39" s="12">
        <f t="shared" si="33"/>
        <v>1</v>
      </c>
      <c r="WH39" s="12">
        <f t="shared" si="34"/>
        <v>0</v>
      </c>
      <c r="WI39" s="22">
        <f t="shared" si="35"/>
        <v>4</v>
      </c>
      <c r="WK39" s="444" t="str">
        <f t="shared" si="21"/>
        <v>NC-MR-ESS-BBY-BRN-NPH-E</v>
      </c>
      <c r="WL39" s="444"/>
      <c r="WM39" s="444"/>
    </row>
    <row r="40" spans="1:611" x14ac:dyDescent="0.25">
      <c r="A40" s="2">
        <v>9190</v>
      </c>
      <c r="B40" s="2" t="s">
        <v>4702</v>
      </c>
      <c r="C40" s="2" t="s">
        <v>4205</v>
      </c>
      <c r="D40" s="3">
        <v>45135</v>
      </c>
      <c r="E40" s="2" t="s">
        <v>9</v>
      </c>
      <c r="F40" s="2">
        <v>1</v>
      </c>
      <c r="G40" s="2" t="s">
        <v>9</v>
      </c>
      <c r="H40" s="2">
        <v>1</v>
      </c>
      <c r="I40" s="2" t="s">
        <v>11</v>
      </c>
      <c r="J40" s="2">
        <v>0</v>
      </c>
      <c r="K40" s="2" t="s">
        <v>9</v>
      </c>
      <c r="L40" s="2">
        <v>1</v>
      </c>
      <c r="M40" s="2" t="s">
        <v>10</v>
      </c>
      <c r="N40" s="2">
        <v>0</v>
      </c>
      <c r="O40" s="2" t="s">
        <v>10</v>
      </c>
      <c r="P40" s="2">
        <v>0</v>
      </c>
      <c r="Q40" s="2" t="s">
        <v>11</v>
      </c>
      <c r="R40" s="2">
        <v>0</v>
      </c>
      <c r="S40" s="2" t="s">
        <v>9</v>
      </c>
      <c r="T40" s="2">
        <v>2</v>
      </c>
      <c r="U40" s="2" t="s">
        <v>9</v>
      </c>
      <c r="V40" s="2">
        <v>2</v>
      </c>
      <c r="W40" s="2" t="s">
        <v>9</v>
      </c>
      <c r="X40" s="2">
        <v>2</v>
      </c>
      <c r="Y40" s="2" t="s">
        <v>12</v>
      </c>
      <c r="Z40" s="2" t="s">
        <v>2914</v>
      </c>
      <c r="AA40" s="2" t="s">
        <v>15</v>
      </c>
      <c r="AB40" s="2" t="s">
        <v>15</v>
      </c>
      <c r="AC40" s="2" t="s">
        <v>15</v>
      </c>
      <c r="AD40" s="2" t="s">
        <v>15</v>
      </c>
      <c r="AE40" s="2" t="s">
        <v>15</v>
      </c>
      <c r="AF40" s="2">
        <v>1</v>
      </c>
      <c r="AG40" s="2" t="s">
        <v>2915</v>
      </c>
      <c r="AH40" s="2" t="s">
        <v>17</v>
      </c>
      <c r="AI40" s="4">
        <v>0.15115999999999999</v>
      </c>
      <c r="AJ40" s="2" t="s">
        <v>17</v>
      </c>
      <c r="AK40" s="2" t="s">
        <v>9</v>
      </c>
      <c r="AL40" s="2" t="s">
        <v>17</v>
      </c>
      <c r="AM40" s="2" t="s">
        <v>17</v>
      </c>
      <c r="AN40" s="2" t="s">
        <v>17</v>
      </c>
      <c r="AO40" s="2" t="s">
        <v>9</v>
      </c>
      <c r="AP40" s="2" t="s">
        <v>17</v>
      </c>
      <c r="AQ40" s="2" t="s">
        <v>17</v>
      </c>
      <c r="AR40" s="2" t="s">
        <v>17</v>
      </c>
      <c r="AS40" s="2" t="s">
        <v>17</v>
      </c>
      <c r="AT40" s="2">
        <v>5</v>
      </c>
      <c r="AU40" s="5">
        <v>37500</v>
      </c>
      <c r="AV40" s="5">
        <v>460000</v>
      </c>
      <c r="AW40" s="2">
        <v>0</v>
      </c>
      <c r="AX40" s="2">
        <v>8</v>
      </c>
      <c r="AY40" s="2">
        <v>0</v>
      </c>
      <c r="AZ40" s="2">
        <v>17</v>
      </c>
      <c r="BA40" s="2">
        <v>0</v>
      </c>
      <c r="BB40" s="2">
        <v>1</v>
      </c>
      <c r="BC40" s="2">
        <v>1</v>
      </c>
      <c r="BD40" s="2">
        <v>0</v>
      </c>
      <c r="BE40" s="2">
        <v>1</v>
      </c>
      <c r="BF40" s="2">
        <v>1</v>
      </c>
      <c r="BG40" s="2">
        <v>0</v>
      </c>
      <c r="BH40" s="2">
        <v>0</v>
      </c>
      <c r="BI40" s="2">
        <v>13</v>
      </c>
      <c r="BJ40" s="2">
        <v>1</v>
      </c>
      <c r="BK40" s="2">
        <v>0</v>
      </c>
      <c r="BL40" s="2">
        <v>2</v>
      </c>
      <c r="BM40" s="2">
        <v>1</v>
      </c>
      <c r="BN40" s="2">
        <v>10</v>
      </c>
      <c r="BO40" s="2">
        <v>10</v>
      </c>
      <c r="BP40" s="2">
        <v>35.04</v>
      </c>
      <c r="BQ40" s="5">
        <v>7794600</v>
      </c>
      <c r="BR40" s="2">
        <v>1</v>
      </c>
      <c r="BS40" s="4">
        <v>0.06</v>
      </c>
      <c r="BT40" s="2" t="s">
        <v>9</v>
      </c>
      <c r="BU40" s="2" t="s">
        <v>17</v>
      </c>
      <c r="BV40" s="6">
        <v>71445.59</v>
      </c>
      <c r="BW40" s="2" t="s">
        <v>126</v>
      </c>
      <c r="BX40" s="2" t="s">
        <v>17</v>
      </c>
      <c r="BY40" s="2" t="s">
        <v>17</v>
      </c>
      <c r="BZ40" s="2" t="s">
        <v>17</v>
      </c>
      <c r="CA40" s="2" t="s">
        <v>17</v>
      </c>
      <c r="CB40" s="2" t="s">
        <v>17</v>
      </c>
      <c r="CC40" s="2" t="s">
        <v>17</v>
      </c>
      <c r="CD40" s="2" t="s">
        <v>9</v>
      </c>
      <c r="CE40" s="2" t="s">
        <v>4703</v>
      </c>
      <c r="CF40" s="2" t="s">
        <v>17</v>
      </c>
      <c r="CG40" s="2" t="s">
        <v>9</v>
      </c>
      <c r="DA40" s="2" t="s">
        <v>4704</v>
      </c>
      <c r="DD40" s="2" t="s">
        <v>9</v>
      </c>
      <c r="DE40" s="2" t="s">
        <v>21</v>
      </c>
      <c r="DF40" s="2" t="s">
        <v>4704</v>
      </c>
      <c r="DG40" s="2" t="s">
        <v>22</v>
      </c>
      <c r="DH40" s="2" t="s">
        <v>23</v>
      </c>
      <c r="DI40" s="2">
        <v>90</v>
      </c>
      <c r="DJ40" s="2" t="s">
        <v>1058</v>
      </c>
      <c r="DK40" s="2">
        <v>2017</v>
      </c>
      <c r="DL40" s="2" t="s">
        <v>4209</v>
      </c>
      <c r="DM40" s="2" t="s">
        <v>4210</v>
      </c>
      <c r="DN40" s="2" t="s">
        <v>33</v>
      </c>
      <c r="DO40" s="2" t="s">
        <v>34</v>
      </c>
      <c r="DQ40" s="2" t="s">
        <v>35</v>
      </c>
      <c r="DR40" s="2" t="s">
        <v>36</v>
      </c>
      <c r="DS40" s="2">
        <v>1</v>
      </c>
      <c r="DT40" s="2" t="s">
        <v>37</v>
      </c>
      <c r="DU40" s="2" t="s">
        <v>38</v>
      </c>
      <c r="DV40" s="2" t="s">
        <v>39</v>
      </c>
      <c r="DW40" s="2">
        <v>32405</v>
      </c>
      <c r="DX40" s="2" t="s">
        <v>40</v>
      </c>
      <c r="DZ40" s="2" t="s">
        <v>41</v>
      </c>
      <c r="EA40" s="2" t="s">
        <v>36</v>
      </c>
      <c r="EB40" s="2" t="s">
        <v>42</v>
      </c>
      <c r="EC40" s="2" t="s">
        <v>43</v>
      </c>
      <c r="ED40" s="2" t="s">
        <v>44</v>
      </c>
      <c r="EE40" s="2">
        <v>84</v>
      </c>
      <c r="EF40" s="2" t="s">
        <v>1062</v>
      </c>
      <c r="EG40" s="2">
        <v>6</v>
      </c>
      <c r="EH40" s="2" t="s">
        <v>46</v>
      </c>
      <c r="EI40" s="2" t="s">
        <v>47</v>
      </c>
      <c r="EJ40" s="2" t="s">
        <v>48</v>
      </c>
      <c r="EK40" s="2" t="s">
        <v>49</v>
      </c>
      <c r="EL40" s="2" t="s">
        <v>44</v>
      </c>
      <c r="EM40" s="2">
        <v>112</v>
      </c>
      <c r="EN40" s="2" t="s">
        <v>1062</v>
      </c>
      <c r="EO40" s="2">
        <v>5</v>
      </c>
      <c r="EP40" s="2" t="s">
        <v>46</v>
      </c>
      <c r="EQ40" s="2" t="s">
        <v>47</v>
      </c>
      <c r="ER40" s="2" t="s">
        <v>50</v>
      </c>
      <c r="ET40" s="2" t="s">
        <v>51</v>
      </c>
      <c r="EU40" s="2" t="s">
        <v>52</v>
      </c>
      <c r="EV40" s="2" t="s">
        <v>53</v>
      </c>
      <c r="EW40" s="2" t="s">
        <v>54</v>
      </c>
      <c r="EX40" s="2" t="s">
        <v>55</v>
      </c>
      <c r="EY40" s="2">
        <v>91730</v>
      </c>
      <c r="EZ40" s="2" t="s">
        <v>4705</v>
      </c>
      <c r="FB40" s="2" t="s">
        <v>57</v>
      </c>
      <c r="FC40" s="2" t="s">
        <v>58</v>
      </c>
      <c r="FE40" s="2" t="s">
        <v>59</v>
      </c>
      <c r="FF40" s="2" t="s">
        <v>52</v>
      </c>
      <c r="FG40" s="2" t="s">
        <v>53</v>
      </c>
      <c r="FH40" s="2" t="s">
        <v>54</v>
      </c>
      <c r="FI40" s="2" t="s">
        <v>55</v>
      </c>
      <c r="FJ40" s="2">
        <v>91730</v>
      </c>
      <c r="FK40" s="2" t="s">
        <v>60</v>
      </c>
      <c r="FM40" s="2" t="s">
        <v>61</v>
      </c>
      <c r="FN40" s="2" t="s">
        <v>4706</v>
      </c>
      <c r="FO40" s="2" t="s">
        <v>63</v>
      </c>
      <c r="FP40" s="2" t="s">
        <v>64</v>
      </c>
      <c r="FQ40" s="2" t="s">
        <v>9</v>
      </c>
      <c r="FR40" s="2" t="s">
        <v>17</v>
      </c>
      <c r="FS40" s="2" t="s">
        <v>17</v>
      </c>
      <c r="FT40" s="2" t="s">
        <v>9</v>
      </c>
      <c r="FX40" s="2">
        <v>0</v>
      </c>
      <c r="FY40" s="2">
        <v>0</v>
      </c>
      <c r="FZ40" s="4">
        <v>0</v>
      </c>
      <c r="GA40" s="4">
        <v>0</v>
      </c>
      <c r="GB40" s="2" t="s">
        <v>65</v>
      </c>
      <c r="GC40" s="2" t="s">
        <v>66</v>
      </c>
      <c r="GD40" s="2" t="s">
        <v>67</v>
      </c>
      <c r="GE40" s="2" t="s">
        <v>1612</v>
      </c>
      <c r="GI40" s="2">
        <v>86</v>
      </c>
      <c r="GQ40" s="2">
        <v>86</v>
      </c>
      <c r="GR40" s="2" t="s">
        <v>69</v>
      </c>
      <c r="GS40" s="2" t="s">
        <v>70</v>
      </c>
      <c r="GT40" s="2" t="s">
        <v>4707</v>
      </c>
      <c r="GU40" s="2" t="s">
        <v>72</v>
      </c>
      <c r="GV40" s="2" t="s">
        <v>17</v>
      </c>
      <c r="GW40" s="2">
        <v>29.645696000000001</v>
      </c>
      <c r="GX40" s="2">
        <v>-82.293299000000005</v>
      </c>
      <c r="GZ40" s="2" t="s">
        <v>17</v>
      </c>
      <c r="HA40" s="2">
        <v>0</v>
      </c>
      <c r="HB40" s="2" t="s">
        <v>17</v>
      </c>
      <c r="HC40" s="2">
        <v>0</v>
      </c>
      <c r="HD40" s="2">
        <v>29.644998699999999</v>
      </c>
      <c r="HE40" s="2">
        <v>-82.293851000000004</v>
      </c>
      <c r="HF40" s="2">
        <v>0.06</v>
      </c>
      <c r="HG40" s="2">
        <v>2</v>
      </c>
      <c r="IC40" s="2" t="s">
        <v>4708</v>
      </c>
      <c r="ID40" s="2">
        <v>0.28000000000000003</v>
      </c>
      <c r="IE40" s="2">
        <v>4</v>
      </c>
      <c r="IF40" s="2" t="s">
        <v>224</v>
      </c>
      <c r="IG40" s="2">
        <v>1.1599999999999999</v>
      </c>
      <c r="IH40" s="2">
        <v>2</v>
      </c>
      <c r="II40" s="2" t="s">
        <v>4709</v>
      </c>
      <c r="IJ40" s="2">
        <v>0.97</v>
      </c>
      <c r="IK40" s="2">
        <v>3</v>
      </c>
      <c r="IL40" s="2" t="s">
        <v>17</v>
      </c>
      <c r="IM40" s="2" t="s">
        <v>17</v>
      </c>
      <c r="IO40" s="2" t="s">
        <v>17</v>
      </c>
      <c r="IP40" s="2" t="s">
        <v>79</v>
      </c>
      <c r="IQ40" s="2" t="s">
        <v>79</v>
      </c>
      <c r="IR40" s="2">
        <v>2</v>
      </c>
      <c r="IS40" s="2">
        <v>9</v>
      </c>
      <c r="IT40" s="2">
        <v>0</v>
      </c>
      <c r="IU40" s="2">
        <v>11</v>
      </c>
      <c r="IV40" s="2" t="s">
        <v>80</v>
      </c>
      <c r="IW40" s="2" t="s">
        <v>9</v>
      </c>
      <c r="IX40" s="2" t="s">
        <v>9</v>
      </c>
      <c r="IY40" s="2">
        <v>11</v>
      </c>
      <c r="IZ40" s="2">
        <v>86</v>
      </c>
      <c r="JB40" s="2" t="s">
        <v>82</v>
      </c>
      <c r="JH40" s="7">
        <v>0</v>
      </c>
      <c r="JI40" s="2">
        <v>0</v>
      </c>
      <c r="JJ40" s="7">
        <v>0</v>
      </c>
      <c r="JK40" s="2">
        <v>0</v>
      </c>
      <c r="JL40" s="7">
        <v>0</v>
      </c>
      <c r="JN40" s="2">
        <v>13</v>
      </c>
      <c r="JQ40" s="2">
        <v>47</v>
      </c>
      <c r="JR40" s="2">
        <v>17</v>
      </c>
      <c r="JS40" s="2">
        <v>9</v>
      </c>
      <c r="JT40" s="2">
        <v>0</v>
      </c>
      <c r="JU40" s="2">
        <v>0</v>
      </c>
      <c r="JV40" s="2">
        <v>86</v>
      </c>
      <c r="JW40" s="4">
        <v>1</v>
      </c>
      <c r="JX40" s="2">
        <v>86</v>
      </c>
      <c r="JY40" s="4">
        <v>0.59535000000000005</v>
      </c>
      <c r="KE40" s="7">
        <v>0</v>
      </c>
      <c r="KF40" s="2">
        <v>0</v>
      </c>
      <c r="KH40" s="2">
        <v>74</v>
      </c>
      <c r="KI40" s="2">
        <v>12</v>
      </c>
      <c r="KQ40" s="2" t="s">
        <v>83</v>
      </c>
      <c r="KS40" s="2" t="s">
        <v>73</v>
      </c>
      <c r="KT40" s="2">
        <v>1</v>
      </c>
      <c r="KU40" s="2" t="s">
        <v>84</v>
      </c>
      <c r="KW40" s="2" t="s">
        <v>86</v>
      </c>
      <c r="KX40" s="2" t="s">
        <v>17</v>
      </c>
      <c r="KY40" s="2" t="s">
        <v>17</v>
      </c>
      <c r="KZ40" s="2" t="s">
        <v>17</v>
      </c>
      <c r="LA40" s="2" t="s">
        <v>17</v>
      </c>
      <c r="LB40" s="2" t="s">
        <v>17</v>
      </c>
      <c r="LC40" s="2" t="s">
        <v>17</v>
      </c>
      <c r="LD40" s="2" t="s">
        <v>17</v>
      </c>
      <c r="LE40" s="2" t="s">
        <v>17</v>
      </c>
      <c r="LF40" s="2" t="s">
        <v>17</v>
      </c>
      <c r="LG40" s="2" t="s">
        <v>17</v>
      </c>
      <c r="LH40" s="2" t="s">
        <v>17</v>
      </c>
      <c r="LI40" s="2" t="s">
        <v>17</v>
      </c>
      <c r="LJ40" s="2" t="s">
        <v>87</v>
      </c>
      <c r="LK40" s="2" t="s">
        <v>17</v>
      </c>
      <c r="LL40" s="2" t="s">
        <v>17</v>
      </c>
      <c r="LM40" s="2">
        <v>0</v>
      </c>
      <c r="LN40" s="2" t="s">
        <v>17</v>
      </c>
      <c r="LO40" s="2" t="s">
        <v>17</v>
      </c>
      <c r="LP40" s="2" t="s">
        <v>17</v>
      </c>
      <c r="LQ40" s="2" t="s">
        <v>17</v>
      </c>
      <c r="LR40" s="2" t="s">
        <v>17</v>
      </c>
      <c r="LS40" s="2" t="s">
        <v>17</v>
      </c>
      <c r="LT40" s="2" t="s">
        <v>17</v>
      </c>
      <c r="LU40" s="2" t="s">
        <v>17</v>
      </c>
      <c r="LV40" s="2" t="s">
        <v>9</v>
      </c>
      <c r="LW40" s="2" t="s">
        <v>9</v>
      </c>
      <c r="LX40" s="2" t="s">
        <v>9</v>
      </c>
      <c r="LY40" s="5">
        <v>6500000</v>
      </c>
      <c r="LZ40" s="5">
        <v>0</v>
      </c>
      <c r="MA40" s="5">
        <v>8170000</v>
      </c>
      <c r="MB40" s="5">
        <v>7225000</v>
      </c>
      <c r="MC40" s="5">
        <v>7225000</v>
      </c>
      <c r="MD40" s="5">
        <v>569600</v>
      </c>
      <c r="ME40" s="5">
        <v>569600</v>
      </c>
      <c r="MF40" s="5">
        <v>569600</v>
      </c>
      <c r="MG40" s="5">
        <v>9030000</v>
      </c>
      <c r="MH40" s="5">
        <v>0</v>
      </c>
      <c r="MI40" s="5">
        <v>9030000</v>
      </c>
      <c r="MJ40" s="5">
        <v>0</v>
      </c>
      <c r="MK40" s="5">
        <v>569600</v>
      </c>
      <c r="ML40" s="5">
        <v>0</v>
      </c>
      <c r="MM40" s="5">
        <v>0</v>
      </c>
      <c r="MN40" s="2">
        <v>0</v>
      </c>
      <c r="MO40" s="5">
        <v>0</v>
      </c>
      <c r="MP40" s="5">
        <v>0</v>
      </c>
      <c r="MQ40" s="2">
        <v>0</v>
      </c>
      <c r="MR40" s="2">
        <v>0</v>
      </c>
      <c r="MS40" s="2">
        <v>0</v>
      </c>
      <c r="MT40" s="5">
        <v>2950000</v>
      </c>
      <c r="MU40" s="5">
        <v>0</v>
      </c>
      <c r="MV40" s="5">
        <v>4600000</v>
      </c>
      <c r="MW40" s="5">
        <v>0</v>
      </c>
      <c r="MY40" s="5">
        <v>0</v>
      </c>
      <c r="MZ40" s="5">
        <v>0</v>
      </c>
      <c r="NA40" s="5">
        <v>0</v>
      </c>
      <c r="NB40" s="5">
        <v>2500000</v>
      </c>
      <c r="NC40" s="5">
        <v>0</v>
      </c>
      <c r="ND40" s="5">
        <v>5000000</v>
      </c>
      <c r="NE40" s="5">
        <v>0</v>
      </c>
      <c r="NF40" s="5">
        <v>0</v>
      </c>
      <c r="NG40" s="5">
        <v>0</v>
      </c>
      <c r="NH40" s="5"/>
      <c r="NI40" s="5">
        <v>0</v>
      </c>
      <c r="NJ40" s="5">
        <v>1207993</v>
      </c>
      <c r="NK40" s="2" t="s">
        <v>17</v>
      </c>
      <c r="NL40" s="2" t="s">
        <v>4292</v>
      </c>
      <c r="NM40" s="2" t="s">
        <v>17</v>
      </c>
      <c r="NO40" s="2" t="s">
        <v>17</v>
      </c>
      <c r="NR40" s="2" t="s">
        <v>17</v>
      </c>
      <c r="NT40" s="2" t="s">
        <v>9</v>
      </c>
      <c r="NU40" s="2" t="s">
        <v>450</v>
      </c>
      <c r="NV40" s="2">
        <v>6</v>
      </c>
      <c r="NW40" s="2" t="s">
        <v>4710</v>
      </c>
      <c r="NX40" s="2" t="s">
        <v>118</v>
      </c>
      <c r="NY40" s="2" t="s">
        <v>118</v>
      </c>
      <c r="NZ40" s="2" t="s">
        <v>118</v>
      </c>
      <c r="OA40" s="2" t="s">
        <v>17</v>
      </c>
      <c r="OB40" s="2" t="s">
        <v>119</v>
      </c>
      <c r="OC40" s="5">
        <v>14000000</v>
      </c>
      <c r="OF40" s="2" t="s">
        <v>17</v>
      </c>
      <c r="OG40" s="2" t="s">
        <v>17</v>
      </c>
      <c r="OH40" s="2" t="s">
        <v>85</v>
      </c>
      <c r="OI40" s="6">
        <v>0</v>
      </c>
      <c r="OJ40" s="6">
        <v>216750</v>
      </c>
      <c r="OK40" s="2" t="s">
        <v>17</v>
      </c>
      <c r="OL40" s="2" t="s">
        <v>17</v>
      </c>
      <c r="OM40" s="6">
        <v>0</v>
      </c>
      <c r="ON40" s="6">
        <v>0</v>
      </c>
      <c r="OO40" s="6">
        <v>0</v>
      </c>
      <c r="OP40" s="6">
        <v>0</v>
      </c>
      <c r="OQ40" s="4">
        <v>0</v>
      </c>
      <c r="OR40" s="6">
        <v>0</v>
      </c>
      <c r="OS40" s="4">
        <v>0</v>
      </c>
      <c r="OT40" s="2" t="s">
        <v>17</v>
      </c>
      <c r="OU40" s="2" t="s">
        <v>17</v>
      </c>
      <c r="OW40" s="2" t="s">
        <v>17</v>
      </c>
      <c r="OX40" s="5">
        <v>6144321</v>
      </c>
      <c r="OY40" s="6">
        <v>71445.59</v>
      </c>
      <c r="PD40" s="8">
        <v>14338750</v>
      </c>
      <c r="PF40" s="8">
        <v>14338750</v>
      </c>
      <c r="PO40" s="8">
        <v>14338750</v>
      </c>
      <c r="PQ40" s="8">
        <v>14338750</v>
      </c>
      <c r="PR40" s="8">
        <v>2007425</v>
      </c>
      <c r="PT40" s="8">
        <v>2007425</v>
      </c>
      <c r="PU40" s="6">
        <v>2007425</v>
      </c>
      <c r="PV40" s="8">
        <v>16346175</v>
      </c>
      <c r="PX40" s="8">
        <v>16346175</v>
      </c>
      <c r="PY40" s="8">
        <v>817308</v>
      </c>
      <c r="QA40" s="8">
        <v>817308</v>
      </c>
      <c r="QB40" s="6">
        <v>817308.75</v>
      </c>
      <c r="QC40" s="8">
        <v>1252500</v>
      </c>
      <c r="QE40" s="8">
        <v>1252500</v>
      </c>
      <c r="QF40" s="8">
        <v>300000</v>
      </c>
      <c r="QH40" s="8">
        <v>300000</v>
      </c>
      <c r="QI40" s="8">
        <v>646200</v>
      </c>
      <c r="QK40" s="8">
        <v>646200</v>
      </c>
      <c r="QM40" s="8">
        <v>96222</v>
      </c>
      <c r="QN40" s="8">
        <v>96222</v>
      </c>
      <c r="QU40" s="8">
        <v>2198700</v>
      </c>
      <c r="QV40" s="8">
        <v>96222</v>
      </c>
      <c r="QW40" s="8">
        <v>2294922</v>
      </c>
      <c r="QX40" s="8">
        <v>114746</v>
      </c>
      <c r="QZ40" s="8">
        <v>114746</v>
      </c>
      <c r="RA40" s="6">
        <v>114746.1</v>
      </c>
      <c r="RB40" s="8">
        <v>1000000</v>
      </c>
      <c r="RC40" s="8">
        <v>521000</v>
      </c>
      <c r="RD40" s="8">
        <v>1521000</v>
      </c>
      <c r="RE40" s="8">
        <v>76800</v>
      </c>
      <c r="RF40" s="8">
        <v>76800</v>
      </c>
      <c r="RG40" s="8">
        <v>140046</v>
      </c>
      <c r="RH40" s="8">
        <v>200000</v>
      </c>
      <c r="RI40" s="8">
        <v>340046</v>
      </c>
      <c r="RJ40" s="8">
        <v>1140046</v>
      </c>
      <c r="RK40" s="8">
        <v>797800</v>
      </c>
      <c r="RL40" s="8">
        <v>1937846</v>
      </c>
      <c r="RT40" s="8">
        <v>20616975</v>
      </c>
      <c r="RU40" s="8">
        <v>894022</v>
      </c>
      <c r="RV40" s="8">
        <v>21510997</v>
      </c>
      <c r="RY40" s="2">
        <v>0</v>
      </c>
      <c r="RZ40" s="6">
        <v>0</v>
      </c>
      <c r="SA40" s="8">
        <v>3871979</v>
      </c>
      <c r="SC40" s="8">
        <v>3871979</v>
      </c>
      <c r="SD40" s="6">
        <v>3871979</v>
      </c>
      <c r="SE40" s="8">
        <v>3871979</v>
      </c>
      <c r="SF40" s="8">
        <v>3871979</v>
      </c>
      <c r="SG40" s="6">
        <v>3871979</v>
      </c>
      <c r="SH40" s="8">
        <v>301000</v>
      </c>
      <c r="SI40" s="8">
        <v>301000</v>
      </c>
      <c r="SJ40" s="6">
        <v>301000</v>
      </c>
      <c r="SK40" s="8">
        <v>450000</v>
      </c>
      <c r="SL40" s="8">
        <v>450000</v>
      </c>
      <c r="SM40" s="8">
        <v>24488954</v>
      </c>
      <c r="SN40" s="8">
        <v>1645022</v>
      </c>
      <c r="SO40" s="8">
        <v>26133976</v>
      </c>
      <c r="SP40" s="8">
        <v>14000000</v>
      </c>
      <c r="SQ40" s="2" t="s">
        <v>4295</v>
      </c>
      <c r="SX40" s="8">
        <v>7794600</v>
      </c>
      <c r="SY40" s="2" t="s">
        <v>96</v>
      </c>
      <c r="SZ40" s="2" t="s">
        <v>96</v>
      </c>
      <c r="TA40" s="2" t="s">
        <v>96</v>
      </c>
      <c r="TB40" s="8">
        <v>5435425</v>
      </c>
      <c r="TC40" s="2" t="s">
        <v>4711</v>
      </c>
      <c r="TD40" s="8">
        <v>37500</v>
      </c>
      <c r="TE40" s="2" t="s">
        <v>180</v>
      </c>
      <c r="TF40" s="2">
        <v>0</v>
      </c>
      <c r="TG40" s="8">
        <v>27267525</v>
      </c>
      <c r="TH40" s="8">
        <v>1133549</v>
      </c>
      <c r="TI40" s="8">
        <v>7435000</v>
      </c>
      <c r="TJ40" s="2" t="s">
        <v>4295</v>
      </c>
      <c r="TR40" s="8">
        <v>7794600</v>
      </c>
      <c r="TS40" s="8">
        <v>10870850</v>
      </c>
      <c r="TT40" s="2" t="s">
        <v>4711</v>
      </c>
      <c r="TU40" s="8">
        <v>37500</v>
      </c>
      <c r="TV40" s="2" t="s">
        <v>180</v>
      </c>
      <c r="TZ40" s="2">
        <v>0</v>
      </c>
      <c r="UA40" s="8">
        <v>26137950</v>
      </c>
      <c r="UB40" s="6">
        <v>15267100</v>
      </c>
      <c r="UC40" s="8">
        <v>3974</v>
      </c>
      <c r="UD40" s="2">
        <v>86</v>
      </c>
      <c r="UE40" s="5">
        <v>270000</v>
      </c>
      <c r="UF40" s="6">
        <v>360000</v>
      </c>
      <c r="UG40" s="6">
        <v>367500</v>
      </c>
      <c r="UH40" s="6">
        <v>389550</v>
      </c>
      <c r="UI40" s="6">
        <v>33501300</v>
      </c>
      <c r="UJ40" s="6">
        <v>6030234</v>
      </c>
      <c r="UK40" s="2" t="s">
        <v>97</v>
      </c>
      <c r="UL40" s="6">
        <v>6030234</v>
      </c>
      <c r="UM40" s="6">
        <v>39531534</v>
      </c>
      <c r="UN40" s="6">
        <v>25382976</v>
      </c>
      <c r="UQ40" s="6">
        <v>0</v>
      </c>
      <c r="UR40" s="6">
        <v>37500</v>
      </c>
      <c r="US40" s="6">
        <v>37500</v>
      </c>
      <c r="UV40" s="6">
        <v>0</v>
      </c>
      <c r="UW40" s="6">
        <v>37500</v>
      </c>
      <c r="UX40" s="6">
        <v>0</v>
      </c>
      <c r="UY40" s="6">
        <v>37500</v>
      </c>
      <c r="UZ40" s="2" t="s">
        <v>830</v>
      </c>
      <c r="VA40" s="2" t="s">
        <v>453</v>
      </c>
      <c r="VB40" s="2" t="s">
        <v>17</v>
      </c>
      <c r="VI40" s="388" t="s">
        <v>21</v>
      </c>
      <c r="VJ40" s="2" t="s">
        <v>98</v>
      </c>
      <c r="VK40" s="2" t="s">
        <v>99</v>
      </c>
      <c r="VL40" s="23">
        <f t="shared" si="22"/>
        <v>98</v>
      </c>
      <c r="VM40" s="17">
        <f t="shared" si="23"/>
        <v>1.1395348837209303</v>
      </c>
      <c r="VN40" s="17" t="str">
        <f t="shared" si="24"/>
        <v>NC-MR-E</v>
      </c>
      <c r="VO40" s="17" t="str">
        <f t="shared" si="15"/>
        <v>NC-MR-E-ESS</v>
      </c>
      <c r="VP40" s="57">
        <v>1</v>
      </c>
      <c r="VQ40" s="17">
        <f t="shared" si="25"/>
        <v>1.1100000000000001</v>
      </c>
      <c r="VR40" s="14">
        <f t="shared" si="26"/>
        <v>1</v>
      </c>
      <c r="VS40" s="14">
        <f t="shared" si="27"/>
        <v>1</v>
      </c>
      <c r="VT40" s="12">
        <f t="shared" si="28"/>
        <v>0.8448</v>
      </c>
      <c r="VU40" s="29">
        <f t="shared" si="29"/>
        <v>6775084.8000000007</v>
      </c>
      <c r="VV40" s="29">
        <f t="shared" si="30"/>
        <v>78780.06</v>
      </c>
      <c r="VW40" s="351" t="str">
        <f t="shared" si="16"/>
        <v>A</v>
      </c>
      <c r="VX40" s="12" t="str">
        <f t="shared" si="31"/>
        <v>NC-MR-ESS</v>
      </c>
      <c r="VY40" s="23">
        <f t="shared" si="17"/>
        <v>4</v>
      </c>
      <c r="WA40" s="12">
        <f t="shared" si="18"/>
        <v>1</v>
      </c>
      <c r="WB40" s="12">
        <f t="shared" si="19"/>
        <v>1</v>
      </c>
      <c r="WC40" s="12">
        <f t="shared" si="19"/>
        <v>0</v>
      </c>
      <c r="WD40" s="12">
        <f t="shared" si="19"/>
        <v>0</v>
      </c>
      <c r="WE40" s="12">
        <f t="shared" si="20"/>
        <v>1</v>
      </c>
      <c r="WF40" s="12">
        <f t="shared" si="32"/>
        <v>0</v>
      </c>
      <c r="WG40" s="12">
        <f t="shared" si="33"/>
        <v>1</v>
      </c>
      <c r="WH40" s="12">
        <f t="shared" si="34"/>
        <v>0</v>
      </c>
      <c r="WI40" s="22">
        <f t="shared" si="35"/>
        <v>4</v>
      </c>
      <c r="WK40" s="444" t="str">
        <f t="shared" si="21"/>
        <v>NC-MR-ESS-BBY-BRN-NPH-E</v>
      </c>
      <c r="WL40" s="444"/>
      <c r="WM40" s="444"/>
    </row>
    <row r="41" spans="1:611" x14ac:dyDescent="0.25">
      <c r="A41" s="2">
        <v>9277</v>
      </c>
      <c r="B41" s="2" t="s">
        <v>4712</v>
      </c>
      <c r="C41" s="2" t="s">
        <v>4205</v>
      </c>
      <c r="D41" s="3">
        <v>45128</v>
      </c>
      <c r="E41" s="2" t="s">
        <v>9</v>
      </c>
      <c r="F41" s="2">
        <v>1</v>
      </c>
      <c r="G41" s="2" t="s">
        <v>9</v>
      </c>
      <c r="H41" s="2">
        <v>1</v>
      </c>
      <c r="I41" s="2" t="s">
        <v>11</v>
      </c>
      <c r="J41" s="2">
        <v>0</v>
      </c>
      <c r="K41" s="2" t="s">
        <v>9</v>
      </c>
      <c r="L41" s="2">
        <v>1</v>
      </c>
      <c r="M41" s="2" t="s">
        <v>10</v>
      </c>
      <c r="N41" s="2">
        <v>0</v>
      </c>
      <c r="O41" s="2" t="s">
        <v>10</v>
      </c>
      <c r="P41" s="2">
        <v>0</v>
      </c>
      <c r="Q41" s="2" t="s">
        <v>11</v>
      </c>
      <c r="R41" s="2">
        <v>0</v>
      </c>
      <c r="S41" s="2" t="s">
        <v>9</v>
      </c>
      <c r="T41" s="2">
        <v>2</v>
      </c>
      <c r="U41" s="2" t="s">
        <v>9</v>
      </c>
      <c r="V41" s="2">
        <v>2</v>
      </c>
      <c r="W41" s="2" t="s">
        <v>9</v>
      </c>
      <c r="X41" s="2">
        <v>2</v>
      </c>
      <c r="Y41" s="2" t="s">
        <v>12</v>
      </c>
      <c r="Z41" s="2" t="s">
        <v>15</v>
      </c>
      <c r="AA41" s="2" t="s">
        <v>15</v>
      </c>
      <c r="AB41" s="2" t="s">
        <v>15</v>
      </c>
      <c r="AC41" s="2" t="s">
        <v>15</v>
      </c>
      <c r="AD41" s="2" t="s">
        <v>189</v>
      </c>
      <c r="AE41" s="2" t="s">
        <v>15</v>
      </c>
      <c r="AF41" s="2">
        <v>0</v>
      </c>
      <c r="AG41" s="2" t="s">
        <v>234</v>
      </c>
      <c r="AH41" s="2" t="s">
        <v>17</v>
      </c>
      <c r="AI41" s="4">
        <v>0.16378999999999999</v>
      </c>
      <c r="AJ41" s="2" t="s">
        <v>17</v>
      </c>
      <c r="AK41" s="2" t="s">
        <v>9</v>
      </c>
      <c r="AL41" s="2" t="s">
        <v>9</v>
      </c>
      <c r="AM41" s="2" t="s">
        <v>17</v>
      </c>
      <c r="AN41" s="2" t="s">
        <v>17</v>
      </c>
      <c r="AO41" s="2" t="s">
        <v>9</v>
      </c>
      <c r="AP41" s="2" t="s">
        <v>17</v>
      </c>
      <c r="AQ41" s="2" t="s">
        <v>17</v>
      </c>
      <c r="AR41" s="2" t="s">
        <v>17</v>
      </c>
      <c r="AS41" s="2" t="s">
        <v>17</v>
      </c>
      <c r="AT41" s="2">
        <v>5</v>
      </c>
      <c r="AU41" s="5">
        <v>250000</v>
      </c>
      <c r="AV41" s="2" t="s">
        <v>85</v>
      </c>
      <c r="AW41" s="2">
        <v>1</v>
      </c>
      <c r="AX41" s="2">
        <v>8</v>
      </c>
      <c r="AY41" s="2">
        <v>0</v>
      </c>
      <c r="AZ41" s="2">
        <v>17</v>
      </c>
      <c r="BA41" s="2">
        <v>0</v>
      </c>
      <c r="BB41" s="2">
        <v>1</v>
      </c>
      <c r="BC41" s="2">
        <v>2</v>
      </c>
      <c r="BD41" s="2">
        <v>5</v>
      </c>
      <c r="BE41" s="2">
        <v>1</v>
      </c>
      <c r="BF41" s="2">
        <v>1</v>
      </c>
      <c r="BG41" s="2">
        <v>0</v>
      </c>
      <c r="BH41" s="2">
        <v>0</v>
      </c>
      <c r="BI41" s="2">
        <v>13</v>
      </c>
      <c r="BJ41" s="2">
        <v>1</v>
      </c>
      <c r="BK41" s="2">
        <v>0</v>
      </c>
      <c r="BL41" s="2">
        <v>3</v>
      </c>
      <c r="BM41" s="2">
        <v>1</v>
      </c>
      <c r="BN41" s="2">
        <v>8</v>
      </c>
      <c r="BO41" s="2">
        <v>10</v>
      </c>
      <c r="BP41" s="2">
        <v>31.05</v>
      </c>
      <c r="BQ41" s="5">
        <v>11750000</v>
      </c>
      <c r="BR41" s="2">
        <v>1</v>
      </c>
      <c r="BS41" s="4">
        <v>0.06</v>
      </c>
      <c r="BT41" s="2" t="s">
        <v>9</v>
      </c>
      <c r="BU41" s="2" t="s">
        <v>17</v>
      </c>
      <c r="BV41" s="6">
        <v>72351.679999999993</v>
      </c>
      <c r="BW41" s="2" t="s">
        <v>18</v>
      </c>
      <c r="BX41" s="2" t="s">
        <v>17</v>
      </c>
      <c r="BY41" s="2" t="s">
        <v>17</v>
      </c>
      <c r="BZ41" s="2" t="s">
        <v>17</v>
      </c>
      <c r="CA41" s="2" t="s">
        <v>17</v>
      </c>
      <c r="CB41" s="2" t="s">
        <v>17</v>
      </c>
      <c r="CC41" s="2" t="s">
        <v>17</v>
      </c>
      <c r="CE41" s="2" t="s">
        <v>4713</v>
      </c>
      <c r="CF41" s="2" t="s">
        <v>17</v>
      </c>
      <c r="CG41" s="2" t="s">
        <v>17</v>
      </c>
      <c r="DA41" s="2" t="s">
        <v>4714</v>
      </c>
      <c r="DD41" s="2" t="s">
        <v>9</v>
      </c>
      <c r="DE41" s="2" t="s">
        <v>3937</v>
      </c>
      <c r="DF41" s="2" t="s">
        <v>4714</v>
      </c>
      <c r="DG41" s="2" t="s">
        <v>3938</v>
      </c>
      <c r="DH41" s="2" t="s">
        <v>2705</v>
      </c>
      <c r="DI41" s="2">
        <v>120</v>
      </c>
      <c r="DJ41" s="2" t="s">
        <v>4715</v>
      </c>
      <c r="DK41" s="2">
        <v>2019</v>
      </c>
      <c r="DL41" s="2" t="s">
        <v>4209</v>
      </c>
      <c r="DM41" s="2" t="s">
        <v>4210</v>
      </c>
      <c r="DN41" s="2" t="s">
        <v>33</v>
      </c>
      <c r="DO41" s="2" t="s">
        <v>738</v>
      </c>
      <c r="DQ41" s="2" t="s">
        <v>3941</v>
      </c>
      <c r="DR41" s="2" t="s">
        <v>3942</v>
      </c>
      <c r="DS41" s="2">
        <v>1</v>
      </c>
      <c r="DT41" s="2" t="s">
        <v>3943</v>
      </c>
      <c r="DU41" s="2" t="s">
        <v>3944</v>
      </c>
      <c r="DV41" s="2" t="s">
        <v>39</v>
      </c>
      <c r="DW41" s="2">
        <v>33156</v>
      </c>
      <c r="DX41" s="2" t="s">
        <v>3945</v>
      </c>
      <c r="DZ41" s="2" t="s">
        <v>3946</v>
      </c>
      <c r="EA41" s="2" t="s">
        <v>3942</v>
      </c>
      <c r="EB41" s="2" t="s">
        <v>3938</v>
      </c>
      <c r="EC41" s="2" t="s">
        <v>2705</v>
      </c>
      <c r="ED41" s="2" t="s">
        <v>44</v>
      </c>
      <c r="EE41" s="2">
        <v>120</v>
      </c>
      <c r="EF41" s="2" t="s">
        <v>4716</v>
      </c>
      <c r="EG41" s="2">
        <v>4</v>
      </c>
      <c r="EH41" s="2" t="s">
        <v>46</v>
      </c>
      <c r="EI41" s="2" t="s">
        <v>47</v>
      </c>
      <c r="EJ41" s="2" t="s">
        <v>3940</v>
      </c>
      <c r="EK41" s="2" t="s">
        <v>3148</v>
      </c>
      <c r="EL41" s="2" t="s">
        <v>44</v>
      </c>
      <c r="EM41" s="2">
        <v>128</v>
      </c>
      <c r="EN41" s="2" t="s">
        <v>4716</v>
      </c>
      <c r="EO41" s="2">
        <v>4</v>
      </c>
      <c r="EP41" s="2" t="s">
        <v>46</v>
      </c>
      <c r="EQ41" s="2" t="s">
        <v>47</v>
      </c>
      <c r="ER41" s="2" t="s">
        <v>3947</v>
      </c>
      <c r="ET41" s="2" t="s">
        <v>3948</v>
      </c>
      <c r="EU41" s="2" t="s">
        <v>3949</v>
      </c>
      <c r="EV41" s="2" t="s">
        <v>3950</v>
      </c>
      <c r="EW41" s="2" t="s">
        <v>299</v>
      </c>
      <c r="EX41" s="2" t="s">
        <v>39</v>
      </c>
      <c r="EY41" s="2">
        <v>33136</v>
      </c>
      <c r="EZ41" s="2" t="s">
        <v>3951</v>
      </c>
      <c r="FB41" s="2" t="s">
        <v>3952</v>
      </c>
      <c r="FC41" s="2" t="s">
        <v>3953</v>
      </c>
      <c r="FE41" s="2" t="s">
        <v>3954</v>
      </c>
      <c r="FF41" s="2" t="s">
        <v>3955</v>
      </c>
      <c r="FG41" s="2" t="s">
        <v>3950</v>
      </c>
      <c r="FH41" s="2" t="s">
        <v>299</v>
      </c>
      <c r="FI41" s="2" t="s">
        <v>39</v>
      </c>
      <c r="FJ41" s="2">
        <v>33136</v>
      </c>
      <c r="FK41" s="2" t="s">
        <v>3956</v>
      </c>
      <c r="FM41" s="2" t="s">
        <v>3957</v>
      </c>
      <c r="FN41" s="2" t="s">
        <v>4717</v>
      </c>
      <c r="FO41" s="2" t="s">
        <v>63</v>
      </c>
      <c r="FP41" s="2" t="s">
        <v>64</v>
      </c>
      <c r="FQ41" s="2" t="s">
        <v>9</v>
      </c>
      <c r="FR41" s="2" t="s">
        <v>17</v>
      </c>
      <c r="FS41" s="2" t="s">
        <v>17</v>
      </c>
      <c r="FT41" s="2" t="s">
        <v>9</v>
      </c>
      <c r="FX41" s="2">
        <v>0</v>
      </c>
      <c r="FY41" s="2">
        <v>0</v>
      </c>
      <c r="FZ41" s="4">
        <v>0</v>
      </c>
      <c r="GA41" s="4">
        <v>0</v>
      </c>
      <c r="GB41" s="2" t="s">
        <v>65</v>
      </c>
      <c r="GC41" s="2" t="s">
        <v>66</v>
      </c>
      <c r="GD41" s="2" t="s">
        <v>67</v>
      </c>
      <c r="GE41" s="2" t="s">
        <v>2684</v>
      </c>
      <c r="GK41" s="2">
        <v>116</v>
      </c>
      <c r="GQ41" s="2">
        <v>116</v>
      </c>
      <c r="GR41" s="2" t="s">
        <v>3332</v>
      </c>
      <c r="GS41" s="2" t="s">
        <v>2686</v>
      </c>
      <c r="GT41" s="2" t="s">
        <v>4718</v>
      </c>
      <c r="GU41" s="2" t="s">
        <v>2720</v>
      </c>
      <c r="GV41" s="2" t="s">
        <v>17</v>
      </c>
      <c r="GW41" s="2">
        <v>25.608139999999999</v>
      </c>
      <c r="GX41" s="2">
        <v>-80.353976000000003</v>
      </c>
      <c r="GZ41" s="2" t="s">
        <v>17</v>
      </c>
      <c r="HA41" s="2">
        <v>0</v>
      </c>
      <c r="HB41" s="2" t="s">
        <v>17</v>
      </c>
      <c r="HC41" s="2">
        <v>0</v>
      </c>
      <c r="HR41" s="2">
        <v>25.609705000000002</v>
      </c>
      <c r="HS41" s="2">
        <v>-80.350266000000005</v>
      </c>
      <c r="HT41" s="2">
        <v>0.26</v>
      </c>
      <c r="HU41" s="2">
        <v>6</v>
      </c>
      <c r="HZ41" s="2" t="s">
        <v>549</v>
      </c>
      <c r="IA41" s="2">
        <v>0.85</v>
      </c>
      <c r="IB41" s="2">
        <v>2.5</v>
      </c>
      <c r="IF41" s="2" t="s">
        <v>224</v>
      </c>
      <c r="IG41" s="2">
        <v>0.81</v>
      </c>
      <c r="IH41" s="2">
        <v>2.5</v>
      </c>
      <c r="II41" s="2" t="s">
        <v>3961</v>
      </c>
      <c r="IJ41" s="2">
        <v>0.41</v>
      </c>
      <c r="IK41" s="2">
        <v>4</v>
      </c>
      <c r="IL41" s="2" t="s">
        <v>9</v>
      </c>
      <c r="IO41" s="2" t="s">
        <v>17</v>
      </c>
      <c r="IP41" s="2" t="s">
        <v>79</v>
      </c>
      <c r="IQ41" s="2" t="s">
        <v>79</v>
      </c>
      <c r="IR41" s="2">
        <v>6</v>
      </c>
      <c r="IS41" s="2">
        <v>9</v>
      </c>
      <c r="IT41" s="2">
        <v>0</v>
      </c>
      <c r="IU41" s="2">
        <v>15</v>
      </c>
      <c r="IV41" s="2" t="s">
        <v>9</v>
      </c>
      <c r="IW41" s="2" t="s">
        <v>9</v>
      </c>
      <c r="IX41" s="2" t="s">
        <v>9</v>
      </c>
      <c r="IY41" s="2">
        <v>15</v>
      </c>
      <c r="IZ41" s="2">
        <v>116</v>
      </c>
      <c r="JB41" s="2" t="s">
        <v>82</v>
      </c>
      <c r="JH41" s="7">
        <v>0</v>
      </c>
      <c r="JI41" s="2">
        <v>0</v>
      </c>
      <c r="JJ41" s="7">
        <v>0</v>
      </c>
      <c r="JK41" s="2">
        <v>0</v>
      </c>
      <c r="JL41" s="7">
        <v>0</v>
      </c>
      <c r="JN41" s="2">
        <v>19</v>
      </c>
      <c r="JO41" s="2">
        <v>23</v>
      </c>
      <c r="JP41" s="2">
        <v>9</v>
      </c>
      <c r="JQ41" s="2">
        <v>9</v>
      </c>
      <c r="JR41" s="2">
        <v>0</v>
      </c>
      <c r="JS41" s="2">
        <v>56</v>
      </c>
      <c r="JT41" s="2">
        <v>0</v>
      </c>
      <c r="JU41" s="2">
        <v>0</v>
      </c>
      <c r="JV41" s="2">
        <v>116</v>
      </c>
      <c r="JW41" s="4">
        <v>1</v>
      </c>
      <c r="JX41" s="2">
        <v>116</v>
      </c>
      <c r="JY41" s="4">
        <v>0.6</v>
      </c>
      <c r="KE41" s="7">
        <v>0</v>
      </c>
      <c r="KF41" s="2">
        <v>0</v>
      </c>
      <c r="KG41" s="2">
        <v>29</v>
      </c>
      <c r="KH41" s="2">
        <v>41</v>
      </c>
      <c r="KJ41" s="2">
        <v>0</v>
      </c>
      <c r="KK41" s="2">
        <v>25</v>
      </c>
      <c r="KL41" s="2">
        <v>12</v>
      </c>
      <c r="KN41" s="2">
        <v>9</v>
      </c>
      <c r="KQ41" s="2" t="s">
        <v>83</v>
      </c>
      <c r="KR41" s="2" t="s">
        <v>73</v>
      </c>
      <c r="KT41" s="2">
        <v>1</v>
      </c>
      <c r="KU41" s="2" t="s">
        <v>84</v>
      </c>
      <c r="KW41" s="2" t="s">
        <v>86</v>
      </c>
      <c r="KX41" s="2" t="s">
        <v>17</v>
      </c>
      <c r="KY41" s="2" t="s">
        <v>17</v>
      </c>
      <c r="KZ41" s="2" t="s">
        <v>17</v>
      </c>
      <c r="LA41" s="2" t="s">
        <v>17</v>
      </c>
      <c r="LB41" s="2" t="s">
        <v>17</v>
      </c>
      <c r="LC41" s="2" t="s">
        <v>17</v>
      </c>
      <c r="LD41" s="2" t="s">
        <v>17</v>
      </c>
      <c r="LE41" s="2" t="s">
        <v>17</v>
      </c>
      <c r="LF41" s="2" t="s">
        <v>17</v>
      </c>
      <c r="LG41" s="2" t="s">
        <v>17</v>
      </c>
      <c r="LH41" s="2" t="s">
        <v>17</v>
      </c>
      <c r="LI41" s="2" t="s">
        <v>17</v>
      </c>
      <c r="LJ41" s="2" t="s">
        <v>87</v>
      </c>
      <c r="LK41" s="2" t="s">
        <v>17</v>
      </c>
      <c r="LL41" s="2" t="s">
        <v>17</v>
      </c>
      <c r="LM41" s="2">
        <v>0</v>
      </c>
      <c r="LN41" s="2" t="s">
        <v>17</v>
      </c>
      <c r="LO41" s="2" t="s">
        <v>9</v>
      </c>
      <c r="LP41" s="2" t="s">
        <v>9</v>
      </c>
      <c r="LQ41" s="2" t="s">
        <v>17</v>
      </c>
      <c r="LR41" s="2" t="s">
        <v>9</v>
      </c>
      <c r="LS41" s="2" t="s">
        <v>17</v>
      </c>
      <c r="LT41" s="2" t="s">
        <v>17</v>
      </c>
      <c r="LU41" s="2" t="s">
        <v>17</v>
      </c>
      <c r="LV41" s="2" t="s">
        <v>17</v>
      </c>
      <c r="LW41" s="2" t="s">
        <v>17</v>
      </c>
      <c r="LX41" s="2" t="s">
        <v>17</v>
      </c>
      <c r="LY41" s="5">
        <v>6500000</v>
      </c>
      <c r="LZ41" s="5">
        <v>0</v>
      </c>
      <c r="MA41" s="5">
        <v>11000000</v>
      </c>
      <c r="MB41" s="5">
        <v>11000000</v>
      </c>
      <c r="MC41" s="5">
        <v>11000000</v>
      </c>
      <c r="MD41" s="5">
        <v>750000</v>
      </c>
      <c r="ME41" s="5">
        <v>750000</v>
      </c>
      <c r="MF41" s="5">
        <v>750000</v>
      </c>
      <c r="MG41" s="5">
        <v>10000000</v>
      </c>
      <c r="MH41" s="5">
        <v>0</v>
      </c>
      <c r="MI41" s="5">
        <v>10000000</v>
      </c>
      <c r="MJ41" s="5">
        <v>0</v>
      </c>
      <c r="MK41" s="5">
        <v>1315700</v>
      </c>
      <c r="ML41" s="5">
        <v>0</v>
      </c>
      <c r="MM41" s="5">
        <v>0</v>
      </c>
      <c r="MN41" s="2">
        <v>0</v>
      </c>
      <c r="MO41" s="5">
        <v>0</v>
      </c>
      <c r="MP41" s="5">
        <v>0</v>
      </c>
      <c r="MQ41" s="2">
        <v>0</v>
      </c>
      <c r="MR41" s="2">
        <v>0</v>
      </c>
      <c r="MS41" s="2">
        <v>0</v>
      </c>
      <c r="MT41" s="5">
        <v>2950000</v>
      </c>
      <c r="MU41" s="5">
        <v>0</v>
      </c>
      <c r="MV41" s="5">
        <v>4600000</v>
      </c>
      <c r="MW41" s="5">
        <v>0</v>
      </c>
      <c r="MY41" s="5">
        <v>0</v>
      </c>
      <c r="MZ41" s="5">
        <v>0</v>
      </c>
      <c r="NA41" s="5">
        <v>0</v>
      </c>
      <c r="NB41" s="5">
        <v>2500000</v>
      </c>
      <c r="NC41" s="5">
        <v>0</v>
      </c>
      <c r="ND41" s="5">
        <v>5000000</v>
      </c>
      <c r="NE41" s="5">
        <v>0</v>
      </c>
      <c r="NF41" s="5">
        <v>0</v>
      </c>
      <c r="NG41" s="5">
        <v>0</v>
      </c>
      <c r="NH41" s="5"/>
      <c r="NI41" s="5">
        <v>0</v>
      </c>
      <c r="NJ41" s="5">
        <v>2271429</v>
      </c>
      <c r="NK41" s="2" t="s">
        <v>17</v>
      </c>
      <c r="NL41" s="2">
        <v>2023</v>
      </c>
      <c r="NM41" s="2" t="s">
        <v>9</v>
      </c>
      <c r="NN41" s="2" t="s">
        <v>4009</v>
      </c>
      <c r="NO41" s="2" t="s">
        <v>17</v>
      </c>
      <c r="NR41" s="2" t="s">
        <v>17</v>
      </c>
      <c r="NT41" s="2" t="s">
        <v>9</v>
      </c>
      <c r="NU41" s="2" t="s">
        <v>450</v>
      </c>
      <c r="NV41" s="2">
        <v>83.09</v>
      </c>
      <c r="NW41" s="2" t="s">
        <v>3342</v>
      </c>
      <c r="NX41" s="2" t="s">
        <v>118</v>
      </c>
      <c r="NY41" s="2" t="s">
        <v>118</v>
      </c>
      <c r="NZ41" s="2" t="s">
        <v>118</v>
      </c>
      <c r="OA41" s="2" t="s">
        <v>17</v>
      </c>
      <c r="OB41" s="2" t="s">
        <v>119</v>
      </c>
      <c r="OF41" s="2" t="s">
        <v>17</v>
      </c>
      <c r="OG41" s="2" t="s">
        <v>17</v>
      </c>
      <c r="OH41" s="2" t="s">
        <v>85</v>
      </c>
      <c r="OI41" s="6">
        <v>0</v>
      </c>
      <c r="OJ41" s="6">
        <v>330000</v>
      </c>
      <c r="OK41" s="2" t="s">
        <v>17</v>
      </c>
      <c r="OL41" s="2" t="s">
        <v>17</v>
      </c>
      <c r="OM41" s="6">
        <v>0</v>
      </c>
      <c r="ON41" s="6">
        <v>0</v>
      </c>
      <c r="OO41" s="6">
        <v>0</v>
      </c>
      <c r="OP41" s="6">
        <v>0</v>
      </c>
      <c r="OQ41" s="4">
        <v>0</v>
      </c>
      <c r="OR41" s="6">
        <v>0</v>
      </c>
      <c r="OS41" s="4">
        <v>0</v>
      </c>
      <c r="OT41" s="2" t="s">
        <v>9</v>
      </c>
      <c r="OU41" s="2" t="s">
        <v>17</v>
      </c>
      <c r="OV41" s="2" t="s">
        <v>4010</v>
      </c>
      <c r="OW41" s="2" t="s">
        <v>17</v>
      </c>
      <c r="OX41" s="5">
        <v>8392794</v>
      </c>
      <c r="OY41" s="6">
        <v>72351.679999999993</v>
      </c>
      <c r="OZ41" s="8">
        <v>625000</v>
      </c>
      <c r="PA41" s="8">
        <v>625000</v>
      </c>
      <c r="PB41" s="8">
        <v>325100</v>
      </c>
      <c r="PC41" s="8">
        <v>325100</v>
      </c>
      <c r="PD41" s="8">
        <v>23236855</v>
      </c>
      <c r="PE41" s="8">
        <v>360801</v>
      </c>
      <c r="PF41" s="8">
        <v>23597656</v>
      </c>
      <c r="PG41" s="8">
        <v>1920323</v>
      </c>
      <c r="PH41" s="8">
        <v>101070</v>
      </c>
      <c r="PI41" s="8">
        <v>2021393</v>
      </c>
      <c r="PO41" s="8">
        <v>25157178</v>
      </c>
      <c r="PP41" s="8">
        <v>1411971</v>
      </c>
      <c r="PQ41" s="8">
        <v>26569149</v>
      </c>
      <c r="PR41" s="8">
        <v>3717023</v>
      </c>
      <c r="PT41" s="8">
        <v>3717023</v>
      </c>
      <c r="PU41" s="6">
        <v>3719680</v>
      </c>
      <c r="PV41" s="8">
        <v>28874201</v>
      </c>
      <c r="PW41" s="8">
        <v>1411971</v>
      </c>
      <c r="PX41" s="8">
        <v>30286172</v>
      </c>
      <c r="PY41" s="8">
        <v>1436325</v>
      </c>
      <c r="QA41" s="8">
        <v>1436325</v>
      </c>
      <c r="QB41" s="6">
        <v>1514308.6</v>
      </c>
      <c r="QC41" s="8">
        <v>2738078</v>
      </c>
      <c r="QD41" s="8">
        <v>974286</v>
      </c>
      <c r="QE41" s="8">
        <v>3712364</v>
      </c>
      <c r="QF41" s="8">
        <v>158356</v>
      </c>
      <c r="QH41" s="8">
        <v>158356</v>
      </c>
      <c r="QI41" s="8">
        <v>566601</v>
      </c>
      <c r="QJ41" s="8">
        <v>99401</v>
      </c>
      <c r="QK41" s="8">
        <v>666002</v>
      </c>
      <c r="QM41" s="8">
        <v>465165</v>
      </c>
      <c r="QN41" s="8">
        <v>465165</v>
      </c>
      <c r="QP41" s="8">
        <v>492335</v>
      </c>
      <c r="QQ41" s="8">
        <v>492335</v>
      </c>
      <c r="QU41" s="8">
        <v>3463035</v>
      </c>
      <c r="QV41" s="8">
        <v>2031187</v>
      </c>
      <c r="QW41" s="8">
        <v>5494222</v>
      </c>
      <c r="QX41" s="8">
        <v>171269</v>
      </c>
      <c r="QY41" s="8">
        <v>103442</v>
      </c>
      <c r="QZ41" s="8">
        <v>274711</v>
      </c>
      <c r="RA41" s="6">
        <v>274711.09999999998</v>
      </c>
      <c r="RB41" s="8">
        <v>2287423</v>
      </c>
      <c r="RC41" s="8">
        <v>1855524</v>
      </c>
      <c r="RD41" s="8">
        <v>4142947</v>
      </c>
      <c r="RE41" s="8">
        <v>214380</v>
      </c>
      <c r="RF41" s="8">
        <v>214380</v>
      </c>
      <c r="RJ41" s="8">
        <v>2287423</v>
      </c>
      <c r="RK41" s="8">
        <v>2069904</v>
      </c>
      <c r="RL41" s="8">
        <v>4357327</v>
      </c>
      <c r="RT41" s="8">
        <v>36232253</v>
      </c>
      <c r="RU41" s="8">
        <v>5616504</v>
      </c>
      <c r="RV41" s="8">
        <v>41848757</v>
      </c>
      <c r="RY41" s="2">
        <v>0</v>
      </c>
      <c r="RZ41" s="6">
        <v>0</v>
      </c>
      <c r="SA41" s="8">
        <v>7449069</v>
      </c>
      <c r="SC41" s="8">
        <v>7449069</v>
      </c>
      <c r="SD41" s="6">
        <v>7532776</v>
      </c>
      <c r="SE41" s="8">
        <v>7449069</v>
      </c>
      <c r="SF41" s="8">
        <v>7449069</v>
      </c>
      <c r="SG41" s="6">
        <v>7532776</v>
      </c>
      <c r="SJ41" s="6">
        <v>406000</v>
      </c>
      <c r="SK41" s="8">
        <v>1160000</v>
      </c>
      <c r="SL41" s="8">
        <v>1160000</v>
      </c>
      <c r="SM41" s="8">
        <v>43681322</v>
      </c>
      <c r="SN41" s="8">
        <v>6776504</v>
      </c>
      <c r="SO41" s="8">
        <v>50457826</v>
      </c>
      <c r="SP41" s="8">
        <v>27000000</v>
      </c>
      <c r="SQ41" s="2" t="s">
        <v>4220</v>
      </c>
      <c r="SX41" s="8">
        <v>11750000</v>
      </c>
      <c r="SY41" s="2" t="s">
        <v>96</v>
      </c>
      <c r="SZ41" s="2" t="s">
        <v>96</v>
      </c>
      <c r="TA41" s="2" t="s">
        <v>96</v>
      </c>
      <c r="TB41" s="8">
        <v>7551747</v>
      </c>
      <c r="TF41" s="8">
        <v>4156079</v>
      </c>
      <c r="TG41" s="8">
        <v>50457826</v>
      </c>
      <c r="TH41" s="2">
        <v>0</v>
      </c>
      <c r="TI41" s="8">
        <v>11910000</v>
      </c>
      <c r="TJ41" s="2" t="s">
        <v>4220</v>
      </c>
      <c r="TR41" s="8">
        <v>11750000</v>
      </c>
      <c r="TS41" s="8">
        <v>21576418</v>
      </c>
      <c r="TZ41" s="8">
        <v>5221408</v>
      </c>
      <c r="UA41" s="8">
        <v>50457826</v>
      </c>
      <c r="UB41" s="6">
        <v>23660000</v>
      </c>
      <c r="UC41" s="2">
        <v>0</v>
      </c>
      <c r="UD41" s="2">
        <v>116</v>
      </c>
      <c r="UE41" s="5">
        <v>310000</v>
      </c>
      <c r="UF41" s="6">
        <v>413333.33</v>
      </c>
      <c r="UG41" s="6">
        <v>428333.33</v>
      </c>
      <c r="UH41" s="6">
        <v>454033.33</v>
      </c>
      <c r="UI41" s="6">
        <v>52667866.670000002</v>
      </c>
      <c r="UJ41" s="6">
        <v>9480216</v>
      </c>
      <c r="UK41" s="2" t="s">
        <v>97</v>
      </c>
      <c r="UL41" s="6">
        <v>9480216</v>
      </c>
      <c r="UM41" s="6">
        <v>62148082.670000002</v>
      </c>
      <c r="UN41" s="6">
        <v>47855391</v>
      </c>
      <c r="UT41" s="6">
        <v>622249.21</v>
      </c>
      <c r="UW41" s="6">
        <v>622249.21</v>
      </c>
      <c r="UX41" s="6">
        <v>0</v>
      </c>
      <c r="UY41" s="6">
        <v>0</v>
      </c>
      <c r="UZ41" s="2" t="s">
        <v>3633</v>
      </c>
      <c r="VA41" s="2" t="s">
        <v>3288</v>
      </c>
      <c r="VB41" s="2" t="s">
        <v>9</v>
      </c>
      <c r="VC41" s="2">
        <v>9</v>
      </c>
      <c r="VD41" s="2">
        <v>7</v>
      </c>
      <c r="VE41" s="2" t="s">
        <v>9</v>
      </c>
      <c r="VF41" s="2">
        <v>7</v>
      </c>
      <c r="VG41" s="2" t="s">
        <v>17</v>
      </c>
      <c r="VI41" s="388" t="s">
        <v>3967</v>
      </c>
      <c r="VJ41" s="2" t="s">
        <v>98</v>
      </c>
      <c r="VK41" s="2" t="s">
        <v>3968</v>
      </c>
      <c r="VL41" s="23">
        <f t="shared" si="22"/>
        <v>192</v>
      </c>
      <c r="VM41" s="17">
        <f t="shared" si="23"/>
        <v>1.6551724137931034</v>
      </c>
      <c r="VN41" s="17" t="str">
        <f t="shared" si="24"/>
        <v>NC-HR-F</v>
      </c>
      <c r="VO41" s="17" t="str">
        <f t="shared" si="15"/>
        <v>NC-HR-F-ESS</v>
      </c>
      <c r="VP41" s="57">
        <v>1</v>
      </c>
      <c r="VQ41" s="17">
        <f t="shared" si="25"/>
        <v>1.1100000000000001</v>
      </c>
      <c r="VR41" s="14">
        <f t="shared" si="26"/>
        <v>1</v>
      </c>
      <c r="VS41" s="14">
        <f t="shared" si="27"/>
        <v>0.87</v>
      </c>
      <c r="VT41" s="12">
        <f t="shared" si="28"/>
        <v>0.83520000000000005</v>
      </c>
      <c r="VU41" s="29">
        <f t="shared" si="29"/>
        <v>8872079.0400000028</v>
      </c>
      <c r="VV41" s="29">
        <f t="shared" si="30"/>
        <v>76483.44</v>
      </c>
      <c r="VW41" s="351" t="str">
        <f t="shared" si="16"/>
        <v>A</v>
      </c>
      <c r="VX41" s="12" t="str">
        <f t="shared" si="31"/>
        <v>NC-HR-ESS</v>
      </c>
      <c r="VY41" s="23">
        <f t="shared" si="17"/>
        <v>4</v>
      </c>
      <c r="WA41" s="12">
        <f t="shared" si="18"/>
        <v>0</v>
      </c>
      <c r="WB41" s="12">
        <f t="shared" si="19"/>
        <v>1</v>
      </c>
      <c r="WC41" s="12">
        <f t="shared" si="19"/>
        <v>0</v>
      </c>
      <c r="WD41" s="12">
        <f t="shared" si="19"/>
        <v>1</v>
      </c>
      <c r="WE41" s="12">
        <f t="shared" si="20"/>
        <v>1</v>
      </c>
      <c r="WF41" s="12">
        <f t="shared" si="32"/>
        <v>0</v>
      </c>
      <c r="WG41" s="12">
        <f t="shared" si="33"/>
        <v>0</v>
      </c>
      <c r="WH41" s="12">
        <f t="shared" si="34"/>
        <v>1</v>
      </c>
      <c r="WI41" s="22">
        <f t="shared" si="35"/>
        <v>4</v>
      </c>
      <c r="WK41" s="444" t="str">
        <f t="shared" si="21"/>
        <v>NC-HR-ESS-BBY-BRN-PHA-F</v>
      </c>
      <c r="WL41" s="444"/>
      <c r="WM41" s="444"/>
    </row>
    <row r="42" spans="1:611" x14ac:dyDescent="0.25">
      <c r="A42" s="2">
        <v>9305</v>
      </c>
      <c r="B42" s="2" t="s">
        <v>4719</v>
      </c>
      <c r="C42" s="2" t="s">
        <v>4205</v>
      </c>
      <c r="D42" s="3">
        <v>45128</v>
      </c>
      <c r="E42" s="2" t="s">
        <v>9</v>
      </c>
      <c r="F42" s="2">
        <v>1</v>
      </c>
      <c r="G42" s="2" t="s">
        <v>9</v>
      </c>
      <c r="H42" s="2">
        <v>1</v>
      </c>
      <c r="I42" s="2" t="s">
        <v>11</v>
      </c>
      <c r="J42" s="2">
        <v>0</v>
      </c>
      <c r="K42" s="2" t="s">
        <v>9</v>
      </c>
      <c r="L42" s="2">
        <v>1</v>
      </c>
      <c r="M42" s="2" t="s">
        <v>10</v>
      </c>
      <c r="N42" s="2">
        <v>0</v>
      </c>
      <c r="O42" s="2" t="s">
        <v>10</v>
      </c>
      <c r="P42" s="2">
        <v>0</v>
      </c>
      <c r="Q42" s="2" t="s">
        <v>11</v>
      </c>
      <c r="R42" s="2">
        <v>0</v>
      </c>
      <c r="S42" s="2" t="s">
        <v>9</v>
      </c>
      <c r="T42" s="2">
        <v>2</v>
      </c>
      <c r="U42" s="2" t="s">
        <v>9</v>
      </c>
      <c r="V42" s="2">
        <v>2</v>
      </c>
      <c r="W42" s="2" t="s">
        <v>9</v>
      </c>
      <c r="X42" s="2">
        <v>2</v>
      </c>
      <c r="Y42" s="2" t="s">
        <v>12</v>
      </c>
      <c r="Z42" s="2" t="s">
        <v>15</v>
      </c>
      <c r="AA42" s="2" t="s">
        <v>15</v>
      </c>
      <c r="AB42" s="2" t="s">
        <v>15</v>
      </c>
      <c r="AC42" s="2" t="s">
        <v>15</v>
      </c>
      <c r="AD42" s="2" t="s">
        <v>2999</v>
      </c>
      <c r="AE42" s="2" t="s">
        <v>15</v>
      </c>
      <c r="AF42" s="2">
        <v>0</v>
      </c>
      <c r="AG42" s="2" t="s">
        <v>234</v>
      </c>
      <c r="AH42" s="2" t="s">
        <v>17</v>
      </c>
      <c r="AI42" s="4">
        <v>0.16378999999999999</v>
      </c>
      <c r="AJ42" s="2" t="s">
        <v>17</v>
      </c>
      <c r="AK42" s="2" t="s">
        <v>9</v>
      </c>
      <c r="AL42" s="2" t="s">
        <v>9</v>
      </c>
      <c r="AM42" s="2" t="s">
        <v>17</v>
      </c>
      <c r="AN42" s="2" t="s">
        <v>17</v>
      </c>
      <c r="AO42" s="2" t="s">
        <v>9</v>
      </c>
      <c r="AP42" s="2" t="s">
        <v>17</v>
      </c>
      <c r="AQ42" s="2" t="s">
        <v>17</v>
      </c>
      <c r="AR42" s="2" t="s">
        <v>17</v>
      </c>
      <c r="AS42" s="2" t="s">
        <v>17</v>
      </c>
      <c r="AT42" s="2">
        <v>5</v>
      </c>
      <c r="AU42" s="5">
        <v>250000</v>
      </c>
      <c r="AV42" s="2" t="s">
        <v>85</v>
      </c>
      <c r="AW42" s="2">
        <v>0</v>
      </c>
      <c r="AX42" s="2">
        <v>8</v>
      </c>
      <c r="AY42" s="2">
        <v>0</v>
      </c>
      <c r="AZ42" s="2">
        <v>17</v>
      </c>
      <c r="BA42" s="2">
        <v>0</v>
      </c>
      <c r="BB42" s="2">
        <v>1</v>
      </c>
      <c r="BC42" s="2">
        <v>2</v>
      </c>
      <c r="BD42" s="2">
        <v>5</v>
      </c>
      <c r="BE42" s="2">
        <v>1</v>
      </c>
      <c r="BF42" s="2">
        <v>1</v>
      </c>
      <c r="BG42" s="2">
        <v>0</v>
      </c>
      <c r="BH42" s="2">
        <v>0</v>
      </c>
      <c r="BI42" s="2">
        <v>13</v>
      </c>
      <c r="BJ42" s="2">
        <v>1</v>
      </c>
      <c r="BK42" s="2">
        <v>0</v>
      </c>
      <c r="BL42" s="2">
        <v>2</v>
      </c>
      <c r="BM42" s="2">
        <v>1</v>
      </c>
      <c r="BN42" s="2">
        <v>8</v>
      </c>
      <c r="BO42" s="2">
        <v>10</v>
      </c>
      <c r="BP42" s="2">
        <v>31.05</v>
      </c>
      <c r="BQ42" s="5">
        <v>11750000</v>
      </c>
      <c r="BR42" s="2">
        <v>1</v>
      </c>
      <c r="BS42" s="4">
        <v>0.06</v>
      </c>
      <c r="BT42" s="2" t="s">
        <v>9</v>
      </c>
      <c r="BU42" s="2" t="s">
        <v>17</v>
      </c>
      <c r="BV42" s="6">
        <v>72351.679999999993</v>
      </c>
      <c r="BW42" s="2" t="s">
        <v>126</v>
      </c>
      <c r="BX42" s="2" t="s">
        <v>17</v>
      </c>
      <c r="BY42" s="2" t="s">
        <v>17</v>
      </c>
      <c r="BZ42" s="2" t="s">
        <v>17</v>
      </c>
      <c r="CA42" s="2" t="s">
        <v>17</v>
      </c>
      <c r="CB42" s="2" t="s">
        <v>17</v>
      </c>
      <c r="CC42" s="2" t="s">
        <v>17</v>
      </c>
      <c r="CD42" s="2" t="s">
        <v>9</v>
      </c>
      <c r="CE42" s="2" t="s">
        <v>4720</v>
      </c>
      <c r="CF42" s="2" t="s">
        <v>17</v>
      </c>
      <c r="CG42" s="2" t="s">
        <v>17</v>
      </c>
      <c r="DA42" s="2" t="s">
        <v>4721</v>
      </c>
      <c r="DD42" s="2" t="s">
        <v>9</v>
      </c>
      <c r="DE42" s="2" t="s">
        <v>3937</v>
      </c>
      <c r="DF42" s="2" t="s">
        <v>4721</v>
      </c>
      <c r="DG42" s="2" t="s">
        <v>3938</v>
      </c>
      <c r="DH42" s="2" t="s">
        <v>2705</v>
      </c>
      <c r="DI42" s="2">
        <v>120</v>
      </c>
      <c r="DJ42" s="2" t="s">
        <v>4715</v>
      </c>
      <c r="DK42" s="2">
        <v>2019</v>
      </c>
      <c r="DL42" s="2" t="s">
        <v>4209</v>
      </c>
      <c r="DM42" s="2" t="s">
        <v>4210</v>
      </c>
      <c r="DN42" s="2" t="s">
        <v>33</v>
      </c>
      <c r="DO42" s="2" t="s">
        <v>738</v>
      </c>
      <c r="DQ42" s="2" t="s">
        <v>3941</v>
      </c>
      <c r="DR42" s="2" t="s">
        <v>3942</v>
      </c>
      <c r="DS42" s="2">
        <v>1</v>
      </c>
      <c r="DT42" s="2" t="s">
        <v>3943</v>
      </c>
      <c r="DU42" s="2" t="s">
        <v>3944</v>
      </c>
      <c r="DV42" s="2" t="s">
        <v>39</v>
      </c>
      <c r="DW42" s="2">
        <v>33156</v>
      </c>
      <c r="DX42" s="2" t="s">
        <v>3945</v>
      </c>
      <c r="DZ42" s="2" t="s">
        <v>3946</v>
      </c>
      <c r="EA42" s="2" t="s">
        <v>3942</v>
      </c>
      <c r="EB42" s="2" t="s">
        <v>3938</v>
      </c>
      <c r="EC42" s="2" t="s">
        <v>2705</v>
      </c>
      <c r="ED42" s="2" t="s">
        <v>44</v>
      </c>
      <c r="EE42" s="2">
        <v>120</v>
      </c>
      <c r="EF42" s="2" t="s">
        <v>4716</v>
      </c>
      <c r="EG42" s="2">
        <v>4</v>
      </c>
      <c r="EH42" s="2" t="s">
        <v>46</v>
      </c>
      <c r="EI42" s="2" t="s">
        <v>47</v>
      </c>
      <c r="EJ42" s="2" t="s">
        <v>3940</v>
      </c>
      <c r="EK42" s="2" t="s">
        <v>3148</v>
      </c>
      <c r="EL42" s="2" t="s">
        <v>44</v>
      </c>
      <c r="EM42" s="2">
        <v>128</v>
      </c>
      <c r="EN42" s="2" t="s">
        <v>4716</v>
      </c>
      <c r="EO42" s="2">
        <v>4</v>
      </c>
      <c r="EP42" s="2" t="s">
        <v>46</v>
      </c>
      <c r="EQ42" s="2" t="s">
        <v>47</v>
      </c>
      <c r="ER42" s="2" t="s">
        <v>3947</v>
      </c>
      <c r="ET42" s="2" t="s">
        <v>3948</v>
      </c>
      <c r="EU42" s="2" t="s">
        <v>3949</v>
      </c>
      <c r="EV42" s="2" t="s">
        <v>3950</v>
      </c>
      <c r="EW42" s="2" t="s">
        <v>299</v>
      </c>
      <c r="EX42" s="2" t="s">
        <v>39</v>
      </c>
      <c r="EY42" s="2">
        <v>33136</v>
      </c>
      <c r="EZ42" s="2" t="s">
        <v>3951</v>
      </c>
      <c r="FB42" s="2" t="s">
        <v>3952</v>
      </c>
      <c r="FC42" s="2" t="s">
        <v>3953</v>
      </c>
      <c r="FE42" s="2" t="s">
        <v>3954</v>
      </c>
      <c r="FF42" s="2" t="s">
        <v>3955</v>
      </c>
      <c r="FG42" s="2" t="s">
        <v>3950</v>
      </c>
      <c r="FH42" s="2" t="s">
        <v>299</v>
      </c>
      <c r="FI42" s="2" t="s">
        <v>39</v>
      </c>
      <c r="FJ42" s="2">
        <v>33136</v>
      </c>
      <c r="FK42" s="2" t="s">
        <v>3956</v>
      </c>
      <c r="FM42" s="2" t="s">
        <v>3957</v>
      </c>
      <c r="FN42" s="2" t="s">
        <v>4722</v>
      </c>
      <c r="FO42" s="2" t="s">
        <v>63</v>
      </c>
      <c r="FP42" s="2" t="s">
        <v>64</v>
      </c>
      <c r="FQ42" s="2" t="s">
        <v>9</v>
      </c>
      <c r="FR42" s="2" t="s">
        <v>17</v>
      </c>
      <c r="FS42" s="2" t="s">
        <v>17</v>
      </c>
      <c r="FT42" s="2" t="s">
        <v>9</v>
      </c>
      <c r="FX42" s="2">
        <v>0</v>
      </c>
      <c r="FY42" s="2">
        <v>0</v>
      </c>
      <c r="FZ42" s="4">
        <v>0</v>
      </c>
      <c r="GA42" s="4">
        <v>0</v>
      </c>
      <c r="GB42" s="2" t="s">
        <v>65</v>
      </c>
      <c r="GC42" s="2" t="s">
        <v>66</v>
      </c>
      <c r="GD42" s="2" t="s">
        <v>67</v>
      </c>
      <c r="GE42" s="2" t="s">
        <v>2684</v>
      </c>
      <c r="GK42" s="2">
        <v>116</v>
      </c>
      <c r="GQ42" s="2">
        <v>116</v>
      </c>
      <c r="GR42" s="2" t="s">
        <v>3332</v>
      </c>
      <c r="GS42" s="2" t="s">
        <v>2686</v>
      </c>
      <c r="GT42" s="2" t="s">
        <v>4723</v>
      </c>
      <c r="GU42" s="2" t="s">
        <v>2720</v>
      </c>
      <c r="GV42" s="2" t="s">
        <v>17</v>
      </c>
      <c r="GW42" s="2">
        <v>25.603200000000001</v>
      </c>
      <c r="GX42" s="2">
        <v>-80.354714999999999</v>
      </c>
      <c r="GZ42" s="2" t="s">
        <v>17</v>
      </c>
      <c r="HA42" s="2">
        <v>0</v>
      </c>
      <c r="HB42" s="2" t="s">
        <v>17</v>
      </c>
      <c r="HC42" s="2">
        <v>0</v>
      </c>
      <c r="HR42" s="2">
        <v>25.603484999999999</v>
      </c>
      <c r="HS42" s="2">
        <v>-80.353138999999999</v>
      </c>
      <c r="HT42" s="2">
        <v>0.11</v>
      </c>
      <c r="HU42" s="2">
        <v>6</v>
      </c>
      <c r="HZ42" s="2" t="s">
        <v>549</v>
      </c>
      <c r="IA42" s="2">
        <v>0.48</v>
      </c>
      <c r="IB42" s="2">
        <v>3.5</v>
      </c>
      <c r="IF42" s="2" t="s">
        <v>224</v>
      </c>
      <c r="IG42" s="2">
        <v>0.47</v>
      </c>
      <c r="IH42" s="2">
        <v>3.5</v>
      </c>
      <c r="II42" s="2" t="s">
        <v>3961</v>
      </c>
      <c r="IJ42" s="2">
        <v>0.08</v>
      </c>
      <c r="IK42" s="2">
        <v>4</v>
      </c>
      <c r="IL42" s="2" t="s">
        <v>9</v>
      </c>
      <c r="IO42" s="2" t="s">
        <v>17</v>
      </c>
      <c r="IP42" s="2" t="s">
        <v>79</v>
      </c>
      <c r="IQ42" s="2" t="s">
        <v>79</v>
      </c>
      <c r="IR42" s="2">
        <v>6</v>
      </c>
      <c r="IS42" s="2">
        <v>11</v>
      </c>
      <c r="IT42" s="2">
        <v>0</v>
      </c>
      <c r="IU42" s="2">
        <v>17</v>
      </c>
      <c r="IV42" s="2" t="s">
        <v>9</v>
      </c>
      <c r="IW42" s="2" t="s">
        <v>9</v>
      </c>
      <c r="IX42" s="2" t="s">
        <v>9</v>
      </c>
      <c r="IY42" s="2">
        <v>17</v>
      </c>
      <c r="IZ42" s="2">
        <v>116</v>
      </c>
      <c r="JB42" s="2" t="s">
        <v>82</v>
      </c>
      <c r="JH42" s="7">
        <v>0</v>
      </c>
      <c r="JI42" s="2">
        <v>0</v>
      </c>
      <c r="JJ42" s="7">
        <v>0</v>
      </c>
      <c r="JK42" s="2">
        <v>0</v>
      </c>
      <c r="JL42" s="7">
        <v>0</v>
      </c>
      <c r="JN42" s="2">
        <v>19</v>
      </c>
      <c r="JO42" s="2">
        <v>33</v>
      </c>
      <c r="JP42" s="2">
        <v>1</v>
      </c>
      <c r="JQ42" s="2">
        <v>0</v>
      </c>
      <c r="JR42" s="2">
        <v>2</v>
      </c>
      <c r="JS42" s="2">
        <v>61</v>
      </c>
      <c r="JT42" s="2">
        <v>0</v>
      </c>
      <c r="JU42" s="2">
        <v>0</v>
      </c>
      <c r="JV42" s="2">
        <v>116</v>
      </c>
      <c r="JW42" s="4">
        <v>1</v>
      </c>
      <c r="JX42" s="2">
        <v>116</v>
      </c>
      <c r="JY42" s="4">
        <v>0.6</v>
      </c>
      <c r="KE42" s="7">
        <v>0</v>
      </c>
      <c r="KF42" s="2">
        <v>0</v>
      </c>
      <c r="KG42" s="2">
        <v>73</v>
      </c>
      <c r="KH42" s="2">
        <v>5</v>
      </c>
      <c r="KI42" s="2">
        <v>21</v>
      </c>
      <c r="KL42" s="2">
        <v>10</v>
      </c>
      <c r="KN42" s="2">
        <v>7</v>
      </c>
      <c r="KQ42" s="2" t="s">
        <v>83</v>
      </c>
      <c r="KS42" s="2" t="s">
        <v>73</v>
      </c>
      <c r="KT42" s="2">
        <v>1</v>
      </c>
      <c r="KU42" s="2" t="s">
        <v>84</v>
      </c>
      <c r="KW42" s="2" t="s">
        <v>86</v>
      </c>
      <c r="KX42" s="2" t="s">
        <v>17</v>
      </c>
      <c r="KY42" s="2" t="s">
        <v>17</v>
      </c>
      <c r="KZ42" s="2" t="s">
        <v>17</v>
      </c>
      <c r="LA42" s="2" t="s">
        <v>17</v>
      </c>
      <c r="LB42" s="2" t="s">
        <v>17</v>
      </c>
      <c r="LC42" s="2" t="s">
        <v>17</v>
      </c>
      <c r="LD42" s="2" t="s">
        <v>17</v>
      </c>
      <c r="LE42" s="2" t="s">
        <v>17</v>
      </c>
      <c r="LF42" s="2" t="s">
        <v>17</v>
      </c>
      <c r="LG42" s="2" t="s">
        <v>17</v>
      </c>
      <c r="LH42" s="2" t="s">
        <v>17</v>
      </c>
      <c r="LI42" s="2" t="s">
        <v>17</v>
      </c>
      <c r="LJ42" s="2" t="s">
        <v>87</v>
      </c>
      <c r="LK42" s="2" t="s">
        <v>17</v>
      </c>
      <c r="LL42" s="2" t="s">
        <v>17</v>
      </c>
      <c r="LM42" s="2">
        <v>0</v>
      </c>
      <c r="LN42" s="2" t="s">
        <v>17</v>
      </c>
      <c r="LO42" s="2" t="s">
        <v>17</v>
      </c>
      <c r="LP42" s="2" t="s">
        <v>17</v>
      </c>
      <c r="LQ42" s="2" t="s">
        <v>17</v>
      </c>
      <c r="LR42" s="2" t="s">
        <v>17</v>
      </c>
      <c r="LS42" s="2" t="s">
        <v>17</v>
      </c>
      <c r="LT42" s="2" t="s">
        <v>17</v>
      </c>
      <c r="LU42" s="2" t="s">
        <v>9</v>
      </c>
      <c r="LV42" s="2" t="s">
        <v>9</v>
      </c>
      <c r="LW42" s="2" t="s">
        <v>9</v>
      </c>
      <c r="LX42" s="2" t="s">
        <v>17</v>
      </c>
      <c r="LY42" s="5">
        <v>6500000</v>
      </c>
      <c r="LZ42" s="5">
        <v>0</v>
      </c>
      <c r="MA42" s="5">
        <v>11000000</v>
      </c>
      <c r="MB42" s="5">
        <v>11000000</v>
      </c>
      <c r="MC42" s="5">
        <v>11000000</v>
      </c>
      <c r="MD42" s="5">
        <v>750000</v>
      </c>
      <c r="ME42" s="5">
        <v>750000</v>
      </c>
      <c r="MF42" s="5">
        <v>750000</v>
      </c>
      <c r="MG42" s="5">
        <v>10000000</v>
      </c>
      <c r="MH42" s="5">
        <v>0</v>
      </c>
      <c r="MI42" s="5">
        <v>10000000</v>
      </c>
      <c r="MJ42" s="5">
        <v>0</v>
      </c>
      <c r="MK42" s="5">
        <v>1298600</v>
      </c>
      <c r="ML42" s="5">
        <v>0</v>
      </c>
      <c r="MM42" s="5">
        <v>0</v>
      </c>
      <c r="MN42" s="2">
        <v>0</v>
      </c>
      <c r="MO42" s="5">
        <v>0</v>
      </c>
      <c r="MP42" s="5">
        <v>0</v>
      </c>
      <c r="MQ42" s="2">
        <v>0</v>
      </c>
      <c r="MR42" s="2">
        <v>0</v>
      </c>
      <c r="MS42" s="2">
        <v>0</v>
      </c>
      <c r="MT42" s="5">
        <v>2950000</v>
      </c>
      <c r="MU42" s="5">
        <v>0</v>
      </c>
      <c r="MV42" s="5">
        <v>4600000</v>
      </c>
      <c r="MW42" s="5">
        <v>0</v>
      </c>
      <c r="MY42" s="5">
        <v>0</v>
      </c>
      <c r="MZ42" s="5">
        <v>0</v>
      </c>
      <c r="NA42" s="5">
        <v>0</v>
      </c>
      <c r="NB42" s="5">
        <v>2500000</v>
      </c>
      <c r="NC42" s="5">
        <v>0</v>
      </c>
      <c r="ND42" s="5">
        <v>5000000</v>
      </c>
      <c r="NE42" s="5">
        <v>0</v>
      </c>
      <c r="NF42" s="5">
        <v>0</v>
      </c>
      <c r="NG42" s="5">
        <v>0</v>
      </c>
      <c r="NH42" s="5"/>
      <c r="NI42" s="5">
        <v>0</v>
      </c>
      <c r="NJ42" s="5">
        <v>1998518</v>
      </c>
      <c r="NK42" s="2" t="s">
        <v>17</v>
      </c>
      <c r="NL42" s="2">
        <v>2023</v>
      </c>
      <c r="NM42" s="2" t="s">
        <v>9</v>
      </c>
      <c r="NN42" s="2" t="s">
        <v>4009</v>
      </c>
      <c r="NO42" s="2" t="s">
        <v>17</v>
      </c>
      <c r="NR42" s="2" t="s">
        <v>17</v>
      </c>
      <c r="NT42" s="2" t="s">
        <v>9</v>
      </c>
      <c r="NU42" s="2" t="s">
        <v>450</v>
      </c>
      <c r="NV42" s="2">
        <v>83.09</v>
      </c>
      <c r="NW42" s="2" t="s">
        <v>3342</v>
      </c>
      <c r="NX42" s="2" t="s">
        <v>118</v>
      </c>
      <c r="NY42" s="2" t="s">
        <v>118</v>
      </c>
      <c r="NZ42" s="2" t="s">
        <v>118</v>
      </c>
      <c r="OA42" s="2" t="s">
        <v>17</v>
      </c>
      <c r="OB42" s="2" t="s">
        <v>119</v>
      </c>
      <c r="OF42" s="2" t="s">
        <v>17</v>
      </c>
      <c r="OG42" s="2" t="s">
        <v>17</v>
      </c>
      <c r="OH42" s="2" t="s">
        <v>85</v>
      </c>
      <c r="OI42" s="6">
        <v>0</v>
      </c>
      <c r="OJ42" s="6">
        <v>330000</v>
      </c>
      <c r="OK42" s="2" t="s">
        <v>17</v>
      </c>
      <c r="OL42" s="2" t="s">
        <v>17</v>
      </c>
      <c r="OM42" s="6">
        <v>0</v>
      </c>
      <c r="ON42" s="6">
        <v>0</v>
      </c>
      <c r="OO42" s="6">
        <v>0</v>
      </c>
      <c r="OP42" s="6">
        <v>0</v>
      </c>
      <c r="OQ42" s="4">
        <v>0</v>
      </c>
      <c r="OR42" s="6">
        <v>0</v>
      </c>
      <c r="OS42" s="4">
        <v>0</v>
      </c>
      <c r="OT42" s="2" t="s">
        <v>9</v>
      </c>
      <c r="OU42" s="2" t="s">
        <v>17</v>
      </c>
      <c r="OV42" s="2" t="s">
        <v>4010</v>
      </c>
      <c r="OW42" s="2" t="s">
        <v>17</v>
      </c>
      <c r="OX42" s="5">
        <v>8392794</v>
      </c>
      <c r="OY42" s="6">
        <v>72351.679999999993</v>
      </c>
      <c r="OZ42" s="8">
        <v>625000</v>
      </c>
      <c r="PA42" s="8">
        <v>625000</v>
      </c>
      <c r="PB42" s="8">
        <v>333118</v>
      </c>
      <c r="PC42" s="8">
        <v>333118</v>
      </c>
      <c r="PD42" s="8">
        <v>20204417</v>
      </c>
      <c r="PE42" s="8">
        <v>326697</v>
      </c>
      <c r="PF42" s="8">
        <v>20531114</v>
      </c>
      <c r="PG42" s="8">
        <v>1906681</v>
      </c>
      <c r="PH42" s="8">
        <v>100352</v>
      </c>
      <c r="PI42" s="8">
        <v>2007033</v>
      </c>
      <c r="PO42" s="8">
        <v>22111098</v>
      </c>
      <c r="PP42" s="8">
        <v>1385167</v>
      </c>
      <c r="PQ42" s="8">
        <v>23496265</v>
      </c>
      <c r="PR42" s="8">
        <v>3287221</v>
      </c>
      <c r="PT42" s="8">
        <v>3287221</v>
      </c>
      <c r="PU42" s="6">
        <v>3289477</v>
      </c>
      <c r="PV42" s="8">
        <v>25398319</v>
      </c>
      <c r="PW42" s="8">
        <v>1385167</v>
      </c>
      <c r="PX42" s="8">
        <v>26783486</v>
      </c>
      <c r="PY42" s="8">
        <v>1265089</v>
      </c>
      <c r="PZ42" s="2">
        <v>0</v>
      </c>
      <c r="QA42" s="8">
        <v>1265089</v>
      </c>
      <c r="QB42" s="6">
        <v>1339174.3</v>
      </c>
      <c r="QC42" s="8">
        <v>2298495</v>
      </c>
      <c r="QD42" s="8">
        <v>920966</v>
      </c>
      <c r="QE42" s="8">
        <v>3219461</v>
      </c>
      <c r="QF42" s="8">
        <v>106468</v>
      </c>
      <c r="QH42" s="8">
        <v>106468</v>
      </c>
      <c r="QI42" s="8">
        <v>555501</v>
      </c>
      <c r="QJ42" s="8">
        <v>90508</v>
      </c>
      <c r="QK42" s="8">
        <v>646009</v>
      </c>
      <c r="QM42" s="8">
        <v>439998</v>
      </c>
      <c r="QN42" s="8">
        <v>439998</v>
      </c>
      <c r="QP42" s="8">
        <v>492335</v>
      </c>
      <c r="QQ42" s="8">
        <v>492335</v>
      </c>
      <c r="QU42" s="8">
        <v>2960464</v>
      </c>
      <c r="QV42" s="8">
        <v>1943807</v>
      </c>
      <c r="QW42" s="8">
        <v>4904271</v>
      </c>
      <c r="QX42" s="8">
        <v>148022</v>
      </c>
      <c r="QY42" s="8">
        <v>97191</v>
      </c>
      <c r="QZ42" s="8">
        <v>245213</v>
      </c>
      <c r="RA42" s="6">
        <v>245213.55</v>
      </c>
      <c r="RB42" s="8">
        <v>2064799</v>
      </c>
      <c r="RC42" s="8">
        <v>1644099</v>
      </c>
      <c r="RD42" s="8">
        <v>3708898</v>
      </c>
      <c r="RE42" s="8">
        <v>186840</v>
      </c>
      <c r="RF42" s="8">
        <v>186840</v>
      </c>
      <c r="RJ42" s="8">
        <v>2064799</v>
      </c>
      <c r="RK42" s="8">
        <v>1830939</v>
      </c>
      <c r="RL42" s="8">
        <v>3895738</v>
      </c>
      <c r="RT42" s="8">
        <v>31836693</v>
      </c>
      <c r="RU42" s="8">
        <v>5257104</v>
      </c>
      <c r="RV42" s="8">
        <v>37093797</v>
      </c>
      <c r="RY42" s="2">
        <v>0</v>
      </c>
      <c r="RZ42" s="6">
        <v>0</v>
      </c>
      <c r="SA42" s="8">
        <v>6596335</v>
      </c>
      <c r="SC42" s="8">
        <v>6596335</v>
      </c>
      <c r="SD42" s="6">
        <v>6676883</v>
      </c>
      <c r="SE42" s="8">
        <v>6596335</v>
      </c>
      <c r="SF42" s="8">
        <v>6596335</v>
      </c>
      <c r="SG42" s="6">
        <v>6676883</v>
      </c>
      <c r="SJ42" s="6">
        <v>406000</v>
      </c>
      <c r="SK42" s="8">
        <v>1160000</v>
      </c>
      <c r="SL42" s="8">
        <v>1160000</v>
      </c>
      <c r="SM42" s="8">
        <v>38433028</v>
      </c>
      <c r="SN42" s="8">
        <v>6417104</v>
      </c>
      <c r="SO42" s="8">
        <v>44850132</v>
      </c>
      <c r="SP42" s="8">
        <v>23000000</v>
      </c>
      <c r="SQ42" s="2" t="s">
        <v>4220</v>
      </c>
      <c r="SX42" s="8">
        <v>11750000</v>
      </c>
      <c r="SY42" s="2" t="s">
        <v>96</v>
      </c>
      <c r="SZ42" s="2" t="s">
        <v>96</v>
      </c>
      <c r="TA42" s="2" t="s">
        <v>96</v>
      </c>
      <c r="TB42" s="8">
        <v>6644407</v>
      </c>
      <c r="TF42" s="8">
        <v>3455725</v>
      </c>
      <c r="TG42" s="8">
        <v>44850132</v>
      </c>
      <c r="TH42" s="2">
        <v>0</v>
      </c>
      <c r="TI42" s="8">
        <v>10380000</v>
      </c>
      <c r="TJ42" s="2" t="s">
        <v>4220</v>
      </c>
      <c r="TR42" s="8">
        <v>11750000</v>
      </c>
      <c r="TS42" s="8">
        <v>18984022</v>
      </c>
      <c r="TZ42" s="8">
        <v>3736110</v>
      </c>
      <c r="UA42" s="8">
        <v>44850132</v>
      </c>
      <c r="UB42" s="6">
        <v>22130000</v>
      </c>
      <c r="UC42" s="2">
        <v>0</v>
      </c>
      <c r="UD42" s="2">
        <v>116</v>
      </c>
      <c r="UE42" s="5">
        <v>310000</v>
      </c>
      <c r="UF42" s="6">
        <v>413333.33</v>
      </c>
      <c r="UG42" s="6">
        <v>428333.33</v>
      </c>
      <c r="UH42" s="6">
        <v>454033.33</v>
      </c>
      <c r="UI42" s="6">
        <v>52667866.670000002</v>
      </c>
      <c r="UJ42" s="6">
        <v>9480216</v>
      </c>
      <c r="UK42" s="2" t="s">
        <v>97</v>
      </c>
      <c r="UL42" s="6">
        <v>9480216</v>
      </c>
      <c r="UM42" s="6">
        <v>62148082.670000002</v>
      </c>
      <c r="UN42" s="6">
        <v>42239679</v>
      </c>
      <c r="UT42" s="6">
        <v>678817.32</v>
      </c>
      <c r="UW42" s="6">
        <v>678817.32</v>
      </c>
      <c r="UX42" s="6">
        <v>0</v>
      </c>
      <c r="UY42" s="6">
        <v>0</v>
      </c>
      <c r="UZ42" s="2" t="s">
        <v>3633</v>
      </c>
      <c r="VA42" s="2" t="s">
        <v>3288</v>
      </c>
      <c r="VB42" s="2" t="s">
        <v>9</v>
      </c>
      <c r="VC42" s="2">
        <v>10</v>
      </c>
      <c r="VD42" s="2">
        <v>10</v>
      </c>
      <c r="VE42" s="2" t="s">
        <v>9</v>
      </c>
      <c r="VF42" s="2">
        <v>10</v>
      </c>
      <c r="VG42" s="2" t="s">
        <v>17</v>
      </c>
      <c r="VI42" s="388" t="s">
        <v>3967</v>
      </c>
      <c r="VJ42" s="2" t="s">
        <v>98</v>
      </c>
      <c r="VK42" s="2" t="s">
        <v>3968</v>
      </c>
      <c r="VL42" s="23">
        <f t="shared" si="22"/>
        <v>178</v>
      </c>
      <c r="VM42" s="17">
        <f t="shared" si="23"/>
        <v>1.5344827586206897</v>
      </c>
      <c r="VN42" s="17" t="str">
        <f t="shared" si="24"/>
        <v>NC-HR-E</v>
      </c>
      <c r="VO42" s="17" t="str">
        <f t="shared" si="15"/>
        <v>NC-HR-E-ESS</v>
      </c>
      <c r="VP42" s="57">
        <v>1</v>
      </c>
      <c r="VQ42" s="17">
        <f t="shared" si="25"/>
        <v>1.1100000000000001</v>
      </c>
      <c r="VR42" s="14">
        <f t="shared" si="26"/>
        <v>1</v>
      </c>
      <c r="VS42" s="14">
        <f t="shared" si="27"/>
        <v>0.87</v>
      </c>
      <c r="VT42" s="12">
        <f t="shared" si="28"/>
        <v>0.83520000000000005</v>
      </c>
      <c r="VU42" s="29">
        <f t="shared" si="29"/>
        <v>8872079.0400000028</v>
      </c>
      <c r="VV42" s="29">
        <f t="shared" si="30"/>
        <v>76483.44</v>
      </c>
      <c r="VW42" s="351" t="str">
        <f t="shared" si="16"/>
        <v>A</v>
      </c>
      <c r="VX42" s="12" t="str">
        <f t="shared" si="31"/>
        <v>NC-HR-ESS</v>
      </c>
      <c r="VY42" s="23">
        <f t="shared" si="17"/>
        <v>4</v>
      </c>
      <c r="WA42" s="12">
        <f t="shared" si="18"/>
        <v>1</v>
      </c>
      <c r="WB42" s="12">
        <f t="shared" si="19"/>
        <v>1</v>
      </c>
      <c r="WC42" s="12">
        <f t="shared" si="19"/>
        <v>0</v>
      </c>
      <c r="WD42" s="12">
        <f t="shared" si="19"/>
        <v>1</v>
      </c>
      <c r="WE42" s="12">
        <f t="shared" si="20"/>
        <v>1</v>
      </c>
      <c r="WF42" s="12">
        <f t="shared" si="32"/>
        <v>0</v>
      </c>
      <c r="WG42" s="12">
        <f t="shared" si="33"/>
        <v>0</v>
      </c>
      <c r="WH42" s="12">
        <f t="shared" si="34"/>
        <v>1</v>
      </c>
      <c r="WI42" s="22">
        <f t="shared" si="35"/>
        <v>5</v>
      </c>
      <c r="WK42" s="444" t="str">
        <f t="shared" si="21"/>
        <v>NC-HR-ESS-BBY-BRN-PHA-E</v>
      </c>
      <c r="WL42" s="444"/>
      <c r="WM42" s="444"/>
    </row>
    <row r="43" spans="1:611" x14ac:dyDescent="0.25">
      <c r="A43" s="2">
        <v>9267</v>
      </c>
      <c r="B43" s="2" t="s">
        <v>4724</v>
      </c>
      <c r="C43" s="2" t="s">
        <v>4205</v>
      </c>
      <c r="D43" s="3">
        <v>45135</v>
      </c>
      <c r="E43" s="2" t="s">
        <v>9</v>
      </c>
      <c r="F43" s="2">
        <v>1</v>
      </c>
      <c r="G43" s="2" t="s">
        <v>9</v>
      </c>
      <c r="H43" s="2">
        <v>1</v>
      </c>
      <c r="I43" s="2" t="s">
        <v>11</v>
      </c>
      <c r="J43" s="2">
        <v>0</v>
      </c>
      <c r="K43" s="2" t="s">
        <v>9</v>
      </c>
      <c r="L43" s="2">
        <v>1</v>
      </c>
      <c r="M43" s="2" t="s">
        <v>10</v>
      </c>
      <c r="N43" s="2">
        <v>0</v>
      </c>
      <c r="O43" s="2" t="s">
        <v>10</v>
      </c>
      <c r="P43" s="2">
        <v>0</v>
      </c>
      <c r="Q43" s="2" t="s">
        <v>11</v>
      </c>
      <c r="R43" s="2">
        <v>0</v>
      </c>
      <c r="S43" s="2" t="s">
        <v>9</v>
      </c>
      <c r="T43" s="2">
        <v>2</v>
      </c>
      <c r="U43" s="2" t="s">
        <v>9</v>
      </c>
      <c r="V43" s="2">
        <v>2</v>
      </c>
      <c r="W43" s="2" t="s">
        <v>9</v>
      </c>
      <c r="X43" s="2">
        <v>2</v>
      </c>
      <c r="Y43" s="2" t="s">
        <v>12</v>
      </c>
      <c r="Z43" s="2" t="s">
        <v>15</v>
      </c>
      <c r="AA43" s="2" t="s">
        <v>15</v>
      </c>
      <c r="AB43" s="2" t="s">
        <v>15</v>
      </c>
      <c r="AC43" s="2" t="s">
        <v>3461</v>
      </c>
      <c r="AD43" s="2" t="s">
        <v>15</v>
      </c>
      <c r="AE43" s="2" t="s">
        <v>15</v>
      </c>
      <c r="AF43" s="2">
        <v>0</v>
      </c>
      <c r="AG43" s="2" t="s">
        <v>234</v>
      </c>
      <c r="AH43" s="2" t="s">
        <v>17</v>
      </c>
      <c r="AI43" s="4">
        <v>0.1</v>
      </c>
      <c r="AJ43" s="2" t="s">
        <v>17</v>
      </c>
      <c r="AK43" s="2" t="s">
        <v>9</v>
      </c>
      <c r="AL43" s="2" t="s">
        <v>17</v>
      </c>
      <c r="AM43" s="2" t="s">
        <v>17</v>
      </c>
      <c r="AN43" s="2" t="s">
        <v>17</v>
      </c>
      <c r="AO43" s="2" t="s">
        <v>9</v>
      </c>
      <c r="AP43" s="2" t="s">
        <v>17</v>
      </c>
      <c r="AQ43" s="2" t="s">
        <v>17</v>
      </c>
      <c r="AR43" s="2" t="s">
        <v>17</v>
      </c>
      <c r="AS43" s="2" t="s">
        <v>17</v>
      </c>
      <c r="AT43" s="2">
        <v>5</v>
      </c>
      <c r="AU43" s="5">
        <v>50000</v>
      </c>
      <c r="AV43" s="5">
        <v>460000</v>
      </c>
      <c r="AW43" s="2">
        <v>0</v>
      </c>
      <c r="AX43" s="2">
        <v>5</v>
      </c>
      <c r="AY43" s="2">
        <v>0</v>
      </c>
      <c r="AZ43" s="2">
        <v>17</v>
      </c>
      <c r="BA43" s="2">
        <v>0</v>
      </c>
      <c r="BB43" s="2">
        <v>1</v>
      </c>
      <c r="BC43" s="2">
        <v>1</v>
      </c>
      <c r="BD43" s="2">
        <v>0</v>
      </c>
      <c r="BE43" s="2">
        <v>0</v>
      </c>
      <c r="BF43" s="2">
        <v>1</v>
      </c>
      <c r="BG43" s="2">
        <v>0</v>
      </c>
      <c r="BH43" s="2">
        <v>0</v>
      </c>
      <c r="BI43" s="2">
        <v>13</v>
      </c>
      <c r="BJ43" s="2">
        <v>1</v>
      </c>
      <c r="BK43" s="2">
        <v>0</v>
      </c>
      <c r="BL43" s="2">
        <v>2</v>
      </c>
      <c r="BM43" s="2">
        <v>1</v>
      </c>
      <c r="BN43" s="2">
        <v>10</v>
      </c>
      <c r="BO43" s="2">
        <v>10</v>
      </c>
      <c r="BP43" s="2">
        <v>34.1</v>
      </c>
      <c r="BQ43" s="5">
        <v>10179500</v>
      </c>
      <c r="BR43" s="2">
        <v>1</v>
      </c>
      <c r="BS43" s="4">
        <v>0.06</v>
      </c>
      <c r="BT43" s="2" t="s">
        <v>9</v>
      </c>
      <c r="BU43" s="2" t="s">
        <v>17</v>
      </c>
      <c r="BV43" s="6">
        <v>73430.33</v>
      </c>
      <c r="BW43" s="2" t="s">
        <v>126</v>
      </c>
      <c r="BX43" s="2" t="s">
        <v>17</v>
      </c>
      <c r="BY43" s="2" t="s">
        <v>17</v>
      </c>
      <c r="BZ43" s="2" t="s">
        <v>17</v>
      </c>
      <c r="CA43" s="2" t="s">
        <v>17</v>
      </c>
      <c r="CB43" s="2" t="s">
        <v>17</v>
      </c>
      <c r="CC43" s="2" t="s">
        <v>17</v>
      </c>
      <c r="CD43" s="2" t="s">
        <v>9</v>
      </c>
      <c r="CE43" s="2" t="s">
        <v>4725</v>
      </c>
      <c r="CF43" s="2" t="s">
        <v>17</v>
      </c>
      <c r="CG43" s="2" t="s">
        <v>17</v>
      </c>
      <c r="DA43" s="2" t="s">
        <v>4726</v>
      </c>
      <c r="DD43" s="2" t="s">
        <v>9</v>
      </c>
      <c r="DE43" s="2" t="s">
        <v>286</v>
      </c>
      <c r="DF43" s="2" t="s">
        <v>4726</v>
      </c>
      <c r="DG43" s="2" t="s">
        <v>287</v>
      </c>
      <c r="DH43" s="2" t="s">
        <v>147</v>
      </c>
      <c r="DI43" s="2">
        <v>100</v>
      </c>
      <c r="DJ43" s="2" t="s">
        <v>3002</v>
      </c>
      <c r="DK43" s="2">
        <v>2021</v>
      </c>
      <c r="DL43" s="2" t="s">
        <v>4209</v>
      </c>
      <c r="DM43" s="2" t="s">
        <v>4210</v>
      </c>
      <c r="DN43" s="2" t="s">
        <v>33</v>
      </c>
      <c r="DO43" s="2" t="s">
        <v>1059</v>
      </c>
      <c r="DP43" s="2" t="s">
        <v>295</v>
      </c>
      <c r="DQ43" s="2" t="s">
        <v>296</v>
      </c>
      <c r="DR43" s="2" t="s">
        <v>297</v>
      </c>
      <c r="DS43" s="2">
        <v>1</v>
      </c>
      <c r="DT43" s="2" t="s">
        <v>1060</v>
      </c>
      <c r="DU43" s="2" t="s">
        <v>299</v>
      </c>
      <c r="DV43" s="2" t="s">
        <v>39</v>
      </c>
      <c r="DW43" s="2">
        <v>33133</v>
      </c>
      <c r="DX43" s="2" t="s">
        <v>1061</v>
      </c>
      <c r="DY43" s="2">
        <v>125</v>
      </c>
      <c r="DZ43" s="2" t="s">
        <v>301</v>
      </c>
      <c r="EA43" s="2" t="s">
        <v>297</v>
      </c>
      <c r="EB43" s="2" t="s">
        <v>302</v>
      </c>
      <c r="EC43" s="2" t="s">
        <v>3076</v>
      </c>
      <c r="ED43" s="2" t="s">
        <v>44</v>
      </c>
      <c r="EE43" s="2">
        <v>144</v>
      </c>
      <c r="EF43" s="2" t="s">
        <v>3003</v>
      </c>
      <c r="EG43" s="2">
        <v>7</v>
      </c>
      <c r="EH43" s="2" t="s">
        <v>46</v>
      </c>
      <c r="EI43" s="2" t="s">
        <v>47</v>
      </c>
      <c r="EJ43" s="2" t="s">
        <v>304</v>
      </c>
      <c r="EK43" s="2" t="s">
        <v>2705</v>
      </c>
      <c r="EL43" s="2" t="s">
        <v>44</v>
      </c>
      <c r="EM43" s="2">
        <v>150</v>
      </c>
      <c r="EN43" s="2" t="s">
        <v>3003</v>
      </c>
      <c r="EO43" s="2">
        <v>5</v>
      </c>
      <c r="EP43" s="2" t="s">
        <v>46</v>
      </c>
      <c r="EQ43" s="2" t="s">
        <v>47</v>
      </c>
      <c r="ER43" s="2" t="s">
        <v>294</v>
      </c>
      <c r="ES43" s="2" t="s">
        <v>295</v>
      </c>
      <c r="ET43" s="2" t="s">
        <v>296</v>
      </c>
      <c r="EU43" s="2" t="s">
        <v>4725</v>
      </c>
      <c r="EV43" s="2" t="s">
        <v>4727</v>
      </c>
      <c r="EW43" s="2" t="s">
        <v>299</v>
      </c>
      <c r="EX43" s="2" t="s">
        <v>39</v>
      </c>
      <c r="EY43" s="2">
        <v>33133</v>
      </c>
      <c r="EZ43" s="2" t="s">
        <v>1061</v>
      </c>
      <c r="FA43" s="2">
        <v>125</v>
      </c>
      <c r="FB43" s="2" t="s">
        <v>301</v>
      </c>
      <c r="FC43" s="2" t="s">
        <v>3278</v>
      </c>
      <c r="FE43" s="2" t="s">
        <v>308</v>
      </c>
      <c r="FF43" s="2" t="s">
        <v>309</v>
      </c>
      <c r="FG43" s="2" t="s">
        <v>4727</v>
      </c>
      <c r="FH43" s="2" t="s">
        <v>299</v>
      </c>
      <c r="FI43" s="2" t="s">
        <v>39</v>
      </c>
      <c r="FJ43" s="2">
        <v>33133</v>
      </c>
      <c r="FK43" s="2" t="s">
        <v>1063</v>
      </c>
      <c r="FM43" s="2" t="s">
        <v>311</v>
      </c>
      <c r="FN43" s="2" t="s">
        <v>4728</v>
      </c>
      <c r="FO43" s="2" t="s">
        <v>63</v>
      </c>
      <c r="FP43" s="2" t="s">
        <v>64</v>
      </c>
      <c r="FQ43" s="2" t="s">
        <v>9</v>
      </c>
      <c r="FR43" s="2" t="s">
        <v>17</v>
      </c>
      <c r="FS43" s="2" t="s">
        <v>17</v>
      </c>
      <c r="FT43" s="2" t="s">
        <v>9</v>
      </c>
      <c r="FX43" s="2">
        <v>0</v>
      </c>
      <c r="FY43" s="2">
        <v>0</v>
      </c>
      <c r="FZ43" s="4">
        <v>0</v>
      </c>
      <c r="GA43" s="4">
        <v>0</v>
      </c>
      <c r="GB43" s="2" t="s">
        <v>65</v>
      </c>
      <c r="GC43" s="2" t="s">
        <v>66</v>
      </c>
      <c r="GD43" s="2" t="s">
        <v>67</v>
      </c>
      <c r="GE43" s="2" t="s">
        <v>1612</v>
      </c>
      <c r="GI43" s="2">
        <v>110</v>
      </c>
      <c r="GQ43" s="2">
        <v>110</v>
      </c>
      <c r="GR43" s="2" t="s">
        <v>1197</v>
      </c>
      <c r="GS43" s="2" t="s">
        <v>70</v>
      </c>
      <c r="GT43" s="2" t="s">
        <v>4729</v>
      </c>
      <c r="GU43" s="2" t="s">
        <v>1469</v>
      </c>
      <c r="GV43" s="2" t="s">
        <v>17</v>
      </c>
      <c r="GW43" s="2">
        <v>26.601378</v>
      </c>
      <c r="GX43" s="2">
        <v>-81.856406000000007</v>
      </c>
      <c r="GZ43" s="2" t="s">
        <v>17</v>
      </c>
      <c r="HA43" s="2">
        <v>0</v>
      </c>
      <c r="HB43" s="2" t="s">
        <v>17</v>
      </c>
      <c r="HC43" s="2">
        <v>0</v>
      </c>
      <c r="HN43" s="2">
        <v>26.599333000000001</v>
      </c>
      <c r="HO43" s="2">
        <v>-81.866833</v>
      </c>
      <c r="HP43" s="2">
        <v>0.67</v>
      </c>
      <c r="HQ43" s="2">
        <v>5</v>
      </c>
      <c r="HZ43" s="2" t="s">
        <v>1115</v>
      </c>
      <c r="IA43" s="2">
        <v>0.94</v>
      </c>
      <c r="IB43" s="2">
        <v>2.5</v>
      </c>
      <c r="IC43" s="2" t="s">
        <v>4696</v>
      </c>
      <c r="ID43" s="2">
        <v>0.86</v>
      </c>
      <c r="IE43" s="2">
        <v>2.5</v>
      </c>
      <c r="II43" s="2" t="s">
        <v>4698</v>
      </c>
      <c r="IJ43" s="2">
        <v>1.21</v>
      </c>
      <c r="IK43" s="2">
        <v>2.5</v>
      </c>
      <c r="IL43" s="2" t="s">
        <v>17</v>
      </c>
      <c r="IM43" s="2" t="s">
        <v>17</v>
      </c>
      <c r="IO43" s="2" t="s">
        <v>17</v>
      </c>
      <c r="IP43" s="2" t="s">
        <v>79</v>
      </c>
      <c r="IQ43" s="2" t="s">
        <v>79</v>
      </c>
      <c r="IR43" s="2">
        <v>5</v>
      </c>
      <c r="IS43" s="2">
        <v>7.5</v>
      </c>
      <c r="IT43" s="2">
        <v>0</v>
      </c>
      <c r="IU43" s="2">
        <v>12.5</v>
      </c>
      <c r="IV43" s="2" t="s">
        <v>80</v>
      </c>
      <c r="IW43" s="2" t="s">
        <v>9</v>
      </c>
      <c r="IX43" s="2" t="s">
        <v>9</v>
      </c>
      <c r="IY43" s="2">
        <v>12.5</v>
      </c>
      <c r="IZ43" s="2">
        <v>110</v>
      </c>
      <c r="JB43" s="2" t="s">
        <v>173</v>
      </c>
      <c r="JE43" s="7">
        <v>0.1</v>
      </c>
      <c r="JG43" s="7">
        <v>0.9</v>
      </c>
      <c r="JH43" s="7">
        <v>0</v>
      </c>
      <c r="JI43" s="2">
        <v>110</v>
      </c>
      <c r="JJ43" s="7">
        <v>1</v>
      </c>
      <c r="JK43" s="2">
        <v>110</v>
      </c>
      <c r="JL43" s="7">
        <v>1</v>
      </c>
      <c r="JT43" s="2">
        <v>0</v>
      </c>
      <c r="JU43" s="2">
        <v>0</v>
      </c>
      <c r="JV43" s="2">
        <v>0</v>
      </c>
      <c r="JW43" s="4">
        <v>0</v>
      </c>
      <c r="JX43" s="2">
        <v>0</v>
      </c>
      <c r="JY43" s="4">
        <v>0</v>
      </c>
      <c r="KD43" s="7">
        <v>1</v>
      </c>
      <c r="KE43" s="7">
        <v>1</v>
      </c>
      <c r="KF43" s="2">
        <v>110</v>
      </c>
      <c r="KH43" s="2">
        <v>92</v>
      </c>
      <c r="KK43" s="2">
        <v>18</v>
      </c>
      <c r="KQ43" s="2" t="s">
        <v>83</v>
      </c>
      <c r="KS43" s="2" t="s">
        <v>73</v>
      </c>
      <c r="KT43" s="2">
        <v>1</v>
      </c>
      <c r="KU43" s="2" t="s">
        <v>84</v>
      </c>
      <c r="KW43" s="2" t="s">
        <v>86</v>
      </c>
      <c r="KX43" s="2" t="s">
        <v>17</v>
      </c>
      <c r="KY43" s="2" t="s">
        <v>17</v>
      </c>
      <c r="KZ43" s="2" t="s">
        <v>17</v>
      </c>
      <c r="LA43" s="2" t="s">
        <v>17</v>
      </c>
      <c r="LB43" s="2" t="s">
        <v>17</v>
      </c>
      <c r="LC43" s="2" t="s">
        <v>17</v>
      </c>
      <c r="LD43" s="2" t="s">
        <v>17</v>
      </c>
      <c r="LE43" s="2" t="s">
        <v>17</v>
      </c>
      <c r="LF43" s="2" t="s">
        <v>17</v>
      </c>
      <c r="LG43" s="2" t="s">
        <v>17</v>
      </c>
      <c r="LH43" s="2" t="s">
        <v>17</v>
      </c>
      <c r="LI43" s="2" t="s">
        <v>17</v>
      </c>
      <c r="LJ43" s="2" t="s">
        <v>87</v>
      </c>
      <c r="LK43" s="2" t="s">
        <v>17</v>
      </c>
      <c r="LL43" s="2" t="s">
        <v>17</v>
      </c>
      <c r="LM43" s="2">
        <v>0</v>
      </c>
      <c r="LN43" s="2" t="s">
        <v>17</v>
      </c>
      <c r="LO43" s="2" t="s">
        <v>17</v>
      </c>
      <c r="LP43" s="2" t="s">
        <v>17</v>
      </c>
      <c r="LQ43" s="2" t="s">
        <v>17</v>
      </c>
      <c r="LR43" s="2" t="s">
        <v>17</v>
      </c>
      <c r="LS43" s="2" t="s">
        <v>17</v>
      </c>
      <c r="LT43" s="2" t="s">
        <v>17</v>
      </c>
      <c r="LU43" s="2" t="s">
        <v>17</v>
      </c>
      <c r="LV43" s="2" t="s">
        <v>9</v>
      </c>
      <c r="LW43" s="2" t="s">
        <v>9</v>
      </c>
      <c r="LX43" s="2" t="s">
        <v>9</v>
      </c>
      <c r="LY43" s="5">
        <v>6500000</v>
      </c>
      <c r="LZ43" s="5">
        <v>0</v>
      </c>
      <c r="MA43" s="5">
        <v>9500000</v>
      </c>
      <c r="MB43" s="5">
        <v>9498000</v>
      </c>
      <c r="MC43" s="5">
        <v>9498000</v>
      </c>
      <c r="MD43" s="5">
        <v>681500</v>
      </c>
      <c r="ME43" s="5">
        <v>681500</v>
      </c>
      <c r="MF43" s="5">
        <v>681500</v>
      </c>
      <c r="MG43" s="5">
        <v>10000000</v>
      </c>
      <c r="MH43" s="5">
        <v>0</v>
      </c>
      <c r="MI43" s="5">
        <v>10000000</v>
      </c>
      <c r="MJ43" s="5">
        <v>0</v>
      </c>
      <c r="MK43" s="5">
        <v>681500</v>
      </c>
      <c r="ML43" s="5">
        <v>0</v>
      </c>
      <c r="MM43" s="5">
        <v>0</v>
      </c>
      <c r="MN43" s="2">
        <v>0</v>
      </c>
      <c r="MO43" s="5">
        <v>0</v>
      </c>
      <c r="MP43" s="5">
        <v>0</v>
      </c>
      <c r="MQ43" s="2">
        <v>0</v>
      </c>
      <c r="MR43" s="2">
        <v>0</v>
      </c>
      <c r="MS43" s="2">
        <v>0</v>
      </c>
      <c r="MT43" s="5">
        <v>2950000</v>
      </c>
      <c r="MU43" s="5">
        <v>0</v>
      </c>
      <c r="MV43" s="5">
        <v>4600000</v>
      </c>
      <c r="MW43" s="5">
        <v>0</v>
      </c>
      <c r="MY43" s="5">
        <v>0</v>
      </c>
      <c r="MZ43" s="5">
        <v>0</v>
      </c>
      <c r="NA43" s="5">
        <v>0</v>
      </c>
      <c r="NB43" s="5">
        <v>2500000</v>
      </c>
      <c r="NC43" s="5">
        <v>0</v>
      </c>
      <c r="ND43" s="5">
        <v>5000000</v>
      </c>
      <c r="NE43" s="5">
        <v>0</v>
      </c>
      <c r="NF43" s="5">
        <v>0</v>
      </c>
      <c r="NG43" s="5">
        <v>0</v>
      </c>
      <c r="NH43" s="5"/>
      <c r="NI43" s="5">
        <v>0</v>
      </c>
      <c r="NJ43" s="5">
        <v>1567828</v>
      </c>
      <c r="NK43" s="2" t="s">
        <v>9</v>
      </c>
      <c r="NL43" s="2" t="s">
        <v>4292</v>
      </c>
      <c r="NM43" s="2" t="s">
        <v>17</v>
      </c>
      <c r="NO43" s="2" t="s">
        <v>17</v>
      </c>
      <c r="NR43" s="2" t="s">
        <v>17</v>
      </c>
      <c r="NT43" s="2" t="s">
        <v>9</v>
      </c>
      <c r="NU43" s="2" t="s">
        <v>450</v>
      </c>
      <c r="NV43" s="2">
        <v>11.03</v>
      </c>
      <c r="NW43" s="2" t="s">
        <v>1221</v>
      </c>
      <c r="NX43" s="2" t="s">
        <v>118</v>
      </c>
      <c r="NY43" s="2" t="s">
        <v>118</v>
      </c>
      <c r="NZ43" s="2" t="s">
        <v>118</v>
      </c>
      <c r="OA43" s="2" t="s">
        <v>17</v>
      </c>
      <c r="OB43" s="2" t="s">
        <v>119</v>
      </c>
      <c r="OC43" s="5">
        <v>17200000</v>
      </c>
      <c r="OF43" s="2" t="s">
        <v>17</v>
      </c>
      <c r="OG43" s="2" t="s">
        <v>17</v>
      </c>
      <c r="OH43" s="2" t="s">
        <v>85</v>
      </c>
      <c r="OI43" s="6">
        <v>0</v>
      </c>
      <c r="OJ43" s="6">
        <v>284940</v>
      </c>
      <c r="OK43" s="2" t="s">
        <v>17</v>
      </c>
      <c r="OL43" s="2" t="s">
        <v>17</v>
      </c>
      <c r="OM43" s="6">
        <v>0</v>
      </c>
      <c r="ON43" s="6">
        <v>0</v>
      </c>
      <c r="OO43" s="6">
        <v>0</v>
      </c>
      <c r="OP43" s="6">
        <v>0</v>
      </c>
      <c r="OQ43" s="4">
        <v>0</v>
      </c>
      <c r="OR43" s="6">
        <v>0</v>
      </c>
      <c r="OS43" s="4">
        <v>0</v>
      </c>
      <c r="OT43" s="2" t="s">
        <v>17</v>
      </c>
      <c r="OU43" s="2" t="s">
        <v>17</v>
      </c>
      <c r="OW43" s="2" t="s">
        <v>17</v>
      </c>
      <c r="OX43" s="5">
        <v>8077337</v>
      </c>
      <c r="OY43" s="6">
        <v>73430.33</v>
      </c>
      <c r="PD43" s="8">
        <v>19074889</v>
      </c>
      <c r="PF43" s="8">
        <v>19074889</v>
      </c>
      <c r="PO43" s="8">
        <v>19074889</v>
      </c>
      <c r="PQ43" s="8">
        <v>19074889</v>
      </c>
      <c r="PR43" s="8">
        <v>2180036</v>
      </c>
      <c r="PT43" s="8">
        <v>2180036</v>
      </c>
      <c r="PU43" s="6">
        <v>2670484</v>
      </c>
      <c r="PV43" s="8">
        <v>21254925</v>
      </c>
      <c r="PX43" s="8">
        <v>21254925</v>
      </c>
      <c r="PY43" s="8">
        <v>1062746</v>
      </c>
      <c r="QA43" s="8">
        <v>1062746</v>
      </c>
      <c r="QB43" s="6">
        <v>1062746.25</v>
      </c>
      <c r="QC43" s="8">
        <v>1216249</v>
      </c>
      <c r="QE43" s="8">
        <v>1216249</v>
      </c>
      <c r="QF43" s="8">
        <v>445171</v>
      </c>
      <c r="QH43" s="8">
        <v>445171</v>
      </c>
      <c r="QI43" s="8">
        <v>1063716</v>
      </c>
      <c r="QK43" s="8">
        <v>1063716</v>
      </c>
      <c r="QM43" s="8">
        <v>265430</v>
      </c>
      <c r="QN43" s="8">
        <v>265430</v>
      </c>
      <c r="QU43" s="8">
        <v>2725136</v>
      </c>
      <c r="QV43" s="8">
        <v>265430</v>
      </c>
      <c r="QW43" s="8">
        <v>2990566</v>
      </c>
      <c r="QX43" s="8">
        <v>149528</v>
      </c>
      <c r="QZ43" s="8">
        <v>149528</v>
      </c>
      <c r="RA43" s="6">
        <v>149528.29999999999</v>
      </c>
      <c r="RB43" s="8">
        <v>1433671</v>
      </c>
      <c r="RD43" s="8">
        <v>1433671</v>
      </c>
      <c r="RE43" s="8">
        <v>82350</v>
      </c>
      <c r="RF43" s="8">
        <v>82350</v>
      </c>
      <c r="RH43" s="8">
        <v>252710</v>
      </c>
      <c r="RI43" s="8">
        <v>252710</v>
      </c>
      <c r="RJ43" s="8">
        <v>1433671</v>
      </c>
      <c r="RK43" s="8">
        <v>335060</v>
      </c>
      <c r="RL43" s="8">
        <v>1768731</v>
      </c>
      <c r="RT43" s="8">
        <v>26626006</v>
      </c>
      <c r="RU43" s="8">
        <v>600490</v>
      </c>
      <c r="RV43" s="8">
        <v>27226496</v>
      </c>
      <c r="RY43" s="2">
        <v>0</v>
      </c>
      <c r="RZ43" s="6">
        <v>0</v>
      </c>
      <c r="SA43" s="8">
        <v>4900769</v>
      </c>
      <c r="SC43" s="8">
        <v>4900769</v>
      </c>
      <c r="SD43" s="6">
        <v>4900769</v>
      </c>
      <c r="SE43" s="8">
        <v>4900769</v>
      </c>
      <c r="SF43" s="8">
        <v>4900769</v>
      </c>
      <c r="SG43" s="6">
        <v>4900769</v>
      </c>
      <c r="SH43" s="8">
        <v>276938</v>
      </c>
      <c r="SI43" s="8">
        <v>276938</v>
      </c>
      <c r="SJ43" s="6">
        <v>385000</v>
      </c>
      <c r="SK43" s="8">
        <v>2295000</v>
      </c>
      <c r="SL43" s="8">
        <v>2295000</v>
      </c>
      <c r="SM43" s="8">
        <v>31526775</v>
      </c>
      <c r="SN43" s="8">
        <v>3172428</v>
      </c>
      <c r="SO43" s="8">
        <v>34699203</v>
      </c>
      <c r="SP43" s="8">
        <v>17200000</v>
      </c>
      <c r="SQ43" s="2" t="s">
        <v>4295</v>
      </c>
      <c r="SX43" s="8">
        <v>10179500</v>
      </c>
      <c r="SY43" s="2" t="s">
        <v>96</v>
      </c>
      <c r="SZ43" s="2" t="s">
        <v>96</v>
      </c>
      <c r="TA43" s="2" t="s">
        <v>96</v>
      </c>
      <c r="TB43" s="8">
        <v>7132900</v>
      </c>
      <c r="TF43" s="8">
        <v>186803</v>
      </c>
      <c r="TG43" s="8">
        <v>34699203</v>
      </c>
      <c r="TH43" s="2">
        <v>0</v>
      </c>
      <c r="TI43" s="8">
        <v>6735000</v>
      </c>
      <c r="TJ43" s="2" t="s">
        <v>4295</v>
      </c>
      <c r="TR43" s="8">
        <v>10179500</v>
      </c>
      <c r="TS43" s="8">
        <v>14265800</v>
      </c>
      <c r="TT43" s="2" t="s">
        <v>4700</v>
      </c>
      <c r="TU43" s="8">
        <v>50000</v>
      </c>
      <c r="TV43" s="2" t="s">
        <v>453</v>
      </c>
      <c r="TZ43" s="8">
        <v>3468903</v>
      </c>
      <c r="UA43" s="8">
        <v>34699203</v>
      </c>
      <c r="UB43" s="6">
        <v>16964500</v>
      </c>
      <c r="UC43" s="2">
        <v>0</v>
      </c>
      <c r="UD43" s="2">
        <v>110</v>
      </c>
      <c r="UE43" s="5">
        <v>270000</v>
      </c>
      <c r="UF43" s="6">
        <v>360000</v>
      </c>
      <c r="UG43" s="6">
        <v>367500</v>
      </c>
      <c r="UH43" s="6">
        <v>389550</v>
      </c>
      <c r="UI43" s="6">
        <v>42850500</v>
      </c>
      <c r="UJ43" s="6">
        <v>7713090</v>
      </c>
      <c r="UK43" s="2" t="s">
        <v>97</v>
      </c>
      <c r="UL43" s="6">
        <v>7713090</v>
      </c>
      <c r="UM43" s="6">
        <v>50563590</v>
      </c>
      <c r="UN43" s="6">
        <v>32127265</v>
      </c>
      <c r="UQ43" s="6">
        <v>0</v>
      </c>
      <c r="UR43" s="6">
        <v>50000</v>
      </c>
      <c r="US43" s="6">
        <v>50000</v>
      </c>
      <c r="UV43" s="6">
        <v>0</v>
      </c>
      <c r="UW43" s="6">
        <v>50000</v>
      </c>
      <c r="UX43" s="6">
        <v>0</v>
      </c>
      <c r="UY43" s="6">
        <v>50000</v>
      </c>
      <c r="UZ43" s="2" t="s">
        <v>1954</v>
      </c>
      <c r="VA43" s="2" t="s">
        <v>453</v>
      </c>
      <c r="VB43" s="2" t="s">
        <v>17</v>
      </c>
      <c r="VI43" s="388" t="s">
        <v>286</v>
      </c>
      <c r="VJ43" s="2" t="s">
        <v>98</v>
      </c>
      <c r="VK43" s="2" t="s">
        <v>4732</v>
      </c>
      <c r="VL43" s="23">
        <f t="shared" si="22"/>
        <v>128</v>
      </c>
      <c r="VM43" s="17">
        <f t="shared" si="23"/>
        <v>1.1636363636363636</v>
      </c>
      <c r="VN43" s="17" t="str">
        <f t="shared" si="24"/>
        <v>NC-MR-E</v>
      </c>
      <c r="VO43" s="17" t="str">
        <f t="shared" si="15"/>
        <v>NC-MR-E-ESS</v>
      </c>
      <c r="VP43" s="57">
        <v>1</v>
      </c>
      <c r="VQ43" s="17">
        <f t="shared" si="25"/>
        <v>1.1100000000000001</v>
      </c>
      <c r="VR43" s="14">
        <f t="shared" si="26"/>
        <v>1</v>
      </c>
      <c r="VS43" s="14">
        <f t="shared" si="27"/>
        <v>1</v>
      </c>
      <c r="VT43" s="12">
        <f t="shared" si="28"/>
        <v>0.8448</v>
      </c>
      <c r="VU43" s="29">
        <f t="shared" si="29"/>
        <v>8906540.5439999998</v>
      </c>
      <c r="VV43" s="29">
        <f t="shared" si="30"/>
        <v>80968.55</v>
      </c>
      <c r="VW43" s="351" t="str">
        <f t="shared" si="16"/>
        <v>A</v>
      </c>
      <c r="VX43" s="12" t="str">
        <f t="shared" si="31"/>
        <v>NC-MR-ESS</v>
      </c>
      <c r="VY43" s="23">
        <f t="shared" si="17"/>
        <v>4</v>
      </c>
      <c r="WA43" s="12">
        <f t="shared" si="18"/>
        <v>1</v>
      </c>
      <c r="WB43" s="12">
        <f t="shared" si="19"/>
        <v>1</v>
      </c>
      <c r="WC43" s="12">
        <f t="shared" si="19"/>
        <v>0</v>
      </c>
      <c r="WD43" s="12">
        <f t="shared" si="19"/>
        <v>0</v>
      </c>
      <c r="WE43" s="12">
        <f t="shared" si="20"/>
        <v>1</v>
      </c>
      <c r="WF43" s="12">
        <f t="shared" si="32"/>
        <v>0</v>
      </c>
      <c r="WG43" s="12">
        <f t="shared" si="33"/>
        <v>1</v>
      </c>
      <c r="WH43" s="12">
        <f t="shared" si="34"/>
        <v>0</v>
      </c>
      <c r="WI43" s="22">
        <f t="shared" si="35"/>
        <v>4</v>
      </c>
      <c r="WK43" s="444" t="str">
        <f t="shared" si="21"/>
        <v>NC-MR-ESS-BBY-BRN-NPH-E</v>
      </c>
      <c r="WL43" s="444"/>
      <c r="WM43" s="444"/>
    </row>
    <row r="44" spans="1:611" x14ac:dyDescent="0.25">
      <c r="A44" s="2">
        <v>9308</v>
      </c>
      <c r="B44" s="2" t="s">
        <v>4733</v>
      </c>
      <c r="C44" s="2" t="s">
        <v>4205</v>
      </c>
      <c r="D44" s="3">
        <v>45128</v>
      </c>
      <c r="E44" s="2" t="s">
        <v>9</v>
      </c>
      <c r="F44" s="2">
        <v>1</v>
      </c>
      <c r="G44" s="2" t="s">
        <v>9</v>
      </c>
      <c r="H44" s="2">
        <v>1</v>
      </c>
      <c r="I44" s="2" t="s">
        <v>11</v>
      </c>
      <c r="J44" s="2">
        <v>0</v>
      </c>
      <c r="K44" s="2" t="s">
        <v>9</v>
      </c>
      <c r="L44" s="2">
        <v>1</v>
      </c>
      <c r="M44" s="2" t="s">
        <v>10</v>
      </c>
      <c r="N44" s="2">
        <v>0</v>
      </c>
      <c r="O44" s="2" t="s">
        <v>10</v>
      </c>
      <c r="P44" s="2">
        <v>0</v>
      </c>
      <c r="Q44" s="2" t="s">
        <v>11</v>
      </c>
      <c r="R44" s="2">
        <v>0</v>
      </c>
      <c r="S44" s="2" t="s">
        <v>9</v>
      </c>
      <c r="T44" s="2">
        <v>2</v>
      </c>
      <c r="U44" s="2" t="s">
        <v>9</v>
      </c>
      <c r="V44" s="2">
        <v>2</v>
      </c>
      <c r="W44" s="2" t="s">
        <v>9</v>
      </c>
      <c r="X44" s="2">
        <v>2</v>
      </c>
      <c r="Y44" s="2" t="s">
        <v>12</v>
      </c>
      <c r="Z44" s="2" t="s">
        <v>15</v>
      </c>
      <c r="AA44" s="2" t="s">
        <v>15</v>
      </c>
      <c r="AB44" s="2" t="s">
        <v>15</v>
      </c>
      <c r="AC44" s="2" t="s">
        <v>15</v>
      </c>
      <c r="AD44" s="2" t="s">
        <v>1620</v>
      </c>
      <c r="AE44" s="2" t="s">
        <v>15</v>
      </c>
      <c r="AF44" s="2">
        <v>0</v>
      </c>
      <c r="AG44" s="2" t="s">
        <v>234</v>
      </c>
      <c r="AH44" s="2" t="s">
        <v>17</v>
      </c>
      <c r="AI44" s="4">
        <v>0.17241000000000001</v>
      </c>
      <c r="AJ44" s="2" t="s">
        <v>17</v>
      </c>
      <c r="AK44" s="2" t="s">
        <v>9</v>
      </c>
      <c r="AL44" s="2" t="s">
        <v>9</v>
      </c>
      <c r="AM44" s="2" t="s">
        <v>17</v>
      </c>
      <c r="AN44" s="2" t="s">
        <v>17</v>
      </c>
      <c r="AO44" s="2" t="s">
        <v>9</v>
      </c>
      <c r="AP44" s="2" t="s">
        <v>17</v>
      </c>
      <c r="AQ44" s="2" t="s">
        <v>17</v>
      </c>
      <c r="AR44" s="2" t="s">
        <v>17</v>
      </c>
      <c r="AS44" s="2" t="s">
        <v>17</v>
      </c>
      <c r="AT44" s="2">
        <v>5</v>
      </c>
      <c r="AU44" s="5">
        <v>250000</v>
      </c>
      <c r="AV44" s="2" t="s">
        <v>85</v>
      </c>
      <c r="AW44" s="2">
        <v>0</v>
      </c>
      <c r="AX44" s="2">
        <v>8</v>
      </c>
      <c r="AY44" s="2">
        <v>0</v>
      </c>
      <c r="AZ44" s="2">
        <v>17</v>
      </c>
      <c r="BA44" s="2">
        <v>0</v>
      </c>
      <c r="BB44" s="2">
        <v>1</v>
      </c>
      <c r="BC44" s="2">
        <v>2</v>
      </c>
      <c r="BD44" s="2">
        <v>5</v>
      </c>
      <c r="BE44" s="2">
        <v>1</v>
      </c>
      <c r="BF44" s="2">
        <v>1</v>
      </c>
      <c r="BG44" s="2">
        <v>0</v>
      </c>
      <c r="BH44" s="2">
        <v>0</v>
      </c>
      <c r="BI44" s="2">
        <v>13</v>
      </c>
      <c r="BJ44" s="2">
        <v>1</v>
      </c>
      <c r="BK44" s="2">
        <v>0</v>
      </c>
      <c r="BL44" s="2">
        <v>2</v>
      </c>
      <c r="BM44" s="2">
        <v>1</v>
      </c>
      <c r="BN44" s="2">
        <v>9</v>
      </c>
      <c r="BO44" s="2">
        <v>10</v>
      </c>
      <c r="BP44" s="2">
        <v>31.05</v>
      </c>
      <c r="BQ44" s="5">
        <v>11750000</v>
      </c>
      <c r="BR44" s="2">
        <v>1</v>
      </c>
      <c r="BS44" s="4">
        <v>0.06</v>
      </c>
      <c r="BT44" s="2" t="s">
        <v>9</v>
      </c>
      <c r="BU44" s="2" t="s">
        <v>17</v>
      </c>
      <c r="BV44" s="6">
        <v>77797.5</v>
      </c>
      <c r="BW44" s="2" t="s">
        <v>126</v>
      </c>
      <c r="BX44" s="2" t="s">
        <v>17</v>
      </c>
      <c r="BY44" s="2" t="s">
        <v>17</v>
      </c>
      <c r="BZ44" s="2" t="s">
        <v>17</v>
      </c>
      <c r="CA44" s="2" t="s">
        <v>17</v>
      </c>
      <c r="CB44" s="2" t="s">
        <v>17</v>
      </c>
      <c r="CC44" s="2" t="s">
        <v>17</v>
      </c>
      <c r="CD44" s="2" t="s">
        <v>9</v>
      </c>
      <c r="CE44" s="2" t="s">
        <v>4143</v>
      </c>
      <c r="CF44" s="2" t="s">
        <v>17</v>
      </c>
      <c r="CG44" s="2" t="s">
        <v>17</v>
      </c>
      <c r="DA44" s="2" t="s">
        <v>4144</v>
      </c>
      <c r="DD44" s="2" t="s">
        <v>9</v>
      </c>
      <c r="DE44" s="2" t="s">
        <v>3937</v>
      </c>
      <c r="DF44" s="2" t="s">
        <v>4144</v>
      </c>
      <c r="DG44" s="2" t="s">
        <v>3938</v>
      </c>
      <c r="DH44" s="2" t="s">
        <v>2705</v>
      </c>
      <c r="DI44" s="2">
        <v>120</v>
      </c>
      <c r="DJ44" s="2" t="s">
        <v>4715</v>
      </c>
      <c r="DK44" s="2">
        <v>2019</v>
      </c>
      <c r="DL44" s="2" t="s">
        <v>4209</v>
      </c>
      <c r="DM44" s="2" t="s">
        <v>4210</v>
      </c>
      <c r="DN44" s="2" t="s">
        <v>33</v>
      </c>
      <c r="DO44" s="2" t="s">
        <v>738</v>
      </c>
      <c r="DQ44" s="2" t="s">
        <v>3941</v>
      </c>
      <c r="DR44" s="2" t="s">
        <v>3942</v>
      </c>
      <c r="DS44" s="2">
        <v>1</v>
      </c>
      <c r="DT44" s="2" t="s">
        <v>3943</v>
      </c>
      <c r="DU44" s="2" t="s">
        <v>3944</v>
      </c>
      <c r="DV44" s="2" t="s">
        <v>39</v>
      </c>
      <c r="DW44" s="2">
        <v>33156</v>
      </c>
      <c r="DX44" s="2" t="s">
        <v>3945</v>
      </c>
      <c r="DZ44" s="2" t="s">
        <v>3946</v>
      </c>
      <c r="EA44" s="2" t="s">
        <v>3942</v>
      </c>
      <c r="EB44" s="2" t="s">
        <v>3938</v>
      </c>
      <c r="EC44" s="2" t="s">
        <v>2705</v>
      </c>
      <c r="ED44" s="2" t="s">
        <v>44</v>
      </c>
      <c r="EE44" s="2">
        <v>120</v>
      </c>
      <c r="EF44" s="2" t="s">
        <v>4716</v>
      </c>
      <c r="EG44" s="2">
        <v>4</v>
      </c>
      <c r="EH44" s="2" t="s">
        <v>46</v>
      </c>
      <c r="EI44" s="2" t="s">
        <v>47</v>
      </c>
      <c r="EJ44" s="2" t="s">
        <v>3940</v>
      </c>
      <c r="EK44" s="2" t="s">
        <v>3148</v>
      </c>
      <c r="EL44" s="2" t="s">
        <v>44</v>
      </c>
      <c r="EM44" s="2">
        <v>128</v>
      </c>
      <c r="EN44" s="2" t="s">
        <v>4716</v>
      </c>
      <c r="EO44" s="2">
        <v>4</v>
      </c>
      <c r="EP44" s="2" t="s">
        <v>46</v>
      </c>
      <c r="EQ44" s="2" t="s">
        <v>47</v>
      </c>
      <c r="ER44" s="2" t="s">
        <v>3947</v>
      </c>
      <c r="ET44" s="2" t="s">
        <v>3948</v>
      </c>
      <c r="EU44" s="2" t="s">
        <v>3949</v>
      </c>
      <c r="EV44" s="2" t="s">
        <v>3950</v>
      </c>
      <c r="EW44" s="2" t="s">
        <v>299</v>
      </c>
      <c r="EX44" s="2" t="s">
        <v>39</v>
      </c>
      <c r="EY44" s="2">
        <v>33136</v>
      </c>
      <c r="EZ44" s="2" t="s">
        <v>3951</v>
      </c>
      <c r="FB44" s="2" t="s">
        <v>3952</v>
      </c>
      <c r="FC44" s="2" t="s">
        <v>3953</v>
      </c>
      <c r="FE44" s="2" t="s">
        <v>3954</v>
      </c>
      <c r="FF44" s="2" t="s">
        <v>3955</v>
      </c>
      <c r="FG44" s="2" t="s">
        <v>3950</v>
      </c>
      <c r="FH44" s="2" t="s">
        <v>299</v>
      </c>
      <c r="FI44" s="2" t="s">
        <v>39</v>
      </c>
      <c r="FJ44" s="2">
        <v>33136</v>
      </c>
      <c r="FK44" s="2" t="s">
        <v>3956</v>
      </c>
      <c r="FM44" s="2" t="s">
        <v>3957</v>
      </c>
      <c r="FN44" s="2" t="s">
        <v>4145</v>
      </c>
      <c r="FO44" s="2" t="s">
        <v>63</v>
      </c>
      <c r="FP44" s="2" t="s">
        <v>64</v>
      </c>
      <c r="FQ44" s="2" t="s">
        <v>9</v>
      </c>
      <c r="FR44" s="2" t="s">
        <v>17</v>
      </c>
      <c r="FS44" s="2" t="s">
        <v>17</v>
      </c>
      <c r="FT44" s="2" t="s">
        <v>9</v>
      </c>
      <c r="FX44" s="2">
        <v>0</v>
      </c>
      <c r="FY44" s="2">
        <v>0</v>
      </c>
      <c r="FZ44" s="4">
        <v>0</v>
      </c>
      <c r="GA44" s="4">
        <v>0</v>
      </c>
      <c r="GB44" s="2" t="s">
        <v>65</v>
      </c>
      <c r="GC44" s="2" t="s">
        <v>66</v>
      </c>
      <c r="GD44" s="2" t="s">
        <v>67</v>
      </c>
      <c r="GE44" s="2" t="s">
        <v>2684</v>
      </c>
      <c r="GK44" s="2">
        <v>116</v>
      </c>
      <c r="GQ44" s="2">
        <v>116</v>
      </c>
      <c r="GR44" s="2" t="s">
        <v>3332</v>
      </c>
      <c r="GS44" s="2" t="s">
        <v>2686</v>
      </c>
      <c r="GT44" s="2" t="s">
        <v>4146</v>
      </c>
      <c r="GU44" s="2" t="s">
        <v>2720</v>
      </c>
      <c r="GV44" s="2" t="s">
        <v>17</v>
      </c>
      <c r="GW44" s="2">
        <v>25.596321</v>
      </c>
      <c r="GX44" s="2">
        <v>-80.357316999999995</v>
      </c>
      <c r="GZ44" s="2" t="s">
        <v>17</v>
      </c>
      <c r="HA44" s="2">
        <v>0</v>
      </c>
      <c r="HB44" s="2" t="s">
        <v>17</v>
      </c>
      <c r="HC44" s="2">
        <v>0</v>
      </c>
      <c r="HR44" s="2">
        <v>25.599276</v>
      </c>
      <c r="HS44" s="2">
        <v>-80.355112000000005</v>
      </c>
      <c r="HT44" s="2">
        <v>0.25</v>
      </c>
      <c r="HU44" s="2">
        <v>6</v>
      </c>
      <c r="HZ44" s="2" t="s">
        <v>3080</v>
      </c>
      <c r="IA44" s="2">
        <v>0.38</v>
      </c>
      <c r="IB44" s="2">
        <v>3.5</v>
      </c>
      <c r="IF44" s="2" t="s">
        <v>224</v>
      </c>
      <c r="IG44" s="2">
        <v>0.11</v>
      </c>
      <c r="IH44" s="2">
        <v>4</v>
      </c>
      <c r="II44" s="2" t="s">
        <v>3961</v>
      </c>
      <c r="IJ44" s="2">
        <v>0.44</v>
      </c>
      <c r="IK44" s="2">
        <v>4</v>
      </c>
      <c r="IL44" s="2" t="s">
        <v>9</v>
      </c>
      <c r="IO44" s="2" t="s">
        <v>17</v>
      </c>
      <c r="IP44" s="2" t="s">
        <v>79</v>
      </c>
      <c r="IQ44" s="2" t="s">
        <v>79</v>
      </c>
      <c r="IR44" s="2">
        <v>6</v>
      </c>
      <c r="IS44" s="2">
        <v>11.5</v>
      </c>
      <c r="IT44" s="2">
        <v>0</v>
      </c>
      <c r="IU44" s="2">
        <v>17.5</v>
      </c>
      <c r="IV44" s="2" t="s">
        <v>9</v>
      </c>
      <c r="IW44" s="2" t="s">
        <v>9</v>
      </c>
      <c r="IX44" s="2" t="s">
        <v>9</v>
      </c>
      <c r="IY44" s="2">
        <v>17.5</v>
      </c>
      <c r="IZ44" s="2">
        <v>116</v>
      </c>
      <c r="JB44" s="2" t="s">
        <v>82</v>
      </c>
      <c r="JH44" s="7">
        <v>0</v>
      </c>
      <c r="JI44" s="2">
        <v>0</v>
      </c>
      <c r="JJ44" s="7">
        <v>0</v>
      </c>
      <c r="JK44" s="2">
        <v>0</v>
      </c>
      <c r="JL44" s="7">
        <v>0</v>
      </c>
      <c r="JM44" s="2">
        <v>0</v>
      </c>
      <c r="JN44" s="2">
        <v>20</v>
      </c>
      <c r="JO44" s="2">
        <v>0</v>
      </c>
      <c r="JP44" s="2">
        <v>0</v>
      </c>
      <c r="JQ44" s="2">
        <v>36</v>
      </c>
      <c r="JR44" s="2">
        <v>60</v>
      </c>
      <c r="JS44" s="2">
        <v>0</v>
      </c>
      <c r="JT44" s="2">
        <v>0</v>
      </c>
      <c r="JU44" s="2">
        <v>0</v>
      </c>
      <c r="JV44" s="2">
        <v>116</v>
      </c>
      <c r="JW44" s="4">
        <v>1</v>
      </c>
      <c r="JX44" s="2">
        <v>116</v>
      </c>
      <c r="JY44" s="4">
        <v>0.6</v>
      </c>
      <c r="KE44" s="7">
        <v>0</v>
      </c>
      <c r="KF44" s="2">
        <v>0</v>
      </c>
      <c r="KG44" s="2">
        <v>58</v>
      </c>
      <c r="KH44" s="2">
        <v>58</v>
      </c>
      <c r="KJ44" s="2">
        <v>0</v>
      </c>
      <c r="KQ44" s="2" t="s">
        <v>83</v>
      </c>
      <c r="KS44" s="2" t="s">
        <v>73</v>
      </c>
      <c r="KT44" s="2">
        <v>1</v>
      </c>
      <c r="KU44" s="2" t="s">
        <v>84</v>
      </c>
      <c r="KW44" s="2" t="s">
        <v>86</v>
      </c>
      <c r="KX44" s="2" t="s">
        <v>17</v>
      </c>
      <c r="KY44" s="2" t="s">
        <v>17</v>
      </c>
      <c r="KZ44" s="2" t="s">
        <v>17</v>
      </c>
      <c r="LA44" s="2" t="s">
        <v>17</v>
      </c>
      <c r="LB44" s="2" t="s">
        <v>17</v>
      </c>
      <c r="LC44" s="2" t="s">
        <v>17</v>
      </c>
      <c r="LD44" s="2" t="s">
        <v>17</v>
      </c>
      <c r="LE44" s="2" t="s">
        <v>17</v>
      </c>
      <c r="LF44" s="2" t="s">
        <v>17</v>
      </c>
      <c r="LG44" s="2" t="s">
        <v>17</v>
      </c>
      <c r="LH44" s="2" t="s">
        <v>17</v>
      </c>
      <c r="LI44" s="2" t="s">
        <v>17</v>
      </c>
      <c r="LJ44" s="2" t="s">
        <v>87</v>
      </c>
      <c r="LK44" s="2" t="s">
        <v>17</v>
      </c>
      <c r="LL44" s="2" t="s">
        <v>17</v>
      </c>
      <c r="LM44" s="2">
        <v>0</v>
      </c>
      <c r="LN44" s="2" t="s">
        <v>17</v>
      </c>
      <c r="LO44" s="2" t="s">
        <v>17</v>
      </c>
      <c r="LP44" s="2" t="s">
        <v>17</v>
      </c>
      <c r="LQ44" s="2" t="s">
        <v>17</v>
      </c>
      <c r="LR44" s="2" t="s">
        <v>17</v>
      </c>
      <c r="LS44" s="2" t="s">
        <v>17</v>
      </c>
      <c r="LT44" s="2" t="s">
        <v>17</v>
      </c>
      <c r="LU44" s="2" t="s">
        <v>9</v>
      </c>
      <c r="LV44" s="2" t="s">
        <v>9</v>
      </c>
      <c r="LW44" s="2" t="s">
        <v>9</v>
      </c>
      <c r="LX44" s="2" t="s">
        <v>17</v>
      </c>
      <c r="LY44" s="5">
        <v>6500000</v>
      </c>
      <c r="LZ44" s="5">
        <v>0</v>
      </c>
      <c r="MA44" s="5">
        <v>11000000</v>
      </c>
      <c r="MB44" s="5">
        <v>11000000</v>
      </c>
      <c r="MC44" s="5">
        <v>11000000</v>
      </c>
      <c r="MD44" s="5">
        <v>750000</v>
      </c>
      <c r="ME44" s="5">
        <v>750000</v>
      </c>
      <c r="MF44" s="5">
        <v>750000</v>
      </c>
      <c r="MG44" s="5">
        <v>10000000</v>
      </c>
      <c r="MH44" s="5">
        <v>0</v>
      </c>
      <c r="MI44" s="5">
        <v>10000000</v>
      </c>
      <c r="MJ44" s="5">
        <v>0</v>
      </c>
      <c r="MK44" s="5">
        <v>1200000</v>
      </c>
      <c r="ML44" s="5">
        <v>0</v>
      </c>
      <c r="MM44" s="5">
        <v>0</v>
      </c>
      <c r="MN44" s="2">
        <v>0</v>
      </c>
      <c r="MO44" s="5">
        <v>0</v>
      </c>
      <c r="MP44" s="5">
        <v>0</v>
      </c>
      <c r="MQ44" s="2">
        <v>0</v>
      </c>
      <c r="MR44" s="2">
        <v>0</v>
      </c>
      <c r="MS44" s="2">
        <v>0</v>
      </c>
      <c r="MT44" s="5">
        <v>2950000</v>
      </c>
      <c r="MU44" s="5">
        <v>0</v>
      </c>
      <c r="MV44" s="5">
        <v>4600000</v>
      </c>
      <c r="MW44" s="5">
        <v>0</v>
      </c>
      <c r="MY44" s="5">
        <v>0</v>
      </c>
      <c r="MZ44" s="5">
        <v>0</v>
      </c>
      <c r="NA44" s="5">
        <v>0</v>
      </c>
      <c r="NB44" s="5">
        <v>2500000</v>
      </c>
      <c r="NC44" s="5">
        <v>0</v>
      </c>
      <c r="ND44" s="5">
        <v>5000000</v>
      </c>
      <c r="NE44" s="5">
        <v>0</v>
      </c>
      <c r="NF44" s="5">
        <v>0</v>
      </c>
      <c r="NG44" s="5">
        <v>0</v>
      </c>
      <c r="NH44" s="5"/>
      <c r="NI44" s="5">
        <v>0</v>
      </c>
      <c r="NJ44" s="5">
        <v>1652585</v>
      </c>
      <c r="NK44" s="2" t="s">
        <v>17</v>
      </c>
      <c r="NL44" s="2">
        <v>2023</v>
      </c>
      <c r="NM44" s="2" t="s">
        <v>9</v>
      </c>
      <c r="NN44" s="2" t="s">
        <v>4147</v>
      </c>
      <c r="NO44" s="2" t="s">
        <v>17</v>
      </c>
      <c r="NR44" s="2" t="s">
        <v>17</v>
      </c>
      <c r="NT44" s="2" t="s">
        <v>9</v>
      </c>
      <c r="NU44" s="2" t="s">
        <v>450</v>
      </c>
      <c r="NV44" s="2">
        <v>83.09</v>
      </c>
      <c r="NW44" s="2" t="s">
        <v>3342</v>
      </c>
      <c r="NX44" s="2" t="s">
        <v>118</v>
      </c>
      <c r="NY44" s="2" t="s">
        <v>118</v>
      </c>
      <c r="NZ44" s="2" t="s">
        <v>118</v>
      </c>
      <c r="OA44" s="2" t="s">
        <v>17</v>
      </c>
      <c r="OB44" s="2" t="s">
        <v>119</v>
      </c>
      <c r="OF44" s="2" t="s">
        <v>17</v>
      </c>
      <c r="OG44" s="2" t="s">
        <v>17</v>
      </c>
      <c r="OH44" s="2" t="s">
        <v>85</v>
      </c>
      <c r="OI44" s="6">
        <v>0</v>
      </c>
      <c r="OJ44" s="6">
        <v>330000</v>
      </c>
      <c r="OK44" s="2" t="s">
        <v>17</v>
      </c>
      <c r="OL44" s="2" t="s">
        <v>17</v>
      </c>
      <c r="OM44" s="6">
        <v>0</v>
      </c>
      <c r="ON44" s="6">
        <v>0</v>
      </c>
      <c r="OO44" s="6">
        <v>0</v>
      </c>
      <c r="OP44" s="6">
        <v>0</v>
      </c>
      <c r="OQ44" s="4">
        <v>0</v>
      </c>
      <c r="OR44" s="6">
        <v>0</v>
      </c>
      <c r="OS44" s="4">
        <v>0</v>
      </c>
      <c r="OT44" s="2" t="s">
        <v>17</v>
      </c>
      <c r="OU44" s="2" t="s">
        <v>17</v>
      </c>
      <c r="OW44" s="2" t="s">
        <v>17</v>
      </c>
      <c r="OX44" s="5">
        <v>9024510</v>
      </c>
      <c r="OY44" s="6">
        <v>77797.5</v>
      </c>
      <c r="OZ44" s="2">
        <v>0</v>
      </c>
      <c r="PB44" s="8">
        <v>1274946</v>
      </c>
      <c r="PC44" s="8">
        <v>1274946</v>
      </c>
      <c r="PD44" s="8">
        <v>17123712</v>
      </c>
      <c r="PE44" s="8">
        <v>292076</v>
      </c>
      <c r="PF44" s="8">
        <v>17415788</v>
      </c>
      <c r="PG44" s="8">
        <v>1405333</v>
      </c>
      <c r="PH44" s="8">
        <v>73965</v>
      </c>
      <c r="PI44" s="8">
        <v>1479298</v>
      </c>
      <c r="PJ44" s="2">
        <v>0</v>
      </c>
      <c r="PL44" s="2">
        <v>0</v>
      </c>
      <c r="PM44" s="2">
        <v>0</v>
      </c>
      <c r="PO44" s="8">
        <v>18529045</v>
      </c>
      <c r="PP44" s="8">
        <v>1640987</v>
      </c>
      <c r="PQ44" s="8">
        <v>20170032</v>
      </c>
      <c r="PR44" s="8">
        <v>2821787</v>
      </c>
      <c r="PT44" s="8">
        <v>2821787</v>
      </c>
      <c r="PU44" s="6">
        <v>2823804</v>
      </c>
      <c r="PV44" s="8">
        <v>21350832</v>
      </c>
      <c r="PW44" s="8">
        <v>1640987</v>
      </c>
      <c r="PX44" s="8">
        <v>22991819</v>
      </c>
      <c r="PY44" s="8">
        <v>1098094</v>
      </c>
      <c r="PZ44" s="2">
        <v>0</v>
      </c>
      <c r="QA44" s="8">
        <v>1098094</v>
      </c>
      <c r="QB44" s="6">
        <v>1149590.95</v>
      </c>
      <c r="QC44" s="8">
        <v>1727558</v>
      </c>
      <c r="QD44" s="8">
        <v>601318</v>
      </c>
      <c r="QE44" s="8">
        <v>2328876</v>
      </c>
      <c r="QF44" s="8">
        <v>101057</v>
      </c>
      <c r="QG44" s="2">
        <v>0</v>
      </c>
      <c r="QH44" s="8">
        <v>101057</v>
      </c>
      <c r="QI44" s="8">
        <v>447365</v>
      </c>
      <c r="QJ44" s="8">
        <v>76264</v>
      </c>
      <c r="QK44" s="8">
        <v>523629</v>
      </c>
      <c r="QL44" s="2">
        <v>0</v>
      </c>
      <c r="QM44" s="8">
        <v>402319</v>
      </c>
      <c r="QN44" s="8">
        <v>402319</v>
      </c>
      <c r="QO44" s="2">
        <v>0</v>
      </c>
      <c r="QP44" s="2">
        <v>0</v>
      </c>
      <c r="QR44" s="2">
        <v>0</v>
      </c>
      <c r="QS44" s="2">
        <v>0</v>
      </c>
      <c r="QU44" s="8">
        <v>2275980</v>
      </c>
      <c r="QV44" s="8">
        <v>1079901</v>
      </c>
      <c r="QW44" s="8">
        <v>3355881</v>
      </c>
      <c r="QX44" s="8">
        <v>113799</v>
      </c>
      <c r="QY44" s="8">
        <v>53995</v>
      </c>
      <c r="QZ44" s="8">
        <v>167794</v>
      </c>
      <c r="RA44" s="6">
        <v>167794.05</v>
      </c>
      <c r="RB44" s="8">
        <v>1549614</v>
      </c>
      <c r="RC44" s="8">
        <v>1015705</v>
      </c>
      <c r="RD44" s="8">
        <v>2565319</v>
      </c>
      <c r="RE44" s="8">
        <v>68220</v>
      </c>
      <c r="RF44" s="8">
        <v>68220</v>
      </c>
      <c r="RG44" s="2">
        <v>0</v>
      </c>
      <c r="RH44" s="2">
        <v>0</v>
      </c>
      <c r="RJ44" s="8">
        <v>1549614</v>
      </c>
      <c r="RK44" s="8">
        <v>1083925</v>
      </c>
      <c r="RL44" s="8">
        <v>2633539</v>
      </c>
      <c r="RT44" s="8">
        <v>26388319</v>
      </c>
      <c r="RU44" s="8">
        <v>3858808</v>
      </c>
      <c r="RV44" s="8">
        <v>30247127</v>
      </c>
      <c r="RY44" s="2">
        <v>0</v>
      </c>
      <c r="RZ44" s="6">
        <v>0</v>
      </c>
      <c r="SA44" s="8">
        <v>5392153</v>
      </c>
      <c r="SC44" s="8">
        <v>5392153</v>
      </c>
      <c r="SD44" s="6">
        <v>5444482</v>
      </c>
      <c r="SE44" s="8">
        <v>5392153</v>
      </c>
      <c r="SF44" s="8">
        <v>5392153</v>
      </c>
      <c r="SG44" s="6">
        <v>5444482</v>
      </c>
      <c r="SJ44" s="6">
        <v>406000</v>
      </c>
      <c r="SK44" s="8">
        <v>580000</v>
      </c>
      <c r="SL44" s="8">
        <v>580000</v>
      </c>
      <c r="SM44" s="8">
        <v>31780472</v>
      </c>
      <c r="SN44" s="8">
        <v>4438808</v>
      </c>
      <c r="SO44" s="8">
        <v>36219280</v>
      </c>
      <c r="SP44" s="8">
        <v>25000000</v>
      </c>
      <c r="SQ44" s="2" t="s">
        <v>4220</v>
      </c>
      <c r="SX44" s="8">
        <v>11750000</v>
      </c>
      <c r="SY44" s="2" t="s">
        <v>96</v>
      </c>
      <c r="SZ44" s="2" t="s">
        <v>96</v>
      </c>
      <c r="TA44" s="2" t="s">
        <v>96</v>
      </c>
      <c r="TB44" s="8">
        <v>5494296</v>
      </c>
      <c r="TF44" s="2">
        <v>0</v>
      </c>
      <c r="TG44" s="8">
        <v>42244296</v>
      </c>
      <c r="TH44" s="8">
        <v>6025016</v>
      </c>
      <c r="TI44" s="8">
        <v>3790000</v>
      </c>
      <c r="TJ44" s="2" t="s">
        <v>4220</v>
      </c>
      <c r="TR44" s="8">
        <v>11750000</v>
      </c>
      <c r="TS44" s="8">
        <v>15697988</v>
      </c>
      <c r="TZ44" s="8">
        <v>4981292</v>
      </c>
      <c r="UA44" s="8">
        <v>36219280</v>
      </c>
      <c r="UB44" s="6">
        <v>15540000</v>
      </c>
      <c r="UC44" s="2">
        <v>0</v>
      </c>
      <c r="UD44" s="2">
        <v>116</v>
      </c>
      <c r="UE44" s="5">
        <v>310000</v>
      </c>
      <c r="UF44" s="6">
        <v>413333.33</v>
      </c>
      <c r="UG44" s="6">
        <v>420833.33</v>
      </c>
      <c r="UH44" s="6">
        <v>446083.33</v>
      </c>
      <c r="UI44" s="6">
        <v>51745666.670000002</v>
      </c>
      <c r="UJ44" s="6">
        <v>9314220</v>
      </c>
      <c r="UK44" s="2" t="s">
        <v>97</v>
      </c>
      <c r="UL44" s="6">
        <v>9314220</v>
      </c>
      <c r="UM44" s="6">
        <v>61059886.670000002</v>
      </c>
      <c r="UN44" s="6">
        <v>34364334</v>
      </c>
      <c r="UT44" s="6">
        <v>796134.66</v>
      </c>
      <c r="UW44" s="6">
        <v>796134.66</v>
      </c>
      <c r="UX44" s="6">
        <v>0</v>
      </c>
      <c r="UY44" s="6">
        <v>0</v>
      </c>
      <c r="UZ44" s="2" t="s">
        <v>3633</v>
      </c>
      <c r="VA44" s="2" t="s">
        <v>3288</v>
      </c>
      <c r="VB44" s="2" t="s">
        <v>17</v>
      </c>
      <c r="VI44" s="388" t="s">
        <v>3967</v>
      </c>
      <c r="VJ44" s="2" t="s">
        <v>98</v>
      </c>
      <c r="VK44" s="2" t="s">
        <v>3968</v>
      </c>
      <c r="VL44" s="23">
        <f t="shared" si="22"/>
        <v>116</v>
      </c>
      <c r="VM44" s="17">
        <f t="shared" si="23"/>
        <v>1</v>
      </c>
      <c r="VN44" s="17" t="str">
        <f t="shared" si="24"/>
        <v>NC-HR-E</v>
      </c>
      <c r="VO44" s="17" t="str">
        <f t="shared" si="15"/>
        <v>NC-HR-E-ESS</v>
      </c>
      <c r="VP44" s="57">
        <v>1</v>
      </c>
      <c r="VQ44" s="17">
        <f t="shared" si="25"/>
        <v>1.1100000000000001</v>
      </c>
      <c r="VR44" s="14">
        <f t="shared" si="26"/>
        <v>1</v>
      </c>
      <c r="VS44" s="14">
        <f t="shared" si="27"/>
        <v>1</v>
      </c>
      <c r="VT44" s="12">
        <f t="shared" si="28"/>
        <v>0.83520000000000005</v>
      </c>
      <c r="VU44" s="29">
        <f t="shared" si="29"/>
        <v>10197792.000000002</v>
      </c>
      <c r="VV44" s="29">
        <f t="shared" si="30"/>
        <v>87912</v>
      </c>
      <c r="VW44" s="351" t="str">
        <f t="shared" si="16"/>
        <v>B</v>
      </c>
      <c r="VX44" s="12" t="str">
        <f t="shared" si="31"/>
        <v>NC-HR-ESS</v>
      </c>
      <c r="VY44" s="23">
        <f t="shared" si="17"/>
        <v>5</v>
      </c>
      <c r="WA44" s="12">
        <f t="shared" si="18"/>
        <v>1</v>
      </c>
      <c r="WB44" s="12">
        <f t="shared" si="19"/>
        <v>1</v>
      </c>
      <c r="WC44" s="12">
        <f t="shared" si="19"/>
        <v>0</v>
      </c>
      <c r="WD44" s="12">
        <f t="shared" si="19"/>
        <v>0</v>
      </c>
      <c r="WE44" s="12">
        <f t="shared" si="20"/>
        <v>1</v>
      </c>
      <c r="WF44" s="12">
        <f t="shared" si="32"/>
        <v>0</v>
      </c>
      <c r="WG44" s="12">
        <f t="shared" si="33"/>
        <v>0</v>
      </c>
      <c r="WH44" s="12">
        <f t="shared" si="34"/>
        <v>1</v>
      </c>
      <c r="WI44" s="22">
        <f t="shared" si="35"/>
        <v>4</v>
      </c>
      <c r="WK44" s="444" t="str">
        <f t="shared" si="21"/>
        <v>NC-HR-ESS-BBY-BRN-NPH-E</v>
      </c>
      <c r="WL44" s="444"/>
      <c r="WM44" s="444"/>
    </row>
    <row r="45" spans="1:611" x14ac:dyDescent="0.25">
      <c r="A45" s="2">
        <v>9283</v>
      </c>
      <c r="B45" s="2" t="s">
        <v>4734</v>
      </c>
      <c r="C45" s="2" t="s">
        <v>4205</v>
      </c>
      <c r="D45" s="3">
        <v>45128</v>
      </c>
      <c r="E45" s="2" t="s">
        <v>9</v>
      </c>
      <c r="F45" s="2">
        <v>1</v>
      </c>
      <c r="G45" s="2" t="s">
        <v>9</v>
      </c>
      <c r="H45" s="2">
        <v>1</v>
      </c>
      <c r="I45" s="2" t="s">
        <v>11</v>
      </c>
      <c r="J45" s="2">
        <v>0</v>
      </c>
      <c r="K45" s="2" t="s">
        <v>9</v>
      </c>
      <c r="L45" s="2">
        <v>1</v>
      </c>
      <c r="M45" s="2" t="s">
        <v>10</v>
      </c>
      <c r="N45" s="2">
        <v>0</v>
      </c>
      <c r="O45" s="2" t="s">
        <v>10</v>
      </c>
      <c r="P45" s="2">
        <v>0</v>
      </c>
      <c r="Q45" s="2" t="s">
        <v>11</v>
      </c>
      <c r="R45" s="2">
        <v>0</v>
      </c>
      <c r="S45" s="2" t="s">
        <v>9</v>
      </c>
      <c r="T45" s="2">
        <v>2</v>
      </c>
      <c r="U45" s="2" t="s">
        <v>9</v>
      </c>
      <c r="V45" s="2">
        <v>2</v>
      </c>
      <c r="W45" s="2" t="s">
        <v>9</v>
      </c>
      <c r="X45" s="2">
        <v>2</v>
      </c>
      <c r="Y45" s="2" t="s">
        <v>12</v>
      </c>
      <c r="Z45" s="2" t="s">
        <v>15</v>
      </c>
      <c r="AA45" s="2" t="s">
        <v>15</v>
      </c>
      <c r="AB45" s="2" t="s">
        <v>15</v>
      </c>
      <c r="AC45" s="2" t="s">
        <v>101</v>
      </c>
      <c r="AD45" s="2" t="s">
        <v>15</v>
      </c>
      <c r="AE45" s="2" t="s">
        <v>15</v>
      </c>
      <c r="AF45" s="2">
        <v>0</v>
      </c>
      <c r="AG45" s="2" t="s">
        <v>234</v>
      </c>
      <c r="AH45" s="2" t="s">
        <v>17</v>
      </c>
      <c r="AI45" s="4">
        <v>0.1</v>
      </c>
      <c r="AJ45" s="2" t="s">
        <v>17</v>
      </c>
      <c r="AK45" s="2" t="s">
        <v>9</v>
      </c>
      <c r="AL45" s="2" t="s">
        <v>9</v>
      </c>
      <c r="AM45" s="2" t="s">
        <v>17</v>
      </c>
      <c r="AN45" s="2" t="s">
        <v>17</v>
      </c>
      <c r="AO45" s="2" t="s">
        <v>9</v>
      </c>
      <c r="AP45" s="2" t="s">
        <v>17</v>
      </c>
      <c r="AQ45" s="2" t="s">
        <v>17</v>
      </c>
      <c r="AR45" s="2" t="s">
        <v>17</v>
      </c>
      <c r="AS45" s="2" t="s">
        <v>17</v>
      </c>
      <c r="AT45" s="2">
        <v>5</v>
      </c>
      <c r="AU45" s="5">
        <v>250000</v>
      </c>
      <c r="AV45" s="2" t="s">
        <v>85</v>
      </c>
      <c r="AW45" s="2">
        <v>0</v>
      </c>
      <c r="AX45" s="2">
        <v>7</v>
      </c>
      <c r="AY45" s="2">
        <v>0</v>
      </c>
      <c r="AZ45" s="2">
        <v>17</v>
      </c>
      <c r="BA45" s="2">
        <v>0</v>
      </c>
      <c r="BB45" s="2">
        <v>1</v>
      </c>
      <c r="BC45" s="2">
        <v>0</v>
      </c>
      <c r="BD45" s="2">
        <v>5</v>
      </c>
      <c r="BE45" s="2">
        <v>0</v>
      </c>
      <c r="BF45" s="2">
        <v>1</v>
      </c>
      <c r="BG45" s="2">
        <v>0</v>
      </c>
      <c r="BH45" s="2">
        <v>0</v>
      </c>
      <c r="BI45" s="2">
        <v>13</v>
      </c>
      <c r="BJ45" s="2">
        <v>1</v>
      </c>
      <c r="BK45" s="2">
        <v>0</v>
      </c>
      <c r="BL45" s="2">
        <v>2</v>
      </c>
      <c r="BM45" s="2">
        <v>1</v>
      </c>
      <c r="BN45" s="2">
        <v>8</v>
      </c>
      <c r="BO45" s="2">
        <v>10</v>
      </c>
      <c r="BP45" s="2">
        <v>30.99</v>
      </c>
      <c r="BQ45" s="5">
        <v>9870000</v>
      </c>
      <c r="BR45" s="2">
        <v>1</v>
      </c>
      <c r="BS45" s="4">
        <v>0.06</v>
      </c>
      <c r="BT45" s="2" t="s">
        <v>9</v>
      </c>
      <c r="BU45" s="2" t="s">
        <v>17</v>
      </c>
      <c r="BV45" s="6">
        <v>77938.95</v>
      </c>
      <c r="BW45" s="2" t="s">
        <v>126</v>
      </c>
      <c r="BX45" s="2" t="s">
        <v>17</v>
      </c>
      <c r="BY45" s="2" t="s">
        <v>17</v>
      </c>
      <c r="BZ45" s="2" t="s">
        <v>17</v>
      </c>
      <c r="CA45" s="2" t="s">
        <v>17</v>
      </c>
      <c r="CB45" s="2" t="s">
        <v>17</v>
      </c>
      <c r="CC45" s="2" t="s">
        <v>17</v>
      </c>
      <c r="CD45" s="2" t="s">
        <v>9</v>
      </c>
      <c r="CE45" s="2" t="s">
        <v>3875</v>
      </c>
      <c r="CF45" s="2" t="s">
        <v>17</v>
      </c>
      <c r="CG45" s="2" t="s">
        <v>9</v>
      </c>
      <c r="DA45" s="2" t="s">
        <v>1623</v>
      </c>
      <c r="DD45" s="2" t="s">
        <v>9</v>
      </c>
      <c r="DE45" s="2" t="s">
        <v>1626</v>
      </c>
      <c r="DF45" s="2" t="s">
        <v>3876</v>
      </c>
      <c r="DG45" s="2" t="s">
        <v>1627</v>
      </c>
      <c r="DH45" s="2" t="s">
        <v>330</v>
      </c>
      <c r="DI45" s="2">
        <v>160</v>
      </c>
      <c r="DJ45" s="2" t="s">
        <v>795</v>
      </c>
      <c r="DK45" s="2">
        <v>2019</v>
      </c>
      <c r="DL45" s="2" t="s">
        <v>4209</v>
      </c>
      <c r="DM45" s="2" t="s">
        <v>4210</v>
      </c>
      <c r="DN45" s="2" t="s">
        <v>33</v>
      </c>
      <c r="DO45" s="2" t="s">
        <v>1630</v>
      </c>
      <c r="DP45" s="2" t="s">
        <v>381</v>
      </c>
      <c r="DQ45" s="2" t="s">
        <v>1631</v>
      </c>
      <c r="DR45" s="2" t="s">
        <v>1632</v>
      </c>
      <c r="DS45" s="2">
        <v>1</v>
      </c>
      <c r="DT45" s="2" t="s">
        <v>1633</v>
      </c>
      <c r="DU45" s="2" t="s">
        <v>299</v>
      </c>
      <c r="DV45" s="2" t="s">
        <v>39</v>
      </c>
      <c r="DW45" s="2">
        <v>33127</v>
      </c>
      <c r="DX45" s="2" t="s">
        <v>1634</v>
      </c>
      <c r="DZ45" s="2" t="s">
        <v>1635</v>
      </c>
      <c r="EA45" s="2" t="s">
        <v>4735</v>
      </c>
      <c r="EB45" s="2" t="s">
        <v>1628</v>
      </c>
      <c r="EC45" s="2" t="s">
        <v>1281</v>
      </c>
      <c r="ED45" s="2" t="s">
        <v>44</v>
      </c>
      <c r="EE45" s="2">
        <v>228</v>
      </c>
      <c r="EF45" s="2" t="s">
        <v>810</v>
      </c>
      <c r="EG45" s="2">
        <v>27</v>
      </c>
      <c r="EH45" s="2" t="s">
        <v>46</v>
      </c>
      <c r="EI45" s="2" t="s">
        <v>47</v>
      </c>
      <c r="EJ45" s="2" t="s">
        <v>3700</v>
      </c>
      <c r="EK45" s="2" t="s">
        <v>330</v>
      </c>
      <c r="EL45" s="2" t="s">
        <v>44</v>
      </c>
      <c r="EM45" s="2">
        <v>121</v>
      </c>
      <c r="EN45" s="2" t="s">
        <v>810</v>
      </c>
      <c r="EO45" s="2">
        <v>17</v>
      </c>
      <c r="EP45" s="2" t="s">
        <v>46</v>
      </c>
      <c r="EQ45" s="2" t="s">
        <v>47</v>
      </c>
      <c r="ER45" s="2" t="s">
        <v>1630</v>
      </c>
      <c r="ES45" s="2" t="s">
        <v>381</v>
      </c>
      <c r="ET45" s="2" t="s">
        <v>1631</v>
      </c>
      <c r="EU45" s="2" t="s">
        <v>3876</v>
      </c>
      <c r="EV45" s="2" t="s">
        <v>1633</v>
      </c>
      <c r="EW45" s="2" t="s">
        <v>299</v>
      </c>
      <c r="EX45" s="2" t="s">
        <v>39</v>
      </c>
      <c r="EY45" s="2">
        <v>33127</v>
      </c>
      <c r="EZ45" s="2" t="s">
        <v>1634</v>
      </c>
      <c r="FB45" s="2" t="s">
        <v>1635</v>
      </c>
      <c r="FC45" s="2" t="s">
        <v>4736</v>
      </c>
      <c r="FE45" s="2" t="s">
        <v>267</v>
      </c>
      <c r="FF45" s="2" t="s">
        <v>3876</v>
      </c>
      <c r="FG45" s="2" t="s">
        <v>1633</v>
      </c>
      <c r="FH45" s="2" t="s">
        <v>299</v>
      </c>
      <c r="FI45" s="2" t="s">
        <v>39</v>
      </c>
      <c r="FJ45" s="2">
        <v>33127</v>
      </c>
      <c r="FK45" s="2" t="s">
        <v>1634</v>
      </c>
      <c r="FM45" s="2" t="s">
        <v>1637</v>
      </c>
      <c r="FN45" s="2" t="s">
        <v>3880</v>
      </c>
      <c r="FO45" s="2" t="s">
        <v>63</v>
      </c>
      <c r="FP45" s="2" t="s">
        <v>64</v>
      </c>
      <c r="FQ45" s="2" t="s">
        <v>9</v>
      </c>
      <c r="FR45" s="2" t="s">
        <v>17</v>
      </c>
      <c r="FS45" s="2" t="s">
        <v>17</v>
      </c>
      <c r="FT45" s="2" t="s">
        <v>9</v>
      </c>
      <c r="FX45" s="2">
        <v>0</v>
      </c>
      <c r="FY45" s="2">
        <v>0</v>
      </c>
      <c r="FZ45" s="4">
        <v>0</v>
      </c>
      <c r="GA45" s="4">
        <v>0</v>
      </c>
      <c r="GB45" s="2" t="s">
        <v>65</v>
      </c>
      <c r="GC45" s="2" t="s">
        <v>66</v>
      </c>
      <c r="GD45" s="2" t="s">
        <v>67</v>
      </c>
      <c r="GE45" s="2" t="s">
        <v>2684</v>
      </c>
      <c r="GK45" s="2">
        <v>96</v>
      </c>
      <c r="GQ45" s="2">
        <v>96</v>
      </c>
      <c r="GR45" s="2" t="s">
        <v>3332</v>
      </c>
      <c r="GS45" s="2" t="s">
        <v>2686</v>
      </c>
      <c r="GT45" s="2" t="s">
        <v>3881</v>
      </c>
      <c r="GU45" s="2" t="s">
        <v>299</v>
      </c>
      <c r="GV45" s="2" t="s">
        <v>17</v>
      </c>
      <c r="GW45" s="2">
        <v>25.829445</v>
      </c>
      <c r="GX45" s="2">
        <v>-80.207706999999999</v>
      </c>
      <c r="GZ45" s="2" t="s">
        <v>17</v>
      </c>
      <c r="HA45" s="2">
        <v>0</v>
      </c>
      <c r="HB45" s="2" t="s">
        <v>17</v>
      </c>
      <c r="HC45" s="2">
        <v>0</v>
      </c>
      <c r="HN45" s="2">
        <v>25.831137999999999</v>
      </c>
      <c r="HO45" s="2">
        <v>-80.207721000000006</v>
      </c>
      <c r="HP45" s="2">
        <v>0.12</v>
      </c>
      <c r="HQ45" s="2">
        <v>6</v>
      </c>
      <c r="HZ45" s="2" t="s">
        <v>3164</v>
      </c>
      <c r="IA45" s="2">
        <v>0.28000000000000003</v>
      </c>
      <c r="IB45" s="2">
        <v>4</v>
      </c>
      <c r="IC45" s="2" t="s">
        <v>3883</v>
      </c>
      <c r="ID45" s="2">
        <v>0.24</v>
      </c>
      <c r="IE45" s="2">
        <v>4</v>
      </c>
      <c r="IF45" s="2" t="s">
        <v>1118</v>
      </c>
      <c r="IG45" s="2">
        <v>0.23</v>
      </c>
      <c r="IH45" s="2">
        <v>4</v>
      </c>
      <c r="IL45" s="2" t="s">
        <v>17</v>
      </c>
      <c r="IM45" s="2" t="s">
        <v>17</v>
      </c>
      <c r="IO45" s="2" t="s">
        <v>17</v>
      </c>
      <c r="IP45" s="2" t="s">
        <v>79</v>
      </c>
      <c r="IQ45" s="2" t="s">
        <v>79</v>
      </c>
      <c r="IR45" s="2">
        <v>6</v>
      </c>
      <c r="IS45" s="2">
        <v>12</v>
      </c>
      <c r="IT45" s="2">
        <v>0</v>
      </c>
      <c r="IU45" s="2">
        <v>18</v>
      </c>
      <c r="IV45" s="2" t="s">
        <v>9</v>
      </c>
      <c r="IW45" s="2" t="s">
        <v>9</v>
      </c>
      <c r="IX45" s="2" t="s">
        <v>9</v>
      </c>
      <c r="IY45" s="2">
        <v>18</v>
      </c>
      <c r="IZ45" s="2">
        <v>96</v>
      </c>
      <c r="JB45" s="2" t="s">
        <v>173</v>
      </c>
      <c r="JC45" s="7">
        <v>0.1</v>
      </c>
      <c r="JG45" s="7">
        <v>0.9</v>
      </c>
      <c r="JH45" s="7">
        <v>0</v>
      </c>
      <c r="JI45" s="2">
        <v>96</v>
      </c>
      <c r="JJ45" s="7">
        <v>1</v>
      </c>
      <c r="JK45" s="2">
        <v>96</v>
      </c>
      <c r="JL45" s="7">
        <v>1</v>
      </c>
      <c r="JT45" s="2">
        <v>0</v>
      </c>
      <c r="JU45" s="2">
        <v>0</v>
      </c>
      <c r="JV45" s="2">
        <v>0</v>
      </c>
      <c r="JW45" s="4">
        <v>0</v>
      </c>
      <c r="JX45" s="2">
        <v>0</v>
      </c>
      <c r="JY45" s="4">
        <v>0</v>
      </c>
      <c r="JZ45" s="7">
        <v>0.1</v>
      </c>
      <c r="KD45" s="7">
        <v>0.9</v>
      </c>
      <c r="KE45" s="7">
        <v>1</v>
      </c>
      <c r="KF45" s="2">
        <v>96</v>
      </c>
      <c r="KH45" s="2">
        <v>76</v>
      </c>
      <c r="KI45" s="2">
        <v>20</v>
      </c>
      <c r="KQ45" s="2" t="s">
        <v>83</v>
      </c>
      <c r="KS45" s="2" t="s">
        <v>73</v>
      </c>
      <c r="KT45" s="2">
        <v>4</v>
      </c>
      <c r="KU45" s="2" t="s">
        <v>84</v>
      </c>
      <c r="KW45" s="2" t="s">
        <v>86</v>
      </c>
      <c r="KX45" s="2" t="s">
        <v>17</v>
      </c>
      <c r="KY45" s="2" t="s">
        <v>17</v>
      </c>
      <c r="KZ45" s="2" t="s">
        <v>17</v>
      </c>
      <c r="LA45" s="2" t="s">
        <v>17</v>
      </c>
      <c r="LB45" s="2" t="s">
        <v>17</v>
      </c>
      <c r="LC45" s="2" t="s">
        <v>17</v>
      </c>
      <c r="LD45" s="2" t="s">
        <v>17</v>
      </c>
      <c r="LE45" s="2" t="s">
        <v>17</v>
      </c>
      <c r="LF45" s="2" t="s">
        <v>17</v>
      </c>
      <c r="LG45" s="2" t="s">
        <v>17</v>
      </c>
      <c r="LH45" s="2" t="s">
        <v>17</v>
      </c>
      <c r="LI45" s="2" t="s">
        <v>17</v>
      </c>
      <c r="LJ45" s="2" t="s">
        <v>87</v>
      </c>
      <c r="LK45" s="2" t="s">
        <v>17</v>
      </c>
      <c r="LL45" s="2" t="s">
        <v>17</v>
      </c>
      <c r="LM45" s="2">
        <v>0</v>
      </c>
      <c r="LN45" s="2" t="s">
        <v>17</v>
      </c>
      <c r="LO45" s="2" t="s">
        <v>17</v>
      </c>
      <c r="LP45" s="2" t="s">
        <v>17</v>
      </c>
      <c r="LQ45" s="2" t="s">
        <v>17</v>
      </c>
      <c r="LR45" s="2" t="s">
        <v>17</v>
      </c>
      <c r="LS45" s="2" t="s">
        <v>17</v>
      </c>
      <c r="LT45" s="2" t="s">
        <v>9</v>
      </c>
      <c r="LU45" s="2" t="s">
        <v>9</v>
      </c>
      <c r="LV45" s="2" t="s">
        <v>9</v>
      </c>
      <c r="LW45" s="2" t="s">
        <v>17</v>
      </c>
      <c r="LX45" s="2" t="s">
        <v>17</v>
      </c>
      <c r="LY45" s="5">
        <v>6500000</v>
      </c>
      <c r="LZ45" s="5">
        <v>0</v>
      </c>
      <c r="MA45" s="5">
        <v>9120000</v>
      </c>
      <c r="MB45" s="5">
        <v>9120000</v>
      </c>
      <c r="MC45" s="5">
        <v>9120000</v>
      </c>
      <c r="MD45" s="5">
        <v>750000</v>
      </c>
      <c r="ME45" s="5">
        <v>750000</v>
      </c>
      <c r="MF45" s="5">
        <v>750000</v>
      </c>
      <c r="MG45" s="5">
        <v>10000000</v>
      </c>
      <c r="MH45" s="5">
        <v>0</v>
      </c>
      <c r="MI45" s="5">
        <v>10000000</v>
      </c>
      <c r="MJ45" s="5">
        <v>0</v>
      </c>
      <c r="MK45" s="5">
        <v>1034200</v>
      </c>
      <c r="ML45" s="5">
        <v>0</v>
      </c>
      <c r="MM45" s="5">
        <v>0</v>
      </c>
      <c r="MN45" s="2">
        <v>0</v>
      </c>
      <c r="MO45" s="5">
        <v>0</v>
      </c>
      <c r="MP45" s="5">
        <v>0</v>
      </c>
      <c r="MQ45" s="2">
        <v>0</v>
      </c>
      <c r="MR45" s="2">
        <v>0</v>
      </c>
      <c r="MS45" s="2">
        <v>0</v>
      </c>
      <c r="MT45" s="5">
        <v>2950000</v>
      </c>
      <c r="MU45" s="5">
        <v>0</v>
      </c>
      <c r="MV45" s="5">
        <v>4600000</v>
      </c>
      <c r="MW45" s="5">
        <v>0</v>
      </c>
      <c r="MY45" s="5">
        <v>0</v>
      </c>
      <c r="MZ45" s="5">
        <v>0</v>
      </c>
      <c r="NA45" s="5">
        <v>0</v>
      </c>
      <c r="NB45" s="5">
        <v>2500000</v>
      </c>
      <c r="NC45" s="5">
        <v>0</v>
      </c>
      <c r="ND45" s="5">
        <v>5000000</v>
      </c>
      <c r="NE45" s="5">
        <v>0</v>
      </c>
      <c r="NF45" s="5">
        <v>0</v>
      </c>
      <c r="NG45" s="5">
        <v>0</v>
      </c>
      <c r="NH45" s="5"/>
      <c r="NI45" s="5">
        <v>0</v>
      </c>
      <c r="NJ45" s="5">
        <v>2112066</v>
      </c>
      <c r="NK45" s="2" t="s">
        <v>17</v>
      </c>
      <c r="NL45" s="2">
        <v>2022</v>
      </c>
      <c r="NM45" s="2" t="s">
        <v>9</v>
      </c>
      <c r="NN45" s="2" t="s">
        <v>3700</v>
      </c>
      <c r="NO45" s="2" t="s">
        <v>17</v>
      </c>
      <c r="NR45" s="2" t="s">
        <v>17</v>
      </c>
      <c r="NT45" s="2" t="s">
        <v>9</v>
      </c>
      <c r="NU45" s="2" t="s">
        <v>450</v>
      </c>
      <c r="NV45" s="2">
        <v>19.010000000000002</v>
      </c>
      <c r="NW45" s="2" t="s">
        <v>4310</v>
      </c>
      <c r="NX45" s="2" t="s">
        <v>118</v>
      </c>
      <c r="NY45" s="2" t="s">
        <v>118</v>
      </c>
      <c r="NZ45" s="2" t="s">
        <v>118</v>
      </c>
      <c r="OA45" s="2" t="s">
        <v>17</v>
      </c>
      <c r="OB45" s="2" t="s">
        <v>119</v>
      </c>
      <c r="OF45" s="2" t="s">
        <v>17</v>
      </c>
      <c r="OG45" s="2" t="s">
        <v>17</v>
      </c>
      <c r="OH45" s="2" t="s">
        <v>85</v>
      </c>
      <c r="OI45" s="6">
        <v>0</v>
      </c>
      <c r="OJ45" s="6">
        <v>273600</v>
      </c>
      <c r="OK45" s="2" t="s">
        <v>17</v>
      </c>
      <c r="OL45" s="2" t="s">
        <v>17</v>
      </c>
      <c r="OM45" s="6">
        <v>0</v>
      </c>
      <c r="ON45" s="6">
        <v>0</v>
      </c>
      <c r="OO45" s="6">
        <v>0</v>
      </c>
      <c r="OP45" s="6">
        <v>0</v>
      </c>
      <c r="OQ45" s="4">
        <v>0</v>
      </c>
      <c r="OR45" s="6">
        <v>0</v>
      </c>
      <c r="OS45" s="4">
        <v>0</v>
      </c>
      <c r="OT45" s="2" t="s">
        <v>17</v>
      </c>
      <c r="OU45" s="2" t="s">
        <v>17</v>
      </c>
      <c r="OV45" s="2" t="s">
        <v>229</v>
      </c>
      <c r="OW45" s="2" t="s">
        <v>17</v>
      </c>
      <c r="OX45" s="5">
        <v>7482139</v>
      </c>
      <c r="OY45" s="6">
        <v>77938.95</v>
      </c>
      <c r="PD45" s="8">
        <v>24000000</v>
      </c>
      <c r="PF45" s="8">
        <v>24000000</v>
      </c>
      <c r="PO45" s="8">
        <v>24000000</v>
      </c>
      <c r="PQ45" s="8">
        <v>24000000</v>
      </c>
      <c r="PR45" s="8">
        <v>3360000</v>
      </c>
      <c r="PT45" s="8">
        <v>3360000</v>
      </c>
      <c r="PU45" s="6">
        <v>3360000</v>
      </c>
      <c r="PV45" s="8">
        <v>27360000</v>
      </c>
      <c r="PX45" s="8">
        <v>27360000</v>
      </c>
      <c r="PY45" s="8">
        <v>1368000</v>
      </c>
      <c r="QA45" s="8">
        <v>1368000</v>
      </c>
      <c r="QB45" s="6">
        <v>1368000</v>
      </c>
      <c r="QC45" s="8">
        <v>1260000</v>
      </c>
      <c r="QE45" s="8">
        <v>1260000</v>
      </c>
      <c r="QF45" s="8">
        <v>224432</v>
      </c>
      <c r="QH45" s="8">
        <v>224432</v>
      </c>
      <c r="QI45" s="8">
        <v>960000</v>
      </c>
      <c r="QK45" s="8">
        <v>960000</v>
      </c>
      <c r="QL45" s="8">
        <v>531665</v>
      </c>
      <c r="QN45" s="8">
        <v>531665</v>
      </c>
      <c r="QR45" s="8">
        <v>227000</v>
      </c>
      <c r="QT45" s="8">
        <v>227000</v>
      </c>
      <c r="QU45" s="8">
        <v>3203097</v>
      </c>
      <c r="QW45" s="8">
        <v>3203097</v>
      </c>
      <c r="RA45" s="6">
        <v>160154.85</v>
      </c>
      <c r="RB45" s="8">
        <v>2576474</v>
      </c>
      <c r="RC45" s="8">
        <v>500000</v>
      </c>
      <c r="RD45" s="8">
        <v>3076474</v>
      </c>
      <c r="RE45" s="8">
        <v>148279</v>
      </c>
      <c r="RF45" s="8">
        <v>148279</v>
      </c>
      <c r="RJ45" s="8">
        <v>2576474</v>
      </c>
      <c r="RK45" s="8">
        <v>648279</v>
      </c>
      <c r="RL45" s="8">
        <v>3224753</v>
      </c>
      <c r="RT45" s="8">
        <v>34507571</v>
      </c>
      <c r="RU45" s="8">
        <v>648279</v>
      </c>
      <c r="RV45" s="8">
        <v>35155850</v>
      </c>
      <c r="RY45" s="2">
        <v>0</v>
      </c>
      <c r="RZ45" s="6">
        <v>0</v>
      </c>
      <c r="SA45" s="8">
        <v>6328053</v>
      </c>
      <c r="SC45" s="8">
        <v>6328053</v>
      </c>
      <c r="SD45" s="6">
        <v>6328053</v>
      </c>
      <c r="SE45" s="8">
        <v>6328053</v>
      </c>
      <c r="SF45" s="8">
        <v>6328053</v>
      </c>
      <c r="SG45" s="6">
        <v>6328053</v>
      </c>
      <c r="SJ45" s="6">
        <v>336000</v>
      </c>
      <c r="SK45" s="8">
        <v>1920000</v>
      </c>
      <c r="SL45" s="8">
        <v>1920000</v>
      </c>
      <c r="SM45" s="8">
        <v>40835624</v>
      </c>
      <c r="SN45" s="8">
        <v>2568279</v>
      </c>
      <c r="SO45" s="8">
        <v>43403903</v>
      </c>
      <c r="SP45" s="8">
        <v>30000000</v>
      </c>
      <c r="SQ45" s="2" t="s">
        <v>4220</v>
      </c>
      <c r="SX45" s="8">
        <v>9870000</v>
      </c>
      <c r="SY45" s="2" t="s">
        <v>96</v>
      </c>
      <c r="SZ45" s="2" t="s">
        <v>96</v>
      </c>
      <c r="TA45" s="2" t="s">
        <v>96</v>
      </c>
      <c r="TB45" s="8">
        <v>14867458</v>
      </c>
      <c r="TF45" s="2">
        <v>0</v>
      </c>
      <c r="TG45" s="8">
        <v>54737458</v>
      </c>
      <c r="TH45" s="8">
        <v>11333555</v>
      </c>
      <c r="TI45" s="8">
        <v>10300000</v>
      </c>
      <c r="TJ45" s="2" t="s">
        <v>4220</v>
      </c>
      <c r="TR45" s="8">
        <v>9870000</v>
      </c>
      <c r="TS45" s="8">
        <v>18584322</v>
      </c>
      <c r="TZ45" s="8">
        <v>4649581</v>
      </c>
      <c r="UA45" s="8">
        <v>43403903</v>
      </c>
      <c r="UB45" s="6">
        <v>20170000</v>
      </c>
      <c r="UC45" s="2">
        <v>0</v>
      </c>
      <c r="UD45" s="2">
        <v>96</v>
      </c>
      <c r="UE45" s="5">
        <v>310000</v>
      </c>
      <c r="UF45" s="6">
        <v>413333.33</v>
      </c>
      <c r="UG45" s="6">
        <v>420833.33</v>
      </c>
      <c r="UH45" s="6">
        <v>446083.33</v>
      </c>
      <c r="UI45" s="6">
        <v>42824000</v>
      </c>
      <c r="UJ45" s="6">
        <v>7708320</v>
      </c>
      <c r="UK45" s="2" t="s">
        <v>97</v>
      </c>
      <c r="UL45" s="6">
        <v>7708320</v>
      </c>
      <c r="UM45" s="6">
        <v>50532320</v>
      </c>
      <c r="UN45" s="6">
        <v>41483903</v>
      </c>
      <c r="UT45" s="6">
        <v>402065.28</v>
      </c>
      <c r="UW45" s="6">
        <v>402065.28</v>
      </c>
      <c r="UX45" s="6">
        <v>0</v>
      </c>
      <c r="UY45" s="6">
        <v>0</v>
      </c>
      <c r="UZ45" s="2" t="s">
        <v>3387</v>
      </c>
      <c r="VA45" s="2" t="s">
        <v>3288</v>
      </c>
      <c r="VB45" s="2" t="s">
        <v>17</v>
      </c>
      <c r="VI45" s="388" t="s">
        <v>4737</v>
      </c>
      <c r="VJ45" s="2" t="s">
        <v>98</v>
      </c>
      <c r="VK45" s="2" t="s">
        <v>4738</v>
      </c>
      <c r="VL45" s="23">
        <f t="shared" si="22"/>
        <v>116</v>
      </c>
      <c r="VM45" s="17">
        <f t="shared" si="23"/>
        <v>1.2083333333333333</v>
      </c>
      <c r="VN45" s="17" t="str">
        <f t="shared" si="24"/>
        <v>NC-HR-E</v>
      </c>
      <c r="VO45" s="17" t="str">
        <f t="shared" si="15"/>
        <v>NC-HR-E-ESS</v>
      </c>
      <c r="VP45" s="57">
        <v>1</v>
      </c>
      <c r="VQ45" s="17">
        <f t="shared" si="25"/>
        <v>1.1100000000000001</v>
      </c>
      <c r="VR45" s="14">
        <f t="shared" si="26"/>
        <v>1</v>
      </c>
      <c r="VS45" s="14">
        <f t="shared" si="27"/>
        <v>1</v>
      </c>
      <c r="VT45" s="12">
        <f t="shared" si="28"/>
        <v>0.83519999999999994</v>
      </c>
      <c r="VU45" s="29">
        <f t="shared" si="29"/>
        <v>8454896.6399999987</v>
      </c>
      <c r="VV45" s="29">
        <f t="shared" si="30"/>
        <v>88071.84</v>
      </c>
      <c r="VW45" s="351" t="str">
        <f t="shared" si="16"/>
        <v>B</v>
      </c>
      <c r="VX45" s="12" t="str">
        <f t="shared" si="31"/>
        <v>NC-HR-ESS</v>
      </c>
      <c r="VY45" s="23">
        <f t="shared" si="17"/>
        <v>5</v>
      </c>
      <c r="WA45" s="12">
        <f t="shared" si="18"/>
        <v>1</v>
      </c>
      <c r="WB45" s="12">
        <f t="shared" si="19"/>
        <v>1</v>
      </c>
      <c r="WC45" s="12">
        <f t="shared" si="19"/>
        <v>0</v>
      </c>
      <c r="WD45" s="12">
        <f t="shared" si="19"/>
        <v>0</v>
      </c>
      <c r="WE45" s="12">
        <f t="shared" si="20"/>
        <v>1</v>
      </c>
      <c r="WF45" s="12">
        <f t="shared" si="32"/>
        <v>0</v>
      </c>
      <c r="WG45" s="12">
        <f t="shared" si="33"/>
        <v>0</v>
      </c>
      <c r="WH45" s="12">
        <f t="shared" si="34"/>
        <v>1</v>
      </c>
      <c r="WI45" s="22">
        <f t="shared" si="35"/>
        <v>4</v>
      </c>
      <c r="WK45" s="444" t="str">
        <f t="shared" si="21"/>
        <v>NC-HR-ESS-BBY-BRN-NPH-E</v>
      </c>
      <c r="WL45" s="444"/>
      <c r="WM45" s="444"/>
    </row>
    <row r="46" spans="1:611" x14ac:dyDescent="0.25">
      <c r="A46" s="2">
        <v>9312</v>
      </c>
      <c r="B46" s="2" t="s">
        <v>4739</v>
      </c>
      <c r="C46" s="2" t="s">
        <v>4205</v>
      </c>
      <c r="D46" s="3">
        <v>45135</v>
      </c>
      <c r="E46" s="2" t="s">
        <v>9</v>
      </c>
      <c r="F46" s="2">
        <v>1</v>
      </c>
      <c r="G46" s="2" t="s">
        <v>9</v>
      </c>
      <c r="H46" s="2">
        <v>1</v>
      </c>
      <c r="I46" s="2" t="s">
        <v>11</v>
      </c>
      <c r="J46" s="2">
        <v>0</v>
      </c>
      <c r="K46" s="2" t="s">
        <v>9</v>
      </c>
      <c r="L46" s="2">
        <v>1</v>
      </c>
      <c r="M46" s="2" t="s">
        <v>10</v>
      </c>
      <c r="N46" s="2">
        <v>0</v>
      </c>
      <c r="O46" s="2" t="s">
        <v>10</v>
      </c>
      <c r="P46" s="2">
        <v>0</v>
      </c>
      <c r="Q46" s="2" t="s">
        <v>11</v>
      </c>
      <c r="R46" s="2">
        <v>0</v>
      </c>
      <c r="S46" s="2" t="s">
        <v>9</v>
      </c>
      <c r="T46" s="2">
        <v>2</v>
      </c>
      <c r="U46" s="2" t="s">
        <v>9</v>
      </c>
      <c r="V46" s="2">
        <v>2</v>
      </c>
      <c r="W46" s="2" t="s">
        <v>9</v>
      </c>
      <c r="X46" s="2">
        <v>2</v>
      </c>
      <c r="Y46" s="2" t="s">
        <v>3635</v>
      </c>
      <c r="Z46" s="2" t="s">
        <v>15</v>
      </c>
      <c r="AA46" s="2" t="s">
        <v>15</v>
      </c>
      <c r="AB46" s="2" t="s">
        <v>15</v>
      </c>
      <c r="AC46" s="2" t="s">
        <v>435</v>
      </c>
      <c r="AD46" s="2" t="s">
        <v>15</v>
      </c>
      <c r="AE46" s="2" t="s">
        <v>15</v>
      </c>
      <c r="AF46" s="2">
        <v>0</v>
      </c>
      <c r="AG46" s="2" t="s">
        <v>234</v>
      </c>
      <c r="AH46" s="2" t="s">
        <v>9</v>
      </c>
      <c r="AI46" s="4">
        <v>0.36</v>
      </c>
      <c r="AJ46" s="2" t="s">
        <v>9</v>
      </c>
      <c r="AK46" s="2" t="s">
        <v>9</v>
      </c>
      <c r="AL46" s="2" t="s">
        <v>17</v>
      </c>
      <c r="AM46" s="2" t="s">
        <v>17</v>
      </c>
      <c r="AN46" s="2" t="s">
        <v>17</v>
      </c>
      <c r="AO46" s="2" t="s">
        <v>9</v>
      </c>
      <c r="AP46" s="2" t="s">
        <v>17</v>
      </c>
      <c r="AQ46" s="2" t="s">
        <v>17</v>
      </c>
      <c r="AR46" s="2" t="s">
        <v>17</v>
      </c>
      <c r="AS46" s="2" t="s">
        <v>17</v>
      </c>
      <c r="AT46" s="2">
        <v>5</v>
      </c>
      <c r="AU46" s="5">
        <v>250000</v>
      </c>
      <c r="AV46" s="2" t="s">
        <v>85</v>
      </c>
      <c r="AW46" s="2">
        <v>0</v>
      </c>
      <c r="AX46" s="2">
        <v>4</v>
      </c>
      <c r="AY46" s="2">
        <v>0</v>
      </c>
      <c r="AZ46" s="2">
        <v>16</v>
      </c>
      <c r="BA46" s="2">
        <v>0</v>
      </c>
      <c r="BB46" s="2">
        <v>1</v>
      </c>
      <c r="BC46" s="2">
        <v>1</v>
      </c>
      <c r="BD46" s="2">
        <v>5</v>
      </c>
      <c r="BE46" s="2">
        <v>1</v>
      </c>
      <c r="BF46" s="2">
        <v>1</v>
      </c>
      <c r="BG46" s="2">
        <v>0</v>
      </c>
      <c r="BH46" s="2">
        <v>0</v>
      </c>
      <c r="BI46" s="2">
        <v>13</v>
      </c>
      <c r="BJ46" s="2">
        <v>1</v>
      </c>
      <c r="BK46" s="2">
        <v>0</v>
      </c>
      <c r="BL46" s="2">
        <v>2</v>
      </c>
      <c r="BM46" s="2">
        <v>1</v>
      </c>
      <c r="BN46" s="2">
        <v>10</v>
      </c>
      <c r="BO46" s="2">
        <v>10</v>
      </c>
      <c r="BP46" s="2">
        <v>30.99</v>
      </c>
      <c r="BQ46" s="5">
        <v>7875000</v>
      </c>
      <c r="BR46" s="2">
        <v>1</v>
      </c>
      <c r="BS46" s="4">
        <v>0.06</v>
      </c>
      <c r="BT46" s="2" t="s">
        <v>9</v>
      </c>
      <c r="BU46" s="2" t="s">
        <v>17</v>
      </c>
      <c r="BV46" s="6">
        <v>77938.95</v>
      </c>
      <c r="BW46" s="2" t="s">
        <v>126</v>
      </c>
      <c r="BX46" s="2" t="s">
        <v>17</v>
      </c>
      <c r="BY46" s="2" t="s">
        <v>17</v>
      </c>
      <c r="BZ46" s="2" t="s">
        <v>17</v>
      </c>
      <c r="CA46" s="2" t="s">
        <v>17</v>
      </c>
      <c r="CB46" s="2" t="s">
        <v>17</v>
      </c>
      <c r="CC46" s="2" t="s">
        <v>17</v>
      </c>
      <c r="CD46" s="2" t="s">
        <v>9</v>
      </c>
      <c r="CE46" s="2" t="s">
        <v>3636</v>
      </c>
      <c r="CF46" s="2" t="s">
        <v>17</v>
      </c>
      <c r="CG46" s="2" t="s">
        <v>9</v>
      </c>
      <c r="DA46" s="2" t="s">
        <v>4740</v>
      </c>
      <c r="DD46" s="2" t="s">
        <v>9</v>
      </c>
      <c r="DE46" s="2" t="s">
        <v>3638</v>
      </c>
      <c r="DF46" s="2" t="s">
        <v>3639</v>
      </c>
      <c r="DG46" s="2" t="s">
        <v>4741</v>
      </c>
      <c r="DH46" s="2" t="s">
        <v>3642</v>
      </c>
      <c r="DI46" s="2">
        <v>86</v>
      </c>
      <c r="DJ46" s="2" t="s">
        <v>3029</v>
      </c>
      <c r="DK46" s="2">
        <v>2018</v>
      </c>
      <c r="DL46" s="2" t="s">
        <v>4209</v>
      </c>
      <c r="DM46" s="2" t="s">
        <v>4210</v>
      </c>
      <c r="DN46" s="2" t="s">
        <v>33</v>
      </c>
      <c r="DO46" s="2" t="s">
        <v>3645</v>
      </c>
      <c r="DP46" s="2" t="s">
        <v>85</v>
      </c>
      <c r="DQ46" s="2" t="s">
        <v>3646</v>
      </c>
      <c r="DR46" s="2" t="s">
        <v>4742</v>
      </c>
      <c r="DS46" s="2">
        <v>1</v>
      </c>
      <c r="DT46" s="2" t="s">
        <v>3648</v>
      </c>
      <c r="DU46" s="2" t="s">
        <v>1144</v>
      </c>
      <c r="DV46" s="2" t="s">
        <v>39</v>
      </c>
      <c r="DW46" s="2" t="s">
        <v>3649</v>
      </c>
      <c r="DX46" s="2" t="s">
        <v>3650</v>
      </c>
      <c r="DY46" s="2" t="s">
        <v>85</v>
      </c>
      <c r="DZ46" s="2" t="s">
        <v>3651</v>
      </c>
      <c r="EA46" s="2" t="s">
        <v>4742</v>
      </c>
      <c r="EB46" s="2" t="s">
        <v>4743</v>
      </c>
      <c r="EC46" s="2" t="s">
        <v>330</v>
      </c>
      <c r="ED46" s="2" t="s">
        <v>44</v>
      </c>
      <c r="EE46" s="2">
        <v>123</v>
      </c>
      <c r="EF46" s="2" t="s">
        <v>3030</v>
      </c>
      <c r="EG46" s="2">
        <v>18</v>
      </c>
      <c r="EH46" s="2" t="s">
        <v>46</v>
      </c>
      <c r="EI46" s="2" t="s">
        <v>47</v>
      </c>
      <c r="EJ46" s="2" t="s">
        <v>3653</v>
      </c>
      <c r="EK46" s="2" t="s">
        <v>3654</v>
      </c>
      <c r="EL46" s="2" t="s">
        <v>44</v>
      </c>
      <c r="EM46" s="2">
        <v>123</v>
      </c>
      <c r="EN46" s="2" t="s">
        <v>3030</v>
      </c>
      <c r="EO46" s="2">
        <v>18</v>
      </c>
      <c r="EP46" s="2" t="s">
        <v>46</v>
      </c>
      <c r="EQ46" s="2" t="s">
        <v>47</v>
      </c>
      <c r="ER46" s="2" t="s">
        <v>3655</v>
      </c>
      <c r="ET46" s="2" t="s">
        <v>3656</v>
      </c>
      <c r="EU46" s="2" t="s">
        <v>4740</v>
      </c>
      <c r="EV46" s="2" t="s">
        <v>3658</v>
      </c>
      <c r="EW46" s="2" t="s">
        <v>3665</v>
      </c>
      <c r="EX46" s="2" t="s">
        <v>3660</v>
      </c>
      <c r="EY46" s="2">
        <v>22314</v>
      </c>
      <c r="EZ46" s="2" t="s">
        <v>3661</v>
      </c>
      <c r="FA46" s="2" t="s">
        <v>85</v>
      </c>
      <c r="FB46" s="2" t="s">
        <v>3662</v>
      </c>
      <c r="FC46" s="2" t="s">
        <v>3663</v>
      </c>
      <c r="FD46" s="2" t="s">
        <v>400</v>
      </c>
      <c r="FE46" s="2" t="s">
        <v>3664</v>
      </c>
      <c r="FF46" s="2" t="s">
        <v>4740</v>
      </c>
      <c r="FG46" s="2" t="s">
        <v>4744</v>
      </c>
      <c r="FH46" s="2" t="s">
        <v>3665</v>
      </c>
      <c r="FI46" s="2" t="s">
        <v>3660</v>
      </c>
      <c r="FJ46" s="2">
        <v>22314</v>
      </c>
      <c r="FK46" s="2" t="s">
        <v>3666</v>
      </c>
      <c r="FL46" s="2" t="s">
        <v>85</v>
      </c>
      <c r="FM46" s="2" t="s">
        <v>3667</v>
      </c>
      <c r="FN46" s="2" t="s">
        <v>3668</v>
      </c>
      <c r="FO46" s="2" t="s">
        <v>63</v>
      </c>
      <c r="FP46" s="2" t="s">
        <v>64</v>
      </c>
      <c r="FQ46" s="2" t="s">
        <v>9</v>
      </c>
      <c r="FR46" s="2" t="s">
        <v>17</v>
      </c>
      <c r="FS46" s="2" t="s">
        <v>17</v>
      </c>
      <c r="FT46" s="2" t="s">
        <v>9</v>
      </c>
      <c r="FU46" s="2" t="s">
        <v>85</v>
      </c>
      <c r="FV46" s="2">
        <v>25</v>
      </c>
      <c r="FW46" s="2" t="s">
        <v>3669</v>
      </c>
      <c r="FX46" s="2">
        <v>0</v>
      </c>
      <c r="FY46" s="2">
        <v>25</v>
      </c>
      <c r="FZ46" s="4">
        <v>0</v>
      </c>
      <c r="GA46" s="4">
        <v>0.33333000000000002</v>
      </c>
      <c r="GB46" s="2" t="s">
        <v>3670</v>
      </c>
      <c r="GC46" s="2" t="s">
        <v>66</v>
      </c>
      <c r="GD46" s="2" t="s">
        <v>67</v>
      </c>
      <c r="GE46" s="2" t="s">
        <v>2684</v>
      </c>
      <c r="GK46" s="2">
        <v>75</v>
      </c>
      <c r="GQ46" s="2">
        <v>75</v>
      </c>
      <c r="GR46" s="2" t="s">
        <v>3332</v>
      </c>
      <c r="GS46" s="2" t="s">
        <v>2686</v>
      </c>
      <c r="GT46" s="2" t="s">
        <v>3671</v>
      </c>
      <c r="GU46" s="2" t="s">
        <v>299</v>
      </c>
      <c r="GV46" s="2" t="s">
        <v>17</v>
      </c>
      <c r="GW46" s="2">
        <v>25.776630000000001</v>
      </c>
      <c r="GX46" s="2">
        <v>-80.21508</v>
      </c>
      <c r="GZ46" s="2" t="s">
        <v>17</v>
      </c>
      <c r="HA46" s="2">
        <v>0</v>
      </c>
      <c r="HB46" s="2" t="s">
        <v>17</v>
      </c>
      <c r="HC46" s="2">
        <v>0</v>
      </c>
      <c r="HN46" s="2">
        <v>25.773720000000001</v>
      </c>
      <c r="HO46" s="2">
        <v>-80.213520000000003</v>
      </c>
      <c r="HP46" s="2">
        <v>0.21</v>
      </c>
      <c r="HQ46" s="2">
        <v>6</v>
      </c>
      <c r="HZ46" s="2" t="s">
        <v>3672</v>
      </c>
      <c r="IA46" s="2">
        <v>0.3</v>
      </c>
      <c r="IB46" s="2">
        <v>4</v>
      </c>
      <c r="IF46" s="2" t="s">
        <v>4745</v>
      </c>
      <c r="IG46" s="2">
        <v>0.23</v>
      </c>
      <c r="IH46" s="2">
        <v>4</v>
      </c>
      <c r="II46" s="2" t="s">
        <v>4746</v>
      </c>
      <c r="IJ46" s="2">
        <v>0.18</v>
      </c>
      <c r="IK46" s="2">
        <v>4</v>
      </c>
      <c r="IL46" s="2" t="s">
        <v>9</v>
      </c>
      <c r="IM46" s="2" t="s">
        <v>17</v>
      </c>
      <c r="IO46" s="2" t="s">
        <v>17</v>
      </c>
      <c r="IP46" s="2" t="s">
        <v>79</v>
      </c>
      <c r="IQ46" s="2" t="s">
        <v>79</v>
      </c>
      <c r="IR46" s="2">
        <v>6</v>
      </c>
      <c r="IS46" s="2">
        <v>12</v>
      </c>
      <c r="IT46" s="2">
        <v>0</v>
      </c>
      <c r="IU46" s="2">
        <v>18</v>
      </c>
      <c r="IV46" s="2" t="s">
        <v>9</v>
      </c>
      <c r="IW46" s="2" t="s">
        <v>9</v>
      </c>
      <c r="IX46" s="2" t="s">
        <v>9</v>
      </c>
      <c r="IY46" s="2">
        <v>18</v>
      </c>
      <c r="IZ46" s="2">
        <v>75</v>
      </c>
      <c r="JB46" s="2" t="s">
        <v>82</v>
      </c>
      <c r="JH46" s="7">
        <v>0</v>
      </c>
      <c r="JI46" s="2">
        <v>0</v>
      </c>
      <c r="JJ46" s="7">
        <v>0</v>
      </c>
      <c r="JK46" s="2">
        <v>0</v>
      </c>
      <c r="JL46" s="7">
        <v>0</v>
      </c>
      <c r="JM46" s="2">
        <v>27</v>
      </c>
      <c r="JQ46" s="2">
        <v>31</v>
      </c>
      <c r="JS46" s="2">
        <v>17</v>
      </c>
      <c r="JT46" s="2">
        <v>0</v>
      </c>
      <c r="JU46" s="2">
        <v>0</v>
      </c>
      <c r="JV46" s="2">
        <v>75</v>
      </c>
      <c r="JW46" s="4">
        <v>1</v>
      </c>
      <c r="JX46" s="2">
        <v>75</v>
      </c>
      <c r="JY46" s="4">
        <v>0.50133000000000005</v>
      </c>
      <c r="KE46" s="7">
        <v>0</v>
      </c>
      <c r="KF46" s="2">
        <v>0</v>
      </c>
      <c r="KH46" s="2">
        <v>54</v>
      </c>
      <c r="KI46" s="2">
        <v>21</v>
      </c>
      <c r="KQ46" s="2" t="s">
        <v>83</v>
      </c>
      <c r="KS46" s="2" t="s">
        <v>73</v>
      </c>
      <c r="KT46" s="2">
        <v>1</v>
      </c>
      <c r="KU46" s="2" t="s">
        <v>84</v>
      </c>
      <c r="KW46" s="2" t="s">
        <v>599</v>
      </c>
      <c r="KX46" s="2" t="s">
        <v>17</v>
      </c>
      <c r="KY46" s="2" t="s">
        <v>17</v>
      </c>
      <c r="KZ46" s="2" t="s">
        <v>17</v>
      </c>
      <c r="LA46" s="2" t="s">
        <v>17</v>
      </c>
      <c r="LB46" s="2" t="s">
        <v>17</v>
      </c>
      <c r="LC46" s="2" t="s">
        <v>17</v>
      </c>
      <c r="LD46" s="2" t="s">
        <v>17</v>
      </c>
      <c r="LE46" s="2" t="s">
        <v>17</v>
      </c>
      <c r="LF46" s="2" t="s">
        <v>17</v>
      </c>
      <c r="LG46" s="2" t="s">
        <v>17</v>
      </c>
      <c r="LH46" s="2" t="s">
        <v>17</v>
      </c>
      <c r="LI46" s="2" t="s">
        <v>17</v>
      </c>
      <c r="LJ46" s="2" t="s">
        <v>87</v>
      </c>
      <c r="LK46" s="2" t="s">
        <v>17</v>
      </c>
      <c r="LL46" s="2" t="s">
        <v>17</v>
      </c>
      <c r="LM46" s="2">
        <v>0</v>
      </c>
      <c r="LN46" s="2" t="s">
        <v>17</v>
      </c>
      <c r="LO46" s="2" t="s">
        <v>17</v>
      </c>
      <c r="LP46" s="2" t="s">
        <v>17</v>
      </c>
      <c r="LQ46" s="2" t="s">
        <v>17</v>
      </c>
      <c r="LR46" s="2" t="s">
        <v>17</v>
      </c>
      <c r="LS46" s="2" t="s">
        <v>17</v>
      </c>
      <c r="LT46" s="2" t="s">
        <v>17</v>
      </c>
      <c r="LU46" s="2" t="s">
        <v>9</v>
      </c>
      <c r="LV46" s="2" t="s">
        <v>9</v>
      </c>
      <c r="LW46" s="2" t="s">
        <v>17</v>
      </c>
      <c r="LX46" s="2" t="s">
        <v>9</v>
      </c>
      <c r="LY46" s="5">
        <v>6000000</v>
      </c>
      <c r="LZ46" s="5">
        <v>0</v>
      </c>
      <c r="MA46" s="5">
        <v>7125000</v>
      </c>
      <c r="MB46" s="5">
        <v>7125000</v>
      </c>
      <c r="MC46" s="5">
        <v>7125000</v>
      </c>
      <c r="MD46" s="5">
        <v>750000</v>
      </c>
      <c r="ME46" s="5">
        <v>750000</v>
      </c>
      <c r="MF46" s="5">
        <v>750000</v>
      </c>
      <c r="MG46" s="5">
        <v>7875000</v>
      </c>
      <c r="MH46" s="5">
        <v>0</v>
      </c>
      <c r="MI46" s="5">
        <v>7875000</v>
      </c>
      <c r="MJ46" s="5">
        <v>0</v>
      </c>
      <c r="MK46" s="5">
        <v>834200</v>
      </c>
      <c r="ML46" s="5">
        <v>0</v>
      </c>
      <c r="MM46" s="5">
        <v>0</v>
      </c>
      <c r="MN46" s="2">
        <v>0</v>
      </c>
      <c r="MO46" s="5">
        <v>0</v>
      </c>
      <c r="MP46" s="5">
        <v>0</v>
      </c>
      <c r="MQ46" s="2">
        <v>0</v>
      </c>
      <c r="MR46" s="2">
        <v>0</v>
      </c>
      <c r="MS46" s="2">
        <v>0</v>
      </c>
      <c r="MT46" s="5">
        <v>2950000</v>
      </c>
      <c r="MU46" s="5">
        <v>0</v>
      </c>
      <c r="MV46" s="5">
        <v>4600000</v>
      </c>
      <c r="MW46" s="5">
        <v>0</v>
      </c>
      <c r="MY46" s="5">
        <v>0</v>
      </c>
      <c r="MZ46" s="5">
        <v>0</v>
      </c>
      <c r="NA46" s="5">
        <v>0</v>
      </c>
      <c r="NB46" s="5">
        <v>2500000</v>
      </c>
      <c r="NC46" s="5">
        <v>0</v>
      </c>
      <c r="ND46" s="5">
        <v>5000000</v>
      </c>
      <c r="NE46" s="5">
        <v>0</v>
      </c>
      <c r="NF46" s="5">
        <v>0</v>
      </c>
      <c r="NG46" s="5">
        <v>0</v>
      </c>
      <c r="NH46" s="5"/>
      <c r="NI46" s="5">
        <v>0</v>
      </c>
      <c r="NJ46" s="5">
        <v>1379774</v>
      </c>
      <c r="NK46" s="2" t="s">
        <v>17</v>
      </c>
      <c r="NM46" s="2" t="s">
        <v>17</v>
      </c>
      <c r="NO46" s="2" t="s">
        <v>17</v>
      </c>
      <c r="NR46" s="2" t="s">
        <v>17</v>
      </c>
      <c r="NT46" s="2" t="s">
        <v>9</v>
      </c>
      <c r="NU46" s="2" t="s">
        <v>450</v>
      </c>
      <c r="NV46" s="2">
        <v>52.01</v>
      </c>
      <c r="NW46" s="2" t="s">
        <v>3342</v>
      </c>
      <c r="NX46" s="2" t="s">
        <v>118</v>
      </c>
      <c r="NY46" s="2" t="s">
        <v>118</v>
      </c>
      <c r="NZ46" s="2" t="s">
        <v>118</v>
      </c>
      <c r="OA46" s="2" t="s">
        <v>17</v>
      </c>
      <c r="OB46" s="2" t="s">
        <v>119</v>
      </c>
      <c r="OC46" s="5">
        <v>15700000</v>
      </c>
      <c r="OF46" s="2" t="s">
        <v>17</v>
      </c>
      <c r="OG46" s="2" t="s">
        <v>17</v>
      </c>
      <c r="OH46" s="2" t="s">
        <v>85</v>
      </c>
      <c r="OI46" s="6">
        <v>0</v>
      </c>
      <c r="OJ46" s="6">
        <v>213750</v>
      </c>
      <c r="OK46" s="2" t="s">
        <v>17</v>
      </c>
      <c r="OL46" s="2" t="s">
        <v>17</v>
      </c>
      <c r="OM46" s="6">
        <v>0</v>
      </c>
      <c r="ON46" s="6">
        <v>0</v>
      </c>
      <c r="OO46" s="6">
        <v>0</v>
      </c>
      <c r="OP46" s="6">
        <v>0</v>
      </c>
      <c r="OQ46" s="4">
        <v>0</v>
      </c>
      <c r="OR46" s="6">
        <v>0</v>
      </c>
      <c r="OS46" s="4">
        <v>0</v>
      </c>
      <c r="OT46" s="2" t="s">
        <v>17</v>
      </c>
      <c r="OU46" s="2" t="s">
        <v>17</v>
      </c>
      <c r="OW46" s="2" t="s">
        <v>17</v>
      </c>
      <c r="OX46" s="5">
        <v>5845421</v>
      </c>
      <c r="OY46" s="6">
        <v>77938.95</v>
      </c>
      <c r="OZ46" s="8">
        <v>251000</v>
      </c>
      <c r="PA46" s="8">
        <v>251000</v>
      </c>
      <c r="PB46" s="8">
        <v>373828</v>
      </c>
      <c r="PC46" s="8">
        <v>373828</v>
      </c>
      <c r="PD46" s="8">
        <v>14864506</v>
      </c>
      <c r="PF46" s="8">
        <v>14864506</v>
      </c>
      <c r="PG46" s="8">
        <v>341015</v>
      </c>
      <c r="PH46" s="8">
        <v>14889</v>
      </c>
      <c r="PI46" s="8">
        <v>355904</v>
      </c>
      <c r="PL46" s="8">
        <v>419049</v>
      </c>
      <c r="PM46" s="8">
        <v>10539</v>
      </c>
      <c r="PN46" s="8">
        <v>429588</v>
      </c>
      <c r="PO46" s="8">
        <v>15624570</v>
      </c>
      <c r="PP46" s="8">
        <v>650256</v>
      </c>
      <c r="PQ46" s="8">
        <v>16274826</v>
      </c>
      <c r="PR46" s="8">
        <v>2117462</v>
      </c>
      <c r="PS46" s="8">
        <v>53252</v>
      </c>
      <c r="PT46" s="8">
        <v>2170714</v>
      </c>
      <c r="PU46" s="6">
        <v>2278475</v>
      </c>
      <c r="PV46" s="8">
        <v>17742032</v>
      </c>
      <c r="PW46" s="8">
        <v>703508</v>
      </c>
      <c r="PX46" s="8">
        <v>18445540</v>
      </c>
      <c r="PY46" s="8">
        <v>899652</v>
      </c>
      <c r="PZ46" s="8">
        <v>22625</v>
      </c>
      <c r="QA46" s="8">
        <v>922277</v>
      </c>
      <c r="QB46" s="6">
        <v>922277</v>
      </c>
      <c r="QC46" s="8">
        <v>1145171</v>
      </c>
      <c r="QD46" s="8">
        <v>63799</v>
      </c>
      <c r="QE46" s="8">
        <v>1208970</v>
      </c>
      <c r="QF46" s="8">
        <v>365305</v>
      </c>
      <c r="QG46" s="8">
        <v>9187</v>
      </c>
      <c r="QH46" s="8">
        <v>374492</v>
      </c>
      <c r="QI46" s="8">
        <v>655490</v>
      </c>
      <c r="QJ46" s="8">
        <v>16485</v>
      </c>
      <c r="QK46" s="8">
        <v>671975</v>
      </c>
      <c r="QL46" s="2">
        <v>0</v>
      </c>
      <c r="QM46" s="8">
        <v>209239</v>
      </c>
      <c r="QN46" s="8">
        <v>209239</v>
      </c>
      <c r="QR46" s="8">
        <v>34141</v>
      </c>
      <c r="QS46" s="8">
        <v>83359</v>
      </c>
      <c r="QT46" s="8">
        <v>117500</v>
      </c>
      <c r="QU46" s="8">
        <v>2200107</v>
      </c>
      <c r="QV46" s="8">
        <v>382069</v>
      </c>
      <c r="QW46" s="8">
        <v>2582176</v>
      </c>
      <c r="QX46" s="8">
        <v>125942</v>
      </c>
      <c r="QY46" s="8">
        <v>3166</v>
      </c>
      <c r="QZ46" s="8">
        <v>129108</v>
      </c>
      <c r="RA46" s="6">
        <v>129108.8</v>
      </c>
      <c r="RB46" s="8">
        <v>1275783</v>
      </c>
      <c r="RC46" s="8">
        <v>595618</v>
      </c>
      <c r="RD46" s="8">
        <v>1871401</v>
      </c>
      <c r="RE46" s="8">
        <v>106607</v>
      </c>
      <c r="RF46" s="8">
        <v>106607</v>
      </c>
      <c r="RH46" s="8">
        <v>384000</v>
      </c>
      <c r="RI46" s="8">
        <v>384000</v>
      </c>
      <c r="RJ46" s="8">
        <v>1275783</v>
      </c>
      <c r="RK46" s="8">
        <v>1086225</v>
      </c>
      <c r="RL46" s="8">
        <v>2362008</v>
      </c>
      <c r="RM46" s="2">
        <v>0</v>
      </c>
      <c r="RO46" s="8">
        <v>200000</v>
      </c>
      <c r="RP46" s="8">
        <v>200000</v>
      </c>
      <c r="RR46" s="8">
        <v>200000</v>
      </c>
      <c r="RS46" s="8">
        <v>200000</v>
      </c>
      <c r="RT46" s="8">
        <v>22243516</v>
      </c>
      <c r="RU46" s="8">
        <v>2397593</v>
      </c>
      <c r="RV46" s="8">
        <v>24641109</v>
      </c>
      <c r="RX46" s="8">
        <v>36000</v>
      </c>
      <c r="RY46" s="8">
        <v>36000</v>
      </c>
      <c r="RZ46" s="6">
        <v>36000</v>
      </c>
      <c r="SA46" s="8">
        <v>4290590</v>
      </c>
      <c r="SB46" s="8">
        <v>108809</v>
      </c>
      <c r="SC46" s="8">
        <v>4399399</v>
      </c>
      <c r="SD46" s="6">
        <v>4399399</v>
      </c>
      <c r="SE46" s="8" t="s">
        <v>5356</v>
      </c>
      <c r="SF46" s="8">
        <v>4435399</v>
      </c>
      <c r="SG46" s="6">
        <v>4435399</v>
      </c>
      <c r="SJ46" s="6">
        <v>262500</v>
      </c>
      <c r="SK46" s="8">
        <v>1200000</v>
      </c>
      <c r="SL46" s="8">
        <v>1200000</v>
      </c>
      <c r="SM46" s="8">
        <v>26534106</v>
      </c>
      <c r="SN46" s="8">
        <v>3742402</v>
      </c>
      <c r="SO46" s="8">
        <v>30276508</v>
      </c>
      <c r="SP46" s="8">
        <v>15700000</v>
      </c>
      <c r="SQ46" s="2" t="s">
        <v>4295</v>
      </c>
      <c r="SR46" s="8">
        <v>4000000</v>
      </c>
      <c r="SS46" s="2" t="s">
        <v>413</v>
      </c>
      <c r="SV46" s="8">
        <v>750000</v>
      </c>
      <c r="SW46" s="2" t="s">
        <v>5359</v>
      </c>
      <c r="SX46" s="8">
        <v>7875000</v>
      </c>
      <c r="SY46" s="2" t="s">
        <v>96</v>
      </c>
      <c r="SZ46" s="2" t="s">
        <v>96</v>
      </c>
      <c r="TA46" s="2" t="s">
        <v>96</v>
      </c>
      <c r="TB46" s="8">
        <v>1900000</v>
      </c>
      <c r="TC46" s="2" t="s">
        <v>4747</v>
      </c>
      <c r="TD46" s="8">
        <v>100000</v>
      </c>
      <c r="TE46" s="2" t="s">
        <v>453</v>
      </c>
      <c r="TF46" s="2">
        <v>0</v>
      </c>
      <c r="TG46" s="8">
        <v>30325000</v>
      </c>
      <c r="TH46" s="8">
        <v>48492</v>
      </c>
      <c r="TI46" s="8">
        <v>2600000</v>
      </c>
      <c r="TJ46" s="2" t="s">
        <v>4295</v>
      </c>
      <c r="TK46" s="8">
        <v>4000000</v>
      </c>
      <c r="TL46" s="2" t="s">
        <v>413</v>
      </c>
      <c r="TR46" s="8">
        <v>7875000</v>
      </c>
      <c r="TS46" s="8">
        <v>12692647</v>
      </c>
      <c r="TT46" s="2" t="s">
        <v>4748</v>
      </c>
      <c r="TU46" s="8">
        <v>100000</v>
      </c>
      <c r="TV46" s="2" t="s">
        <v>453</v>
      </c>
      <c r="TW46" s="2" t="s">
        <v>4749</v>
      </c>
      <c r="TX46" s="8">
        <v>750000</v>
      </c>
      <c r="TY46" s="2" t="s">
        <v>413</v>
      </c>
      <c r="TZ46" s="8">
        <v>2258861</v>
      </c>
      <c r="UA46" s="8">
        <v>30276508</v>
      </c>
      <c r="UB46" s="6">
        <v>15325000</v>
      </c>
      <c r="UC46" s="2">
        <v>0</v>
      </c>
      <c r="UD46" s="2">
        <v>75</v>
      </c>
      <c r="UE46" s="5">
        <v>310000</v>
      </c>
      <c r="UF46" s="6">
        <v>413333.33</v>
      </c>
      <c r="UG46" s="6">
        <v>420833.33</v>
      </c>
      <c r="UH46" s="6">
        <v>446083.33</v>
      </c>
      <c r="UI46" s="6">
        <v>33456250</v>
      </c>
      <c r="UJ46" s="6">
        <v>6022125</v>
      </c>
      <c r="UK46" s="6">
        <v>36000</v>
      </c>
      <c r="UL46" s="6">
        <v>6058125</v>
      </c>
      <c r="UM46" s="6">
        <v>39514375</v>
      </c>
      <c r="UN46" s="6">
        <v>28251680</v>
      </c>
      <c r="UT46" s="6">
        <v>257220</v>
      </c>
      <c r="UW46" s="6">
        <v>257220</v>
      </c>
      <c r="UX46" s="6">
        <v>0</v>
      </c>
      <c r="UY46" s="6">
        <v>0</v>
      </c>
      <c r="UZ46" s="2" t="s">
        <v>3332</v>
      </c>
      <c r="VA46" s="2" t="s">
        <v>3288</v>
      </c>
      <c r="VB46" s="2" t="s">
        <v>17</v>
      </c>
      <c r="VI46" s="388" t="s">
        <v>3683</v>
      </c>
      <c r="VJ46" s="2" t="s">
        <v>98</v>
      </c>
      <c r="VK46" s="2" t="s">
        <v>3684</v>
      </c>
      <c r="VL46" s="23">
        <f t="shared" si="22"/>
        <v>96</v>
      </c>
      <c r="VM46" s="17">
        <f t="shared" si="23"/>
        <v>1.28</v>
      </c>
      <c r="VN46" s="17" t="str">
        <f t="shared" si="24"/>
        <v>NC-HR-E</v>
      </c>
      <c r="VO46" s="17" t="str">
        <f t="shared" si="15"/>
        <v>NC-HR-E-ESS</v>
      </c>
      <c r="VP46" s="57">
        <v>1</v>
      </c>
      <c r="VQ46" s="17">
        <f t="shared" si="25"/>
        <v>1.1100000000000001</v>
      </c>
      <c r="VR46" s="14">
        <f t="shared" si="26"/>
        <v>1</v>
      </c>
      <c r="VS46" s="14">
        <f t="shared" si="27"/>
        <v>1</v>
      </c>
      <c r="VT46" s="12">
        <f t="shared" si="28"/>
        <v>0.83520000000000005</v>
      </c>
      <c r="VU46" s="29">
        <f t="shared" si="29"/>
        <v>6605388.0000000009</v>
      </c>
      <c r="VV46" s="29">
        <f t="shared" si="30"/>
        <v>88071.84</v>
      </c>
      <c r="VW46" s="351" t="str">
        <f t="shared" si="16"/>
        <v>B</v>
      </c>
      <c r="VX46" s="12" t="str">
        <f t="shared" si="31"/>
        <v>NC-HR-ESS</v>
      </c>
      <c r="VY46" s="23">
        <f t="shared" si="17"/>
        <v>5</v>
      </c>
      <c r="WA46" s="12">
        <f t="shared" si="18"/>
        <v>1</v>
      </c>
      <c r="WB46" s="12">
        <f t="shared" si="19"/>
        <v>1</v>
      </c>
      <c r="WC46" s="12">
        <f t="shared" si="19"/>
        <v>0</v>
      </c>
      <c r="WD46" s="12">
        <f t="shared" si="19"/>
        <v>0</v>
      </c>
      <c r="WE46" s="12">
        <f t="shared" si="20"/>
        <v>1</v>
      </c>
      <c r="WF46" s="12">
        <f t="shared" si="32"/>
        <v>0</v>
      </c>
      <c r="WG46" s="12">
        <f t="shared" si="33"/>
        <v>0</v>
      </c>
      <c r="WH46" s="12">
        <f t="shared" si="34"/>
        <v>1</v>
      </c>
      <c r="WI46" s="22">
        <f t="shared" si="35"/>
        <v>4</v>
      </c>
      <c r="WK46" s="444" t="str">
        <f t="shared" si="21"/>
        <v>NC-HR-ESS-BBY-BRN-NPH-E</v>
      </c>
      <c r="WL46" s="444"/>
      <c r="WM46" s="444"/>
    </row>
    <row r="47" spans="1:611" x14ac:dyDescent="0.25">
      <c r="A47" s="2">
        <v>9328</v>
      </c>
      <c r="B47" s="2" t="s">
        <v>4750</v>
      </c>
      <c r="C47" s="2" t="s">
        <v>4205</v>
      </c>
      <c r="D47" s="3">
        <v>45128</v>
      </c>
      <c r="E47" s="2" t="s">
        <v>9</v>
      </c>
      <c r="F47" s="2">
        <v>1</v>
      </c>
      <c r="G47" s="2" t="s">
        <v>9</v>
      </c>
      <c r="H47" s="2">
        <v>1</v>
      </c>
      <c r="I47" s="2" t="s">
        <v>11</v>
      </c>
      <c r="J47" s="2">
        <v>0</v>
      </c>
      <c r="K47" s="2" t="s">
        <v>9</v>
      </c>
      <c r="L47" s="2">
        <v>1</v>
      </c>
      <c r="M47" s="2" t="s">
        <v>10</v>
      </c>
      <c r="N47" s="2">
        <v>0</v>
      </c>
      <c r="O47" s="2" t="s">
        <v>10</v>
      </c>
      <c r="P47" s="2">
        <v>0</v>
      </c>
      <c r="Q47" s="2" t="s">
        <v>11</v>
      </c>
      <c r="R47" s="2">
        <v>0</v>
      </c>
      <c r="S47" s="2" t="s">
        <v>9</v>
      </c>
      <c r="T47" s="2">
        <v>2</v>
      </c>
      <c r="U47" s="2" t="s">
        <v>9</v>
      </c>
      <c r="V47" s="2">
        <v>2</v>
      </c>
      <c r="W47" s="2" t="s">
        <v>9</v>
      </c>
      <c r="X47" s="2">
        <v>2</v>
      </c>
      <c r="Y47" s="2" t="s">
        <v>12</v>
      </c>
      <c r="Z47" s="2" t="s">
        <v>187</v>
      </c>
      <c r="AA47" s="2" t="s">
        <v>15</v>
      </c>
      <c r="AB47" s="2" t="s">
        <v>15</v>
      </c>
      <c r="AC47" s="2" t="s">
        <v>15</v>
      </c>
      <c r="AD47" s="2" t="s">
        <v>15</v>
      </c>
      <c r="AE47" s="2" t="s">
        <v>15</v>
      </c>
      <c r="AF47" s="2">
        <v>1</v>
      </c>
      <c r="AG47" s="2" t="s">
        <v>1366</v>
      </c>
      <c r="AH47" s="2" t="s">
        <v>17</v>
      </c>
      <c r="AI47" s="4">
        <v>0.25</v>
      </c>
      <c r="AJ47" s="2" t="s">
        <v>17</v>
      </c>
      <c r="AK47" s="2" t="s">
        <v>9</v>
      </c>
      <c r="AL47" s="2" t="s">
        <v>17</v>
      </c>
      <c r="AM47" s="2" t="s">
        <v>9</v>
      </c>
      <c r="AN47" s="2" t="s">
        <v>17</v>
      </c>
      <c r="AO47" s="2" t="s">
        <v>17</v>
      </c>
      <c r="AP47" s="2" t="s">
        <v>17</v>
      </c>
      <c r="AQ47" s="2" t="s">
        <v>17</v>
      </c>
      <c r="AR47" s="2" t="s">
        <v>17</v>
      </c>
      <c r="AS47" s="2" t="s">
        <v>17</v>
      </c>
      <c r="AT47" s="2">
        <v>5</v>
      </c>
      <c r="AU47" s="5">
        <v>75000</v>
      </c>
      <c r="AV47" s="5">
        <v>610000</v>
      </c>
      <c r="AW47" s="2">
        <v>0</v>
      </c>
      <c r="AX47" s="2">
        <v>5</v>
      </c>
      <c r="AY47" s="2">
        <v>0</v>
      </c>
      <c r="AZ47" s="2">
        <v>17</v>
      </c>
      <c r="BA47" s="2">
        <v>0</v>
      </c>
      <c r="BB47" s="2">
        <v>1</v>
      </c>
      <c r="BC47" s="2">
        <v>0</v>
      </c>
      <c r="BD47" s="2">
        <v>5</v>
      </c>
      <c r="BE47" s="2">
        <v>1</v>
      </c>
      <c r="BF47" s="2">
        <v>1</v>
      </c>
      <c r="BG47" s="2">
        <v>0</v>
      </c>
      <c r="BH47" s="2">
        <v>0</v>
      </c>
      <c r="BI47" s="2">
        <v>13</v>
      </c>
      <c r="BJ47" s="2">
        <v>1</v>
      </c>
      <c r="BK47" s="2">
        <v>0</v>
      </c>
      <c r="BL47" s="2">
        <v>2</v>
      </c>
      <c r="BM47" s="2">
        <v>1</v>
      </c>
      <c r="BN47" s="2">
        <v>10</v>
      </c>
      <c r="BO47" s="2">
        <v>10</v>
      </c>
      <c r="BP47" s="2">
        <v>30.99</v>
      </c>
      <c r="BQ47" s="5">
        <v>10183400</v>
      </c>
      <c r="BR47" s="2">
        <v>1</v>
      </c>
      <c r="BS47" s="4">
        <v>0.06</v>
      </c>
      <c r="BT47" s="2" t="s">
        <v>9</v>
      </c>
      <c r="BU47" s="2" t="s">
        <v>17</v>
      </c>
      <c r="BV47" s="6">
        <v>80789.52</v>
      </c>
      <c r="BW47" s="2" t="s">
        <v>126</v>
      </c>
      <c r="BX47" s="2" t="s">
        <v>17</v>
      </c>
      <c r="BY47" s="2" t="s">
        <v>17</v>
      </c>
      <c r="BZ47" s="2" t="s">
        <v>17</v>
      </c>
      <c r="CA47" s="2" t="s">
        <v>17</v>
      </c>
      <c r="CB47" s="2" t="s">
        <v>17</v>
      </c>
      <c r="CC47" s="2" t="s">
        <v>17</v>
      </c>
      <c r="CD47" s="2" t="s">
        <v>9</v>
      </c>
      <c r="CE47" s="2" t="s">
        <v>3220</v>
      </c>
      <c r="CF47" s="2" t="s">
        <v>17</v>
      </c>
      <c r="CG47" s="2" t="s">
        <v>17</v>
      </c>
      <c r="DA47" s="2" t="s">
        <v>3221</v>
      </c>
      <c r="DD47" s="2" t="s">
        <v>9</v>
      </c>
      <c r="DE47" s="2" t="s">
        <v>1408</v>
      </c>
      <c r="DF47" s="2" t="s">
        <v>3221</v>
      </c>
      <c r="DG47" s="2" t="s">
        <v>1424</v>
      </c>
      <c r="DH47" s="2" t="s">
        <v>464</v>
      </c>
      <c r="DI47" s="2">
        <v>120</v>
      </c>
      <c r="DJ47" s="2" t="s">
        <v>3904</v>
      </c>
      <c r="DK47" s="2">
        <v>2011</v>
      </c>
      <c r="DL47" s="2" t="s">
        <v>4209</v>
      </c>
      <c r="DM47" s="2" t="s">
        <v>4210</v>
      </c>
      <c r="DN47" s="2" t="s">
        <v>33</v>
      </c>
      <c r="DO47" s="2" t="s">
        <v>1414</v>
      </c>
      <c r="DP47" s="2" t="s">
        <v>1415</v>
      </c>
      <c r="DQ47" s="2" t="s">
        <v>1416</v>
      </c>
      <c r="DR47" s="2" t="s">
        <v>1417</v>
      </c>
      <c r="DS47" s="2">
        <v>1</v>
      </c>
      <c r="DT47" s="2" t="s">
        <v>1418</v>
      </c>
      <c r="DU47" s="2" t="s">
        <v>1419</v>
      </c>
      <c r="DV47" s="2" t="s">
        <v>39</v>
      </c>
      <c r="DW47" s="2">
        <v>32714</v>
      </c>
      <c r="DX47" s="2" t="s">
        <v>1420</v>
      </c>
      <c r="DY47" s="2">
        <v>294</v>
      </c>
      <c r="DZ47" s="2" t="s">
        <v>1421</v>
      </c>
      <c r="EA47" s="2" t="s">
        <v>1417</v>
      </c>
      <c r="EB47" s="2" t="s">
        <v>1422</v>
      </c>
      <c r="EC47" s="2" t="s">
        <v>1423</v>
      </c>
      <c r="ED47" s="2" t="s">
        <v>44</v>
      </c>
      <c r="EE47" s="2">
        <v>200</v>
      </c>
      <c r="EF47" s="2" t="s">
        <v>3906</v>
      </c>
      <c r="EG47" s="2">
        <v>14</v>
      </c>
      <c r="EH47" s="2" t="s">
        <v>46</v>
      </c>
      <c r="EI47" s="2" t="s">
        <v>47</v>
      </c>
      <c r="EJ47" s="2" t="s">
        <v>1424</v>
      </c>
      <c r="EK47" s="2" t="s">
        <v>464</v>
      </c>
      <c r="EL47" s="2" t="s">
        <v>44</v>
      </c>
      <c r="EM47" s="2">
        <v>120</v>
      </c>
      <c r="EN47" s="2" t="s">
        <v>3906</v>
      </c>
      <c r="EO47" s="2">
        <v>12</v>
      </c>
      <c r="EP47" s="2" t="s">
        <v>46</v>
      </c>
      <c r="EQ47" s="2" t="s">
        <v>47</v>
      </c>
      <c r="ER47" s="2" t="s">
        <v>3222</v>
      </c>
      <c r="ET47" s="2" t="s">
        <v>1416</v>
      </c>
      <c r="EU47" s="2" t="s">
        <v>3223</v>
      </c>
      <c r="EV47" s="2" t="s">
        <v>3224</v>
      </c>
      <c r="EW47" s="2" t="s">
        <v>1419</v>
      </c>
      <c r="EX47" s="2" t="s">
        <v>39</v>
      </c>
      <c r="EY47" s="2">
        <v>32714</v>
      </c>
      <c r="EZ47" s="2" t="s">
        <v>3225</v>
      </c>
      <c r="FB47" s="2" t="s">
        <v>3226</v>
      </c>
      <c r="FC47" s="2" t="s">
        <v>1428</v>
      </c>
      <c r="FD47" s="2" t="s">
        <v>1429</v>
      </c>
      <c r="FE47" s="2" t="s">
        <v>1430</v>
      </c>
      <c r="FF47" s="2" t="s">
        <v>1426</v>
      </c>
      <c r="FG47" s="2" t="s">
        <v>1418</v>
      </c>
      <c r="FH47" s="2" t="s">
        <v>1419</v>
      </c>
      <c r="FI47" s="2" t="s">
        <v>39</v>
      </c>
      <c r="FJ47" s="2">
        <v>32714</v>
      </c>
      <c r="FK47" s="2" t="s">
        <v>1420</v>
      </c>
      <c r="FL47" s="2">
        <v>210</v>
      </c>
      <c r="FM47" s="2" t="s">
        <v>1431</v>
      </c>
      <c r="FN47" s="2" t="s">
        <v>3227</v>
      </c>
      <c r="FO47" s="2" t="s">
        <v>63</v>
      </c>
      <c r="FP47" s="2" t="s">
        <v>64</v>
      </c>
      <c r="FQ47" s="2" t="s">
        <v>9</v>
      </c>
      <c r="FR47" s="2" t="s">
        <v>17</v>
      </c>
      <c r="FS47" s="2" t="s">
        <v>17</v>
      </c>
      <c r="FT47" s="2" t="s">
        <v>9</v>
      </c>
      <c r="FX47" s="2">
        <v>0</v>
      </c>
      <c r="FY47" s="2">
        <v>0</v>
      </c>
      <c r="FZ47" s="4">
        <v>0</v>
      </c>
      <c r="GA47" s="4">
        <v>0</v>
      </c>
      <c r="GB47" s="2" t="s">
        <v>65</v>
      </c>
      <c r="GC47" s="2" t="s">
        <v>66</v>
      </c>
      <c r="GD47" s="2" t="s">
        <v>67</v>
      </c>
      <c r="GE47" s="2" t="s">
        <v>108</v>
      </c>
      <c r="GI47" s="2">
        <v>100</v>
      </c>
      <c r="GQ47" s="2">
        <v>100</v>
      </c>
      <c r="GR47" s="2" t="s">
        <v>2826</v>
      </c>
      <c r="GS47" s="2" t="s">
        <v>2686</v>
      </c>
      <c r="GT47" s="2" t="s">
        <v>3228</v>
      </c>
      <c r="GU47" s="2" t="s">
        <v>3229</v>
      </c>
      <c r="GV47" s="2" t="s">
        <v>17</v>
      </c>
      <c r="GW47" s="2">
        <v>28.690722999999998</v>
      </c>
      <c r="GX47" s="2">
        <v>-81.543063000000004</v>
      </c>
      <c r="GZ47" s="2" t="s">
        <v>17</v>
      </c>
      <c r="HA47" s="2">
        <v>0</v>
      </c>
      <c r="HB47" s="2" t="s">
        <v>17</v>
      </c>
      <c r="HC47" s="2">
        <v>0</v>
      </c>
      <c r="HD47" s="2">
        <v>28.688614999999999</v>
      </c>
      <c r="HE47" s="2">
        <v>-81.542368999999994</v>
      </c>
      <c r="HF47" s="2">
        <v>0.15</v>
      </c>
      <c r="HG47" s="2">
        <v>2</v>
      </c>
      <c r="HZ47" s="2" t="s">
        <v>167</v>
      </c>
      <c r="IA47" s="2">
        <v>0.39</v>
      </c>
      <c r="IB47" s="2">
        <v>3.5</v>
      </c>
      <c r="IC47" s="2" t="s">
        <v>3231</v>
      </c>
      <c r="ID47" s="2">
        <v>0.47</v>
      </c>
      <c r="IE47" s="2">
        <v>3.5</v>
      </c>
      <c r="IF47" s="2" t="s">
        <v>167</v>
      </c>
      <c r="IG47" s="2">
        <v>0.39</v>
      </c>
      <c r="IH47" s="2">
        <v>3.5</v>
      </c>
      <c r="IL47" s="2" t="s">
        <v>17</v>
      </c>
      <c r="IM47" s="2" t="s">
        <v>17</v>
      </c>
      <c r="IO47" s="2" t="s">
        <v>17</v>
      </c>
      <c r="IP47" s="2" t="s">
        <v>79</v>
      </c>
      <c r="IQ47" s="2" t="s">
        <v>79</v>
      </c>
      <c r="IR47" s="2">
        <v>2</v>
      </c>
      <c r="IS47" s="2">
        <v>10.5</v>
      </c>
      <c r="IT47" s="2">
        <v>0</v>
      </c>
      <c r="IU47" s="2">
        <v>12.5</v>
      </c>
      <c r="IV47" s="2" t="s">
        <v>9</v>
      </c>
      <c r="IW47" s="2" t="s">
        <v>9</v>
      </c>
      <c r="IX47" s="2" t="s">
        <v>9</v>
      </c>
      <c r="IY47" s="2">
        <v>12.5</v>
      </c>
      <c r="IZ47" s="2">
        <v>100</v>
      </c>
      <c r="JB47" s="2" t="s">
        <v>82</v>
      </c>
      <c r="JH47" s="7">
        <v>0</v>
      </c>
      <c r="JI47" s="2">
        <v>0</v>
      </c>
      <c r="JJ47" s="7">
        <v>0</v>
      </c>
      <c r="JK47" s="2">
        <v>0</v>
      </c>
      <c r="JL47" s="7">
        <v>0</v>
      </c>
      <c r="JN47" s="2">
        <v>25</v>
      </c>
      <c r="JQ47" s="2">
        <v>38</v>
      </c>
      <c r="JS47" s="2">
        <v>37</v>
      </c>
      <c r="JT47" s="2">
        <v>0</v>
      </c>
      <c r="JU47" s="2">
        <v>0</v>
      </c>
      <c r="JV47" s="2">
        <v>100</v>
      </c>
      <c r="JW47" s="4">
        <v>1</v>
      </c>
      <c r="JX47" s="2">
        <v>100</v>
      </c>
      <c r="JY47" s="4">
        <v>0.59899999999999998</v>
      </c>
      <c r="KE47" s="7">
        <v>0</v>
      </c>
      <c r="KF47" s="2">
        <v>0</v>
      </c>
      <c r="KH47" s="2">
        <v>50</v>
      </c>
      <c r="KK47" s="2">
        <v>50</v>
      </c>
      <c r="KQ47" s="2" t="s">
        <v>83</v>
      </c>
      <c r="KS47" s="2" t="s">
        <v>73</v>
      </c>
      <c r="KT47" s="2">
        <v>1</v>
      </c>
      <c r="KU47" s="2" t="s">
        <v>84</v>
      </c>
      <c r="KW47" s="2" t="s">
        <v>530</v>
      </c>
      <c r="KX47" s="2" t="s">
        <v>17</v>
      </c>
      <c r="KY47" s="2" t="s">
        <v>17</v>
      </c>
      <c r="KZ47" s="2" t="s">
        <v>17</v>
      </c>
      <c r="LA47" s="2" t="s">
        <v>17</v>
      </c>
      <c r="LB47" s="2" t="s">
        <v>17</v>
      </c>
      <c r="LC47" s="2" t="s">
        <v>17</v>
      </c>
      <c r="LD47" s="2" t="s">
        <v>17</v>
      </c>
      <c r="LE47" s="2" t="s">
        <v>17</v>
      </c>
      <c r="LF47" s="2" t="s">
        <v>17</v>
      </c>
      <c r="LG47" s="2" t="s">
        <v>17</v>
      </c>
      <c r="LH47" s="2" t="s">
        <v>17</v>
      </c>
      <c r="LI47" s="2" t="s">
        <v>17</v>
      </c>
      <c r="LJ47" s="2" t="s">
        <v>87</v>
      </c>
      <c r="LK47" s="2" t="s">
        <v>17</v>
      </c>
      <c r="LL47" s="2" t="s">
        <v>17</v>
      </c>
      <c r="LM47" s="2">
        <v>0</v>
      </c>
      <c r="LN47" s="2" t="s">
        <v>17</v>
      </c>
      <c r="LO47" s="2" t="s">
        <v>17</v>
      </c>
      <c r="LP47" s="2" t="s">
        <v>17</v>
      </c>
      <c r="LQ47" s="2" t="s">
        <v>17</v>
      </c>
      <c r="LR47" s="2" t="s">
        <v>17</v>
      </c>
      <c r="LS47" s="2" t="s">
        <v>17</v>
      </c>
      <c r="LT47" s="2" t="s">
        <v>17</v>
      </c>
      <c r="LU47" s="2" t="s">
        <v>17</v>
      </c>
      <c r="LV47" s="2" t="s">
        <v>9</v>
      </c>
      <c r="LW47" s="2" t="s">
        <v>9</v>
      </c>
      <c r="LX47" s="2" t="s">
        <v>9</v>
      </c>
      <c r="LY47" s="5">
        <v>6500000</v>
      </c>
      <c r="LZ47" s="5">
        <v>0</v>
      </c>
      <c r="MA47" s="5">
        <v>9500000</v>
      </c>
      <c r="MB47" s="5">
        <v>9499900</v>
      </c>
      <c r="MC47" s="5">
        <v>9499900</v>
      </c>
      <c r="MD47" s="5">
        <v>683500</v>
      </c>
      <c r="ME47" s="5">
        <v>683500</v>
      </c>
      <c r="MF47" s="5">
        <v>683500</v>
      </c>
      <c r="MG47" s="5">
        <v>10000000</v>
      </c>
      <c r="MH47" s="5">
        <v>0</v>
      </c>
      <c r="MI47" s="5">
        <v>10000000</v>
      </c>
      <c r="MJ47" s="5">
        <v>0</v>
      </c>
      <c r="MK47" s="5">
        <v>683500</v>
      </c>
      <c r="ML47" s="5">
        <v>0</v>
      </c>
      <c r="MM47" s="5">
        <v>0</v>
      </c>
      <c r="MN47" s="2">
        <v>0</v>
      </c>
      <c r="MO47" s="5">
        <v>0</v>
      </c>
      <c r="MP47" s="5">
        <v>0</v>
      </c>
      <c r="MQ47" s="2">
        <v>0</v>
      </c>
      <c r="MR47" s="2">
        <v>0</v>
      </c>
      <c r="MS47" s="2">
        <v>0</v>
      </c>
      <c r="MT47" s="5">
        <v>2950000</v>
      </c>
      <c r="MU47" s="5">
        <v>0</v>
      </c>
      <c r="MV47" s="5">
        <v>4600000</v>
      </c>
      <c r="MW47" s="5">
        <v>0</v>
      </c>
      <c r="MY47" s="5">
        <v>0</v>
      </c>
      <c r="MZ47" s="5">
        <v>0</v>
      </c>
      <c r="NA47" s="5">
        <v>0</v>
      </c>
      <c r="NB47" s="5">
        <v>2500000</v>
      </c>
      <c r="NC47" s="5">
        <v>0</v>
      </c>
      <c r="ND47" s="5">
        <v>5000000</v>
      </c>
      <c r="NE47" s="5">
        <v>0</v>
      </c>
      <c r="NF47" s="5">
        <v>0</v>
      </c>
      <c r="NG47" s="5">
        <v>0</v>
      </c>
      <c r="NH47" s="5"/>
      <c r="NI47" s="5">
        <v>0</v>
      </c>
      <c r="NJ47" s="5">
        <v>1704433</v>
      </c>
      <c r="NK47" s="2" t="s">
        <v>17</v>
      </c>
      <c r="NL47" s="2" t="s">
        <v>4292</v>
      </c>
      <c r="NM47" s="2" t="s">
        <v>17</v>
      </c>
      <c r="NO47" s="2" t="s">
        <v>9</v>
      </c>
      <c r="NP47" s="2">
        <v>32712</v>
      </c>
      <c r="NQ47" s="2" t="s">
        <v>2835</v>
      </c>
      <c r="NR47" s="2" t="s">
        <v>17</v>
      </c>
      <c r="NT47" s="2" t="s">
        <v>17</v>
      </c>
      <c r="NX47" s="2" t="s">
        <v>118</v>
      </c>
      <c r="NY47" s="2" t="s">
        <v>118</v>
      </c>
      <c r="NZ47" s="2" t="s">
        <v>118</v>
      </c>
      <c r="OA47" s="2" t="s">
        <v>17</v>
      </c>
      <c r="OB47" s="2" t="s">
        <v>119</v>
      </c>
      <c r="OC47" s="5">
        <v>19500000</v>
      </c>
      <c r="OF47" s="2" t="s">
        <v>17</v>
      </c>
      <c r="OG47" s="2" t="s">
        <v>17</v>
      </c>
      <c r="OH47" s="2" t="s">
        <v>85</v>
      </c>
      <c r="OI47" s="6">
        <v>0</v>
      </c>
      <c r="OJ47" s="6">
        <v>284997</v>
      </c>
      <c r="OK47" s="2" t="s">
        <v>17</v>
      </c>
      <c r="OL47" s="2" t="s">
        <v>17</v>
      </c>
      <c r="OM47" s="6">
        <v>0</v>
      </c>
      <c r="ON47" s="6">
        <v>0</v>
      </c>
      <c r="OO47" s="6">
        <v>0</v>
      </c>
      <c r="OP47" s="6">
        <v>0</v>
      </c>
      <c r="OQ47" s="4">
        <v>0</v>
      </c>
      <c r="OR47" s="6">
        <v>0</v>
      </c>
      <c r="OS47" s="4">
        <v>0</v>
      </c>
      <c r="OT47" s="2" t="s">
        <v>17</v>
      </c>
      <c r="OU47" s="2" t="s">
        <v>17</v>
      </c>
      <c r="OW47" s="2" t="s">
        <v>17</v>
      </c>
      <c r="OX47" s="5">
        <v>8078952</v>
      </c>
      <c r="OY47" s="6">
        <v>80789.52</v>
      </c>
      <c r="PD47" s="8">
        <v>18050000</v>
      </c>
      <c r="PF47" s="8">
        <v>18050000</v>
      </c>
      <c r="PG47" s="8">
        <v>1400000</v>
      </c>
      <c r="PH47" s="8">
        <v>100000</v>
      </c>
      <c r="PI47" s="8">
        <v>1500000</v>
      </c>
      <c r="PO47" s="8">
        <v>19450000</v>
      </c>
      <c r="PP47" s="8">
        <v>100000</v>
      </c>
      <c r="PQ47" s="8">
        <v>19550000</v>
      </c>
      <c r="PR47" s="8">
        <v>2716000</v>
      </c>
      <c r="PT47" s="8">
        <v>2716000</v>
      </c>
      <c r="PU47" s="6">
        <v>2737000</v>
      </c>
      <c r="PV47" s="8">
        <v>22166000</v>
      </c>
      <c r="PW47" s="8">
        <v>100000</v>
      </c>
      <c r="PX47" s="8">
        <v>22266000</v>
      </c>
      <c r="PY47" s="8">
        <v>1105800</v>
      </c>
      <c r="QA47" s="8">
        <v>1105800</v>
      </c>
      <c r="QB47" s="6">
        <v>1113300</v>
      </c>
      <c r="QC47" s="8">
        <v>1725000</v>
      </c>
      <c r="QD47" s="8">
        <v>252500</v>
      </c>
      <c r="QE47" s="8">
        <v>1977500</v>
      </c>
      <c r="QF47" s="8">
        <v>200000</v>
      </c>
      <c r="QH47" s="8">
        <v>200000</v>
      </c>
      <c r="QI47" s="8">
        <v>1296700</v>
      </c>
      <c r="QK47" s="8">
        <v>1296700</v>
      </c>
      <c r="QM47" s="8">
        <v>409230</v>
      </c>
      <c r="QN47" s="8">
        <v>409230</v>
      </c>
      <c r="QU47" s="8">
        <v>3221700</v>
      </c>
      <c r="QV47" s="8">
        <v>661730</v>
      </c>
      <c r="QW47" s="8">
        <v>3883430</v>
      </c>
      <c r="QY47" s="8">
        <v>111375</v>
      </c>
      <c r="QZ47" s="8">
        <v>111375</v>
      </c>
      <c r="RA47" s="6">
        <v>194171.5</v>
      </c>
      <c r="RB47" s="8">
        <v>975640</v>
      </c>
      <c r="RC47" s="8">
        <v>621506</v>
      </c>
      <c r="RD47" s="8">
        <v>1597146</v>
      </c>
      <c r="RE47" s="8">
        <v>125000</v>
      </c>
      <c r="RF47" s="8">
        <v>125000</v>
      </c>
      <c r="RH47" s="8">
        <v>402492</v>
      </c>
      <c r="RI47" s="8">
        <v>402492</v>
      </c>
      <c r="RJ47" s="8">
        <v>975640</v>
      </c>
      <c r="RK47" s="8">
        <v>1148998</v>
      </c>
      <c r="RL47" s="8">
        <v>2124638</v>
      </c>
      <c r="RT47" s="8">
        <v>27469140</v>
      </c>
      <c r="RU47" s="8">
        <v>2022103</v>
      </c>
      <c r="RV47" s="8">
        <v>29491243</v>
      </c>
      <c r="RY47" s="2">
        <v>0</v>
      </c>
      <c r="RZ47" s="6">
        <v>0</v>
      </c>
      <c r="SA47" s="8">
        <v>5308423</v>
      </c>
      <c r="SC47" s="8">
        <v>5308423</v>
      </c>
      <c r="SD47" s="6">
        <v>5308423</v>
      </c>
      <c r="SE47" s="8">
        <v>5308423</v>
      </c>
      <c r="SF47" s="8">
        <v>5308423</v>
      </c>
      <c r="SG47" s="6">
        <v>5308423</v>
      </c>
      <c r="SH47" s="8">
        <v>323622</v>
      </c>
      <c r="SI47" s="8">
        <v>323622</v>
      </c>
      <c r="SJ47" s="6">
        <v>350000</v>
      </c>
      <c r="SK47" s="8">
        <v>2250000</v>
      </c>
      <c r="SL47" s="8">
        <v>2250000</v>
      </c>
      <c r="SM47" s="8">
        <v>32777563</v>
      </c>
      <c r="SN47" s="8">
        <v>4595725</v>
      </c>
      <c r="SO47" s="8">
        <v>37373288</v>
      </c>
      <c r="SP47" s="8">
        <v>19500000</v>
      </c>
      <c r="SQ47" s="2" t="s">
        <v>4295</v>
      </c>
      <c r="SR47" s="8">
        <v>75000</v>
      </c>
      <c r="SS47" s="2" t="s">
        <v>180</v>
      </c>
      <c r="SX47" s="8">
        <v>10183400</v>
      </c>
      <c r="SY47" s="2" t="s">
        <v>96</v>
      </c>
      <c r="SZ47" s="2" t="s">
        <v>96</v>
      </c>
      <c r="TA47" s="2" t="s">
        <v>96</v>
      </c>
      <c r="TB47" s="8">
        <v>3067672</v>
      </c>
      <c r="TF47" s="8">
        <v>4547216</v>
      </c>
      <c r="TG47" s="8">
        <v>37373288</v>
      </c>
      <c r="TH47" s="2">
        <v>0</v>
      </c>
      <c r="TI47" s="8">
        <v>7500000</v>
      </c>
      <c r="TJ47" s="2" t="s">
        <v>4220</v>
      </c>
      <c r="TK47" s="8">
        <v>75000</v>
      </c>
      <c r="TL47" s="2" t="s">
        <v>180</v>
      </c>
      <c r="TR47" s="8">
        <v>10183400</v>
      </c>
      <c r="TS47" s="8">
        <v>15338363</v>
      </c>
      <c r="TZ47" s="8">
        <v>4276525</v>
      </c>
      <c r="UA47" s="8">
        <v>37373288</v>
      </c>
      <c r="UB47" s="6">
        <v>17758400</v>
      </c>
      <c r="UC47" s="2">
        <v>0</v>
      </c>
      <c r="UD47" s="2">
        <v>100</v>
      </c>
      <c r="UE47" s="5">
        <v>270000</v>
      </c>
      <c r="UF47" s="6">
        <v>360000</v>
      </c>
      <c r="UG47" s="6">
        <v>367500</v>
      </c>
      <c r="UH47" s="6">
        <v>389550</v>
      </c>
      <c r="UI47" s="6">
        <v>38955000</v>
      </c>
      <c r="UJ47" s="6">
        <v>7011900</v>
      </c>
      <c r="UK47" s="2" t="s">
        <v>97</v>
      </c>
      <c r="UL47" s="6">
        <v>7011900</v>
      </c>
      <c r="UM47" s="6">
        <v>45966900</v>
      </c>
      <c r="UN47" s="6">
        <v>34799666</v>
      </c>
      <c r="UQ47" s="6">
        <v>0</v>
      </c>
      <c r="UR47" s="6">
        <v>75000</v>
      </c>
      <c r="US47" s="6">
        <v>75000</v>
      </c>
      <c r="UV47" s="6">
        <v>0</v>
      </c>
      <c r="UW47" s="6">
        <v>75000</v>
      </c>
      <c r="UX47" s="6">
        <v>0</v>
      </c>
      <c r="UY47" s="6">
        <v>75000</v>
      </c>
      <c r="UZ47" s="2" t="s">
        <v>2838</v>
      </c>
      <c r="VA47" s="2" t="s">
        <v>453</v>
      </c>
      <c r="VB47" s="2" t="s">
        <v>17</v>
      </c>
      <c r="VI47" s="388" t="s">
        <v>3235</v>
      </c>
      <c r="VJ47" s="2" t="s">
        <v>98</v>
      </c>
      <c r="VK47" s="2" t="s">
        <v>3236</v>
      </c>
      <c r="VL47" s="23">
        <f t="shared" si="22"/>
        <v>150</v>
      </c>
      <c r="VM47" s="17">
        <f t="shared" si="23"/>
        <v>1.5</v>
      </c>
      <c r="VN47" s="17" t="str">
        <f t="shared" si="24"/>
        <v>NC-MR-E</v>
      </c>
      <c r="VO47" s="17" t="str">
        <f t="shared" si="15"/>
        <v>NC-MR-E-ESS</v>
      </c>
      <c r="VP47" s="57">
        <v>1</v>
      </c>
      <c r="VQ47" s="17">
        <f t="shared" si="25"/>
        <v>1.1100000000000001</v>
      </c>
      <c r="VR47" s="14">
        <f t="shared" si="26"/>
        <v>1</v>
      </c>
      <c r="VS47" s="14">
        <f t="shared" si="27"/>
        <v>1</v>
      </c>
      <c r="VT47" s="12">
        <f t="shared" si="28"/>
        <v>0.84479999999999988</v>
      </c>
      <c r="VU47" s="29">
        <f t="shared" si="29"/>
        <v>8908322.2271999996</v>
      </c>
      <c r="VV47" s="29">
        <f t="shared" si="30"/>
        <v>89083.22</v>
      </c>
      <c r="VW47" s="351" t="str">
        <f t="shared" si="16"/>
        <v>B</v>
      </c>
      <c r="VX47" s="12" t="str">
        <f t="shared" si="31"/>
        <v>NC-MR-ESS</v>
      </c>
      <c r="VY47" s="23">
        <f t="shared" si="17"/>
        <v>5</v>
      </c>
      <c r="WA47" s="12">
        <f t="shared" si="18"/>
        <v>1</v>
      </c>
      <c r="WB47" s="12">
        <f t="shared" si="19"/>
        <v>1</v>
      </c>
      <c r="WC47" s="12">
        <f t="shared" si="19"/>
        <v>0</v>
      </c>
      <c r="WD47" s="12">
        <f t="shared" si="19"/>
        <v>0</v>
      </c>
      <c r="WE47" s="12">
        <f t="shared" si="20"/>
        <v>1</v>
      </c>
      <c r="WF47" s="12">
        <f t="shared" si="32"/>
        <v>0</v>
      </c>
      <c r="WG47" s="12">
        <f t="shared" si="33"/>
        <v>1</v>
      </c>
      <c r="WH47" s="12">
        <f t="shared" si="34"/>
        <v>0</v>
      </c>
      <c r="WI47" s="22">
        <f t="shared" si="35"/>
        <v>4</v>
      </c>
      <c r="WK47" s="444" t="str">
        <f t="shared" si="21"/>
        <v>NC-MR-ESS-BBY-BRN-NPH-E</v>
      </c>
      <c r="WL47" s="444"/>
      <c r="WM47" s="444"/>
    </row>
    <row r="48" spans="1:611" x14ac:dyDescent="0.25">
      <c r="A48" s="2">
        <v>9214</v>
      </c>
      <c r="B48" s="2" t="s">
        <v>4751</v>
      </c>
      <c r="C48" s="2" t="s">
        <v>4205</v>
      </c>
      <c r="D48" s="3">
        <v>45128</v>
      </c>
      <c r="E48" s="2" t="s">
        <v>9</v>
      </c>
      <c r="F48" s="2">
        <v>1</v>
      </c>
      <c r="G48" s="2" t="s">
        <v>9</v>
      </c>
      <c r="H48" s="2">
        <v>1</v>
      </c>
      <c r="I48" s="2" t="s">
        <v>11</v>
      </c>
      <c r="J48" s="2">
        <v>0</v>
      </c>
      <c r="K48" s="2" t="s">
        <v>9</v>
      </c>
      <c r="L48" s="2">
        <v>1</v>
      </c>
      <c r="M48" s="2" t="s">
        <v>10</v>
      </c>
      <c r="N48" s="2">
        <v>0</v>
      </c>
      <c r="O48" s="2" t="s">
        <v>10</v>
      </c>
      <c r="P48" s="2">
        <v>0</v>
      </c>
      <c r="Q48" s="2" t="s">
        <v>11</v>
      </c>
      <c r="R48" s="2">
        <v>0</v>
      </c>
      <c r="S48" s="2" t="s">
        <v>9</v>
      </c>
      <c r="T48" s="2">
        <v>2</v>
      </c>
      <c r="U48" s="2" t="s">
        <v>9</v>
      </c>
      <c r="V48" s="2">
        <v>2</v>
      </c>
      <c r="W48" s="2" t="s">
        <v>9</v>
      </c>
      <c r="X48" s="2">
        <v>2</v>
      </c>
      <c r="Y48" s="2" t="s">
        <v>12</v>
      </c>
      <c r="Z48" s="2" t="s">
        <v>434</v>
      </c>
      <c r="AA48" s="2" t="s">
        <v>1667</v>
      </c>
      <c r="AB48" s="2" t="s">
        <v>15</v>
      </c>
      <c r="AC48" s="2" t="s">
        <v>15</v>
      </c>
      <c r="AD48" s="2" t="s">
        <v>15</v>
      </c>
      <c r="AE48" s="2" t="s">
        <v>15</v>
      </c>
      <c r="AF48" s="2">
        <v>2</v>
      </c>
      <c r="AG48" s="2" t="s">
        <v>3014</v>
      </c>
      <c r="AH48" s="2" t="s">
        <v>17</v>
      </c>
      <c r="AI48" s="4">
        <v>0.1</v>
      </c>
      <c r="AJ48" s="2" t="s">
        <v>17</v>
      </c>
      <c r="AK48" s="2" t="s">
        <v>9</v>
      </c>
      <c r="AL48" s="2" t="s">
        <v>17</v>
      </c>
      <c r="AM48" s="2" t="s">
        <v>17</v>
      </c>
      <c r="AN48" s="2" t="s">
        <v>17</v>
      </c>
      <c r="AO48" s="2" t="s">
        <v>9</v>
      </c>
      <c r="AP48" s="2" t="s">
        <v>17</v>
      </c>
      <c r="AQ48" s="2" t="s">
        <v>17</v>
      </c>
      <c r="AR48" s="2" t="s">
        <v>17</v>
      </c>
      <c r="AS48" s="2" t="s">
        <v>17</v>
      </c>
      <c r="AT48" s="2">
        <v>5</v>
      </c>
      <c r="AU48" s="5">
        <v>75000</v>
      </c>
      <c r="AV48" s="5">
        <v>610000</v>
      </c>
      <c r="AW48" s="2">
        <v>0</v>
      </c>
      <c r="AX48" s="2">
        <v>7</v>
      </c>
      <c r="AY48" s="2">
        <v>0</v>
      </c>
      <c r="AZ48" s="2">
        <v>17</v>
      </c>
      <c r="BA48" s="2">
        <v>0</v>
      </c>
      <c r="BB48" s="2">
        <v>1</v>
      </c>
      <c r="BC48" s="2">
        <v>1</v>
      </c>
      <c r="BD48" s="2">
        <v>4</v>
      </c>
      <c r="BE48" s="2">
        <v>0</v>
      </c>
      <c r="BF48" s="2">
        <v>1</v>
      </c>
      <c r="BG48" s="2">
        <v>0</v>
      </c>
      <c r="BH48" s="2">
        <v>0</v>
      </c>
      <c r="BI48" s="2">
        <v>13</v>
      </c>
      <c r="BJ48" s="2">
        <v>1</v>
      </c>
      <c r="BK48" s="2">
        <v>0</v>
      </c>
      <c r="BL48" s="2">
        <v>2</v>
      </c>
      <c r="BM48" s="2">
        <v>1</v>
      </c>
      <c r="BN48" s="2">
        <v>10</v>
      </c>
      <c r="BO48" s="2">
        <v>10</v>
      </c>
      <c r="BP48" s="2">
        <v>30.99</v>
      </c>
      <c r="BQ48" s="5">
        <v>9565000</v>
      </c>
      <c r="BR48" s="2">
        <v>1</v>
      </c>
      <c r="BS48" s="4">
        <v>0.06</v>
      </c>
      <c r="BT48" s="2" t="s">
        <v>9</v>
      </c>
      <c r="BU48" s="2" t="s">
        <v>17</v>
      </c>
      <c r="BV48" s="6">
        <v>80790.38</v>
      </c>
      <c r="BW48" s="2" t="s">
        <v>126</v>
      </c>
      <c r="BX48" s="2" t="s">
        <v>17</v>
      </c>
      <c r="BY48" s="2" t="s">
        <v>17</v>
      </c>
      <c r="BZ48" s="2" t="s">
        <v>17</v>
      </c>
      <c r="CA48" s="2" t="s">
        <v>17</v>
      </c>
      <c r="CB48" s="2" t="s">
        <v>17</v>
      </c>
      <c r="CC48" s="2" t="s">
        <v>17</v>
      </c>
      <c r="CD48" s="2" t="s">
        <v>9</v>
      </c>
      <c r="CE48" s="2" t="s">
        <v>4752</v>
      </c>
      <c r="CF48" s="2" t="s">
        <v>17</v>
      </c>
      <c r="CG48" s="2" t="s">
        <v>9</v>
      </c>
      <c r="DA48" s="2" t="s">
        <v>4753</v>
      </c>
      <c r="DD48" s="2" t="s">
        <v>9</v>
      </c>
      <c r="DE48" s="2" t="s">
        <v>1523</v>
      </c>
      <c r="DF48" s="2" t="s">
        <v>4753</v>
      </c>
      <c r="DG48" s="2" t="s">
        <v>1276</v>
      </c>
      <c r="DH48" s="2" t="s">
        <v>1277</v>
      </c>
      <c r="DI48" s="2">
        <v>144</v>
      </c>
      <c r="DJ48" s="2" t="s">
        <v>849</v>
      </c>
      <c r="DK48" s="2">
        <v>2020</v>
      </c>
      <c r="DL48" s="2" t="s">
        <v>4209</v>
      </c>
      <c r="DM48" s="2" t="s">
        <v>4210</v>
      </c>
      <c r="DN48" s="2" t="s">
        <v>33</v>
      </c>
      <c r="DO48" s="2" t="s">
        <v>1282</v>
      </c>
      <c r="DQ48" s="2" t="s">
        <v>1283</v>
      </c>
      <c r="DR48" s="2" t="s">
        <v>1284</v>
      </c>
      <c r="DS48" s="2">
        <v>1</v>
      </c>
      <c r="DT48" s="2" t="s">
        <v>2899</v>
      </c>
      <c r="DU48" s="2" t="s">
        <v>1286</v>
      </c>
      <c r="DV48" s="2" t="s">
        <v>39</v>
      </c>
      <c r="DW48" s="2">
        <v>33511</v>
      </c>
      <c r="DX48" s="2" t="s">
        <v>2900</v>
      </c>
      <c r="DZ48" s="2" t="s">
        <v>2901</v>
      </c>
      <c r="EA48" s="2" t="s">
        <v>1284</v>
      </c>
      <c r="EB48" s="2" t="s">
        <v>2747</v>
      </c>
      <c r="EC48" s="2" t="s">
        <v>1243</v>
      </c>
      <c r="ED48" s="2" t="s">
        <v>44</v>
      </c>
      <c r="EE48" s="2">
        <v>192</v>
      </c>
      <c r="EF48" s="2" t="s">
        <v>862</v>
      </c>
      <c r="EG48" s="2">
        <v>7</v>
      </c>
      <c r="EH48" s="2" t="s">
        <v>46</v>
      </c>
      <c r="EI48" s="2" t="s">
        <v>47</v>
      </c>
      <c r="EJ48" s="2" t="s">
        <v>2902</v>
      </c>
      <c r="EK48" s="2" t="s">
        <v>1243</v>
      </c>
      <c r="EL48" s="2" t="s">
        <v>44</v>
      </c>
      <c r="EM48" s="2">
        <v>168</v>
      </c>
      <c r="EN48" s="2" t="s">
        <v>862</v>
      </c>
      <c r="EO48" s="2">
        <v>4</v>
      </c>
      <c r="EP48" s="2" t="s">
        <v>46</v>
      </c>
      <c r="EQ48" s="2" t="s">
        <v>47</v>
      </c>
      <c r="ER48" s="2" t="s">
        <v>1293</v>
      </c>
      <c r="ES48" s="2" t="s">
        <v>3808</v>
      </c>
      <c r="ET48" s="2" t="s">
        <v>1294</v>
      </c>
      <c r="EU48" s="2" t="s">
        <v>4754</v>
      </c>
      <c r="EV48" s="2" t="s">
        <v>1801</v>
      </c>
      <c r="EW48" s="2" t="s">
        <v>1297</v>
      </c>
      <c r="EX48" s="2" t="s">
        <v>39</v>
      </c>
      <c r="EY48" s="2">
        <v>33444</v>
      </c>
      <c r="EZ48" s="2" t="s">
        <v>2760</v>
      </c>
      <c r="FB48" s="2" t="s">
        <v>1299</v>
      </c>
      <c r="FC48" s="2" t="s">
        <v>50</v>
      </c>
      <c r="FE48" s="2" t="s">
        <v>2761</v>
      </c>
      <c r="FF48" s="2" t="s">
        <v>4115</v>
      </c>
      <c r="FG48" s="2" t="s">
        <v>4638</v>
      </c>
      <c r="FH48" s="2" t="s">
        <v>1297</v>
      </c>
      <c r="FI48" s="2" t="s">
        <v>39</v>
      </c>
      <c r="FJ48" s="2">
        <v>33483</v>
      </c>
      <c r="FK48" s="2" t="s">
        <v>2763</v>
      </c>
      <c r="FM48" s="2" t="s">
        <v>2764</v>
      </c>
      <c r="FN48" s="2" t="s">
        <v>4755</v>
      </c>
      <c r="FO48" s="2" t="s">
        <v>63</v>
      </c>
      <c r="FP48" s="2" t="s">
        <v>64</v>
      </c>
      <c r="FQ48" s="2" t="s">
        <v>9</v>
      </c>
      <c r="FR48" s="2" t="s">
        <v>17</v>
      </c>
      <c r="FS48" s="2" t="s">
        <v>17</v>
      </c>
      <c r="FT48" s="2" t="s">
        <v>9</v>
      </c>
      <c r="FX48" s="2">
        <v>0</v>
      </c>
      <c r="FY48" s="2">
        <v>0</v>
      </c>
      <c r="FZ48" s="4">
        <v>0</v>
      </c>
      <c r="GA48" s="4">
        <v>0</v>
      </c>
      <c r="GB48" s="2" t="s">
        <v>65</v>
      </c>
      <c r="GC48" s="2" t="s">
        <v>66</v>
      </c>
      <c r="GD48" s="2" t="s">
        <v>67</v>
      </c>
      <c r="GE48" s="2" t="s">
        <v>108</v>
      </c>
      <c r="GI48" s="2">
        <v>94</v>
      </c>
      <c r="GQ48" s="2">
        <v>94</v>
      </c>
      <c r="GR48" s="2" t="s">
        <v>2873</v>
      </c>
      <c r="GS48" s="2" t="s">
        <v>2686</v>
      </c>
      <c r="GT48" s="2" t="s">
        <v>4756</v>
      </c>
      <c r="GU48" s="2" t="s">
        <v>479</v>
      </c>
      <c r="GV48" s="2" t="s">
        <v>17</v>
      </c>
      <c r="GW48" s="2">
        <v>30.404254000000002</v>
      </c>
      <c r="GX48" s="2">
        <v>-81.721463</v>
      </c>
      <c r="GZ48" s="2" t="s">
        <v>17</v>
      </c>
      <c r="HA48" s="2">
        <v>0</v>
      </c>
      <c r="HB48" s="2" t="s">
        <v>17</v>
      </c>
      <c r="HC48" s="2">
        <v>0</v>
      </c>
      <c r="HD48" s="2">
        <v>30.402721</v>
      </c>
      <c r="HE48" s="2">
        <v>-81.721481999999995</v>
      </c>
      <c r="HF48" s="2">
        <v>0.11</v>
      </c>
      <c r="HG48" s="2">
        <v>4</v>
      </c>
      <c r="HH48" s="2">
        <v>30.403099000000001</v>
      </c>
      <c r="HI48" s="2">
        <v>-81.721405000000004</v>
      </c>
      <c r="HJ48" s="2">
        <v>0.08</v>
      </c>
      <c r="IC48" s="2" t="s">
        <v>4757</v>
      </c>
      <c r="ID48" s="2">
        <v>0.51</v>
      </c>
      <c r="IE48" s="2">
        <v>3</v>
      </c>
      <c r="IF48" s="2" t="s">
        <v>4758</v>
      </c>
      <c r="IG48" s="2">
        <v>0.13</v>
      </c>
      <c r="IH48" s="2">
        <v>4</v>
      </c>
      <c r="II48" s="2" t="s">
        <v>4759</v>
      </c>
      <c r="IJ48" s="2">
        <v>0.53</v>
      </c>
      <c r="IK48" s="2">
        <v>3.5</v>
      </c>
      <c r="IL48" s="2" t="s">
        <v>9</v>
      </c>
      <c r="IM48" s="2" t="s">
        <v>17</v>
      </c>
      <c r="IO48" s="2" t="s">
        <v>17</v>
      </c>
      <c r="IP48" s="2" t="s">
        <v>79</v>
      </c>
      <c r="IQ48" s="2" t="s">
        <v>79</v>
      </c>
      <c r="IR48" s="2">
        <v>4</v>
      </c>
      <c r="IS48" s="2">
        <v>10.5</v>
      </c>
      <c r="IT48" s="2">
        <v>0</v>
      </c>
      <c r="IU48" s="2">
        <v>14.5</v>
      </c>
      <c r="IV48" s="2" t="s">
        <v>9</v>
      </c>
      <c r="IW48" s="2" t="s">
        <v>9</v>
      </c>
      <c r="IX48" s="2" t="s">
        <v>9</v>
      </c>
      <c r="IY48" s="2">
        <v>14.5</v>
      </c>
      <c r="IZ48" s="2">
        <v>94</v>
      </c>
      <c r="JB48" s="2" t="s">
        <v>173</v>
      </c>
      <c r="JE48" s="7">
        <v>0.1</v>
      </c>
      <c r="JG48" s="7">
        <v>0.9</v>
      </c>
      <c r="JH48" s="7">
        <v>0</v>
      </c>
      <c r="JI48" s="2">
        <v>94</v>
      </c>
      <c r="JJ48" s="7">
        <v>1</v>
      </c>
      <c r="JK48" s="2">
        <v>94</v>
      </c>
      <c r="JL48" s="7">
        <v>1</v>
      </c>
      <c r="JT48" s="2">
        <v>0</v>
      </c>
      <c r="JU48" s="2">
        <v>0</v>
      </c>
      <c r="JV48" s="2">
        <v>0</v>
      </c>
      <c r="JW48" s="4">
        <v>0</v>
      </c>
      <c r="JX48" s="2">
        <v>0</v>
      </c>
      <c r="JY48" s="4">
        <v>0</v>
      </c>
      <c r="KB48" s="7">
        <v>0.1</v>
      </c>
      <c r="KD48" s="7">
        <v>0.9</v>
      </c>
      <c r="KE48" s="7">
        <v>1</v>
      </c>
      <c r="KF48" s="2">
        <v>94</v>
      </c>
      <c r="KH48" s="2">
        <v>94</v>
      </c>
      <c r="KQ48" s="2" t="s">
        <v>83</v>
      </c>
      <c r="KS48" s="2" t="s">
        <v>73</v>
      </c>
      <c r="KT48" s="2">
        <v>1</v>
      </c>
      <c r="KU48" s="2" t="s">
        <v>84</v>
      </c>
      <c r="KW48" s="2" t="s">
        <v>86</v>
      </c>
      <c r="KX48" s="2" t="s">
        <v>17</v>
      </c>
      <c r="KY48" s="2" t="s">
        <v>17</v>
      </c>
      <c r="KZ48" s="2" t="s">
        <v>17</v>
      </c>
      <c r="LA48" s="2" t="s">
        <v>17</v>
      </c>
      <c r="LB48" s="2" t="s">
        <v>17</v>
      </c>
      <c r="LC48" s="2" t="s">
        <v>17</v>
      </c>
      <c r="LD48" s="2" t="s">
        <v>17</v>
      </c>
      <c r="LE48" s="2" t="s">
        <v>17</v>
      </c>
      <c r="LF48" s="2" t="s">
        <v>17</v>
      </c>
      <c r="LG48" s="2" t="s">
        <v>17</v>
      </c>
      <c r="LH48" s="2" t="s">
        <v>17</v>
      </c>
      <c r="LI48" s="2" t="s">
        <v>17</v>
      </c>
      <c r="LJ48" s="2" t="s">
        <v>87</v>
      </c>
      <c r="LK48" s="2" t="s">
        <v>17</v>
      </c>
      <c r="LL48" s="2" t="s">
        <v>17</v>
      </c>
      <c r="LM48" s="2">
        <v>0</v>
      </c>
      <c r="LN48" s="2" t="s">
        <v>17</v>
      </c>
      <c r="LO48" s="2" t="s">
        <v>17</v>
      </c>
      <c r="LP48" s="2" t="s">
        <v>17</v>
      </c>
      <c r="LQ48" s="2" t="s">
        <v>17</v>
      </c>
      <c r="LR48" s="2" t="s">
        <v>17</v>
      </c>
      <c r="LS48" s="2" t="s">
        <v>17</v>
      </c>
      <c r="LT48" s="2" t="s">
        <v>9</v>
      </c>
      <c r="LU48" s="2" t="s">
        <v>9</v>
      </c>
      <c r="LV48" s="2" t="s">
        <v>9</v>
      </c>
      <c r="LW48" s="2" t="s">
        <v>17</v>
      </c>
      <c r="LX48" s="2" t="s">
        <v>17</v>
      </c>
      <c r="LY48" s="5">
        <v>6500000</v>
      </c>
      <c r="LZ48" s="5">
        <v>0</v>
      </c>
      <c r="MA48" s="5">
        <v>8930000</v>
      </c>
      <c r="MB48" s="5">
        <v>8930000</v>
      </c>
      <c r="MC48" s="5">
        <v>8930000</v>
      </c>
      <c r="MD48" s="5">
        <v>635000</v>
      </c>
      <c r="ME48" s="5">
        <v>635000</v>
      </c>
      <c r="MF48" s="5">
        <v>635000</v>
      </c>
      <c r="MG48" s="5">
        <v>9870000</v>
      </c>
      <c r="MH48" s="5">
        <v>0</v>
      </c>
      <c r="MI48" s="5">
        <v>9870000</v>
      </c>
      <c r="MJ48" s="5">
        <v>0</v>
      </c>
      <c r="MK48" s="5">
        <v>635000</v>
      </c>
      <c r="ML48" s="5">
        <v>0</v>
      </c>
      <c r="MM48" s="5">
        <v>0</v>
      </c>
      <c r="MN48" s="2">
        <v>0</v>
      </c>
      <c r="MO48" s="5">
        <v>0</v>
      </c>
      <c r="MP48" s="5">
        <v>0</v>
      </c>
      <c r="MQ48" s="2">
        <v>0</v>
      </c>
      <c r="MR48" s="2">
        <v>0</v>
      </c>
      <c r="MS48" s="2">
        <v>0</v>
      </c>
      <c r="MT48" s="5">
        <v>2950000</v>
      </c>
      <c r="MU48" s="5">
        <v>0</v>
      </c>
      <c r="MV48" s="5">
        <v>4600000</v>
      </c>
      <c r="MW48" s="5">
        <v>0</v>
      </c>
      <c r="MY48" s="5">
        <v>0</v>
      </c>
      <c r="MZ48" s="5">
        <v>0</v>
      </c>
      <c r="NA48" s="5">
        <v>0</v>
      </c>
      <c r="NB48" s="5">
        <v>2500000</v>
      </c>
      <c r="NC48" s="5">
        <v>0</v>
      </c>
      <c r="ND48" s="5">
        <v>5000000</v>
      </c>
      <c r="NE48" s="5">
        <v>0</v>
      </c>
      <c r="NF48" s="5">
        <v>0</v>
      </c>
      <c r="NG48" s="5">
        <v>0</v>
      </c>
      <c r="NH48" s="5"/>
      <c r="NI48" s="5">
        <v>0</v>
      </c>
      <c r="NJ48" s="5">
        <v>1558685</v>
      </c>
      <c r="NK48" s="2" t="s">
        <v>17</v>
      </c>
      <c r="NL48" s="2">
        <v>2023</v>
      </c>
      <c r="NM48" s="2" t="s">
        <v>17</v>
      </c>
      <c r="NO48" s="2" t="s">
        <v>17</v>
      </c>
      <c r="NR48" s="2" t="s">
        <v>17</v>
      </c>
      <c r="NT48" s="2" t="s">
        <v>9</v>
      </c>
      <c r="NU48" s="2" t="s">
        <v>450</v>
      </c>
      <c r="NV48" s="2">
        <v>108</v>
      </c>
      <c r="NW48" s="2" t="s">
        <v>2910</v>
      </c>
      <c r="NX48" s="2" t="s">
        <v>118</v>
      </c>
      <c r="NY48" s="2" t="s">
        <v>118</v>
      </c>
      <c r="NZ48" s="2" t="s">
        <v>118</v>
      </c>
      <c r="OA48" s="2" t="s">
        <v>17</v>
      </c>
      <c r="OB48" s="2" t="s">
        <v>119</v>
      </c>
      <c r="OF48" s="2" t="s">
        <v>17</v>
      </c>
      <c r="OG48" s="2" t="s">
        <v>17</v>
      </c>
      <c r="OH48" s="2" t="s">
        <v>85</v>
      </c>
      <c r="OI48" s="6">
        <v>0</v>
      </c>
      <c r="OJ48" s="6">
        <v>267900</v>
      </c>
      <c r="OK48" s="2" t="s">
        <v>17</v>
      </c>
      <c r="OL48" s="2" t="s">
        <v>17</v>
      </c>
      <c r="OM48" s="6">
        <v>0</v>
      </c>
      <c r="ON48" s="6">
        <v>0</v>
      </c>
      <c r="OO48" s="6">
        <v>0</v>
      </c>
      <c r="OP48" s="6">
        <v>0</v>
      </c>
      <c r="OQ48" s="4">
        <v>0</v>
      </c>
      <c r="OR48" s="6">
        <v>0</v>
      </c>
      <c r="OS48" s="4">
        <v>0</v>
      </c>
      <c r="OT48" s="2" t="s">
        <v>17</v>
      </c>
      <c r="OU48" s="2" t="s">
        <v>17</v>
      </c>
      <c r="OW48" s="2" t="s">
        <v>17</v>
      </c>
      <c r="OX48" s="5">
        <v>7594295</v>
      </c>
      <c r="OY48" s="6">
        <v>80790.38</v>
      </c>
      <c r="PD48" s="8">
        <v>17611572</v>
      </c>
      <c r="PF48" s="8">
        <v>17611572</v>
      </c>
      <c r="PO48" s="8">
        <v>17611572</v>
      </c>
      <c r="PQ48" s="8">
        <v>17611572</v>
      </c>
      <c r="PR48" s="8">
        <v>2465620</v>
      </c>
      <c r="PT48" s="8">
        <v>2465620</v>
      </c>
      <c r="PU48" s="6">
        <v>2465620</v>
      </c>
      <c r="PV48" s="8">
        <v>20077192</v>
      </c>
      <c r="PX48" s="8">
        <v>20077192</v>
      </c>
      <c r="PY48" s="8">
        <v>1003859</v>
      </c>
      <c r="QA48" s="8">
        <v>1003859</v>
      </c>
      <c r="QB48" s="6">
        <v>1003859.6</v>
      </c>
      <c r="QC48" s="8">
        <v>1211000</v>
      </c>
      <c r="QD48" s="8">
        <v>333500</v>
      </c>
      <c r="QE48" s="8">
        <v>1544500</v>
      </c>
      <c r="QF48" s="8">
        <v>250965</v>
      </c>
      <c r="QG48" s="8">
        <v>141000</v>
      </c>
      <c r="QH48" s="8">
        <v>391965</v>
      </c>
      <c r="QI48" s="8">
        <v>900000</v>
      </c>
      <c r="QK48" s="8">
        <v>900000</v>
      </c>
      <c r="QM48" s="8">
        <v>332896</v>
      </c>
      <c r="QN48" s="8">
        <v>332896</v>
      </c>
      <c r="QR48" s="8">
        <v>1288655</v>
      </c>
      <c r="QS48" s="8">
        <v>399214</v>
      </c>
      <c r="QT48" s="8">
        <v>1687869</v>
      </c>
      <c r="QU48" s="8">
        <v>3650620</v>
      </c>
      <c r="QV48" s="8">
        <v>1206610</v>
      </c>
      <c r="QW48" s="8">
        <v>4857230</v>
      </c>
      <c r="QX48" s="8">
        <v>157618</v>
      </c>
      <c r="QZ48" s="8">
        <v>157618</v>
      </c>
      <c r="RA48" s="6">
        <v>242861.5</v>
      </c>
      <c r="RB48" s="8">
        <v>180000</v>
      </c>
      <c r="RD48" s="8">
        <v>180000</v>
      </c>
      <c r="RE48" s="8">
        <v>71260</v>
      </c>
      <c r="RF48" s="8">
        <v>71260</v>
      </c>
      <c r="RG48" s="8">
        <v>95650</v>
      </c>
      <c r="RH48" s="8">
        <v>278200</v>
      </c>
      <c r="RI48" s="8">
        <v>373850</v>
      </c>
      <c r="RJ48" s="8">
        <v>275650</v>
      </c>
      <c r="RK48" s="8">
        <v>349460</v>
      </c>
      <c r="RL48" s="8">
        <v>625110</v>
      </c>
      <c r="RT48" s="8">
        <v>25164939</v>
      </c>
      <c r="RU48" s="8">
        <v>1556070</v>
      </c>
      <c r="RV48" s="8">
        <v>26721009</v>
      </c>
      <c r="RY48" s="2">
        <v>0</v>
      </c>
      <c r="RZ48" s="6">
        <v>0</v>
      </c>
      <c r="SA48" s="8">
        <v>4809781</v>
      </c>
      <c r="SC48" s="8">
        <v>4809781</v>
      </c>
      <c r="SD48" s="6">
        <v>4809781</v>
      </c>
      <c r="SE48" s="8">
        <v>4809781</v>
      </c>
      <c r="SF48" s="8">
        <v>4809781</v>
      </c>
      <c r="SG48" s="6">
        <v>4809781</v>
      </c>
      <c r="SH48" s="8">
        <v>230139</v>
      </c>
      <c r="SI48" s="8">
        <v>230139</v>
      </c>
      <c r="SJ48" s="6">
        <v>329000</v>
      </c>
      <c r="SK48" s="2">
        <v>100</v>
      </c>
      <c r="SL48" s="2">
        <v>100</v>
      </c>
      <c r="SM48" s="8">
        <v>29974720</v>
      </c>
      <c r="SN48" s="8">
        <v>1786309</v>
      </c>
      <c r="SO48" s="8">
        <v>31761029</v>
      </c>
      <c r="SP48" s="8">
        <v>18000000</v>
      </c>
      <c r="SQ48" s="2" t="s">
        <v>4220</v>
      </c>
      <c r="SR48" s="8">
        <v>104000</v>
      </c>
      <c r="SS48" s="2" t="s">
        <v>180</v>
      </c>
      <c r="SX48" s="8">
        <v>9565000</v>
      </c>
      <c r="SY48" s="2" t="s">
        <v>96</v>
      </c>
      <c r="SZ48" s="2" t="s">
        <v>96</v>
      </c>
      <c r="TA48" s="2" t="s">
        <v>96</v>
      </c>
      <c r="TB48" s="8">
        <v>2930035</v>
      </c>
      <c r="TF48" s="8">
        <v>1161994</v>
      </c>
      <c r="TG48" s="8">
        <v>31761029</v>
      </c>
      <c r="TH48" s="2">
        <v>0</v>
      </c>
      <c r="TI48" s="8">
        <v>5090000</v>
      </c>
      <c r="TJ48" s="2" t="s">
        <v>4220</v>
      </c>
      <c r="TK48" s="8">
        <v>104000</v>
      </c>
      <c r="TL48" s="2" t="s">
        <v>180</v>
      </c>
      <c r="TR48" s="8">
        <v>9565000</v>
      </c>
      <c r="TS48" s="8">
        <v>14650174</v>
      </c>
      <c r="TZ48" s="8">
        <v>2351855</v>
      </c>
      <c r="UA48" s="8">
        <v>31761029</v>
      </c>
      <c r="UB48" s="6">
        <v>14759000</v>
      </c>
      <c r="UC48" s="2">
        <v>0</v>
      </c>
      <c r="UD48" s="2">
        <v>94</v>
      </c>
      <c r="UE48" s="5">
        <v>270000</v>
      </c>
      <c r="UF48" s="6">
        <v>360000</v>
      </c>
      <c r="UG48" s="6">
        <v>367500</v>
      </c>
      <c r="UH48" s="6">
        <v>389550</v>
      </c>
      <c r="UI48" s="6">
        <v>36617700</v>
      </c>
      <c r="UJ48" s="6">
        <v>6591186</v>
      </c>
      <c r="UK48" s="2" t="s">
        <v>97</v>
      </c>
      <c r="UL48" s="6">
        <v>6591186</v>
      </c>
      <c r="UM48" s="6">
        <v>43208886</v>
      </c>
      <c r="UN48" s="6">
        <v>31530790</v>
      </c>
      <c r="UO48" s="6">
        <v>104000</v>
      </c>
      <c r="UP48" s="6">
        <v>28110.080000000002</v>
      </c>
      <c r="UQ48" s="6">
        <v>75889.919999999998</v>
      </c>
      <c r="US48" s="6">
        <v>0</v>
      </c>
      <c r="UV48" s="6">
        <v>0</v>
      </c>
      <c r="UW48" s="6">
        <v>104000</v>
      </c>
      <c r="UX48" s="6">
        <v>28110.080000000002</v>
      </c>
      <c r="UY48" s="6">
        <v>75889.919999999998</v>
      </c>
      <c r="UZ48" s="2" t="s">
        <v>2878</v>
      </c>
      <c r="VA48" s="2" t="s">
        <v>182</v>
      </c>
      <c r="VB48" s="2" t="s">
        <v>17</v>
      </c>
      <c r="VI48" s="387" t="s">
        <v>1275</v>
      </c>
      <c r="VJ48" s="2" t="s">
        <v>98</v>
      </c>
      <c r="VK48" s="2" t="s">
        <v>1319</v>
      </c>
      <c r="VL48" s="23">
        <f t="shared" si="22"/>
        <v>94</v>
      </c>
      <c r="VM48" s="17">
        <f t="shared" si="23"/>
        <v>1</v>
      </c>
      <c r="VN48" s="17" t="str">
        <f t="shared" si="24"/>
        <v>NC-MR-E</v>
      </c>
      <c r="VO48" s="17" t="str">
        <f t="shared" si="15"/>
        <v>NC-MR-E-ESS</v>
      </c>
      <c r="VP48" s="57">
        <v>1</v>
      </c>
      <c r="VQ48" s="17">
        <f t="shared" si="25"/>
        <v>1.1100000000000001</v>
      </c>
      <c r="VR48" s="14">
        <f t="shared" si="26"/>
        <v>1</v>
      </c>
      <c r="VS48" s="14">
        <f t="shared" si="27"/>
        <v>1</v>
      </c>
      <c r="VT48" s="12">
        <f t="shared" si="28"/>
        <v>0.84479999999999988</v>
      </c>
      <c r="VU48" s="29">
        <f t="shared" si="29"/>
        <v>8373911.0399999991</v>
      </c>
      <c r="VV48" s="29">
        <f t="shared" si="30"/>
        <v>89084.160000000003</v>
      </c>
      <c r="VW48" s="351" t="str">
        <f t="shared" si="16"/>
        <v>B</v>
      </c>
      <c r="VX48" s="12" t="str">
        <f t="shared" si="31"/>
        <v>NC-MR-ESS</v>
      </c>
      <c r="VY48" s="23">
        <f t="shared" si="17"/>
        <v>5</v>
      </c>
      <c r="WA48" s="12">
        <f t="shared" si="18"/>
        <v>1</v>
      </c>
      <c r="WB48" s="12">
        <f t="shared" si="19"/>
        <v>1</v>
      </c>
      <c r="WC48" s="12">
        <f t="shared" si="19"/>
        <v>0</v>
      </c>
      <c r="WD48" s="12">
        <f t="shared" si="19"/>
        <v>0</v>
      </c>
      <c r="WE48" s="12">
        <f t="shared" si="20"/>
        <v>1</v>
      </c>
      <c r="WF48" s="12">
        <f t="shared" si="32"/>
        <v>0</v>
      </c>
      <c r="WG48" s="12">
        <f t="shared" si="33"/>
        <v>1</v>
      </c>
      <c r="WH48" s="12">
        <f t="shared" si="34"/>
        <v>0</v>
      </c>
      <c r="WI48" s="22">
        <f t="shared" si="35"/>
        <v>4</v>
      </c>
      <c r="WK48" s="444" t="str">
        <f t="shared" si="21"/>
        <v>NC-MR-ESS-BBY-BRN-NPH-E</v>
      </c>
      <c r="WL48" s="444"/>
      <c r="WM48" s="444"/>
    </row>
    <row r="49" spans="1:611" x14ac:dyDescent="0.25">
      <c r="A49" s="2">
        <v>9280</v>
      </c>
      <c r="B49" s="2" t="s">
        <v>4760</v>
      </c>
      <c r="C49" s="2" t="s">
        <v>4205</v>
      </c>
      <c r="D49" s="3">
        <v>45135</v>
      </c>
      <c r="E49" s="2" t="s">
        <v>9</v>
      </c>
      <c r="F49" s="2">
        <v>1</v>
      </c>
      <c r="G49" s="2" t="s">
        <v>9</v>
      </c>
      <c r="H49" s="2">
        <v>1</v>
      </c>
      <c r="I49" s="2" t="s">
        <v>11</v>
      </c>
      <c r="J49" s="2">
        <v>0</v>
      </c>
      <c r="K49" s="2" t="s">
        <v>9</v>
      </c>
      <c r="L49" s="2">
        <v>1</v>
      </c>
      <c r="M49" s="2" t="s">
        <v>10</v>
      </c>
      <c r="N49" s="2">
        <v>0</v>
      </c>
      <c r="O49" s="2" t="s">
        <v>10</v>
      </c>
      <c r="P49" s="2">
        <v>0</v>
      </c>
      <c r="Q49" s="2" t="s">
        <v>11</v>
      </c>
      <c r="R49" s="2">
        <v>0</v>
      </c>
      <c r="S49" s="2" t="s">
        <v>9</v>
      </c>
      <c r="T49" s="2">
        <v>2</v>
      </c>
      <c r="U49" s="2" t="s">
        <v>9</v>
      </c>
      <c r="V49" s="2">
        <v>2</v>
      </c>
      <c r="W49" s="2" t="s">
        <v>9</v>
      </c>
      <c r="X49" s="2">
        <v>2</v>
      </c>
      <c r="Y49" s="2" t="s">
        <v>12</v>
      </c>
      <c r="Z49" s="2" t="s">
        <v>1608</v>
      </c>
      <c r="AA49" s="2" t="s">
        <v>1608</v>
      </c>
      <c r="AB49" s="2" t="s">
        <v>3890</v>
      </c>
      <c r="AC49" s="2" t="s">
        <v>15</v>
      </c>
      <c r="AD49" s="2" t="s">
        <v>15</v>
      </c>
      <c r="AE49" s="2" t="s">
        <v>15</v>
      </c>
      <c r="AF49" s="2">
        <v>3</v>
      </c>
      <c r="AG49" s="2" t="s">
        <v>4353</v>
      </c>
      <c r="AH49" s="2" t="s">
        <v>17</v>
      </c>
      <c r="AI49" s="4">
        <v>0.15038000000000001</v>
      </c>
      <c r="AJ49" s="2" t="s">
        <v>17</v>
      </c>
      <c r="AK49" s="2" t="s">
        <v>9</v>
      </c>
      <c r="AL49" s="2" t="s">
        <v>17</v>
      </c>
      <c r="AM49" s="2" t="s">
        <v>17</v>
      </c>
      <c r="AN49" s="2" t="s">
        <v>17</v>
      </c>
      <c r="AO49" s="2" t="s">
        <v>9</v>
      </c>
      <c r="AP49" s="2" t="s">
        <v>17</v>
      </c>
      <c r="AQ49" s="2" t="s">
        <v>17</v>
      </c>
      <c r="AR49" s="2" t="s">
        <v>17</v>
      </c>
      <c r="AS49" s="2" t="s">
        <v>17</v>
      </c>
      <c r="AT49" s="2">
        <v>5</v>
      </c>
      <c r="AU49" s="5">
        <v>75000</v>
      </c>
      <c r="AV49" s="5">
        <v>610000</v>
      </c>
      <c r="AW49" s="2">
        <v>0</v>
      </c>
      <c r="AX49" s="2">
        <v>5</v>
      </c>
      <c r="AY49" s="2">
        <v>0</v>
      </c>
      <c r="AZ49" s="2">
        <v>17</v>
      </c>
      <c r="BA49" s="2">
        <v>0</v>
      </c>
      <c r="BB49" s="2">
        <v>1</v>
      </c>
      <c r="BC49" s="2">
        <v>1</v>
      </c>
      <c r="BD49" s="2">
        <v>3</v>
      </c>
      <c r="BE49" s="2">
        <v>1</v>
      </c>
      <c r="BF49" s="2">
        <v>1</v>
      </c>
      <c r="BG49" s="2">
        <v>0</v>
      </c>
      <c r="BH49" s="2">
        <v>0</v>
      </c>
      <c r="BI49" s="2">
        <v>13</v>
      </c>
      <c r="BJ49" s="2">
        <v>1</v>
      </c>
      <c r="BK49" s="2">
        <v>0</v>
      </c>
      <c r="BL49" s="2">
        <v>2</v>
      </c>
      <c r="BM49" s="2">
        <v>1</v>
      </c>
      <c r="BN49" s="2">
        <v>10</v>
      </c>
      <c r="BO49" s="2">
        <v>10</v>
      </c>
      <c r="BP49" s="2">
        <v>35.6</v>
      </c>
      <c r="BQ49" s="5">
        <v>11750000</v>
      </c>
      <c r="BR49" s="2">
        <v>1</v>
      </c>
      <c r="BS49" s="4">
        <v>0.06</v>
      </c>
      <c r="BT49" s="2" t="s">
        <v>9</v>
      </c>
      <c r="BU49" s="2" t="s">
        <v>17</v>
      </c>
      <c r="BV49" s="6">
        <v>80845.86</v>
      </c>
      <c r="BW49" s="2" t="s">
        <v>126</v>
      </c>
      <c r="BX49" s="2" t="s">
        <v>17</v>
      </c>
      <c r="BY49" s="2" t="s">
        <v>17</v>
      </c>
      <c r="BZ49" s="2" t="s">
        <v>17</v>
      </c>
      <c r="CA49" s="2" t="s">
        <v>17</v>
      </c>
      <c r="CB49" s="2" t="s">
        <v>17</v>
      </c>
      <c r="CC49" s="2" t="s">
        <v>17</v>
      </c>
      <c r="CD49" s="2" t="s">
        <v>9</v>
      </c>
      <c r="CE49" s="2" t="s">
        <v>4761</v>
      </c>
      <c r="CF49" s="2" t="s">
        <v>17</v>
      </c>
      <c r="CG49" s="2" t="s">
        <v>17</v>
      </c>
      <c r="DA49" s="2" t="s">
        <v>4762</v>
      </c>
      <c r="DD49" s="2" t="s">
        <v>9</v>
      </c>
      <c r="DE49" s="2" t="s">
        <v>1018</v>
      </c>
      <c r="DF49" s="2" t="s">
        <v>4762</v>
      </c>
      <c r="DG49" s="2" t="s">
        <v>1019</v>
      </c>
      <c r="DH49" s="2" t="s">
        <v>1020</v>
      </c>
      <c r="DI49" s="2">
        <v>96</v>
      </c>
      <c r="DJ49" s="2" t="s">
        <v>4763</v>
      </c>
      <c r="DK49" s="2">
        <v>2022</v>
      </c>
      <c r="DL49" s="2" t="s">
        <v>4209</v>
      </c>
      <c r="DM49" s="2" t="s">
        <v>4210</v>
      </c>
      <c r="DN49" s="2" t="s">
        <v>33</v>
      </c>
      <c r="DO49" s="2" t="s">
        <v>1024</v>
      </c>
      <c r="DQ49" s="2" t="s">
        <v>1025</v>
      </c>
      <c r="DR49" s="2" t="s">
        <v>1026</v>
      </c>
      <c r="DS49" s="2">
        <v>1</v>
      </c>
      <c r="DT49" s="2" t="s">
        <v>1027</v>
      </c>
      <c r="DU49" s="2" t="s">
        <v>510</v>
      </c>
      <c r="DV49" s="2" t="s">
        <v>39</v>
      </c>
      <c r="DW49" s="2">
        <v>32801</v>
      </c>
      <c r="DX49" s="2" t="s">
        <v>1028</v>
      </c>
      <c r="DY49" s="2">
        <v>2001</v>
      </c>
      <c r="DZ49" s="2" t="s">
        <v>4651</v>
      </c>
      <c r="EA49" s="2" t="s">
        <v>1026</v>
      </c>
      <c r="EB49" s="2" t="s">
        <v>1030</v>
      </c>
      <c r="EC49" s="2" t="s">
        <v>1031</v>
      </c>
      <c r="ED49" s="2" t="s">
        <v>44</v>
      </c>
      <c r="EE49" s="2">
        <v>85</v>
      </c>
      <c r="EF49" s="2" t="s">
        <v>4764</v>
      </c>
      <c r="EG49" s="2">
        <v>4</v>
      </c>
      <c r="EH49" s="2" t="s">
        <v>46</v>
      </c>
      <c r="EI49" s="2" t="s">
        <v>47</v>
      </c>
      <c r="EJ49" s="2" t="s">
        <v>1022</v>
      </c>
      <c r="EK49" s="2" t="s">
        <v>1023</v>
      </c>
      <c r="EL49" s="2" t="s">
        <v>44</v>
      </c>
      <c r="EM49" s="2">
        <v>100</v>
      </c>
      <c r="EN49" s="2" t="s">
        <v>4764</v>
      </c>
      <c r="EO49" s="2">
        <v>4</v>
      </c>
      <c r="EP49" s="2" t="s">
        <v>46</v>
      </c>
      <c r="EQ49" s="2" t="s">
        <v>47</v>
      </c>
      <c r="ER49" s="2" t="s">
        <v>1024</v>
      </c>
      <c r="ET49" s="2" t="s">
        <v>1025</v>
      </c>
      <c r="EU49" s="2" t="s">
        <v>4761</v>
      </c>
      <c r="EV49" s="2" t="s">
        <v>1027</v>
      </c>
      <c r="EW49" s="2" t="s">
        <v>510</v>
      </c>
      <c r="EX49" s="2" t="s">
        <v>39</v>
      </c>
      <c r="EY49" s="2">
        <v>32801</v>
      </c>
      <c r="EZ49" s="2" t="s">
        <v>1028</v>
      </c>
      <c r="FA49" s="2">
        <v>2001</v>
      </c>
      <c r="FB49" s="2" t="s">
        <v>4651</v>
      </c>
      <c r="FC49" s="2" t="s">
        <v>1032</v>
      </c>
      <c r="FE49" s="2" t="s">
        <v>1033</v>
      </c>
      <c r="FF49" s="2" t="s">
        <v>4762</v>
      </c>
      <c r="FG49" s="2" t="s">
        <v>1027</v>
      </c>
      <c r="FH49" s="2" t="s">
        <v>510</v>
      </c>
      <c r="FI49" s="2" t="s">
        <v>39</v>
      </c>
      <c r="FJ49" s="2">
        <v>32801</v>
      </c>
      <c r="FK49" s="2" t="s">
        <v>1034</v>
      </c>
      <c r="FL49" s="2">
        <v>2</v>
      </c>
      <c r="FM49" s="2" t="s">
        <v>1035</v>
      </c>
      <c r="FN49" s="2" t="s">
        <v>4765</v>
      </c>
      <c r="FO49" s="2" t="s">
        <v>63</v>
      </c>
      <c r="FP49" s="2" t="s">
        <v>64</v>
      </c>
      <c r="FQ49" s="2" t="s">
        <v>9</v>
      </c>
      <c r="FR49" s="2" t="s">
        <v>17</v>
      </c>
      <c r="FS49" s="2" t="s">
        <v>17</v>
      </c>
      <c r="FT49" s="2" t="s">
        <v>9</v>
      </c>
      <c r="FX49" s="2">
        <v>0</v>
      </c>
      <c r="FY49" s="2">
        <v>0</v>
      </c>
      <c r="FZ49" s="4">
        <v>0</v>
      </c>
      <c r="GA49" s="4">
        <v>0</v>
      </c>
      <c r="GB49" s="2" t="s">
        <v>65</v>
      </c>
      <c r="GC49" s="2" t="s">
        <v>66</v>
      </c>
      <c r="GD49" s="2" t="s">
        <v>67</v>
      </c>
      <c r="GE49" s="2" t="s">
        <v>1612</v>
      </c>
      <c r="GJ49" s="2">
        <v>133</v>
      </c>
      <c r="GQ49" s="2">
        <v>133</v>
      </c>
      <c r="GR49" s="2" t="s">
        <v>2826</v>
      </c>
      <c r="GS49" s="2" t="s">
        <v>2686</v>
      </c>
      <c r="GT49" s="2" t="s">
        <v>4766</v>
      </c>
      <c r="GU49" s="2" t="s">
        <v>510</v>
      </c>
      <c r="GV49" s="2" t="s">
        <v>17</v>
      </c>
      <c r="GW49" s="2">
        <v>28.557047000000001</v>
      </c>
      <c r="GX49" s="2">
        <v>-81.424132</v>
      </c>
      <c r="GZ49" s="2" t="s">
        <v>17</v>
      </c>
      <c r="HA49" s="2">
        <v>0</v>
      </c>
      <c r="HB49" s="2" t="s">
        <v>17</v>
      </c>
      <c r="HC49" s="2">
        <v>0</v>
      </c>
      <c r="HD49" s="2">
        <v>28.559856</v>
      </c>
      <c r="HE49" s="2">
        <v>-81.422933999999998</v>
      </c>
      <c r="HF49" s="2">
        <v>0.21</v>
      </c>
      <c r="HG49" s="2">
        <v>6</v>
      </c>
      <c r="HH49" s="2">
        <v>28.559946</v>
      </c>
      <c r="HI49" s="2">
        <v>-81.422980999999993</v>
      </c>
      <c r="HJ49" s="2">
        <v>0.22</v>
      </c>
      <c r="HK49" s="2">
        <v>28.552883000000001</v>
      </c>
      <c r="HL49" s="2">
        <v>-81.424250999999998</v>
      </c>
      <c r="HM49" s="2">
        <v>0.28999999999999998</v>
      </c>
      <c r="HZ49" s="2" t="s">
        <v>4767</v>
      </c>
      <c r="IA49" s="2">
        <v>0.57999999999999996</v>
      </c>
      <c r="IB49" s="2">
        <v>3</v>
      </c>
      <c r="IC49" s="2" t="s">
        <v>4769</v>
      </c>
      <c r="ID49" s="2">
        <v>0.47</v>
      </c>
      <c r="IE49" s="2">
        <v>3.5</v>
      </c>
      <c r="II49" s="2" t="s">
        <v>4771</v>
      </c>
      <c r="IJ49" s="2">
        <v>0.69</v>
      </c>
      <c r="IK49" s="2">
        <v>3.5</v>
      </c>
      <c r="IL49" s="2" t="s">
        <v>9</v>
      </c>
      <c r="IM49" s="2" t="s">
        <v>17</v>
      </c>
      <c r="IO49" s="2" t="s">
        <v>17</v>
      </c>
      <c r="IP49" s="2" t="s">
        <v>79</v>
      </c>
      <c r="IQ49" s="2" t="s">
        <v>79</v>
      </c>
      <c r="IR49" s="2">
        <v>6</v>
      </c>
      <c r="IS49" s="2">
        <v>10</v>
      </c>
      <c r="IT49" s="2">
        <v>0</v>
      </c>
      <c r="IU49" s="2">
        <v>16</v>
      </c>
      <c r="IV49" s="2" t="s">
        <v>9</v>
      </c>
      <c r="IW49" s="2" t="s">
        <v>9</v>
      </c>
      <c r="IX49" s="2" t="s">
        <v>9</v>
      </c>
      <c r="IY49" s="2">
        <v>16</v>
      </c>
      <c r="IZ49" s="2">
        <v>133</v>
      </c>
      <c r="JB49" s="2" t="s">
        <v>82</v>
      </c>
      <c r="JH49" s="7">
        <v>0</v>
      </c>
      <c r="JI49" s="2">
        <v>0</v>
      </c>
      <c r="JJ49" s="7">
        <v>0</v>
      </c>
      <c r="JK49" s="2">
        <v>0</v>
      </c>
      <c r="JL49" s="7">
        <v>0</v>
      </c>
      <c r="JN49" s="2">
        <v>20</v>
      </c>
      <c r="JQ49" s="2">
        <v>53</v>
      </c>
      <c r="JR49" s="2">
        <v>60</v>
      </c>
      <c r="JT49" s="2">
        <v>0</v>
      </c>
      <c r="JU49" s="2">
        <v>0</v>
      </c>
      <c r="JV49" s="2">
        <v>133</v>
      </c>
      <c r="JW49" s="4">
        <v>1</v>
      </c>
      <c r="JX49" s="2">
        <v>133</v>
      </c>
      <c r="JY49" s="4">
        <v>0.6</v>
      </c>
      <c r="KE49" s="7">
        <v>0</v>
      </c>
      <c r="KF49" s="2">
        <v>0</v>
      </c>
      <c r="KH49" s="2">
        <v>69</v>
      </c>
      <c r="KK49" s="2">
        <v>64</v>
      </c>
      <c r="KQ49" s="2" t="s">
        <v>83</v>
      </c>
      <c r="KS49" s="2" t="s">
        <v>73</v>
      </c>
      <c r="KT49" s="2">
        <v>1</v>
      </c>
      <c r="KU49" s="2" t="s">
        <v>84</v>
      </c>
      <c r="KW49" s="2" t="s">
        <v>530</v>
      </c>
      <c r="KX49" s="2" t="s">
        <v>17</v>
      </c>
      <c r="KY49" s="2" t="s">
        <v>17</v>
      </c>
      <c r="KZ49" s="2" t="s">
        <v>17</v>
      </c>
      <c r="LA49" s="2" t="s">
        <v>17</v>
      </c>
      <c r="LB49" s="2" t="s">
        <v>17</v>
      </c>
      <c r="LC49" s="2" t="s">
        <v>17</v>
      </c>
      <c r="LD49" s="2" t="s">
        <v>17</v>
      </c>
      <c r="LE49" s="2" t="s">
        <v>17</v>
      </c>
      <c r="LF49" s="2" t="s">
        <v>17</v>
      </c>
      <c r="LG49" s="2" t="s">
        <v>17</v>
      </c>
      <c r="LH49" s="2" t="s">
        <v>17</v>
      </c>
      <c r="LI49" s="2" t="s">
        <v>17</v>
      </c>
      <c r="LJ49" s="2" t="s">
        <v>87</v>
      </c>
      <c r="LK49" s="2" t="s">
        <v>17</v>
      </c>
      <c r="LL49" s="2" t="s">
        <v>17</v>
      </c>
      <c r="LM49" s="2">
        <v>0</v>
      </c>
      <c r="LN49" s="2" t="s">
        <v>17</v>
      </c>
      <c r="LO49" s="2" t="s">
        <v>17</v>
      </c>
      <c r="LP49" s="2" t="s">
        <v>17</v>
      </c>
      <c r="LQ49" s="2" t="s">
        <v>17</v>
      </c>
      <c r="LR49" s="2" t="s">
        <v>17</v>
      </c>
      <c r="LS49" s="2" t="s">
        <v>17</v>
      </c>
      <c r="LT49" s="2" t="s">
        <v>9</v>
      </c>
      <c r="LU49" s="2" t="s">
        <v>9</v>
      </c>
      <c r="LV49" s="2" t="s">
        <v>17</v>
      </c>
      <c r="LW49" s="2" t="s">
        <v>9</v>
      </c>
      <c r="LX49" s="2" t="s">
        <v>17</v>
      </c>
      <c r="LY49" s="5">
        <v>6500000</v>
      </c>
      <c r="LZ49" s="5">
        <v>0</v>
      </c>
      <c r="MA49" s="5">
        <v>11000000</v>
      </c>
      <c r="MB49" s="5">
        <v>11000000</v>
      </c>
      <c r="MC49" s="5">
        <v>11000000</v>
      </c>
      <c r="MD49" s="5">
        <v>750000</v>
      </c>
      <c r="ME49" s="5">
        <v>750000</v>
      </c>
      <c r="MF49" s="5">
        <v>750000</v>
      </c>
      <c r="MG49" s="5">
        <v>10000000</v>
      </c>
      <c r="MH49" s="5">
        <v>0</v>
      </c>
      <c r="MI49" s="5">
        <v>10000000</v>
      </c>
      <c r="MJ49" s="5">
        <v>0</v>
      </c>
      <c r="MK49" s="5">
        <v>956900</v>
      </c>
      <c r="ML49" s="5">
        <v>0</v>
      </c>
      <c r="MM49" s="5">
        <v>0</v>
      </c>
      <c r="MN49" s="2">
        <v>0</v>
      </c>
      <c r="MO49" s="5">
        <v>0</v>
      </c>
      <c r="MP49" s="5">
        <v>0</v>
      </c>
      <c r="MQ49" s="2">
        <v>0</v>
      </c>
      <c r="MR49" s="2">
        <v>0</v>
      </c>
      <c r="MS49" s="2">
        <v>0</v>
      </c>
      <c r="MT49" s="5">
        <v>2950000</v>
      </c>
      <c r="MU49" s="5">
        <v>0</v>
      </c>
      <c r="MV49" s="5">
        <v>4600000</v>
      </c>
      <c r="MW49" s="5">
        <v>0</v>
      </c>
      <c r="MY49" s="5">
        <v>0</v>
      </c>
      <c r="MZ49" s="5">
        <v>0</v>
      </c>
      <c r="NA49" s="5">
        <v>0</v>
      </c>
      <c r="NB49" s="5">
        <v>2500000</v>
      </c>
      <c r="NC49" s="5">
        <v>0</v>
      </c>
      <c r="ND49" s="5">
        <v>5000000</v>
      </c>
      <c r="NE49" s="5">
        <v>0</v>
      </c>
      <c r="NF49" s="5">
        <v>0</v>
      </c>
      <c r="NG49" s="5">
        <v>0</v>
      </c>
      <c r="NH49" s="5"/>
      <c r="NI49" s="5">
        <v>0</v>
      </c>
      <c r="NJ49" s="5">
        <v>2185929</v>
      </c>
      <c r="NK49" s="2" t="s">
        <v>9</v>
      </c>
      <c r="NL49" s="2" t="s">
        <v>4292</v>
      </c>
      <c r="NM49" s="2" t="s">
        <v>17</v>
      </c>
      <c r="NO49" s="2" t="s">
        <v>17</v>
      </c>
      <c r="NR49" s="2" t="s">
        <v>17</v>
      </c>
      <c r="NT49" s="2" t="s">
        <v>9</v>
      </c>
      <c r="NU49" s="2" t="s">
        <v>450</v>
      </c>
      <c r="NV49" s="2">
        <v>187</v>
      </c>
      <c r="NW49" s="2" t="s">
        <v>3011</v>
      </c>
      <c r="NX49" s="2" t="s">
        <v>118</v>
      </c>
      <c r="NY49" s="2" t="s">
        <v>118</v>
      </c>
      <c r="NZ49" s="2" t="s">
        <v>118</v>
      </c>
      <c r="OA49" s="2" t="s">
        <v>17</v>
      </c>
      <c r="OB49" s="2" t="s">
        <v>119</v>
      </c>
      <c r="OC49" s="5">
        <v>27000000</v>
      </c>
      <c r="OF49" s="2" t="s">
        <v>17</v>
      </c>
      <c r="OG49" s="2" t="s">
        <v>17</v>
      </c>
      <c r="OH49" s="2" t="s">
        <v>85</v>
      </c>
      <c r="OI49" s="6">
        <v>0</v>
      </c>
      <c r="OJ49" s="6">
        <v>330000</v>
      </c>
      <c r="OK49" s="2" t="s">
        <v>17</v>
      </c>
      <c r="OL49" s="2" t="s">
        <v>17</v>
      </c>
      <c r="OM49" s="6">
        <v>0</v>
      </c>
      <c r="ON49" s="6">
        <v>0</v>
      </c>
      <c r="OO49" s="6">
        <v>0</v>
      </c>
      <c r="OP49" s="6">
        <v>0</v>
      </c>
      <c r="OQ49" s="4">
        <v>0</v>
      </c>
      <c r="OR49" s="6">
        <v>0</v>
      </c>
      <c r="OS49" s="4">
        <v>0</v>
      </c>
      <c r="OT49" s="2" t="s">
        <v>17</v>
      </c>
      <c r="OU49" s="2" t="s">
        <v>17</v>
      </c>
      <c r="OW49" s="2" t="s">
        <v>17</v>
      </c>
      <c r="OX49" s="5">
        <v>10752500</v>
      </c>
      <c r="OY49" s="6">
        <v>80845.86</v>
      </c>
      <c r="PD49" s="8">
        <v>22590000</v>
      </c>
      <c r="PF49" s="8">
        <v>22590000</v>
      </c>
      <c r="PG49" s="8">
        <v>3486215</v>
      </c>
      <c r="PH49" s="8">
        <v>183485</v>
      </c>
      <c r="PI49" s="8">
        <v>3669700</v>
      </c>
      <c r="PL49" s="8">
        <v>300301</v>
      </c>
      <c r="PN49" s="8">
        <v>300301</v>
      </c>
      <c r="PO49" s="8">
        <v>26376516</v>
      </c>
      <c r="PP49" s="8">
        <v>183485</v>
      </c>
      <c r="PQ49" s="8">
        <v>26560001</v>
      </c>
      <c r="PR49" s="8">
        <v>3160764</v>
      </c>
      <c r="PT49" s="8">
        <v>3160764</v>
      </c>
      <c r="PU49" s="6">
        <v>3718400</v>
      </c>
      <c r="PV49" s="8">
        <v>29537280</v>
      </c>
      <c r="PW49" s="8">
        <v>183485</v>
      </c>
      <c r="PX49" s="8">
        <v>29720765</v>
      </c>
      <c r="PY49" s="8">
        <v>1460000</v>
      </c>
      <c r="QA49" s="8">
        <v>1460000</v>
      </c>
      <c r="QB49" s="6">
        <v>1486038.25</v>
      </c>
      <c r="QC49" s="8">
        <v>651250</v>
      </c>
      <c r="QE49" s="8">
        <v>651250</v>
      </c>
      <c r="QF49" s="8">
        <v>266000</v>
      </c>
      <c r="QH49" s="8">
        <v>266000</v>
      </c>
      <c r="QI49" s="8">
        <v>1083879</v>
      </c>
      <c r="QK49" s="8">
        <v>1083879</v>
      </c>
      <c r="QM49" s="8">
        <v>866039</v>
      </c>
      <c r="QN49" s="8">
        <v>866039</v>
      </c>
      <c r="QR49" s="8">
        <v>1990000</v>
      </c>
      <c r="QS49" s="8">
        <v>1105000</v>
      </c>
      <c r="QT49" s="8">
        <v>3095000</v>
      </c>
      <c r="QU49" s="8">
        <v>3991129</v>
      </c>
      <c r="QV49" s="8">
        <v>1971039</v>
      </c>
      <c r="QW49" s="8">
        <v>5962168</v>
      </c>
      <c r="QX49" s="8">
        <v>100000</v>
      </c>
      <c r="QZ49" s="8">
        <v>100000</v>
      </c>
      <c r="RA49" s="6">
        <v>298108.40000000002</v>
      </c>
      <c r="RB49" s="8">
        <v>270000</v>
      </c>
      <c r="RC49" s="8">
        <v>117500</v>
      </c>
      <c r="RD49" s="8">
        <v>387500</v>
      </c>
      <c r="RE49" s="8">
        <v>101000</v>
      </c>
      <c r="RF49" s="8">
        <v>101000</v>
      </c>
      <c r="RJ49" s="8">
        <v>270000</v>
      </c>
      <c r="RK49" s="8">
        <v>218500</v>
      </c>
      <c r="RL49" s="8">
        <v>488500</v>
      </c>
      <c r="RT49" s="8">
        <v>35358409</v>
      </c>
      <c r="RU49" s="8">
        <v>2373024</v>
      </c>
      <c r="RV49" s="8">
        <v>37731433</v>
      </c>
      <c r="RY49" s="2">
        <v>0</v>
      </c>
      <c r="RZ49" s="6">
        <v>0</v>
      </c>
      <c r="SA49" s="8">
        <v>6698057</v>
      </c>
      <c r="SC49" s="8">
        <v>6698057</v>
      </c>
      <c r="SD49" s="6">
        <v>6791657</v>
      </c>
      <c r="SE49" s="8">
        <v>6698057</v>
      </c>
      <c r="SF49" s="8">
        <v>6698057</v>
      </c>
      <c r="SG49" s="6">
        <v>6791657</v>
      </c>
      <c r="SH49" s="8">
        <v>450000</v>
      </c>
      <c r="SI49" s="8">
        <v>450000</v>
      </c>
      <c r="SJ49" s="6">
        <v>465500</v>
      </c>
      <c r="SK49" s="8">
        <v>3325000</v>
      </c>
      <c r="SL49" s="8">
        <v>3325000</v>
      </c>
      <c r="SM49" s="8">
        <v>42056466</v>
      </c>
      <c r="SN49" s="8">
        <v>6148024</v>
      </c>
      <c r="SO49" s="8">
        <v>48204490</v>
      </c>
      <c r="SP49" s="8">
        <v>27000000</v>
      </c>
      <c r="SQ49" s="2" t="s">
        <v>4295</v>
      </c>
      <c r="SX49" s="8">
        <v>11750000</v>
      </c>
      <c r="SY49" s="2" t="s">
        <v>96</v>
      </c>
      <c r="SZ49" s="2" t="s">
        <v>96</v>
      </c>
      <c r="TA49" s="2" t="s">
        <v>96</v>
      </c>
      <c r="TB49" s="8">
        <v>5191062</v>
      </c>
      <c r="TF49" s="8">
        <v>4263428</v>
      </c>
      <c r="TG49" s="8">
        <v>48204490</v>
      </c>
      <c r="TH49" s="2">
        <v>0</v>
      </c>
      <c r="TI49" s="8">
        <v>9030000</v>
      </c>
      <c r="TJ49" s="2" t="s">
        <v>4295</v>
      </c>
      <c r="TR49" s="8">
        <v>11750000</v>
      </c>
      <c r="TS49" s="8">
        <v>20764249</v>
      </c>
      <c r="TZ49" s="8">
        <v>6660241</v>
      </c>
      <c r="UA49" s="8">
        <v>48204490</v>
      </c>
      <c r="UB49" s="6">
        <v>20780000</v>
      </c>
      <c r="UC49" s="2">
        <v>0</v>
      </c>
      <c r="UD49" s="2">
        <v>133</v>
      </c>
      <c r="UE49" s="5">
        <v>240000</v>
      </c>
      <c r="UF49" s="6">
        <v>320000</v>
      </c>
      <c r="UG49" s="6">
        <v>327500</v>
      </c>
      <c r="UH49" s="6">
        <v>347150</v>
      </c>
      <c r="UI49" s="6">
        <v>46170950</v>
      </c>
      <c r="UJ49" s="6">
        <v>8310771</v>
      </c>
      <c r="UK49" s="2" t="s">
        <v>97</v>
      </c>
      <c r="UL49" s="6">
        <v>8310771</v>
      </c>
      <c r="UM49" s="6">
        <v>54481721</v>
      </c>
      <c r="UN49" s="6">
        <v>44429490</v>
      </c>
      <c r="UQ49" s="6">
        <v>0</v>
      </c>
      <c r="US49" s="6">
        <v>0</v>
      </c>
      <c r="UU49" s="6">
        <v>418285</v>
      </c>
      <c r="UV49" s="6">
        <v>418285</v>
      </c>
      <c r="UW49" s="6">
        <v>418285</v>
      </c>
      <c r="UX49" s="6">
        <v>0</v>
      </c>
      <c r="UY49" s="6">
        <v>418285</v>
      </c>
      <c r="UZ49" s="2" t="s">
        <v>4656</v>
      </c>
      <c r="VA49" s="2" t="s">
        <v>3288</v>
      </c>
      <c r="VB49" s="2" t="s">
        <v>17</v>
      </c>
      <c r="VI49" s="388" t="s">
        <v>1050</v>
      </c>
      <c r="VJ49" s="2" t="s">
        <v>98</v>
      </c>
      <c r="VK49" s="2" t="s">
        <v>4773</v>
      </c>
      <c r="VL49" s="23">
        <f t="shared" si="22"/>
        <v>197</v>
      </c>
      <c r="VM49" s="17">
        <f t="shared" si="23"/>
        <v>1.481203007518797</v>
      </c>
      <c r="VN49" s="17" t="str">
        <f t="shared" si="24"/>
        <v>NC-MR-E</v>
      </c>
      <c r="VO49" s="17" t="str">
        <f t="shared" si="15"/>
        <v>NC-MR-E-Non</v>
      </c>
      <c r="VP49" s="57">
        <v>1</v>
      </c>
      <c r="VQ49" s="17">
        <f t="shared" si="25"/>
        <v>1.1100000000000001</v>
      </c>
      <c r="VR49" s="14">
        <f t="shared" si="26"/>
        <v>1</v>
      </c>
      <c r="VS49" s="14">
        <f t="shared" si="27"/>
        <v>1</v>
      </c>
      <c r="VT49" s="12">
        <f t="shared" si="28"/>
        <v>0.88</v>
      </c>
      <c r="VU49" s="29">
        <f t="shared" si="29"/>
        <v>10744800.000000002</v>
      </c>
      <c r="VV49" s="29">
        <f t="shared" si="30"/>
        <v>80787.97</v>
      </c>
      <c r="VW49" s="351" t="str">
        <f t="shared" si="16"/>
        <v>A</v>
      </c>
      <c r="VX49" s="12" t="str">
        <f t="shared" si="31"/>
        <v>NC-MR-Non</v>
      </c>
      <c r="VY49" s="23">
        <f t="shared" si="17"/>
        <v>4</v>
      </c>
      <c r="WA49" s="12">
        <f t="shared" si="18"/>
        <v>1</v>
      </c>
      <c r="WB49" s="12">
        <f t="shared" si="19"/>
        <v>1</v>
      </c>
      <c r="WC49" s="12">
        <f t="shared" si="19"/>
        <v>0</v>
      </c>
      <c r="WD49" s="12">
        <f t="shared" si="19"/>
        <v>0</v>
      </c>
      <c r="WE49" s="12">
        <f t="shared" si="20"/>
        <v>0</v>
      </c>
      <c r="WF49" s="12">
        <f t="shared" si="32"/>
        <v>0</v>
      </c>
      <c r="WG49" s="12">
        <f t="shared" si="33"/>
        <v>1</v>
      </c>
      <c r="WH49" s="12">
        <f t="shared" si="34"/>
        <v>0</v>
      </c>
      <c r="WI49" s="22">
        <f t="shared" si="35"/>
        <v>3</v>
      </c>
      <c r="WK49" s="444" t="str">
        <f t="shared" si="21"/>
        <v>NC-MR-Non-BBY-BRN-NPH-E</v>
      </c>
      <c r="WL49" s="444"/>
      <c r="WM49" s="444"/>
    </row>
    <row r="50" spans="1:611" x14ac:dyDescent="0.25">
      <c r="A50" s="2">
        <v>9325</v>
      </c>
      <c r="B50" s="2" t="s">
        <v>4774</v>
      </c>
      <c r="C50" s="2" t="s">
        <v>4205</v>
      </c>
      <c r="D50" s="3">
        <v>45135</v>
      </c>
      <c r="E50" s="2" t="s">
        <v>9</v>
      </c>
      <c r="F50" s="2">
        <v>1</v>
      </c>
      <c r="G50" s="2" t="s">
        <v>9</v>
      </c>
      <c r="H50" s="2">
        <v>1</v>
      </c>
      <c r="I50" s="2" t="s">
        <v>11</v>
      </c>
      <c r="J50" s="2">
        <v>0</v>
      </c>
      <c r="K50" s="2" t="s">
        <v>9</v>
      </c>
      <c r="L50" s="2">
        <v>1</v>
      </c>
      <c r="M50" s="2" t="s">
        <v>10</v>
      </c>
      <c r="N50" s="2">
        <v>0</v>
      </c>
      <c r="O50" s="2" t="s">
        <v>10</v>
      </c>
      <c r="P50" s="2">
        <v>0</v>
      </c>
      <c r="Q50" s="2" t="s">
        <v>11</v>
      </c>
      <c r="R50" s="2">
        <v>0</v>
      </c>
      <c r="S50" s="2" t="s">
        <v>9</v>
      </c>
      <c r="T50" s="2">
        <v>2</v>
      </c>
      <c r="U50" s="2" t="s">
        <v>9</v>
      </c>
      <c r="V50" s="2">
        <v>2</v>
      </c>
      <c r="W50" s="2" t="s">
        <v>9</v>
      </c>
      <c r="X50" s="2">
        <v>2</v>
      </c>
      <c r="Y50" s="2" t="s">
        <v>12</v>
      </c>
      <c r="Z50" s="2" t="s">
        <v>15</v>
      </c>
      <c r="AA50" s="2" t="s">
        <v>15</v>
      </c>
      <c r="AB50" s="2" t="s">
        <v>15</v>
      </c>
      <c r="AC50" s="2" t="s">
        <v>15</v>
      </c>
      <c r="AD50" s="2" t="s">
        <v>15</v>
      </c>
      <c r="AE50" s="2" t="s">
        <v>15</v>
      </c>
      <c r="AF50" s="2">
        <v>0</v>
      </c>
      <c r="AG50" s="2" t="s">
        <v>234</v>
      </c>
      <c r="AH50" s="2" t="s">
        <v>17</v>
      </c>
      <c r="AI50" s="4">
        <v>0.1</v>
      </c>
      <c r="AJ50" s="2" t="s">
        <v>17</v>
      </c>
      <c r="AK50" s="2" t="s">
        <v>9</v>
      </c>
      <c r="AL50" s="2" t="s">
        <v>17</v>
      </c>
      <c r="AM50" s="2" t="s">
        <v>9</v>
      </c>
      <c r="AN50" s="2" t="s">
        <v>17</v>
      </c>
      <c r="AO50" s="2" t="s">
        <v>17</v>
      </c>
      <c r="AP50" s="2" t="s">
        <v>17</v>
      </c>
      <c r="AQ50" s="2" t="s">
        <v>17</v>
      </c>
      <c r="AR50" s="2" t="s">
        <v>17</v>
      </c>
      <c r="AS50" s="2" t="s">
        <v>17</v>
      </c>
      <c r="AT50" s="2">
        <v>5</v>
      </c>
      <c r="AU50" s="5">
        <v>37500</v>
      </c>
      <c r="AV50" s="5">
        <v>460000</v>
      </c>
      <c r="AW50" s="2">
        <v>1</v>
      </c>
      <c r="AX50" s="2">
        <v>4</v>
      </c>
      <c r="AY50" s="2">
        <v>0</v>
      </c>
      <c r="AZ50" s="2">
        <v>17</v>
      </c>
      <c r="BA50" s="2">
        <v>0</v>
      </c>
      <c r="BB50" s="2">
        <v>1</v>
      </c>
      <c r="BC50" s="2">
        <v>1</v>
      </c>
      <c r="BD50" s="2">
        <v>0</v>
      </c>
      <c r="BE50" s="2">
        <v>0</v>
      </c>
      <c r="BF50" s="2">
        <v>1</v>
      </c>
      <c r="BG50" s="2">
        <v>0</v>
      </c>
      <c r="BH50" s="2">
        <v>0</v>
      </c>
      <c r="BI50" s="2">
        <v>13</v>
      </c>
      <c r="BJ50" s="2">
        <v>1</v>
      </c>
      <c r="BK50" s="2">
        <v>0</v>
      </c>
      <c r="BL50" s="2">
        <v>3</v>
      </c>
      <c r="BM50" s="2">
        <v>1</v>
      </c>
      <c r="BN50" s="2">
        <v>10</v>
      </c>
      <c r="BO50" s="2">
        <v>10</v>
      </c>
      <c r="BP50" s="2">
        <v>32.97</v>
      </c>
      <c r="BQ50" s="5">
        <v>5723300</v>
      </c>
      <c r="BR50" s="2">
        <v>1</v>
      </c>
      <c r="BS50" s="4">
        <v>0.06</v>
      </c>
      <c r="BT50" s="2" t="s">
        <v>9</v>
      </c>
      <c r="BU50" s="2" t="s">
        <v>17</v>
      </c>
      <c r="BV50" s="6">
        <v>82183.929999999993</v>
      </c>
      <c r="BW50" s="2" t="s">
        <v>18</v>
      </c>
      <c r="BX50" s="2" t="s">
        <v>17</v>
      </c>
      <c r="BY50" s="2" t="s">
        <v>17</v>
      </c>
      <c r="BZ50" s="2" t="s">
        <v>17</v>
      </c>
      <c r="CA50" s="2" t="s">
        <v>17</v>
      </c>
      <c r="CB50" s="2" t="s">
        <v>17</v>
      </c>
      <c r="CC50" s="2" t="s">
        <v>17</v>
      </c>
      <c r="CE50" s="2" t="s">
        <v>1494</v>
      </c>
      <c r="CF50" s="2" t="s">
        <v>17</v>
      </c>
      <c r="CG50" s="2" t="s">
        <v>17</v>
      </c>
      <c r="DA50" s="2" t="s">
        <v>1446</v>
      </c>
      <c r="DB50" s="2" t="s">
        <v>1493</v>
      </c>
      <c r="DD50" s="2" t="s">
        <v>9</v>
      </c>
      <c r="DE50" s="2" t="s">
        <v>1447</v>
      </c>
      <c r="DF50" s="2" t="s">
        <v>1446</v>
      </c>
      <c r="DG50" s="2" t="s">
        <v>1452</v>
      </c>
      <c r="DH50" s="2" t="s">
        <v>1449</v>
      </c>
      <c r="DI50" s="2">
        <v>60</v>
      </c>
      <c r="DJ50" s="2" t="s">
        <v>240</v>
      </c>
      <c r="DK50" s="2">
        <v>2010</v>
      </c>
      <c r="DL50" s="2" t="s">
        <v>4209</v>
      </c>
      <c r="DM50" s="2" t="s">
        <v>4210</v>
      </c>
      <c r="DN50" s="2" t="s">
        <v>33</v>
      </c>
      <c r="DO50" s="2" t="s">
        <v>399</v>
      </c>
      <c r="DQ50" s="2" t="s">
        <v>1454</v>
      </c>
      <c r="DR50" s="2" t="s">
        <v>1455</v>
      </c>
      <c r="DS50" s="2">
        <v>1</v>
      </c>
      <c r="DT50" s="2" t="s">
        <v>1456</v>
      </c>
      <c r="DU50" s="2" t="s">
        <v>1529</v>
      </c>
      <c r="DV50" s="2" t="s">
        <v>39</v>
      </c>
      <c r="DW50" s="2">
        <v>34205</v>
      </c>
      <c r="DX50" s="2" t="s">
        <v>4662</v>
      </c>
      <c r="DY50" s="2">
        <v>126</v>
      </c>
      <c r="DZ50" s="2" t="s">
        <v>1459</v>
      </c>
      <c r="EA50" s="2" t="s">
        <v>1455</v>
      </c>
      <c r="EB50" s="2" t="s">
        <v>4663</v>
      </c>
      <c r="EC50" s="2" t="s">
        <v>1461</v>
      </c>
      <c r="ED50" s="2" t="s">
        <v>44</v>
      </c>
      <c r="EE50" s="2">
        <v>80</v>
      </c>
      <c r="EF50" s="2" t="s">
        <v>254</v>
      </c>
      <c r="EG50" s="2">
        <v>22</v>
      </c>
      <c r="EH50" s="2" t="s">
        <v>46</v>
      </c>
      <c r="EI50" s="2" t="s">
        <v>47</v>
      </c>
      <c r="EJ50" s="2" t="s">
        <v>1463</v>
      </c>
      <c r="EK50" s="2" t="s">
        <v>1464</v>
      </c>
      <c r="EL50" s="2" t="s">
        <v>44</v>
      </c>
      <c r="EM50" s="2">
        <v>53</v>
      </c>
      <c r="EN50" s="2" t="s">
        <v>254</v>
      </c>
      <c r="EO50" s="2">
        <v>7</v>
      </c>
      <c r="EP50" s="2" t="s">
        <v>46</v>
      </c>
      <c r="EQ50" s="2" t="s">
        <v>47</v>
      </c>
      <c r="ER50" s="2" t="s">
        <v>1465</v>
      </c>
      <c r="ES50" s="2" t="s">
        <v>201</v>
      </c>
      <c r="ET50" s="2" t="s">
        <v>1467</v>
      </c>
      <c r="EU50" s="2" t="s">
        <v>1494</v>
      </c>
      <c r="EV50" s="2" t="s">
        <v>1468</v>
      </c>
      <c r="EW50" s="2" t="s">
        <v>1469</v>
      </c>
      <c r="EX50" s="2" t="s">
        <v>39</v>
      </c>
      <c r="EY50" s="2">
        <v>33907</v>
      </c>
      <c r="EZ50" s="2" t="s">
        <v>4664</v>
      </c>
      <c r="FB50" s="2" t="s">
        <v>1471</v>
      </c>
      <c r="FC50" s="2" t="s">
        <v>294</v>
      </c>
      <c r="FD50" s="2" t="s">
        <v>1429</v>
      </c>
      <c r="FE50" s="2" t="s">
        <v>1467</v>
      </c>
      <c r="FF50" s="2" t="s">
        <v>1446</v>
      </c>
      <c r="FG50" s="2" t="s">
        <v>1468</v>
      </c>
      <c r="FH50" s="2" t="s">
        <v>1469</v>
      </c>
      <c r="FI50" s="2" t="s">
        <v>39</v>
      </c>
      <c r="FJ50" s="2">
        <v>33907</v>
      </c>
      <c r="FK50" s="2" t="s">
        <v>4665</v>
      </c>
      <c r="FM50" s="2" t="s">
        <v>1474</v>
      </c>
      <c r="FN50" s="2" t="s">
        <v>1495</v>
      </c>
      <c r="FO50" s="2" t="s">
        <v>63</v>
      </c>
      <c r="FP50" s="2" t="s">
        <v>64</v>
      </c>
      <c r="FQ50" s="2" t="s">
        <v>9</v>
      </c>
      <c r="FR50" s="2" t="s">
        <v>17</v>
      </c>
      <c r="FS50" s="2" t="s">
        <v>17</v>
      </c>
      <c r="FT50" s="2" t="s">
        <v>9</v>
      </c>
      <c r="FX50" s="2">
        <v>0</v>
      </c>
      <c r="FY50" s="2">
        <v>0</v>
      </c>
      <c r="FZ50" s="4">
        <v>0</v>
      </c>
      <c r="GA50" s="4">
        <v>0</v>
      </c>
      <c r="GB50" s="2" t="s">
        <v>65</v>
      </c>
      <c r="GC50" s="2" t="s">
        <v>66</v>
      </c>
      <c r="GD50" s="2" t="s">
        <v>67</v>
      </c>
      <c r="GE50" s="2" t="s">
        <v>68</v>
      </c>
      <c r="GF50" s="2">
        <v>56</v>
      </c>
      <c r="GG50" s="2">
        <v>56</v>
      </c>
      <c r="GQ50" s="2">
        <v>56</v>
      </c>
      <c r="GR50" s="2" t="s">
        <v>1112</v>
      </c>
      <c r="GS50" s="2" t="s">
        <v>70</v>
      </c>
      <c r="GT50" s="2" t="s">
        <v>4775</v>
      </c>
      <c r="GU50" s="2" t="s">
        <v>1497</v>
      </c>
      <c r="GV50" s="2" t="s">
        <v>17</v>
      </c>
      <c r="GW50" s="2">
        <v>26.246988000000002</v>
      </c>
      <c r="GX50" s="2">
        <v>-81.686059999999998</v>
      </c>
      <c r="GZ50" s="2" t="s">
        <v>17</v>
      </c>
      <c r="HA50" s="2">
        <v>0</v>
      </c>
      <c r="HC50" s="2">
        <v>0</v>
      </c>
      <c r="HZ50" s="2" t="s">
        <v>167</v>
      </c>
      <c r="IA50" s="2">
        <v>0.27</v>
      </c>
      <c r="IB50" s="2">
        <v>4</v>
      </c>
      <c r="IC50" s="2" t="s">
        <v>1201</v>
      </c>
      <c r="ID50" s="2">
        <v>0.46</v>
      </c>
      <c r="IE50" s="2">
        <v>3.5</v>
      </c>
      <c r="II50" s="2" t="s">
        <v>4776</v>
      </c>
      <c r="IJ50" s="2">
        <v>1.67</v>
      </c>
      <c r="IK50" s="2">
        <v>1.5</v>
      </c>
      <c r="IL50" s="2" t="s">
        <v>17</v>
      </c>
      <c r="IM50" s="2" t="s">
        <v>17</v>
      </c>
      <c r="IO50" s="2" t="s">
        <v>17</v>
      </c>
      <c r="IP50" s="2" t="s">
        <v>79</v>
      </c>
      <c r="IQ50" s="2" t="s">
        <v>79</v>
      </c>
      <c r="IR50" s="2">
        <v>0</v>
      </c>
      <c r="IS50" s="2">
        <v>9</v>
      </c>
      <c r="IT50" s="2">
        <v>0</v>
      </c>
      <c r="IU50" s="2">
        <v>9</v>
      </c>
      <c r="IV50" s="2" t="s">
        <v>80</v>
      </c>
      <c r="IW50" s="2" t="s">
        <v>9</v>
      </c>
      <c r="IX50" s="2" t="s">
        <v>9</v>
      </c>
      <c r="IY50" s="2">
        <v>9</v>
      </c>
      <c r="IZ50" s="2">
        <v>56</v>
      </c>
      <c r="JB50" s="2" t="s">
        <v>173</v>
      </c>
      <c r="JC50" s="7">
        <v>0.1</v>
      </c>
      <c r="JG50" s="7">
        <v>0.9</v>
      </c>
      <c r="JH50" s="7">
        <v>0</v>
      </c>
      <c r="JI50" s="2">
        <v>56</v>
      </c>
      <c r="JJ50" s="7">
        <v>1</v>
      </c>
      <c r="JK50" s="2">
        <v>56</v>
      </c>
      <c r="JL50" s="7">
        <v>1</v>
      </c>
      <c r="JT50" s="2">
        <v>0</v>
      </c>
      <c r="JU50" s="2">
        <v>0</v>
      </c>
      <c r="JV50" s="2">
        <v>0</v>
      </c>
      <c r="JW50" s="4">
        <v>0</v>
      </c>
      <c r="JX50" s="2">
        <v>0</v>
      </c>
      <c r="JY50" s="4">
        <v>0</v>
      </c>
      <c r="JZ50" s="7">
        <v>0.1</v>
      </c>
      <c r="KD50" s="7">
        <v>0.9</v>
      </c>
      <c r="KE50" s="7">
        <v>1</v>
      </c>
      <c r="KF50" s="2">
        <v>56</v>
      </c>
      <c r="KK50" s="2">
        <v>28</v>
      </c>
      <c r="KL50" s="2">
        <v>28</v>
      </c>
      <c r="KQ50" s="2" t="s">
        <v>83</v>
      </c>
      <c r="KR50" s="2" t="s">
        <v>73</v>
      </c>
      <c r="KT50" s="2">
        <v>1</v>
      </c>
      <c r="KU50" s="2" t="s">
        <v>84</v>
      </c>
      <c r="KW50" s="2" t="s">
        <v>86</v>
      </c>
      <c r="KX50" s="2" t="s">
        <v>17</v>
      </c>
      <c r="KY50" s="2" t="s">
        <v>17</v>
      </c>
      <c r="KZ50" s="2" t="s">
        <v>17</v>
      </c>
      <c r="LA50" s="2" t="s">
        <v>17</v>
      </c>
      <c r="LB50" s="2" t="s">
        <v>17</v>
      </c>
      <c r="LC50" s="2" t="s">
        <v>17</v>
      </c>
      <c r="LD50" s="2" t="s">
        <v>17</v>
      </c>
      <c r="LE50" s="2" t="s">
        <v>17</v>
      </c>
      <c r="LF50" s="2" t="s">
        <v>17</v>
      </c>
      <c r="LG50" s="2" t="s">
        <v>17</v>
      </c>
      <c r="LH50" s="2" t="s">
        <v>17</v>
      </c>
      <c r="LI50" s="2" t="s">
        <v>17</v>
      </c>
      <c r="LJ50" s="2" t="s">
        <v>87</v>
      </c>
      <c r="LK50" s="2" t="s">
        <v>17</v>
      </c>
      <c r="LL50" s="2" t="s">
        <v>17</v>
      </c>
      <c r="LM50" s="2">
        <v>0</v>
      </c>
      <c r="LN50" s="2" t="s">
        <v>17</v>
      </c>
      <c r="LO50" s="2" t="s">
        <v>17</v>
      </c>
      <c r="LP50" s="2" t="s">
        <v>9</v>
      </c>
      <c r="LQ50" s="2" t="s">
        <v>17</v>
      </c>
      <c r="LR50" s="2" t="s">
        <v>9</v>
      </c>
      <c r="LS50" s="2" t="s">
        <v>9</v>
      </c>
      <c r="LT50" s="2" t="s">
        <v>17</v>
      </c>
      <c r="LU50" s="2" t="s">
        <v>17</v>
      </c>
      <c r="LV50" s="2" t="s">
        <v>17</v>
      </c>
      <c r="LW50" s="2" t="s">
        <v>17</v>
      </c>
      <c r="LX50" s="2" t="s">
        <v>17</v>
      </c>
      <c r="LY50" s="5">
        <v>4480000</v>
      </c>
      <c r="LZ50" s="5">
        <v>0</v>
      </c>
      <c r="MA50" s="5">
        <v>5320000</v>
      </c>
      <c r="MB50" s="5">
        <v>5000000</v>
      </c>
      <c r="MC50" s="5">
        <v>5000000</v>
      </c>
      <c r="MD50" s="5">
        <v>723300</v>
      </c>
      <c r="ME50" s="5">
        <v>723300</v>
      </c>
      <c r="MF50" s="5">
        <v>723300</v>
      </c>
      <c r="MG50" s="5">
        <v>5880000</v>
      </c>
      <c r="MH50" s="5">
        <v>0</v>
      </c>
      <c r="MI50" s="5">
        <v>5880000</v>
      </c>
      <c r="MJ50" s="5">
        <v>0</v>
      </c>
      <c r="MK50" s="5">
        <v>723300</v>
      </c>
      <c r="ML50" s="5">
        <v>0</v>
      </c>
      <c r="MM50" s="5">
        <v>0</v>
      </c>
      <c r="MN50" s="2">
        <v>0</v>
      </c>
      <c r="MO50" s="5">
        <v>0</v>
      </c>
      <c r="MP50" s="5">
        <v>0</v>
      </c>
      <c r="MQ50" s="2">
        <v>0</v>
      </c>
      <c r="MR50" s="2">
        <v>0</v>
      </c>
      <c r="MS50" s="2">
        <v>0</v>
      </c>
      <c r="MT50" s="5">
        <v>2950000</v>
      </c>
      <c r="MU50" s="5">
        <v>0</v>
      </c>
      <c r="MV50" s="5">
        <v>4600000</v>
      </c>
      <c r="MW50" s="5">
        <v>0</v>
      </c>
      <c r="MY50" s="5">
        <v>0</v>
      </c>
      <c r="MZ50" s="5">
        <v>0</v>
      </c>
      <c r="NA50" s="5">
        <v>0</v>
      </c>
      <c r="NB50" s="5">
        <v>2500000</v>
      </c>
      <c r="NC50" s="5">
        <v>0</v>
      </c>
      <c r="ND50" s="5">
        <v>5000000</v>
      </c>
      <c r="NE50" s="5">
        <v>0</v>
      </c>
      <c r="NF50" s="5">
        <v>0</v>
      </c>
      <c r="NG50" s="5">
        <v>0</v>
      </c>
      <c r="NH50" s="5"/>
      <c r="NI50" s="5">
        <v>0</v>
      </c>
      <c r="NJ50" s="5">
        <v>957989</v>
      </c>
      <c r="NK50" s="2" t="s">
        <v>17</v>
      </c>
      <c r="NL50" s="2" t="s">
        <v>4292</v>
      </c>
      <c r="NM50" s="2" t="s">
        <v>17</v>
      </c>
      <c r="NO50" s="2" t="s">
        <v>9</v>
      </c>
      <c r="NP50" s="2">
        <v>34120</v>
      </c>
      <c r="NQ50" s="2" t="s">
        <v>1119</v>
      </c>
      <c r="NR50" s="2" t="s">
        <v>17</v>
      </c>
      <c r="NT50" s="2" t="s">
        <v>17</v>
      </c>
      <c r="NX50" s="2" t="s">
        <v>118</v>
      </c>
      <c r="NY50" s="2" t="s">
        <v>118</v>
      </c>
      <c r="NZ50" s="2" t="s">
        <v>118</v>
      </c>
      <c r="OA50" s="2" t="s">
        <v>17</v>
      </c>
      <c r="OB50" s="2" t="s">
        <v>119</v>
      </c>
      <c r="OC50" s="5">
        <v>10000000</v>
      </c>
      <c r="OF50" s="2" t="s">
        <v>17</v>
      </c>
      <c r="OG50" s="2" t="s">
        <v>17</v>
      </c>
      <c r="OH50" s="2" t="s">
        <v>85</v>
      </c>
      <c r="OI50" s="6">
        <v>0</v>
      </c>
      <c r="OJ50" s="6">
        <v>150000</v>
      </c>
      <c r="OK50" s="2" t="s">
        <v>17</v>
      </c>
      <c r="OL50" s="2" t="s">
        <v>17</v>
      </c>
      <c r="OM50" s="6">
        <v>0</v>
      </c>
      <c r="ON50" s="6">
        <v>0</v>
      </c>
      <c r="OO50" s="6">
        <v>0</v>
      </c>
      <c r="OP50" s="6">
        <v>0</v>
      </c>
      <c r="OQ50" s="4">
        <v>0</v>
      </c>
      <c r="OR50" s="6">
        <v>0</v>
      </c>
      <c r="OS50" s="4">
        <v>0</v>
      </c>
      <c r="OT50" s="2" t="s">
        <v>17</v>
      </c>
      <c r="OU50" s="2" t="s">
        <v>17</v>
      </c>
      <c r="OW50" s="2" t="s">
        <v>17</v>
      </c>
      <c r="OX50" s="5">
        <v>4602300</v>
      </c>
      <c r="OY50" s="6">
        <v>82183.929999999993</v>
      </c>
      <c r="PD50" s="8">
        <v>10850000</v>
      </c>
      <c r="PF50" s="8">
        <v>10850000</v>
      </c>
      <c r="PO50" s="8">
        <v>10850000</v>
      </c>
      <c r="PQ50" s="8">
        <v>10850000</v>
      </c>
      <c r="PR50" s="8">
        <v>1505000</v>
      </c>
      <c r="PT50" s="8">
        <v>1505000</v>
      </c>
      <c r="PU50" s="6">
        <v>1519000</v>
      </c>
      <c r="PV50" s="8">
        <v>12355000</v>
      </c>
      <c r="PX50" s="8">
        <v>12355000</v>
      </c>
      <c r="PY50" s="8">
        <v>612750</v>
      </c>
      <c r="QA50" s="8">
        <v>612750</v>
      </c>
      <c r="QB50" s="6">
        <v>617750</v>
      </c>
      <c r="QC50" s="8">
        <v>1047200</v>
      </c>
      <c r="QD50" s="8">
        <v>192500</v>
      </c>
      <c r="QE50" s="8">
        <v>1239700</v>
      </c>
      <c r="QF50" s="8">
        <v>75500</v>
      </c>
      <c r="QH50" s="8">
        <v>75500</v>
      </c>
      <c r="QI50" s="8">
        <v>424052</v>
      </c>
      <c r="QK50" s="8">
        <v>424052</v>
      </c>
      <c r="QM50" s="8">
        <v>211506</v>
      </c>
      <c r="QN50" s="8">
        <v>211506</v>
      </c>
      <c r="QU50" s="8">
        <v>1546752</v>
      </c>
      <c r="QV50" s="8">
        <v>404006</v>
      </c>
      <c r="QW50" s="8">
        <v>1950758</v>
      </c>
      <c r="QX50" s="8">
        <v>95000</v>
      </c>
      <c r="QZ50" s="8">
        <v>95000</v>
      </c>
      <c r="RA50" s="6">
        <v>97537.9</v>
      </c>
      <c r="RB50" s="8">
        <v>962500</v>
      </c>
      <c r="RD50" s="8">
        <v>962500</v>
      </c>
      <c r="RE50" s="8">
        <v>43750</v>
      </c>
      <c r="RF50" s="8">
        <v>43750</v>
      </c>
      <c r="RH50" s="8">
        <v>440000</v>
      </c>
      <c r="RI50" s="8">
        <v>440000</v>
      </c>
      <c r="RJ50" s="8">
        <v>962500</v>
      </c>
      <c r="RK50" s="8">
        <v>483750</v>
      </c>
      <c r="RL50" s="8">
        <v>1446250</v>
      </c>
      <c r="RT50" s="8">
        <v>15572002</v>
      </c>
      <c r="RU50" s="8">
        <v>887756</v>
      </c>
      <c r="RV50" s="8">
        <v>16459758</v>
      </c>
      <c r="RY50" s="2">
        <v>0</v>
      </c>
      <c r="RZ50" s="6">
        <v>0</v>
      </c>
      <c r="SA50" s="8">
        <v>2940000</v>
      </c>
      <c r="SC50" s="8">
        <v>2940000</v>
      </c>
      <c r="SD50" s="6">
        <v>2962756</v>
      </c>
      <c r="SE50" s="8">
        <v>2940000</v>
      </c>
      <c r="SF50" s="8">
        <v>2940000</v>
      </c>
      <c r="SG50" s="6">
        <v>2962756</v>
      </c>
      <c r="SJ50" s="6">
        <v>196000</v>
      </c>
      <c r="SK50" s="8">
        <v>1100000</v>
      </c>
      <c r="SL50" s="8">
        <v>1100000</v>
      </c>
      <c r="SM50" s="8">
        <v>18512002</v>
      </c>
      <c r="SN50" s="8">
        <v>1987756</v>
      </c>
      <c r="SO50" s="8">
        <v>20499758</v>
      </c>
      <c r="SP50" s="8">
        <v>10000000</v>
      </c>
      <c r="SQ50" s="2" t="s">
        <v>4295</v>
      </c>
      <c r="SX50" s="8">
        <v>5723300</v>
      </c>
      <c r="SY50" s="2" t="s">
        <v>96</v>
      </c>
      <c r="SZ50" s="2" t="s">
        <v>96</v>
      </c>
      <c r="TA50" s="2" t="s">
        <v>96</v>
      </c>
      <c r="TB50" s="8">
        <v>2950016</v>
      </c>
      <c r="TC50" s="2" t="s">
        <v>4671</v>
      </c>
      <c r="TD50" s="8">
        <v>37500</v>
      </c>
      <c r="TE50" s="2" t="s">
        <v>180</v>
      </c>
      <c r="TF50" s="8">
        <v>1788942</v>
      </c>
      <c r="TG50" s="8">
        <v>20499758</v>
      </c>
      <c r="TH50" s="2">
        <v>0</v>
      </c>
      <c r="TI50" s="8">
        <v>4375000</v>
      </c>
      <c r="TJ50" s="2" t="s">
        <v>4295</v>
      </c>
      <c r="TR50" s="8">
        <v>5723300</v>
      </c>
      <c r="TS50" s="8">
        <v>8428617</v>
      </c>
      <c r="TZ50" s="8">
        <v>1972841</v>
      </c>
      <c r="UA50" s="8">
        <v>20499758</v>
      </c>
      <c r="UB50" s="6">
        <v>10098300</v>
      </c>
      <c r="UC50" s="2">
        <v>0</v>
      </c>
      <c r="UD50" s="2">
        <v>56</v>
      </c>
      <c r="UE50" s="5">
        <v>240000</v>
      </c>
      <c r="UF50" s="6">
        <v>320000</v>
      </c>
      <c r="UG50" s="6">
        <v>327500</v>
      </c>
      <c r="UH50" s="6">
        <v>347150</v>
      </c>
      <c r="UI50" s="6">
        <v>19440400</v>
      </c>
      <c r="UJ50" s="6">
        <v>3499272</v>
      </c>
      <c r="UK50" s="2" t="s">
        <v>97</v>
      </c>
      <c r="UL50" s="6">
        <v>3499272</v>
      </c>
      <c r="UM50" s="6">
        <v>22939672</v>
      </c>
      <c r="UN50" s="6">
        <v>19399758</v>
      </c>
      <c r="UQ50" s="6">
        <v>0</v>
      </c>
      <c r="UR50" s="6">
        <v>37500</v>
      </c>
      <c r="US50" s="6">
        <v>37500</v>
      </c>
      <c r="UV50" s="6">
        <v>0</v>
      </c>
      <c r="UW50" s="6">
        <v>37500</v>
      </c>
      <c r="UX50" s="6">
        <v>0</v>
      </c>
      <c r="UY50" s="6">
        <v>37500</v>
      </c>
      <c r="UZ50" s="2" t="s">
        <v>1502</v>
      </c>
      <c r="VA50" s="2" t="s">
        <v>453</v>
      </c>
      <c r="VB50" s="2" t="s">
        <v>17</v>
      </c>
      <c r="VI50" s="388" t="s">
        <v>1447</v>
      </c>
      <c r="VJ50" s="2" t="s">
        <v>98</v>
      </c>
      <c r="VK50" s="2" t="s">
        <v>4672</v>
      </c>
      <c r="VL50" s="23">
        <f t="shared" si="22"/>
        <v>140</v>
      </c>
      <c r="VM50" s="17">
        <f t="shared" si="23"/>
        <v>2.5</v>
      </c>
      <c r="VN50" s="17" t="str">
        <f t="shared" si="24"/>
        <v>NC-GA-F</v>
      </c>
      <c r="VO50" s="17" t="str">
        <f t="shared" si="15"/>
        <v>NC-GA-F-ESS</v>
      </c>
      <c r="VP50" s="57">
        <v>1</v>
      </c>
      <c r="VQ50" s="17">
        <f t="shared" si="25"/>
        <v>1.1100000000000001</v>
      </c>
      <c r="VR50" s="14">
        <f t="shared" si="26"/>
        <v>1</v>
      </c>
      <c r="VS50" s="14">
        <f t="shared" si="27"/>
        <v>1</v>
      </c>
      <c r="VT50" s="12">
        <f t="shared" si="28"/>
        <v>0.85440000000000005</v>
      </c>
      <c r="VU50" s="29">
        <f t="shared" si="29"/>
        <v>4741920.0000000009</v>
      </c>
      <c r="VV50" s="29">
        <f t="shared" si="30"/>
        <v>84677.14</v>
      </c>
      <c r="VW50" s="351" t="str">
        <f t="shared" si="16"/>
        <v>A</v>
      </c>
      <c r="VX50" s="12" t="str">
        <f t="shared" si="31"/>
        <v>NC-GA-ESS</v>
      </c>
      <c r="VY50" s="23">
        <f t="shared" si="17"/>
        <v>5</v>
      </c>
      <c r="WA50" s="12">
        <f t="shared" si="18"/>
        <v>0</v>
      </c>
      <c r="WB50" s="12">
        <f t="shared" si="19"/>
        <v>1</v>
      </c>
      <c r="WC50" s="12">
        <f t="shared" si="19"/>
        <v>0</v>
      </c>
      <c r="WD50" s="12">
        <f t="shared" si="19"/>
        <v>0</v>
      </c>
      <c r="WE50" s="12">
        <f t="shared" si="20"/>
        <v>1</v>
      </c>
      <c r="WF50" s="12">
        <f t="shared" si="32"/>
        <v>1</v>
      </c>
      <c r="WG50" s="12">
        <f t="shared" si="33"/>
        <v>0</v>
      </c>
      <c r="WH50" s="12">
        <f t="shared" si="34"/>
        <v>0</v>
      </c>
      <c r="WI50" s="22">
        <f t="shared" si="35"/>
        <v>3</v>
      </c>
      <c r="WK50" s="444" t="str">
        <f t="shared" si="21"/>
        <v>NC-GA-ESS-BBY-BRN-NPH-F</v>
      </c>
      <c r="WL50" s="444"/>
      <c r="WM50" s="444"/>
    </row>
    <row r="51" spans="1:611" x14ac:dyDescent="0.25">
      <c r="A51" s="2">
        <v>9330</v>
      </c>
      <c r="B51" s="2" t="s">
        <v>4777</v>
      </c>
      <c r="C51" s="2" t="s">
        <v>4205</v>
      </c>
      <c r="D51" s="3">
        <v>45128</v>
      </c>
      <c r="E51" s="2" t="s">
        <v>9</v>
      </c>
      <c r="F51" s="2">
        <v>1</v>
      </c>
      <c r="G51" s="2" t="s">
        <v>9</v>
      </c>
      <c r="H51" s="2">
        <v>1</v>
      </c>
      <c r="I51" s="2" t="s">
        <v>11</v>
      </c>
      <c r="J51" s="2">
        <v>0</v>
      </c>
      <c r="K51" s="2" t="s">
        <v>9</v>
      </c>
      <c r="L51" s="2">
        <v>1</v>
      </c>
      <c r="M51" s="2" t="s">
        <v>10</v>
      </c>
      <c r="N51" s="2">
        <v>0</v>
      </c>
      <c r="O51" s="2" t="s">
        <v>10</v>
      </c>
      <c r="P51" s="2">
        <v>0</v>
      </c>
      <c r="Q51" s="2" t="s">
        <v>11</v>
      </c>
      <c r="R51" s="2">
        <v>0</v>
      </c>
      <c r="S51" s="2" t="s">
        <v>9</v>
      </c>
      <c r="T51" s="2">
        <v>2</v>
      </c>
      <c r="U51" s="2" t="s">
        <v>9</v>
      </c>
      <c r="V51" s="2">
        <v>2</v>
      </c>
      <c r="W51" s="2" t="s">
        <v>9</v>
      </c>
      <c r="X51" s="2">
        <v>2</v>
      </c>
      <c r="Y51" s="2" t="s">
        <v>12</v>
      </c>
      <c r="Z51" s="2" t="s">
        <v>187</v>
      </c>
      <c r="AA51" s="2" t="s">
        <v>1505</v>
      </c>
      <c r="AB51" s="2" t="s">
        <v>15</v>
      </c>
      <c r="AC51" s="2" t="s">
        <v>15</v>
      </c>
      <c r="AD51" s="2" t="s">
        <v>15</v>
      </c>
      <c r="AE51" s="2" t="s">
        <v>15</v>
      </c>
      <c r="AF51" s="2">
        <v>2</v>
      </c>
      <c r="AG51" s="2" t="s">
        <v>787</v>
      </c>
      <c r="AH51" s="2" t="s">
        <v>17</v>
      </c>
      <c r="AI51" s="4">
        <v>0.1</v>
      </c>
      <c r="AJ51" s="2" t="s">
        <v>17</v>
      </c>
      <c r="AK51" s="2" t="s">
        <v>9</v>
      </c>
      <c r="AL51" s="2" t="s">
        <v>17</v>
      </c>
      <c r="AM51" s="2" t="s">
        <v>9</v>
      </c>
      <c r="AN51" s="2" t="s">
        <v>17</v>
      </c>
      <c r="AO51" s="2" t="s">
        <v>17</v>
      </c>
      <c r="AP51" s="2" t="s">
        <v>17</v>
      </c>
      <c r="AQ51" s="2" t="s">
        <v>17</v>
      </c>
      <c r="AR51" s="2" t="s">
        <v>17</v>
      </c>
      <c r="AS51" s="2" t="s">
        <v>17</v>
      </c>
      <c r="AT51" s="2">
        <v>5</v>
      </c>
      <c r="AU51" s="5">
        <v>75000</v>
      </c>
      <c r="AV51" s="5">
        <v>610000</v>
      </c>
      <c r="AW51" s="2">
        <v>0</v>
      </c>
      <c r="AX51" s="2">
        <v>6</v>
      </c>
      <c r="AY51" s="2">
        <v>0</v>
      </c>
      <c r="AZ51" s="2">
        <v>17</v>
      </c>
      <c r="BA51" s="2">
        <v>0</v>
      </c>
      <c r="BB51" s="2">
        <v>1</v>
      </c>
      <c r="BC51" s="2">
        <v>1</v>
      </c>
      <c r="BD51" s="2">
        <v>4</v>
      </c>
      <c r="BE51" s="2">
        <v>0</v>
      </c>
      <c r="BF51" s="2">
        <v>1</v>
      </c>
      <c r="BG51" s="2">
        <v>0</v>
      </c>
      <c r="BH51" s="2">
        <v>0</v>
      </c>
      <c r="BI51" s="2">
        <v>13</v>
      </c>
      <c r="BJ51" s="2">
        <v>1</v>
      </c>
      <c r="BK51" s="2">
        <v>0</v>
      </c>
      <c r="BL51" s="2">
        <v>2</v>
      </c>
      <c r="BM51" s="2">
        <v>1</v>
      </c>
      <c r="BN51" s="2">
        <v>10</v>
      </c>
      <c r="BO51" s="2">
        <v>10</v>
      </c>
      <c r="BP51" s="2">
        <v>32.119999999999997</v>
      </c>
      <c r="BQ51" s="5">
        <v>11750000</v>
      </c>
      <c r="BR51" s="2">
        <v>1</v>
      </c>
      <c r="BS51" s="4">
        <v>0.06</v>
      </c>
      <c r="BT51" s="2" t="s">
        <v>9</v>
      </c>
      <c r="BU51" s="2" t="s">
        <v>17</v>
      </c>
      <c r="BV51" s="6">
        <v>84375.5</v>
      </c>
      <c r="BW51" s="2" t="s">
        <v>126</v>
      </c>
      <c r="BX51" s="2" t="s">
        <v>17</v>
      </c>
      <c r="BY51" s="2" t="s">
        <v>17</v>
      </c>
      <c r="BZ51" s="2" t="s">
        <v>17</v>
      </c>
      <c r="CA51" s="2" t="s">
        <v>17</v>
      </c>
      <c r="CB51" s="2" t="s">
        <v>17</v>
      </c>
      <c r="CC51" s="2" t="s">
        <v>17</v>
      </c>
      <c r="CD51" s="2" t="s">
        <v>9</v>
      </c>
      <c r="CE51" s="2" t="s">
        <v>2817</v>
      </c>
      <c r="CF51" s="2" t="s">
        <v>17</v>
      </c>
      <c r="CG51" s="2" t="s">
        <v>17</v>
      </c>
      <c r="DA51" s="2" t="s">
        <v>1172</v>
      </c>
      <c r="DD51" s="2" t="s">
        <v>9</v>
      </c>
      <c r="DE51" s="2" t="s">
        <v>1173</v>
      </c>
      <c r="DF51" s="2" t="s">
        <v>1172</v>
      </c>
      <c r="DG51" s="2" t="s">
        <v>1176</v>
      </c>
      <c r="DH51" s="2" t="s">
        <v>1175</v>
      </c>
      <c r="DI51" s="2">
        <v>120</v>
      </c>
      <c r="DJ51" s="2" t="s">
        <v>2659</v>
      </c>
      <c r="DK51" s="2">
        <v>2020</v>
      </c>
      <c r="DL51" s="2" t="s">
        <v>4209</v>
      </c>
      <c r="DM51" s="2" t="s">
        <v>4210</v>
      </c>
      <c r="DN51" s="2" t="s">
        <v>33</v>
      </c>
      <c r="DO51" s="2" t="s">
        <v>1179</v>
      </c>
      <c r="DP51" s="2" t="s">
        <v>951</v>
      </c>
      <c r="DQ51" s="2" t="s">
        <v>1180</v>
      </c>
      <c r="DR51" s="2" t="s">
        <v>4778</v>
      </c>
      <c r="DS51" s="2">
        <v>1</v>
      </c>
      <c r="DT51" s="2" t="s">
        <v>1182</v>
      </c>
      <c r="DU51" s="2" t="s">
        <v>299</v>
      </c>
      <c r="DV51" s="2" t="s">
        <v>39</v>
      </c>
      <c r="DW51" s="2">
        <v>33176</v>
      </c>
      <c r="DX51" s="2" t="s">
        <v>1183</v>
      </c>
      <c r="DY51" s="2">
        <v>218</v>
      </c>
      <c r="DZ51" s="2" t="s">
        <v>1184</v>
      </c>
      <c r="EA51" s="2" t="s">
        <v>1181</v>
      </c>
      <c r="EB51" s="2" t="s">
        <v>1185</v>
      </c>
      <c r="EC51" s="2" t="s">
        <v>330</v>
      </c>
      <c r="ED51" s="2" t="s">
        <v>44</v>
      </c>
      <c r="EE51" s="2">
        <v>300</v>
      </c>
      <c r="EF51" s="2" t="s">
        <v>2672</v>
      </c>
      <c r="EG51" s="2">
        <v>11</v>
      </c>
      <c r="EH51" s="2" t="s">
        <v>46</v>
      </c>
      <c r="EI51" s="2" t="s">
        <v>47</v>
      </c>
      <c r="EJ51" s="2" t="s">
        <v>1186</v>
      </c>
      <c r="EK51" s="2" t="s">
        <v>692</v>
      </c>
      <c r="EL51" s="2" t="s">
        <v>44</v>
      </c>
      <c r="EM51" s="2">
        <v>420</v>
      </c>
      <c r="EN51" s="2" t="s">
        <v>2672</v>
      </c>
      <c r="EO51" s="2">
        <v>18</v>
      </c>
      <c r="EP51" s="2" t="s">
        <v>46</v>
      </c>
      <c r="EQ51" s="2" t="s">
        <v>47</v>
      </c>
      <c r="ER51" s="2" t="s">
        <v>2821</v>
      </c>
      <c r="ES51" s="2" t="s">
        <v>476</v>
      </c>
      <c r="ET51" s="2" t="s">
        <v>2822</v>
      </c>
      <c r="EU51" s="2" t="s">
        <v>2817</v>
      </c>
      <c r="EV51" s="2" t="s">
        <v>1193</v>
      </c>
      <c r="EW51" s="2" t="s">
        <v>661</v>
      </c>
      <c r="EX51" s="2" t="s">
        <v>39</v>
      </c>
      <c r="EY51" s="2">
        <v>32751</v>
      </c>
      <c r="EZ51" s="2" t="s">
        <v>2823</v>
      </c>
      <c r="FB51" s="2" t="s">
        <v>2824</v>
      </c>
      <c r="FC51" s="2" t="s">
        <v>1191</v>
      </c>
      <c r="FE51" s="2" t="s">
        <v>1192</v>
      </c>
      <c r="FF51" s="2" t="s">
        <v>1172</v>
      </c>
      <c r="FG51" s="2" t="s">
        <v>1193</v>
      </c>
      <c r="FH51" s="2" t="s">
        <v>661</v>
      </c>
      <c r="FI51" s="2" t="s">
        <v>39</v>
      </c>
      <c r="FJ51" s="2">
        <v>32751</v>
      </c>
      <c r="FK51" s="2" t="s">
        <v>1194</v>
      </c>
      <c r="FM51" s="2" t="s">
        <v>1195</v>
      </c>
      <c r="FN51" s="2" t="s">
        <v>2825</v>
      </c>
      <c r="FO51" s="2" t="s">
        <v>63</v>
      </c>
      <c r="FP51" s="2" t="s">
        <v>64</v>
      </c>
      <c r="FQ51" s="2" t="s">
        <v>9</v>
      </c>
      <c r="FR51" s="2" t="s">
        <v>17</v>
      </c>
      <c r="FS51" s="2" t="s">
        <v>17</v>
      </c>
      <c r="FT51" s="2" t="s">
        <v>9</v>
      </c>
      <c r="FX51" s="2">
        <v>0</v>
      </c>
      <c r="FY51" s="2">
        <v>0</v>
      </c>
      <c r="FZ51" s="4">
        <v>0</v>
      </c>
      <c r="GA51" s="4">
        <v>0</v>
      </c>
      <c r="GB51" s="2" t="s">
        <v>65</v>
      </c>
      <c r="GC51" s="2" t="s">
        <v>66</v>
      </c>
      <c r="GD51" s="2" t="s">
        <v>67</v>
      </c>
      <c r="GE51" s="2" t="s">
        <v>68</v>
      </c>
      <c r="GF51" s="2">
        <v>120</v>
      </c>
      <c r="GG51" s="2">
        <v>120</v>
      </c>
      <c r="GQ51" s="2">
        <v>120</v>
      </c>
      <c r="GR51" s="2" t="s">
        <v>2826</v>
      </c>
      <c r="GS51" s="2" t="s">
        <v>2686</v>
      </c>
      <c r="GT51" s="2" t="s">
        <v>2827</v>
      </c>
      <c r="GU51" s="2" t="s">
        <v>2828</v>
      </c>
      <c r="GV51" s="2" t="s">
        <v>9</v>
      </c>
      <c r="GW51" s="2">
        <v>28.537089000000002</v>
      </c>
      <c r="GX51" s="2">
        <v>-81.283202000000003</v>
      </c>
      <c r="GY51" s="2" t="s">
        <v>2829</v>
      </c>
      <c r="GZ51" s="2" t="s">
        <v>17</v>
      </c>
      <c r="HA51" s="2">
        <v>0</v>
      </c>
      <c r="HB51" s="2" t="s">
        <v>17</v>
      </c>
      <c r="HC51" s="2">
        <v>0</v>
      </c>
      <c r="HD51" s="2">
        <v>28.537479000000001</v>
      </c>
      <c r="HE51" s="2">
        <v>-81.285650000000004</v>
      </c>
      <c r="HF51" s="2">
        <v>0.15</v>
      </c>
      <c r="HG51" s="2">
        <v>4</v>
      </c>
      <c r="HH51" s="2">
        <v>28.538039000000001</v>
      </c>
      <c r="HI51" s="2">
        <v>-81.285874000000007</v>
      </c>
      <c r="HJ51" s="2">
        <v>0.17</v>
      </c>
      <c r="HZ51" s="2" t="s">
        <v>316</v>
      </c>
      <c r="IA51" s="2">
        <v>0.21</v>
      </c>
      <c r="IB51" s="2">
        <v>4</v>
      </c>
      <c r="IC51" s="2" t="s">
        <v>2831</v>
      </c>
      <c r="ID51" s="2">
        <v>0.21</v>
      </c>
      <c r="IE51" s="2">
        <v>4</v>
      </c>
      <c r="II51" s="2" t="s">
        <v>2833</v>
      </c>
      <c r="IJ51" s="2">
        <v>1.03</v>
      </c>
      <c r="IK51" s="2">
        <v>2.5</v>
      </c>
      <c r="IL51" s="2" t="s">
        <v>9</v>
      </c>
      <c r="IM51" s="2" t="s">
        <v>17</v>
      </c>
      <c r="IO51" s="2" t="s">
        <v>17</v>
      </c>
      <c r="IP51" s="2" t="s">
        <v>79</v>
      </c>
      <c r="IQ51" s="2" t="s">
        <v>79</v>
      </c>
      <c r="IR51" s="2">
        <v>4</v>
      </c>
      <c r="IS51" s="2">
        <v>10.5</v>
      </c>
      <c r="IT51" s="2">
        <v>0</v>
      </c>
      <c r="IU51" s="2">
        <v>14.5</v>
      </c>
      <c r="IV51" s="2" t="s">
        <v>9</v>
      </c>
      <c r="IW51" s="2" t="s">
        <v>9</v>
      </c>
      <c r="IX51" s="2" t="s">
        <v>9</v>
      </c>
      <c r="IY51" s="2">
        <v>14.5</v>
      </c>
      <c r="IZ51" s="2">
        <v>120</v>
      </c>
      <c r="JB51" s="2" t="s">
        <v>173</v>
      </c>
      <c r="JE51" s="7">
        <v>0.1</v>
      </c>
      <c r="JG51" s="7">
        <v>0.9</v>
      </c>
      <c r="JH51" s="7">
        <v>0</v>
      </c>
      <c r="JI51" s="2">
        <v>120</v>
      </c>
      <c r="JJ51" s="7">
        <v>1</v>
      </c>
      <c r="JK51" s="2">
        <v>120</v>
      </c>
      <c r="JL51" s="7">
        <v>1</v>
      </c>
      <c r="JT51" s="2">
        <v>0</v>
      </c>
      <c r="JU51" s="2">
        <v>0</v>
      </c>
      <c r="JV51" s="2">
        <v>0</v>
      </c>
      <c r="JW51" s="4">
        <v>0</v>
      </c>
      <c r="JX51" s="2">
        <v>0</v>
      </c>
      <c r="JY51" s="4">
        <v>0</v>
      </c>
      <c r="KB51" s="7">
        <v>0.1</v>
      </c>
      <c r="KD51" s="7">
        <v>0.9</v>
      </c>
      <c r="KE51" s="7">
        <v>1</v>
      </c>
      <c r="KF51" s="2">
        <v>120</v>
      </c>
      <c r="KH51" s="2">
        <v>60</v>
      </c>
      <c r="KK51" s="2">
        <v>48</v>
      </c>
      <c r="KL51" s="2">
        <v>12</v>
      </c>
      <c r="KQ51" s="2" t="s">
        <v>83</v>
      </c>
      <c r="KS51" s="2" t="s">
        <v>73</v>
      </c>
      <c r="KT51" s="2">
        <v>2</v>
      </c>
      <c r="KU51" s="2" t="s">
        <v>84</v>
      </c>
      <c r="KW51" s="2" t="s">
        <v>86</v>
      </c>
      <c r="KX51" s="2" t="s">
        <v>17</v>
      </c>
      <c r="KY51" s="2" t="s">
        <v>17</v>
      </c>
      <c r="KZ51" s="2" t="s">
        <v>17</v>
      </c>
      <c r="LA51" s="2" t="s">
        <v>17</v>
      </c>
      <c r="LB51" s="2" t="s">
        <v>17</v>
      </c>
      <c r="LC51" s="2" t="s">
        <v>17</v>
      </c>
      <c r="LD51" s="2" t="s">
        <v>17</v>
      </c>
      <c r="LE51" s="2" t="s">
        <v>17</v>
      </c>
      <c r="LF51" s="2" t="s">
        <v>17</v>
      </c>
      <c r="LG51" s="2" t="s">
        <v>17</v>
      </c>
      <c r="LH51" s="2" t="s">
        <v>17</v>
      </c>
      <c r="LI51" s="2" t="s">
        <v>17</v>
      </c>
      <c r="LJ51" s="2" t="s">
        <v>87</v>
      </c>
      <c r="LK51" s="2" t="s">
        <v>17</v>
      </c>
      <c r="LL51" s="2" t="s">
        <v>17</v>
      </c>
      <c r="LM51" s="2">
        <v>0</v>
      </c>
      <c r="LN51" s="2" t="s">
        <v>17</v>
      </c>
      <c r="LO51" s="2" t="s">
        <v>17</v>
      </c>
      <c r="LP51" s="2" t="s">
        <v>17</v>
      </c>
      <c r="LQ51" s="2" t="s">
        <v>17</v>
      </c>
      <c r="LR51" s="2" t="s">
        <v>17</v>
      </c>
      <c r="LS51" s="2" t="s">
        <v>17</v>
      </c>
      <c r="LT51" s="2" t="s">
        <v>9</v>
      </c>
      <c r="LU51" s="2" t="s">
        <v>9</v>
      </c>
      <c r="LV51" s="2" t="s">
        <v>17</v>
      </c>
      <c r="LW51" s="2" t="s">
        <v>17</v>
      </c>
      <c r="LX51" s="2" t="s">
        <v>9</v>
      </c>
      <c r="LY51" s="5">
        <v>6500000</v>
      </c>
      <c r="LZ51" s="5">
        <v>0</v>
      </c>
      <c r="MA51" s="5">
        <v>11000000</v>
      </c>
      <c r="MB51" s="5">
        <v>11000000</v>
      </c>
      <c r="MC51" s="5">
        <v>11000000</v>
      </c>
      <c r="MD51" s="5">
        <v>750000</v>
      </c>
      <c r="ME51" s="5">
        <v>750000</v>
      </c>
      <c r="MF51" s="5">
        <v>750000</v>
      </c>
      <c r="MG51" s="5">
        <v>10000000</v>
      </c>
      <c r="MH51" s="5">
        <v>0</v>
      </c>
      <c r="MI51" s="5">
        <v>10000000</v>
      </c>
      <c r="MJ51" s="5">
        <v>0</v>
      </c>
      <c r="MK51" s="5">
        <v>829700</v>
      </c>
      <c r="ML51" s="5">
        <v>0</v>
      </c>
      <c r="MM51" s="5">
        <v>0</v>
      </c>
      <c r="MN51" s="2">
        <v>0</v>
      </c>
      <c r="MO51" s="5">
        <v>0</v>
      </c>
      <c r="MP51" s="5">
        <v>0</v>
      </c>
      <c r="MQ51" s="2">
        <v>0</v>
      </c>
      <c r="MR51" s="2">
        <v>0</v>
      </c>
      <c r="MS51" s="2">
        <v>0</v>
      </c>
      <c r="MT51" s="5">
        <v>2950000</v>
      </c>
      <c r="MU51" s="5">
        <v>0</v>
      </c>
      <c r="MV51" s="5">
        <v>4600000</v>
      </c>
      <c r="MW51" s="5">
        <v>0</v>
      </c>
      <c r="MY51" s="5">
        <v>0</v>
      </c>
      <c r="MZ51" s="5">
        <v>0</v>
      </c>
      <c r="NA51" s="5">
        <v>0</v>
      </c>
      <c r="NB51" s="5">
        <v>2500000</v>
      </c>
      <c r="NC51" s="5">
        <v>0</v>
      </c>
      <c r="ND51" s="5">
        <v>5000000</v>
      </c>
      <c r="NE51" s="5">
        <v>0</v>
      </c>
      <c r="NF51" s="5">
        <v>0</v>
      </c>
      <c r="NG51" s="5">
        <v>0</v>
      </c>
      <c r="NH51" s="5"/>
      <c r="NI51" s="5">
        <v>0</v>
      </c>
      <c r="NJ51" s="5">
        <v>1818034</v>
      </c>
      <c r="NK51" s="2" t="s">
        <v>17</v>
      </c>
      <c r="NL51" s="2" t="s">
        <v>4292</v>
      </c>
      <c r="NM51" s="2" t="s">
        <v>17</v>
      </c>
      <c r="NO51" s="2" t="s">
        <v>9</v>
      </c>
      <c r="NP51" s="2">
        <v>32822</v>
      </c>
      <c r="NQ51" s="2" t="s">
        <v>2835</v>
      </c>
      <c r="NR51" s="2" t="s">
        <v>17</v>
      </c>
      <c r="NT51" s="2" t="s">
        <v>17</v>
      </c>
      <c r="NX51" s="2" t="s">
        <v>118</v>
      </c>
      <c r="NY51" s="2" t="s">
        <v>118</v>
      </c>
      <c r="NZ51" s="2" t="s">
        <v>118</v>
      </c>
      <c r="OA51" s="2" t="s">
        <v>17</v>
      </c>
      <c r="OB51" s="2" t="s">
        <v>119</v>
      </c>
      <c r="OC51" s="5">
        <v>20000000</v>
      </c>
      <c r="OF51" s="2" t="s">
        <v>17</v>
      </c>
      <c r="OG51" s="2" t="s">
        <v>17</v>
      </c>
      <c r="OH51" s="2" t="s">
        <v>85</v>
      </c>
      <c r="OI51" s="6">
        <v>0</v>
      </c>
      <c r="OJ51" s="6">
        <v>330000</v>
      </c>
      <c r="OK51" s="2" t="s">
        <v>17</v>
      </c>
      <c r="OL51" s="2" t="s">
        <v>17</v>
      </c>
      <c r="OM51" s="6">
        <v>0</v>
      </c>
      <c r="ON51" s="6">
        <v>0</v>
      </c>
      <c r="OO51" s="6">
        <v>0</v>
      </c>
      <c r="OP51" s="6">
        <v>0</v>
      </c>
      <c r="OQ51" s="4">
        <v>0</v>
      </c>
      <c r="OR51" s="6">
        <v>0</v>
      </c>
      <c r="OS51" s="4">
        <v>0</v>
      </c>
      <c r="OT51" s="2" t="s">
        <v>17</v>
      </c>
      <c r="OU51" s="2" t="s">
        <v>17</v>
      </c>
      <c r="OW51" s="2" t="s">
        <v>17</v>
      </c>
      <c r="OX51" s="5">
        <v>10125060</v>
      </c>
      <c r="OY51" s="6">
        <v>84375.5</v>
      </c>
      <c r="OZ51" s="8">
        <v>100000</v>
      </c>
      <c r="PA51" s="8">
        <v>100000</v>
      </c>
      <c r="PD51" s="8">
        <v>18000000</v>
      </c>
      <c r="PF51" s="8">
        <v>18000000</v>
      </c>
      <c r="PG51" s="8">
        <v>3168000</v>
      </c>
      <c r="PH51" s="8">
        <v>332000</v>
      </c>
      <c r="PI51" s="8">
        <v>3500000</v>
      </c>
      <c r="PO51" s="8">
        <v>21168000</v>
      </c>
      <c r="PP51" s="8">
        <v>432000</v>
      </c>
      <c r="PQ51" s="8">
        <v>21600000</v>
      </c>
      <c r="PR51" s="8">
        <v>3024000</v>
      </c>
      <c r="PT51" s="8">
        <v>3024000</v>
      </c>
      <c r="PU51" s="6">
        <v>3024000</v>
      </c>
      <c r="PV51" s="8">
        <v>24192000</v>
      </c>
      <c r="PW51" s="8">
        <v>432000</v>
      </c>
      <c r="PX51" s="8">
        <v>24624000</v>
      </c>
      <c r="PY51" s="8">
        <v>1231200</v>
      </c>
      <c r="QA51" s="8">
        <v>1231200</v>
      </c>
      <c r="QB51" s="6">
        <v>1231200</v>
      </c>
      <c r="QC51" s="8">
        <v>1692937</v>
      </c>
      <c r="QD51" s="8">
        <v>240500</v>
      </c>
      <c r="QE51" s="8">
        <v>1933437</v>
      </c>
      <c r="QF51" s="8">
        <v>236800</v>
      </c>
      <c r="QH51" s="8">
        <v>236800</v>
      </c>
      <c r="QI51" s="8">
        <v>956130</v>
      </c>
      <c r="QJ51" s="8">
        <v>54000</v>
      </c>
      <c r="QK51" s="8">
        <v>1010130</v>
      </c>
      <c r="QM51" s="8">
        <v>436213</v>
      </c>
      <c r="QN51" s="8">
        <v>436213</v>
      </c>
      <c r="QR51" s="8">
        <v>142500</v>
      </c>
      <c r="QS51" s="8">
        <v>237500</v>
      </c>
      <c r="QT51" s="8">
        <v>380000</v>
      </c>
      <c r="QU51" s="8">
        <v>3028367</v>
      </c>
      <c r="QV51" s="8">
        <v>968213</v>
      </c>
      <c r="QW51" s="8">
        <v>3996580</v>
      </c>
      <c r="QX51" s="8">
        <v>199829</v>
      </c>
      <c r="QZ51" s="8">
        <v>199829</v>
      </c>
      <c r="RA51" s="6">
        <v>199829</v>
      </c>
      <c r="RB51" s="8">
        <v>690420</v>
      </c>
      <c r="RC51" s="8">
        <v>274466</v>
      </c>
      <c r="RD51" s="8">
        <v>964886</v>
      </c>
      <c r="RE51" s="8">
        <v>177500</v>
      </c>
      <c r="RF51" s="8">
        <v>177500</v>
      </c>
      <c r="RG51" s="8">
        <v>4660</v>
      </c>
      <c r="RI51" s="8">
        <v>4660</v>
      </c>
      <c r="RJ51" s="8">
        <v>695080</v>
      </c>
      <c r="RK51" s="8">
        <v>451966</v>
      </c>
      <c r="RL51" s="8">
        <v>1147046</v>
      </c>
      <c r="RT51" s="8">
        <v>29346476</v>
      </c>
      <c r="RU51" s="8">
        <v>1852179</v>
      </c>
      <c r="RV51" s="8">
        <v>31198655</v>
      </c>
      <c r="RY51" s="2">
        <v>0</v>
      </c>
      <c r="RZ51" s="6">
        <v>0</v>
      </c>
      <c r="SA51" s="8">
        <v>5615735</v>
      </c>
      <c r="SC51" s="8">
        <v>5615735</v>
      </c>
      <c r="SD51" s="6">
        <v>5615757</v>
      </c>
      <c r="SE51" s="8">
        <v>5615735</v>
      </c>
      <c r="SF51" s="8">
        <v>5615735</v>
      </c>
      <c r="SG51" s="6">
        <v>5615757</v>
      </c>
      <c r="SH51" s="8">
        <v>420000</v>
      </c>
      <c r="SI51" s="8">
        <v>420000</v>
      </c>
      <c r="SJ51" s="6">
        <v>420000</v>
      </c>
      <c r="SK51" s="8">
        <v>1600000</v>
      </c>
      <c r="SL51" s="8">
        <v>1600000</v>
      </c>
      <c r="SM51" s="8">
        <v>34962211</v>
      </c>
      <c r="SN51" s="8">
        <v>3872179</v>
      </c>
      <c r="SO51" s="8">
        <v>38834390</v>
      </c>
      <c r="SP51" s="8">
        <v>20000000</v>
      </c>
      <c r="SQ51" s="2" t="s">
        <v>4295</v>
      </c>
      <c r="SX51" s="8">
        <v>11750000</v>
      </c>
      <c r="SY51" s="2" t="s">
        <v>96</v>
      </c>
      <c r="SZ51" s="2" t="s">
        <v>96</v>
      </c>
      <c r="TA51" s="2" t="s">
        <v>96</v>
      </c>
      <c r="TB51" s="8">
        <v>8634797</v>
      </c>
      <c r="TC51" s="2" t="s">
        <v>2838</v>
      </c>
      <c r="TD51" s="8">
        <v>104000</v>
      </c>
      <c r="TE51" s="2" t="s">
        <v>180</v>
      </c>
      <c r="TF51" s="2">
        <v>0</v>
      </c>
      <c r="TG51" s="8">
        <v>40488797</v>
      </c>
      <c r="TH51" s="8">
        <v>1654407</v>
      </c>
      <c r="TI51" s="8">
        <v>6400000</v>
      </c>
      <c r="TJ51" s="2" t="s">
        <v>4295</v>
      </c>
      <c r="TR51" s="8">
        <v>11750000</v>
      </c>
      <c r="TS51" s="8">
        <v>17269594</v>
      </c>
      <c r="TT51" s="2" t="s">
        <v>2838</v>
      </c>
      <c r="TU51" s="8">
        <v>104000</v>
      </c>
      <c r="TV51" s="2" t="s">
        <v>180</v>
      </c>
      <c r="TZ51" s="8">
        <v>3310796</v>
      </c>
      <c r="UA51" s="8">
        <v>38834390</v>
      </c>
      <c r="UB51" s="6">
        <v>18254000</v>
      </c>
      <c r="UC51" s="2">
        <v>0</v>
      </c>
      <c r="UD51" s="2">
        <v>120</v>
      </c>
      <c r="UE51" s="5">
        <v>240000</v>
      </c>
      <c r="UF51" s="6">
        <v>320000</v>
      </c>
      <c r="UG51" s="6">
        <v>327500</v>
      </c>
      <c r="UH51" s="6">
        <v>347150</v>
      </c>
      <c r="UI51" s="6">
        <v>41658000</v>
      </c>
      <c r="UJ51" s="6">
        <v>7498440</v>
      </c>
      <c r="UK51" s="2" t="s">
        <v>97</v>
      </c>
      <c r="UL51" s="6">
        <v>7498440</v>
      </c>
      <c r="UM51" s="6">
        <v>49156440</v>
      </c>
      <c r="UN51" s="6">
        <v>36714390</v>
      </c>
      <c r="UO51" s="6">
        <v>104000</v>
      </c>
      <c r="UP51" s="6">
        <v>28110.080000000002</v>
      </c>
      <c r="UQ51" s="6">
        <v>75889.919999999998</v>
      </c>
      <c r="US51" s="6">
        <v>0</v>
      </c>
      <c r="UV51" s="6">
        <v>0</v>
      </c>
      <c r="UW51" s="6">
        <v>104000</v>
      </c>
      <c r="UX51" s="6">
        <v>28110.080000000002</v>
      </c>
      <c r="UY51" s="6">
        <v>75889.919999999998</v>
      </c>
      <c r="UZ51" s="2" t="s">
        <v>2838</v>
      </c>
      <c r="VA51" s="2" t="s">
        <v>182</v>
      </c>
      <c r="VB51" s="2" t="s">
        <v>9</v>
      </c>
      <c r="VC51" s="2">
        <v>3</v>
      </c>
      <c r="VD51" s="2">
        <v>3</v>
      </c>
      <c r="VE51" s="2" t="s">
        <v>17</v>
      </c>
      <c r="VG51" s="2" t="s">
        <v>17</v>
      </c>
      <c r="VI51" s="388" t="s">
        <v>1173</v>
      </c>
      <c r="VJ51" s="2" t="s">
        <v>98</v>
      </c>
      <c r="VK51" s="2" t="s">
        <v>1224</v>
      </c>
      <c r="VL51" s="23">
        <f t="shared" si="22"/>
        <v>192</v>
      </c>
      <c r="VM51" s="17">
        <f t="shared" si="23"/>
        <v>1.6</v>
      </c>
      <c r="VN51" s="17" t="str">
        <f t="shared" si="24"/>
        <v>NC-GA-E</v>
      </c>
      <c r="VO51" s="17" t="str">
        <f t="shared" si="15"/>
        <v>NC-GA-E-ESS</v>
      </c>
      <c r="VP51" s="57">
        <v>1</v>
      </c>
      <c r="VQ51" s="17">
        <f t="shared" si="25"/>
        <v>1.1100000000000001</v>
      </c>
      <c r="VR51" s="14">
        <f t="shared" si="26"/>
        <v>1</v>
      </c>
      <c r="VS51" s="14">
        <f t="shared" si="27"/>
        <v>1</v>
      </c>
      <c r="VT51" s="12">
        <f t="shared" si="28"/>
        <v>0.85439999999999994</v>
      </c>
      <c r="VU51" s="29">
        <f t="shared" si="29"/>
        <v>10432224</v>
      </c>
      <c r="VV51" s="29">
        <f t="shared" si="30"/>
        <v>86935.2</v>
      </c>
      <c r="VW51" s="351" t="str">
        <f t="shared" si="16"/>
        <v>A</v>
      </c>
      <c r="VX51" s="12" t="str">
        <f t="shared" si="31"/>
        <v>NC-GA-ESS</v>
      </c>
      <c r="VY51" s="23">
        <f t="shared" si="17"/>
        <v>5</v>
      </c>
      <c r="WA51" s="12">
        <f t="shared" si="18"/>
        <v>1</v>
      </c>
      <c r="WB51" s="12">
        <f t="shared" si="19"/>
        <v>1</v>
      </c>
      <c r="WC51" s="12">
        <f t="shared" si="19"/>
        <v>0</v>
      </c>
      <c r="WD51" s="12">
        <f t="shared" si="19"/>
        <v>0</v>
      </c>
      <c r="WE51" s="12">
        <f t="shared" si="20"/>
        <v>1</v>
      </c>
      <c r="WF51" s="12">
        <f t="shared" si="32"/>
        <v>1</v>
      </c>
      <c r="WG51" s="12">
        <f t="shared" si="33"/>
        <v>0</v>
      </c>
      <c r="WH51" s="12">
        <f t="shared" si="34"/>
        <v>0</v>
      </c>
      <c r="WI51" s="22">
        <f t="shared" si="35"/>
        <v>4</v>
      </c>
      <c r="WK51" s="444" t="str">
        <f t="shared" si="21"/>
        <v>NC-GA-ESS-BBY-BRN-NPH-E</v>
      </c>
      <c r="WL51" s="444"/>
      <c r="WM51" s="444"/>
    </row>
    <row r="52" spans="1:611" x14ac:dyDescent="0.25">
      <c r="A52" s="2">
        <v>9313</v>
      </c>
      <c r="B52" s="2" t="s">
        <v>4779</v>
      </c>
      <c r="C52" s="2" t="s">
        <v>4205</v>
      </c>
      <c r="D52" s="3">
        <v>45128</v>
      </c>
      <c r="E52" s="2" t="s">
        <v>9</v>
      </c>
      <c r="F52" s="2">
        <v>1</v>
      </c>
      <c r="G52" s="2" t="s">
        <v>9</v>
      </c>
      <c r="H52" s="2">
        <v>1</v>
      </c>
      <c r="I52" s="2" t="s">
        <v>11</v>
      </c>
      <c r="J52" s="2">
        <v>0</v>
      </c>
      <c r="K52" s="2" t="s">
        <v>9</v>
      </c>
      <c r="L52" s="2">
        <v>1</v>
      </c>
      <c r="M52" s="2" t="s">
        <v>10</v>
      </c>
      <c r="N52" s="2">
        <v>0</v>
      </c>
      <c r="O52" s="2" t="s">
        <v>10</v>
      </c>
      <c r="P52" s="2">
        <v>0</v>
      </c>
      <c r="Q52" s="2" t="s">
        <v>11</v>
      </c>
      <c r="R52" s="2">
        <v>0</v>
      </c>
      <c r="S52" s="2" t="s">
        <v>9</v>
      </c>
      <c r="T52" s="2">
        <v>2</v>
      </c>
      <c r="U52" s="2" t="s">
        <v>9</v>
      </c>
      <c r="V52" s="2">
        <v>2</v>
      </c>
      <c r="W52" s="2" t="s">
        <v>9</v>
      </c>
      <c r="X52" s="2">
        <v>2</v>
      </c>
      <c r="Y52" s="2" t="s">
        <v>12</v>
      </c>
      <c r="Z52" s="2" t="s">
        <v>3255</v>
      </c>
      <c r="AA52" s="2" t="s">
        <v>1570</v>
      </c>
      <c r="AB52" s="2" t="s">
        <v>3256</v>
      </c>
      <c r="AC52" s="2" t="s">
        <v>15</v>
      </c>
      <c r="AD52" s="2" t="s">
        <v>15</v>
      </c>
      <c r="AE52" s="2" t="s">
        <v>15</v>
      </c>
      <c r="AF52" s="2">
        <v>3</v>
      </c>
      <c r="AG52" s="2" t="s">
        <v>3257</v>
      </c>
      <c r="AH52" s="2" t="s">
        <v>17</v>
      </c>
      <c r="AI52" s="4">
        <v>0.15493000000000001</v>
      </c>
      <c r="AJ52" s="2" t="s">
        <v>17</v>
      </c>
      <c r="AK52" s="2" t="s">
        <v>9</v>
      </c>
      <c r="AL52" s="2" t="s">
        <v>17</v>
      </c>
      <c r="AM52" s="2" t="s">
        <v>9</v>
      </c>
      <c r="AN52" s="2" t="s">
        <v>17</v>
      </c>
      <c r="AO52" s="2" t="s">
        <v>17</v>
      </c>
      <c r="AP52" s="2" t="s">
        <v>17</v>
      </c>
      <c r="AQ52" s="2" t="s">
        <v>17</v>
      </c>
      <c r="AR52" s="2" t="s">
        <v>17</v>
      </c>
      <c r="AS52" s="2" t="s">
        <v>17</v>
      </c>
      <c r="AT52" s="2">
        <v>5</v>
      </c>
      <c r="AU52" s="5">
        <v>75000</v>
      </c>
      <c r="AV52" s="5">
        <v>610000</v>
      </c>
      <c r="AW52" s="2">
        <v>1</v>
      </c>
      <c r="AX52" s="2">
        <v>3</v>
      </c>
      <c r="AY52" s="2">
        <v>0</v>
      </c>
      <c r="AZ52" s="2">
        <v>17</v>
      </c>
      <c r="BA52" s="2">
        <v>0</v>
      </c>
      <c r="BB52" s="2">
        <v>1</v>
      </c>
      <c r="BC52" s="2">
        <v>1</v>
      </c>
      <c r="BD52" s="2">
        <v>3</v>
      </c>
      <c r="BE52" s="2">
        <v>1</v>
      </c>
      <c r="BF52" s="2">
        <v>1</v>
      </c>
      <c r="BG52" s="2">
        <v>0</v>
      </c>
      <c r="BH52" s="2">
        <v>0</v>
      </c>
      <c r="BI52" s="2">
        <v>13</v>
      </c>
      <c r="BJ52" s="2">
        <v>1</v>
      </c>
      <c r="BK52" s="2">
        <v>0</v>
      </c>
      <c r="BL52" s="2">
        <v>3</v>
      </c>
      <c r="BM52" s="2">
        <v>1</v>
      </c>
      <c r="BN52" s="2">
        <v>10</v>
      </c>
      <c r="BO52" s="2">
        <v>10</v>
      </c>
      <c r="BP52" s="2">
        <v>30.99</v>
      </c>
      <c r="BQ52" s="5">
        <v>7326300</v>
      </c>
      <c r="BR52" s="2">
        <v>1</v>
      </c>
      <c r="BS52" s="4">
        <v>0.06</v>
      </c>
      <c r="BT52" s="2" t="s">
        <v>9</v>
      </c>
      <c r="BU52" s="2" t="s">
        <v>17</v>
      </c>
      <c r="BV52" s="6">
        <v>87442.4</v>
      </c>
      <c r="BW52" s="2" t="s">
        <v>18</v>
      </c>
      <c r="BX52" s="2" t="s">
        <v>17</v>
      </c>
      <c r="BY52" s="2" t="s">
        <v>17</v>
      </c>
      <c r="BZ52" s="2" t="s">
        <v>17</v>
      </c>
      <c r="CA52" s="2" t="s">
        <v>17</v>
      </c>
      <c r="CB52" s="2" t="s">
        <v>17</v>
      </c>
      <c r="CC52" s="2" t="s">
        <v>17</v>
      </c>
      <c r="CE52" s="2" t="s">
        <v>3258</v>
      </c>
      <c r="CF52" s="2" t="s">
        <v>17</v>
      </c>
      <c r="CG52" s="2" t="s">
        <v>17</v>
      </c>
      <c r="DA52" s="2" t="s">
        <v>3259</v>
      </c>
      <c r="DD52" s="2" t="s">
        <v>9</v>
      </c>
      <c r="DE52" s="2" t="s">
        <v>1408</v>
      </c>
      <c r="DF52" s="2" t="s">
        <v>3259</v>
      </c>
      <c r="DG52" s="2" t="s">
        <v>1424</v>
      </c>
      <c r="DH52" s="2" t="s">
        <v>464</v>
      </c>
      <c r="DI52" s="2">
        <v>120</v>
      </c>
      <c r="DJ52" s="2" t="s">
        <v>3260</v>
      </c>
      <c r="DK52" s="2">
        <v>2011</v>
      </c>
      <c r="DL52" s="2" t="s">
        <v>4209</v>
      </c>
      <c r="DM52" s="2" t="s">
        <v>4210</v>
      </c>
      <c r="DN52" s="2" t="s">
        <v>33</v>
      </c>
      <c r="DO52" s="2" t="s">
        <v>1414</v>
      </c>
      <c r="DP52" s="2" t="s">
        <v>1415</v>
      </c>
      <c r="DQ52" s="2" t="s">
        <v>1416</v>
      </c>
      <c r="DR52" s="2" t="s">
        <v>1417</v>
      </c>
      <c r="DS52" s="2">
        <v>1</v>
      </c>
      <c r="DT52" s="2" t="s">
        <v>1418</v>
      </c>
      <c r="DU52" s="2" t="s">
        <v>1419</v>
      </c>
      <c r="DV52" s="2" t="s">
        <v>39</v>
      </c>
      <c r="DW52" s="2">
        <v>32714</v>
      </c>
      <c r="DX52" s="2" t="s">
        <v>1420</v>
      </c>
      <c r="DY52" s="2">
        <v>294</v>
      </c>
      <c r="DZ52" s="2" t="s">
        <v>1421</v>
      </c>
      <c r="EA52" s="2" t="s">
        <v>1417</v>
      </c>
      <c r="EB52" s="2" t="s">
        <v>1422</v>
      </c>
      <c r="EC52" s="2" t="s">
        <v>1423</v>
      </c>
      <c r="ED52" s="2" t="s">
        <v>44</v>
      </c>
      <c r="EE52" s="2">
        <v>200</v>
      </c>
      <c r="EF52" s="2" t="s">
        <v>3261</v>
      </c>
      <c r="EG52" s="2">
        <v>14</v>
      </c>
      <c r="EH52" s="2" t="s">
        <v>46</v>
      </c>
      <c r="EI52" s="2" t="s">
        <v>47</v>
      </c>
      <c r="EJ52" s="2" t="s">
        <v>1424</v>
      </c>
      <c r="EK52" s="2" t="s">
        <v>464</v>
      </c>
      <c r="EL52" s="2" t="s">
        <v>44</v>
      </c>
      <c r="EM52" s="2">
        <v>120</v>
      </c>
      <c r="EN52" s="2" t="s">
        <v>3261</v>
      </c>
      <c r="EO52" s="2">
        <v>12</v>
      </c>
      <c r="EP52" s="2" t="s">
        <v>46</v>
      </c>
      <c r="EQ52" s="2" t="s">
        <v>47</v>
      </c>
      <c r="ER52" s="2" t="s">
        <v>738</v>
      </c>
      <c r="ES52" s="2" t="s">
        <v>951</v>
      </c>
      <c r="ET52" s="2" t="s">
        <v>1425</v>
      </c>
      <c r="EU52" s="2" t="s">
        <v>1426</v>
      </c>
      <c r="EV52" s="2" t="s">
        <v>1418</v>
      </c>
      <c r="EW52" s="2" t="s">
        <v>1419</v>
      </c>
      <c r="EX52" s="2" t="s">
        <v>39</v>
      </c>
      <c r="EY52" s="2">
        <v>32714</v>
      </c>
      <c r="EZ52" s="2" t="s">
        <v>1420</v>
      </c>
      <c r="FA52" s="2">
        <v>202</v>
      </c>
      <c r="FB52" s="2" t="s">
        <v>1427</v>
      </c>
      <c r="FC52" s="2" t="s">
        <v>1428</v>
      </c>
      <c r="FD52" s="2" t="s">
        <v>1429</v>
      </c>
      <c r="FE52" s="2" t="s">
        <v>1430</v>
      </c>
      <c r="FF52" s="2" t="s">
        <v>1426</v>
      </c>
      <c r="FG52" s="2" t="s">
        <v>1418</v>
      </c>
      <c r="FH52" s="2" t="s">
        <v>1419</v>
      </c>
      <c r="FI52" s="2" t="s">
        <v>39</v>
      </c>
      <c r="FJ52" s="2">
        <v>32714</v>
      </c>
      <c r="FK52" s="2" t="s">
        <v>1420</v>
      </c>
      <c r="FL52" s="2">
        <v>210</v>
      </c>
      <c r="FM52" s="2" t="s">
        <v>1431</v>
      </c>
      <c r="FN52" s="2" t="s">
        <v>3262</v>
      </c>
      <c r="FO52" s="2" t="s">
        <v>63</v>
      </c>
      <c r="FP52" s="2" t="s">
        <v>64</v>
      </c>
      <c r="FQ52" s="2" t="s">
        <v>9</v>
      </c>
      <c r="FR52" s="2" t="s">
        <v>17</v>
      </c>
      <c r="FS52" s="2" t="s">
        <v>17</v>
      </c>
      <c r="FT52" s="2" t="s">
        <v>9</v>
      </c>
      <c r="FX52" s="2">
        <v>0</v>
      </c>
      <c r="FY52" s="2">
        <v>0</v>
      </c>
      <c r="FZ52" s="4">
        <v>0</v>
      </c>
      <c r="GA52" s="4">
        <v>0</v>
      </c>
      <c r="GB52" s="2" t="s">
        <v>65</v>
      </c>
      <c r="GC52" s="2" t="s">
        <v>66</v>
      </c>
      <c r="GD52" s="2" t="s">
        <v>67</v>
      </c>
      <c r="GE52" s="2" t="s">
        <v>68</v>
      </c>
      <c r="GF52" s="2">
        <v>71</v>
      </c>
      <c r="GG52" s="2">
        <v>71</v>
      </c>
      <c r="GQ52" s="2">
        <v>71</v>
      </c>
      <c r="GR52" s="2" t="s">
        <v>2802</v>
      </c>
      <c r="GS52" s="2" t="s">
        <v>2686</v>
      </c>
      <c r="GT52" s="2" t="s">
        <v>3263</v>
      </c>
      <c r="GU52" s="2" t="s">
        <v>3244</v>
      </c>
      <c r="GV52" s="2" t="s">
        <v>17</v>
      </c>
      <c r="GW52" s="2">
        <v>27.997610999999999</v>
      </c>
      <c r="GX52" s="2">
        <v>-82.767217000000002</v>
      </c>
      <c r="GZ52" s="2" t="s">
        <v>17</v>
      </c>
      <c r="HA52" s="2">
        <v>0</v>
      </c>
      <c r="HB52" s="2" t="s">
        <v>17</v>
      </c>
      <c r="HC52" s="2">
        <v>0</v>
      </c>
      <c r="HD52" s="2">
        <v>27.997419000000001</v>
      </c>
      <c r="HE52" s="2">
        <v>-82.783259000000001</v>
      </c>
      <c r="HF52" s="2">
        <v>0.98</v>
      </c>
      <c r="HG52" s="2">
        <v>4.5</v>
      </c>
      <c r="HH52" s="2">
        <v>27.996880000000001</v>
      </c>
      <c r="HI52" s="2">
        <v>-82.754878000000005</v>
      </c>
      <c r="HJ52" s="2">
        <v>0.76</v>
      </c>
      <c r="HK52" s="2">
        <v>27.997350000000001</v>
      </c>
      <c r="HL52" s="2">
        <v>-82.783417999999998</v>
      </c>
      <c r="HM52" s="2">
        <v>0.99</v>
      </c>
      <c r="IC52" s="2" t="s">
        <v>3264</v>
      </c>
      <c r="ID52" s="2">
        <v>0.62</v>
      </c>
      <c r="IE52" s="2">
        <v>3</v>
      </c>
      <c r="IF52" s="2" t="s">
        <v>224</v>
      </c>
      <c r="IG52" s="2">
        <v>0.48</v>
      </c>
      <c r="IH52" s="2">
        <v>3.5</v>
      </c>
      <c r="II52" s="2" t="s">
        <v>3267</v>
      </c>
      <c r="IJ52" s="2">
        <v>0.56000000000000005</v>
      </c>
      <c r="IK52" s="2">
        <v>3.5</v>
      </c>
      <c r="IL52" s="2" t="s">
        <v>17</v>
      </c>
      <c r="IM52" s="2" t="s">
        <v>17</v>
      </c>
      <c r="IO52" s="2" t="s">
        <v>17</v>
      </c>
      <c r="IP52" s="2" t="s">
        <v>79</v>
      </c>
      <c r="IQ52" s="2" t="s">
        <v>79</v>
      </c>
      <c r="IR52" s="2">
        <v>4.5</v>
      </c>
      <c r="IS52" s="2">
        <v>10</v>
      </c>
      <c r="IT52" s="2">
        <v>0</v>
      </c>
      <c r="IU52" s="2">
        <v>14.5</v>
      </c>
      <c r="IV52" s="2" t="s">
        <v>9</v>
      </c>
      <c r="IW52" s="2" t="s">
        <v>9</v>
      </c>
      <c r="IX52" s="2" t="s">
        <v>9</v>
      </c>
      <c r="IY52" s="2">
        <v>14.5</v>
      </c>
      <c r="IZ52" s="2">
        <v>71</v>
      </c>
      <c r="JB52" s="2" t="s">
        <v>82</v>
      </c>
      <c r="JH52" s="7">
        <v>0</v>
      </c>
      <c r="JI52" s="2">
        <v>0</v>
      </c>
      <c r="JJ52" s="7">
        <v>0</v>
      </c>
      <c r="JK52" s="2">
        <v>0</v>
      </c>
      <c r="JL52" s="7">
        <v>0</v>
      </c>
      <c r="JN52" s="2">
        <v>11</v>
      </c>
      <c r="JQ52" s="2">
        <v>44</v>
      </c>
      <c r="JS52" s="2">
        <v>16</v>
      </c>
      <c r="JT52" s="2">
        <v>0</v>
      </c>
      <c r="JU52" s="2">
        <v>0</v>
      </c>
      <c r="JV52" s="2">
        <v>71</v>
      </c>
      <c r="JW52" s="4">
        <v>1</v>
      </c>
      <c r="JX52" s="2">
        <v>71</v>
      </c>
      <c r="JY52" s="4">
        <v>0.59858999999999996</v>
      </c>
      <c r="KE52" s="7">
        <v>0</v>
      </c>
      <c r="KF52" s="2">
        <v>0</v>
      </c>
      <c r="KH52" s="2">
        <v>18</v>
      </c>
      <c r="KK52" s="2">
        <v>39</v>
      </c>
      <c r="KL52" s="2">
        <v>14</v>
      </c>
      <c r="KQ52" s="2" t="s">
        <v>83</v>
      </c>
      <c r="KR52" s="2" t="s">
        <v>73</v>
      </c>
      <c r="KT52" s="2">
        <v>1</v>
      </c>
      <c r="KU52" s="2" t="s">
        <v>84</v>
      </c>
      <c r="KW52" s="2" t="s">
        <v>530</v>
      </c>
      <c r="KX52" s="2" t="s">
        <v>17</v>
      </c>
      <c r="KY52" s="2" t="s">
        <v>17</v>
      </c>
      <c r="KZ52" s="2" t="s">
        <v>17</v>
      </c>
      <c r="LA52" s="2" t="s">
        <v>17</v>
      </c>
      <c r="LB52" s="2" t="s">
        <v>17</v>
      </c>
      <c r="LC52" s="2" t="s">
        <v>17</v>
      </c>
      <c r="LD52" s="2" t="s">
        <v>17</v>
      </c>
      <c r="LE52" s="2" t="s">
        <v>17</v>
      </c>
      <c r="LF52" s="2" t="s">
        <v>17</v>
      </c>
      <c r="LG52" s="2" t="s">
        <v>17</v>
      </c>
      <c r="LH52" s="2" t="s">
        <v>17</v>
      </c>
      <c r="LI52" s="2" t="s">
        <v>17</v>
      </c>
      <c r="LJ52" s="2" t="s">
        <v>87</v>
      </c>
      <c r="LK52" s="2" t="s">
        <v>17</v>
      </c>
      <c r="LL52" s="2" t="s">
        <v>17</v>
      </c>
      <c r="LM52" s="2">
        <v>0</v>
      </c>
      <c r="LN52" s="2" t="s">
        <v>17</v>
      </c>
      <c r="LO52" s="2" t="s">
        <v>9</v>
      </c>
      <c r="LP52" s="2" t="s">
        <v>9</v>
      </c>
      <c r="LQ52" s="2" t="s">
        <v>17</v>
      </c>
      <c r="LR52" s="2" t="s">
        <v>9</v>
      </c>
      <c r="LS52" s="2" t="s">
        <v>17</v>
      </c>
      <c r="LT52" s="2" t="s">
        <v>17</v>
      </c>
      <c r="LU52" s="2" t="s">
        <v>17</v>
      </c>
      <c r="LV52" s="2" t="s">
        <v>17</v>
      </c>
      <c r="LW52" s="2" t="s">
        <v>17</v>
      </c>
      <c r="LX52" s="2" t="s">
        <v>17</v>
      </c>
      <c r="LY52" s="5">
        <v>5680000</v>
      </c>
      <c r="LZ52" s="5">
        <v>0</v>
      </c>
      <c r="MA52" s="5">
        <v>6745000</v>
      </c>
      <c r="MB52" s="5">
        <v>6744900</v>
      </c>
      <c r="MC52" s="5">
        <v>6744900</v>
      </c>
      <c r="MD52" s="5">
        <v>581400</v>
      </c>
      <c r="ME52" s="5">
        <v>581400</v>
      </c>
      <c r="MF52" s="5">
        <v>581400</v>
      </c>
      <c r="MG52" s="5">
        <v>7455000</v>
      </c>
      <c r="MH52" s="5">
        <v>0</v>
      </c>
      <c r="MI52" s="5">
        <v>7455000</v>
      </c>
      <c r="MJ52" s="5">
        <v>0</v>
      </c>
      <c r="MK52" s="5">
        <v>581400</v>
      </c>
      <c r="ML52" s="5">
        <v>0</v>
      </c>
      <c r="MM52" s="5">
        <v>0</v>
      </c>
      <c r="MN52" s="2">
        <v>0</v>
      </c>
      <c r="MO52" s="5">
        <v>0</v>
      </c>
      <c r="MP52" s="5">
        <v>0</v>
      </c>
      <c r="MQ52" s="2">
        <v>0</v>
      </c>
      <c r="MR52" s="2">
        <v>0</v>
      </c>
      <c r="MS52" s="2">
        <v>0</v>
      </c>
      <c r="MT52" s="5">
        <v>2950000</v>
      </c>
      <c r="MU52" s="5">
        <v>0</v>
      </c>
      <c r="MV52" s="5">
        <v>4600000</v>
      </c>
      <c r="MW52" s="5">
        <v>0</v>
      </c>
      <c r="MY52" s="5">
        <v>0</v>
      </c>
      <c r="MZ52" s="5">
        <v>0</v>
      </c>
      <c r="NA52" s="5">
        <v>0</v>
      </c>
      <c r="NB52" s="5">
        <v>2500000</v>
      </c>
      <c r="NC52" s="5">
        <v>0</v>
      </c>
      <c r="ND52" s="5">
        <v>5000000</v>
      </c>
      <c r="NE52" s="5">
        <v>0</v>
      </c>
      <c r="NF52" s="5">
        <v>0</v>
      </c>
      <c r="NG52" s="5">
        <v>0</v>
      </c>
      <c r="NH52" s="5"/>
      <c r="NI52" s="5">
        <v>0</v>
      </c>
      <c r="NJ52" s="5">
        <v>1184300</v>
      </c>
      <c r="NK52" s="2" t="s">
        <v>17</v>
      </c>
      <c r="NL52" s="2">
        <v>2023</v>
      </c>
      <c r="NM52" s="2" t="s">
        <v>17</v>
      </c>
      <c r="NO52" s="2" t="s">
        <v>9</v>
      </c>
      <c r="NP52" s="2">
        <v>34698</v>
      </c>
      <c r="NQ52" s="2" t="s">
        <v>3249</v>
      </c>
      <c r="NR52" s="2" t="s">
        <v>17</v>
      </c>
      <c r="NT52" s="2" t="s">
        <v>17</v>
      </c>
      <c r="NX52" s="2" t="s">
        <v>118</v>
      </c>
      <c r="NY52" s="2" t="s">
        <v>118</v>
      </c>
      <c r="NZ52" s="2" t="s">
        <v>118</v>
      </c>
      <c r="OA52" s="2" t="s">
        <v>17</v>
      </c>
      <c r="OB52" s="2" t="s">
        <v>119</v>
      </c>
      <c r="OF52" s="2" t="s">
        <v>17</v>
      </c>
      <c r="OG52" s="2" t="s">
        <v>17</v>
      </c>
      <c r="OH52" s="2" t="s">
        <v>85</v>
      </c>
      <c r="OI52" s="6">
        <v>0</v>
      </c>
      <c r="OJ52" s="6">
        <v>202347</v>
      </c>
      <c r="OK52" s="2" t="s">
        <v>17</v>
      </c>
      <c r="OL52" s="2" t="s">
        <v>17</v>
      </c>
      <c r="OM52" s="6">
        <v>0</v>
      </c>
      <c r="ON52" s="6">
        <v>0</v>
      </c>
      <c r="OO52" s="6">
        <v>0</v>
      </c>
      <c r="OP52" s="6">
        <v>0</v>
      </c>
      <c r="OQ52" s="4">
        <v>0</v>
      </c>
      <c r="OR52" s="6">
        <v>0</v>
      </c>
      <c r="OS52" s="4">
        <v>0</v>
      </c>
      <c r="OT52" s="2" t="s">
        <v>17</v>
      </c>
      <c r="OU52" s="2" t="s">
        <v>17</v>
      </c>
      <c r="OW52" s="2" t="s">
        <v>17</v>
      </c>
      <c r="OX52" s="5">
        <v>6208411</v>
      </c>
      <c r="OY52" s="6">
        <v>87442.4</v>
      </c>
      <c r="PD52" s="8">
        <v>11581000</v>
      </c>
      <c r="PF52" s="8">
        <v>11581000</v>
      </c>
      <c r="PG52" s="8">
        <v>1400000</v>
      </c>
      <c r="PH52" s="8">
        <v>100000</v>
      </c>
      <c r="PI52" s="8">
        <v>1500000</v>
      </c>
      <c r="PO52" s="8">
        <v>12981000</v>
      </c>
      <c r="PP52" s="8">
        <v>100000</v>
      </c>
      <c r="PQ52" s="8">
        <v>13081000</v>
      </c>
      <c r="PR52" s="8">
        <v>1810340</v>
      </c>
      <c r="PT52" s="8">
        <v>1810340</v>
      </c>
      <c r="PU52" s="6">
        <v>1831340</v>
      </c>
      <c r="PV52" s="8">
        <v>14791340</v>
      </c>
      <c r="PW52" s="8">
        <v>100000</v>
      </c>
      <c r="PX52" s="8">
        <v>14891340</v>
      </c>
      <c r="PY52" s="8">
        <v>737067</v>
      </c>
      <c r="QA52" s="8">
        <v>737067</v>
      </c>
      <c r="QB52" s="6">
        <v>744567</v>
      </c>
      <c r="QC52" s="8">
        <v>1725000</v>
      </c>
      <c r="QD52" s="8">
        <v>252500</v>
      </c>
      <c r="QE52" s="8">
        <v>1977500</v>
      </c>
      <c r="QF52" s="8">
        <v>171000</v>
      </c>
      <c r="QH52" s="8">
        <v>171000</v>
      </c>
      <c r="QI52" s="8">
        <v>836114</v>
      </c>
      <c r="QK52" s="8">
        <v>836114</v>
      </c>
      <c r="QM52" s="8">
        <v>356143</v>
      </c>
      <c r="QN52" s="8">
        <v>356143</v>
      </c>
      <c r="QU52" s="8">
        <v>2732114</v>
      </c>
      <c r="QV52" s="8">
        <v>608643</v>
      </c>
      <c r="QW52" s="8">
        <v>3340757</v>
      </c>
      <c r="QY52" s="8">
        <v>108475</v>
      </c>
      <c r="QZ52" s="8">
        <v>108475</v>
      </c>
      <c r="RA52" s="6">
        <v>167037.85</v>
      </c>
      <c r="RB52" s="8">
        <v>775131</v>
      </c>
      <c r="RC52" s="8">
        <v>471467</v>
      </c>
      <c r="RD52" s="8">
        <v>1246598</v>
      </c>
      <c r="RE52" s="8">
        <v>115000</v>
      </c>
      <c r="RF52" s="8">
        <v>115000</v>
      </c>
      <c r="RH52" s="8">
        <v>334992</v>
      </c>
      <c r="RI52" s="8">
        <v>334992</v>
      </c>
      <c r="RJ52" s="8">
        <v>775131</v>
      </c>
      <c r="RK52" s="8">
        <v>921459</v>
      </c>
      <c r="RL52" s="8">
        <v>1696590</v>
      </c>
      <c r="RT52" s="8">
        <v>19035652</v>
      </c>
      <c r="RU52" s="8">
        <v>1738577</v>
      </c>
      <c r="RV52" s="8">
        <v>20774229</v>
      </c>
      <c r="RY52" s="2">
        <v>0</v>
      </c>
      <c r="RZ52" s="6">
        <v>0</v>
      </c>
      <c r="SA52" s="8">
        <v>3739360</v>
      </c>
      <c r="SC52" s="8">
        <v>3739360</v>
      </c>
      <c r="SD52" s="6">
        <v>3739361</v>
      </c>
      <c r="SE52" s="8">
        <v>3739360</v>
      </c>
      <c r="SF52" s="8">
        <v>3739360</v>
      </c>
      <c r="SG52" s="6">
        <v>3739361</v>
      </c>
      <c r="SH52" s="8">
        <v>230000</v>
      </c>
      <c r="SI52" s="8">
        <v>230000</v>
      </c>
      <c r="SJ52" s="6">
        <v>248500</v>
      </c>
      <c r="SK52" s="8">
        <v>2300000</v>
      </c>
      <c r="SL52" s="8">
        <v>2300000</v>
      </c>
      <c r="SM52" s="8">
        <v>22775012</v>
      </c>
      <c r="SN52" s="8">
        <v>4268577</v>
      </c>
      <c r="SO52" s="8">
        <v>27043589</v>
      </c>
      <c r="SP52" s="8">
        <v>15000000</v>
      </c>
      <c r="SQ52" s="2" t="s">
        <v>4220</v>
      </c>
      <c r="SR52" s="8">
        <v>610000</v>
      </c>
      <c r="SS52" s="2" t="s">
        <v>180</v>
      </c>
      <c r="SX52" s="8">
        <v>7326300</v>
      </c>
      <c r="SY52" s="2" t="s">
        <v>96</v>
      </c>
      <c r="SZ52" s="2" t="s">
        <v>96</v>
      </c>
      <c r="TA52" s="2" t="s">
        <v>96</v>
      </c>
      <c r="TB52" s="8">
        <v>2131526</v>
      </c>
      <c r="TF52" s="8">
        <v>1975763</v>
      </c>
      <c r="TG52" s="8">
        <v>27043589</v>
      </c>
      <c r="TH52" s="2">
        <v>0</v>
      </c>
      <c r="TI52" s="8">
        <v>6500000</v>
      </c>
      <c r="TJ52" s="2" t="s">
        <v>4220</v>
      </c>
      <c r="TK52" s="8">
        <v>610000</v>
      </c>
      <c r="TL52" s="2" t="s">
        <v>180</v>
      </c>
      <c r="TR52" s="8">
        <v>7326300</v>
      </c>
      <c r="TS52" s="8">
        <v>10657634</v>
      </c>
      <c r="TZ52" s="8">
        <v>1949655</v>
      </c>
      <c r="UA52" s="8">
        <v>27043589</v>
      </c>
      <c r="UB52" s="6">
        <v>14436300</v>
      </c>
      <c r="UC52" s="2">
        <v>0</v>
      </c>
      <c r="UD52" s="2">
        <v>71</v>
      </c>
      <c r="UE52" s="5">
        <v>240000</v>
      </c>
      <c r="UF52" s="6">
        <v>320000</v>
      </c>
      <c r="UG52" s="6">
        <v>327500</v>
      </c>
      <c r="UH52" s="6">
        <v>347150</v>
      </c>
      <c r="UI52" s="6">
        <v>24647650</v>
      </c>
      <c r="UJ52" s="6">
        <v>4436577</v>
      </c>
      <c r="UK52" s="2" t="s">
        <v>97</v>
      </c>
      <c r="UL52" s="6">
        <v>4436577</v>
      </c>
      <c r="UM52" s="6">
        <v>29084227</v>
      </c>
      <c r="UN52" s="6">
        <v>24513589</v>
      </c>
      <c r="UQ52" s="6">
        <v>0</v>
      </c>
      <c r="UR52" s="6">
        <v>610000</v>
      </c>
      <c r="US52" s="6">
        <v>610000</v>
      </c>
      <c r="UV52" s="6">
        <v>0</v>
      </c>
      <c r="UW52" s="6">
        <v>610000</v>
      </c>
      <c r="UX52" s="6">
        <v>0</v>
      </c>
      <c r="UY52" s="6">
        <v>610000</v>
      </c>
      <c r="UZ52" s="2" t="s">
        <v>3252</v>
      </c>
      <c r="VA52" s="2" t="s">
        <v>453</v>
      </c>
      <c r="VB52" s="2" t="s">
        <v>17</v>
      </c>
      <c r="VI52" s="388" t="s">
        <v>1408</v>
      </c>
      <c r="VJ52" s="2" t="s">
        <v>98</v>
      </c>
      <c r="VK52" s="2" t="s">
        <v>3271</v>
      </c>
      <c r="VL52" s="23">
        <f t="shared" si="22"/>
        <v>138</v>
      </c>
      <c r="VM52" s="17">
        <f t="shared" si="23"/>
        <v>1.943661971830986</v>
      </c>
      <c r="VN52" s="17" t="str">
        <f t="shared" si="24"/>
        <v>NC-GA-F</v>
      </c>
      <c r="VO52" s="17" t="str">
        <f t="shared" si="15"/>
        <v>NC-GA-F-ESS</v>
      </c>
      <c r="VP52" s="57">
        <v>1</v>
      </c>
      <c r="VQ52" s="17">
        <f t="shared" si="25"/>
        <v>1.1100000000000001</v>
      </c>
      <c r="VR52" s="14">
        <f t="shared" si="26"/>
        <v>1</v>
      </c>
      <c r="VS52" s="14">
        <f t="shared" si="27"/>
        <v>1</v>
      </c>
      <c r="VT52" s="12">
        <f t="shared" si="28"/>
        <v>0.85439999999999994</v>
      </c>
      <c r="VU52" s="29">
        <f t="shared" si="29"/>
        <v>6396755.2416000003</v>
      </c>
      <c r="VV52" s="29">
        <f t="shared" si="30"/>
        <v>90095.14</v>
      </c>
      <c r="VW52" s="351" t="str">
        <f t="shared" si="16"/>
        <v>B</v>
      </c>
      <c r="VX52" s="12" t="str">
        <f t="shared" si="31"/>
        <v>NC-GA-ESS</v>
      </c>
      <c r="VY52" s="23">
        <f t="shared" si="17"/>
        <v>5</v>
      </c>
      <c r="WA52" s="12">
        <f t="shared" si="18"/>
        <v>0</v>
      </c>
      <c r="WB52" s="12">
        <f t="shared" si="19"/>
        <v>1</v>
      </c>
      <c r="WC52" s="12">
        <f t="shared" si="19"/>
        <v>0</v>
      </c>
      <c r="WD52" s="12">
        <f t="shared" si="19"/>
        <v>0</v>
      </c>
      <c r="WE52" s="12">
        <f t="shared" si="20"/>
        <v>1</v>
      </c>
      <c r="WF52" s="12">
        <f t="shared" si="32"/>
        <v>1</v>
      </c>
      <c r="WG52" s="12">
        <f t="shared" si="33"/>
        <v>0</v>
      </c>
      <c r="WH52" s="12">
        <f t="shared" si="34"/>
        <v>0</v>
      </c>
      <c r="WI52" s="22">
        <f t="shared" si="35"/>
        <v>3</v>
      </c>
      <c r="WK52" s="444" t="str">
        <f t="shared" si="21"/>
        <v>NC-GA-ESS-BBY-BRN-NPH-F</v>
      </c>
      <c r="WL52" s="444"/>
      <c r="WM52" s="444"/>
    </row>
    <row r="53" spans="1:611" x14ac:dyDescent="0.25">
      <c r="A53" s="2">
        <v>9319</v>
      </c>
      <c r="B53" s="2" t="s">
        <v>4780</v>
      </c>
      <c r="C53" s="2" t="s">
        <v>4205</v>
      </c>
      <c r="D53" s="3">
        <v>45128</v>
      </c>
      <c r="E53" s="2" t="s">
        <v>9</v>
      </c>
      <c r="F53" s="2">
        <v>1</v>
      </c>
      <c r="G53" s="2" t="s">
        <v>9</v>
      </c>
      <c r="H53" s="2">
        <v>1</v>
      </c>
      <c r="I53" s="2" t="s">
        <v>11</v>
      </c>
      <c r="J53" s="2">
        <v>0</v>
      </c>
      <c r="K53" s="2" t="s">
        <v>9</v>
      </c>
      <c r="L53" s="2">
        <v>1</v>
      </c>
      <c r="M53" s="2" t="s">
        <v>10</v>
      </c>
      <c r="N53" s="2">
        <v>0</v>
      </c>
      <c r="O53" s="2" t="s">
        <v>10</v>
      </c>
      <c r="P53" s="2">
        <v>0</v>
      </c>
      <c r="Q53" s="2" t="s">
        <v>11</v>
      </c>
      <c r="R53" s="2">
        <v>0</v>
      </c>
      <c r="S53" s="2" t="s">
        <v>9</v>
      </c>
      <c r="T53" s="2">
        <v>2</v>
      </c>
      <c r="U53" s="2" t="s">
        <v>9</v>
      </c>
      <c r="V53" s="2">
        <v>2</v>
      </c>
      <c r="W53" s="2" t="s">
        <v>9</v>
      </c>
      <c r="X53" s="2">
        <v>2</v>
      </c>
      <c r="Y53" s="2" t="s">
        <v>12</v>
      </c>
      <c r="Z53" s="2" t="s">
        <v>1570</v>
      </c>
      <c r="AA53" s="2" t="s">
        <v>4781</v>
      </c>
      <c r="AB53" s="2" t="s">
        <v>4782</v>
      </c>
      <c r="AC53" s="2" t="s">
        <v>15</v>
      </c>
      <c r="AD53" s="2" t="s">
        <v>15</v>
      </c>
      <c r="AE53" s="2" t="s">
        <v>15</v>
      </c>
      <c r="AF53" s="2">
        <v>3</v>
      </c>
      <c r="AG53" s="2" t="s">
        <v>4783</v>
      </c>
      <c r="AH53" s="2" t="s">
        <v>17</v>
      </c>
      <c r="AI53" s="4">
        <v>0.15</v>
      </c>
      <c r="AJ53" s="2" t="s">
        <v>17</v>
      </c>
      <c r="AK53" s="2" t="s">
        <v>9</v>
      </c>
      <c r="AL53" s="2" t="s">
        <v>17</v>
      </c>
      <c r="AM53" s="2" t="s">
        <v>17</v>
      </c>
      <c r="AN53" s="2" t="s">
        <v>17</v>
      </c>
      <c r="AO53" s="2" t="s">
        <v>9</v>
      </c>
      <c r="AP53" s="2" t="s">
        <v>17</v>
      </c>
      <c r="AQ53" s="2" t="s">
        <v>17</v>
      </c>
      <c r="AR53" s="2" t="s">
        <v>17</v>
      </c>
      <c r="AS53" s="2" t="s">
        <v>17</v>
      </c>
      <c r="AT53" s="2">
        <v>1.87</v>
      </c>
      <c r="AU53" s="5">
        <v>75000</v>
      </c>
      <c r="AV53" s="5">
        <v>610000</v>
      </c>
      <c r="AW53" s="2">
        <v>0</v>
      </c>
      <c r="AX53" s="2">
        <v>5</v>
      </c>
      <c r="AY53" s="2">
        <v>0</v>
      </c>
      <c r="AZ53" s="2">
        <v>17</v>
      </c>
      <c r="BA53" s="2">
        <v>0</v>
      </c>
      <c r="BB53" s="2">
        <v>1</v>
      </c>
      <c r="BC53" s="2">
        <v>1</v>
      </c>
      <c r="BD53" s="2">
        <v>3</v>
      </c>
      <c r="BE53" s="2">
        <v>1</v>
      </c>
      <c r="BF53" s="2">
        <v>1</v>
      </c>
      <c r="BG53" s="2">
        <v>0</v>
      </c>
      <c r="BH53" s="2">
        <v>0</v>
      </c>
      <c r="BI53" s="2">
        <v>13</v>
      </c>
      <c r="BJ53" s="2">
        <v>1</v>
      </c>
      <c r="BK53" s="2">
        <v>0</v>
      </c>
      <c r="BL53" s="2">
        <v>2</v>
      </c>
      <c r="BM53" s="2">
        <v>1</v>
      </c>
      <c r="BN53" s="2">
        <v>10</v>
      </c>
      <c r="BO53" s="2">
        <v>10</v>
      </c>
      <c r="BP53" s="2">
        <v>30.99</v>
      </c>
      <c r="BQ53" s="5">
        <v>10188900</v>
      </c>
      <c r="BR53" s="2">
        <v>1</v>
      </c>
      <c r="BS53" s="4">
        <v>0.06</v>
      </c>
      <c r="BT53" s="2" t="s">
        <v>9</v>
      </c>
      <c r="BU53" s="2" t="s">
        <v>17</v>
      </c>
      <c r="BV53" s="6">
        <v>87442.78</v>
      </c>
      <c r="BW53" s="2" t="s">
        <v>126</v>
      </c>
      <c r="BX53" s="2" t="s">
        <v>17</v>
      </c>
      <c r="BY53" s="2" t="s">
        <v>17</v>
      </c>
      <c r="BZ53" s="2" t="s">
        <v>17</v>
      </c>
      <c r="CA53" s="2" t="s">
        <v>17</v>
      </c>
      <c r="CB53" s="2" t="s">
        <v>17</v>
      </c>
      <c r="CC53" s="2" t="s">
        <v>17</v>
      </c>
      <c r="CD53" s="2" t="s">
        <v>9</v>
      </c>
      <c r="CE53" s="2" t="s">
        <v>4784</v>
      </c>
      <c r="CF53" s="2" t="s">
        <v>17</v>
      </c>
      <c r="CG53" s="2" t="s">
        <v>17</v>
      </c>
      <c r="DA53" s="2" t="s">
        <v>4785</v>
      </c>
      <c r="DD53" s="2" t="s">
        <v>9</v>
      </c>
      <c r="DE53" s="2" t="s">
        <v>1408</v>
      </c>
      <c r="DF53" s="2" t="s">
        <v>4785</v>
      </c>
      <c r="DG53" s="2" t="s">
        <v>1424</v>
      </c>
      <c r="DH53" s="2" t="s">
        <v>464</v>
      </c>
      <c r="DI53" s="2">
        <v>120</v>
      </c>
      <c r="DJ53" s="2" t="s">
        <v>3904</v>
      </c>
      <c r="DK53" s="2">
        <v>2011</v>
      </c>
      <c r="DL53" s="2" t="s">
        <v>4209</v>
      </c>
      <c r="DM53" s="2" t="s">
        <v>4210</v>
      </c>
      <c r="DN53" s="2" t="s">
        <v>33</v>
      </c>
      <c r="DO53" s="2" t="s">
        <v>1414</v>
      </c>
      <c r="DP53" s="2" t="s">
        <v>1415</v>
      </c>
      <c r="DQ53" s="2" t="s">
        <v>1416</v>
      </c>
      <c r="DR53" s="2" t="s">
        <v>1417</v>
      </c>
      <c r="DS53" s="2">
        <v>1</v>
      </c>
      <c r="DT53" s="2" t="s">
        <v>1418</v>
      </c>
      <c r="DU53" s="2" t="s">
        <v>1419</v>
      </c>
      <c r="DV53" s="2" t="s">
        <v>39</v>
      </c>
      <c r="DW53" s="2">
        <v>32714</v>
      </c>
      <c r="DX53" s="2" t="s">
        <v>1420</v>
      </c>
      <c r="DY53" s="2">
        <v>294</v>
      </c>
      <c r="DZ53" s="2" t="s">
        <v>1421</v>
      </c>
      <c r="EA53" s="2" t="s">
        <v>1417</v>
      </c>
      <c r="EB53" s="2" t="s">
        <v>1422</v>
      </c>
      <c r="EC53" s="2" t="s">
        <v>1423</v>
      </c>
      <c r="ED53" s="2" t="s">
        <v>44</v>
      </c>
      <c r="EE53" s="2">
        <v>200</v>
      </c>
      <c r="EF53" s="2" t="s">
        <v>3906</v>
      </c>
      <c r="EG53" s="2">
        <v>14</v>
      </c>
      <c r="EH53" s="2" t="s">
        <v>46</v>
      </c>
      <c r="EI53" s="2" t="s">
        <v>47</v>
      </c>
      <c r="EJ53" s="2" t="s">
        <v>1424</v>
      </c>
      <c r="EK53" s="2" t="s">
        <v>464</v>
      </c>
      <c r="EL53" s="2" t="s">
        <v>44</v>
      </c>
      <c r="EM53" s="2">
        <v>120</v>
      </c>
      <c r="EN53" s="2" t="s">
        <v>3906</v>
      </c>
      <c r="EO53" s="2">
        <v>12</v>
      </c>
      <c r="EP53" s="2" t="s">
        <v>46</v>
      </c>
      <c r="EQ53" s="2" t="s">
        <v>47</v>
      </c>
      <c r="ER53" s="2" t="s">
        <v>3222</v>
      </c>
      <c r="ET53" s="2" t="s">
        <v>1416</v>
      </c>
      <c r="EU53" s="2" t="s">
        <v>3223</v>
      </c>
      <c r="EV53" s="2" t="s">
        <v>3224</v>
      </c>
      <c r="EW53" s="2" t="s">
        <v>1419</v>
      </c>
      <c r="EX53" s="2" t="s">
        <v>39</v>
      </c>
      <c r="EY53" s="2">
        <v>32714</v>
      </c>
      <c r="EZ53" s="2" t="s">
        <v>3225</v>
      </c>
      <c r="FB53" s="2" t="s">
        <v>3226</v>
      </c>
      <c r="FC53" s="2" t="s">
        <v>1428</v>
      </c>
      <c r="FD53" s="2" t="s">
        <v>1429</v>
      </c>
      <c r="FE53" s="2" t="s">
        <v>1430</v>
      </c>
      <c r="FF53" s="2" t="s">
        <v>1426</v>
      </c>
      <c r="FG53" s="2" t="s">
        <v>1418</v>
      </c>
      <c r="FH53" s="2" t="s">
        <v>1419</v>
      </c>
      <c r="FI53" s="2" t="s">
        <v>39</v>
      </c>
      <c r="FJ53" s="2">
        <v>32714</v>
      </c>
      <c r="FK53" s="2" t="s">
        <v>1420</v>
      </c>
      <c r="FL53" s="2">
        <v>210</v>
      </c>
      <c r="FM53" s="2" t="s">
        <v>1431</v>
      </c>
      <c r="FN53" s="2" t="s">
        <v>4786</v>
      </c>
      <c r="FO53" s="2" t="s">
        <v>63</v>
      </c>
      <c r="FP53" s="2" t="s">
        <v>64</v>
      </c>
      <c r="FQ53" s="2" t="s">
        <v>9</v>
      </c>
      <c r="FR53" s="2" t="s">
        <v>17</v>
      </c>
      <c r="FS53" s="2" t="s">
        <v>17</v>
      </c>
      <c r="FT53" s="2" t="s">
        <v>9</v>
      </c>
      <c r="FX53" s="2">
        <v>0</v>
      </c>
      <c r="FY53" s="2">
        <v>0</v>
      </c>
      <c r="FZ53" s="4">
        <v>0</v>
      </c>
      <c r="GA53" s="4">
        <v>0</v>
      </c>
      <c r="GB53" s="2" t="s">
        <v>65</v>
      </c>
      <c r="GC53" s="2" t="s">
        <v>66</v>
      </c>
      <c r="GD53" s="2" t="s">
        <v>67</v>
      </c>
      <c r="GE53" s="2" t="s">
        <v>68</v>
      </c>
      <c r="GF53" s="2">
        <v>100</v>
      </c>
      <c r="GG53" s="2">
        <v>100</v>
      </c>
      <c r="GQ53" s="2">
        <v>100</v>
      </c>
      <c r="GR53" s="2" t="s">
        <v>2873</v>
      </c>
      <c r="GS53" s="2" t="s">
        <v>2686</v>
      </c>
      <c r="GT53" s="2" t="s">
        <v>4787</v>
      </c>
      <c r="GU53" s="2" t="s">
        <v>479</v>
      </c>
      <c r="GV53" s="2" t="s">
        <v>17</v>
      </c>
      <c r="GW53" s="2">
        <v>30.285304</v>
      </c>
      <c r="GX53" s="2">
        <v>-81.769307999999995</v>
      </c>
      <c r="GZ53" s="2" t="s">
        <v>17</v>
      </c>
      <c r="HA53" s="2">
        <v>0</v>
      </c>
      <c r="HB53" s="2" t="s">
        <v>17</v>
      </c>
      <c r="HC53" s="2">
        <v>0</v>
      </c>
      <c r="HD53" s="2">
        <v>30.284258000000001</v>
      </c>
      <c r="HE53" s="2">
        <v>-81.781957000000006</v>
      </c>
      <c r="HF53" s="2">
        <v>0.76</v>
      </c>
      <c r="HG53" s="2">
        <v>4.5</v>
      </c>
      <c r="HH53" s="2">
        <v>30.286422999999999</v>
      </c>
      <c r="HI53" s="2">
        <v>-81.755178999999998</v>
      </c>
      <c r="HJ53" s="2">
        <v>0.85</v>
      </c>
      <c r="HK53" s="2">
        <v>30.286812999999999</v>
      </c>
      <c r="HL53" s="2">
        <v>-81.755399999999995</v>
      </c>
      <c r="HM53" s="2">
        <v>0.84</v>
      </c>
      <c r="HZ53" s="2" t="s">
        <v>549</v>
      </c>
      <c r="IA53" s="2">
        <v>0.87</v>
      </c>
      <c r="IB53" s="2">
        <v>2.5</v>
      </c>
      <c r="IF53" s="2" t="s">
        <v>549</v>
      </c>
      <c r="IG53" s="2">
        <v>0.87</v>
      </c>
      <c r="IH53" s="2">
        <v>2.5</v>
      </c>
      <c r="II53" s="2" t="s">
        <v>4788</v>
      </c>
      <c r="IJ53" s="2">
        <v>0.27</v>
      </c>
      <c r="IK53" s="2">
        <v>4</v>
      </c>
      <c r="IL53" s="2" t="s">
        <v>17</v>
      </c>
      <c r="IM53" s="2" t="s">
        <v>17</v>
      </c>
      <c r="IO53" s="2" t="s">
        <v>17</v>
      </c>
      <c r="IP53" s="2" t="s">
        <v>79</v>
      </c>
      <c r="IQ53" s="2" t="s">
        <v>79</v>
      </c>
      <c r="IR53" s="2">
        <v>4.5</v>
      </c>
      <c r="IS53" s="2">
        <v>9</v>
      </c>
      <c r="IT53" s="2">
        <v>0</v>
      </c>
      <c r="IU53" s="2">
        <v>13.5</v>
      </c>
      <c r="IV53" s="2" t="s">
        <v>9</v>
      </c>
      <c r="IW53" s="2" t="s">
        <v>9</v>
      </c>
      <c r="IX53" s="2" t="s">
        <v>9</v>
      </c>
      <c r="IY53" s="2">
        <v>13.5</v>
      </c>
      <c r="IZ53" s="2">
        <v>100</v>
      </c>
      <c r="JB53" s="2" t="s">
        <v>82</v>
      </c>
      <c r="JH53" s="7">
        <v>0</v>
      </c>
      <c r="JI53" s="2">
        <v>0</v>
      </c>
      <c r="JJ53" s="7">
        <v>0</v>
      </c>
      <c r="JK53" s="2">
        <v>0</v>
      </c>
      <c r="JL53" s="7">
        <v>0</v>
      </c>
      <c r="JN53" s="2">
        <v>15</v>
      </c>
      <c r="JQ53" s="2">
        <v>63</v>
      </c>
      <c r="JS53" s="2">
        <v>22</v>
      </c>
      <c r="JT53" s="2">
        <v>0</v>
      </c>
      <c r="JU53" s="2">
        <v>0</v>
      </c>
      <c r="JV53" s="2">
        <v>100</v>
      </c>
      <c r="JW53" s="4">
        <v>1</v>
      </c>
      <c r="JX53" s="2">
        <v>100</v>
      </c>
      <c r="JY53" s="4">
        <v>0.59899999999999998</v>
      </c>
      <c r="KE53" s="7">
        <v>0</v>
      </c>
      <c r="KF53" s="2">
        <v>0</v>
      </c>
      <c r="KH53" s="2">
        <v>50</v>
      </c>
      <c r="KK53" s="2">
        <v>50</v>
      </c>
      <c r="KQ53" s="2" t="s">
        <v>83</v>
      </c>
      <c r="KS53" s="2" t="s">
        <v>73</v>
      </c>
      <c r="KT53" s="2">
        <v>1</v>
      </c>
      <c r="KU53" s="2" t="s">
        <v>84</v>
      </c>
      <c r="KW53" s="2" t="s">
        <v>530</v>
      </c>
      <c r="KX53" s="2" t="s">
        <v>17</v>
      </c>
      <c r="KY53" s="2" t="s">
        <v>17</v>
      </c>
      <c r="KZ53" s="2" t="s">
        <v>17</v>
      </c>
      <c r="LA53" s="2" t="s">
        <v>17</v>
      </c>
      <c r="LB53" s="2" t="s">
        <v>17</v>
      </c>
      <c r="LC53" s="2" t="s">
        <v>17</v>
      </c>
      <c r="LD53" s="2" t="s">
        <v>17</v>
      </c>
      <c r="LE53" s="2" t="s">
        <v>17</v>
      </c>
      <c r="LF53" s="2" t="s">
        <v>17</v>
      </c>
      <c r="LG53" s="2" t="s">
        <v>17</v>
      </c>
      <c r="LH53" s="2" t="s">
        <v>17</v>
      </c>
      <c r="LI53" s="2" t="s">
        <v>17</v>
      </c>
      <c r="LJ53" s="2" t="s">
        <v>87</v>
      </c>
      <c r="LK53" s="2" t="s">
        <v>17</v>
      </c>
      <c r="LL53" s="2" t="s">
        <v>17</v>
      </c>
      <c r="LM53" s="2">
        <v>0</v>
      </c>
      <c r="LN53" s="2" t="s">
        <v>17</v>
      </c>
      <c r="LO53" s="2" t="s">
        <v>17</v>
      </c>
      <c r="LP53" s="2" t="s">
        <v>17</v>
      </c>
      <c r="LQ53" s="2" t="s">
        <v>17</v>
      </c>
      <c r="LR53" s="2" t="s">
        <v>17</v>
      </c>
      <c r="LS53" s="2" t="s">
        <v>17</v>
      </c>
      <c r="LT53" s="2" t="s">
        <v>17</v>
      </c>
      <c r="LU53" s="2" t="s">
        <v>17</v>
      </c>
      <c r="LV53" s="2" t="s">
        <v>9</v>
      </c>
      <c r="LW53" s="2" t="s">
        <v>9</v>
      </c>
      <c r="LX53" s="2" t="s">
        <v>9</v>
      </c>
      <c r="LY53" s="5">
        <v>6500000</v>
      </c>
      <c r="LZ53" s="5">
        <v>0</v>
      </c>
      <c r="MA53" s="5">
        <v>9500000</v>
      </c>
      <c r="MB53" s="5">
        <v>9499900</v>
      </c>
      <c r="MC53" s="5">
        <v>9499900</v>
      </c>
      <c r="MD53" s="5">
        <v>689000</v>
      </c>
      <c r="ME53" s="5">
        <v>689000</v>
      </c>
      <c r="MF53" s="5">
        <v>689000</v>
      </c>
      <c r="MG53" s="5">
        <v>10000000</v>
      </c>
      <c r="MH53" s="5">
        <v>0</v>
      </c>
      <c r="MI53" s="5">
        <v>10000000</v>
      </c>
      <c r="MJ53" s="5">
        <v>0</v>
      </c>
      <c r="MK53" s="5">
        <v>689000</v>
      </c>
      <c r="ML53" s="5">
        <v>0</v>
      </c>
      <c r="MM53" s="5">
        <v>0</v>
      </c>
      <c r="MN53" s="2">
        <v>0</v>
      </c>
      <c r="MO53" s="5">
        <v>0</v>
      </c>
      <c r="MP53" s="5">
        <v>0</v>
      </c>
      <c r="MQ53" s="2">
        <v>0</v>
      </c>
      <c r="MR53" s="2">
        <v>0</v>
      </c>
      <c r="MS53" s="2">
        <v>0</v>
      </c>
      <c r="MT53" s="5">
        <v>2950000</v>
      </c>
      <c r="MU53" s="5">
        <v>0</v>
      </c>
      <c r="MV53" s="5">
        <v>4600000</v>
      </c>
      <c r="MW53" s="5">
        <v>0</v>
      </c>
      <c r="MY53" s="5">
        <v>0</v>
      </c>
      <c r="MZ53" s="5">
        <v>0</v>
      </c>
      <c r="NA53" s="5">
        <v>0</v>
      </c>
      <c r="NB53" s="5">
        <v>2500000</v>
      </c>
      <c r="NC53" s="5">
        <v>0</v>
      </c>
      <c r="ND53" s="5">
        <v>5000000</v>
      </c>
      <c r="NE53" s="5">
        <v>0</v>
      </c>
      <c r="NF53" s="5">
        <v>0</v>
      </c>
      <c r="NG53" s="5">
        <v>0</v>
      </c>
      <c r="NH53" s="5"/>
      <c r="NI53" s="5">
        <v>0</v>
      </c>
      <c r="NJ53" s="5">
        <v>1780531</v>
      </c>
      <c r="NK53" s="2" t="s">
        <v>17</v>
      </c>
      <c r="NL53" s="2">
        <v>2023</v>
      </c>
      <c r="NM53" s="2" t="s">
        <v>17</v>
      </c>
      <c r="NO53" s="2" t="s">
        <v>17</v>
      </c>
      <c r="NR53" s="2" t="s">
        <v>17</v>
      </c>
      <c r="NT53" s="2" t="s">
        <v>9</v>
      </c>
      <c r="NU53" s="2" t="s">
        <v>450</v>
      </c>
      <c r="NV53" s="2">
        <v>126.01</v>
      </c>
      <c r="NW53" s="2" t="s">
        <v>2910</v>
      </c>
      <c r="NX53" s="2" t="s">
        <v>118</v>
      </c>
      <c r="NY53" s="2" t="s">
        <v>118</v>
      </c>
      <c r="NZ53" s="2" t="s">
        <v>118</v>
      </c>
      <c r="OA53" s="2" t="s">
        <v>17</v>
      </c>
      <c r="OB53" s="2" t="s">
        <v>119</v>
      </c>
      <c r="OF53" s="2" t="s">
        <v>17</v>
      </c>
      <c r="OG53" s="2" t="s">
        <v>17</v>
      </c>
      <c r="OH53" s="2" t="s">
        <v>85</v>
      </c>
      <c r="OI53" s="6">
        <v>0</v>
      </c>
      <c r="OJ53" s="6">
        <v>284997</v>
      </c>
      <c r="OK53" s="2" t="s">
        <v>17</v>
      </c>
      <c r="OL53" s="2" t="s">
        <v>17</v>
      </c>
      <c r="OM53" s="6">
        <v>0</v>
      </c>
      <c r="ON53" s="6">
        <v>0</v>
      </c>
      <c r="OO53" s="6">
        <v>0</v>
      </c>
      <c r="OP53" s="6">
        <v>0</v>
      </c>
      <c r="OQ53" s="4">
        <v>0</v>
      </c>
      <c r="OR53" s="6">
        <v>0</v>
      </c>
      <c r="OS53" s="4">
        <v>0</v>
      </c>
      <c r="OT53" s="2" t="s">
        <v>17</v>
      </c>
      <c r="OU53" s="2" t="s">
        <v>17</v>
      </c>
      <c r="OW53" s="2" t="s">
        <v>17</v>
      </c>
      <c r="OX53" s="5">
        <v>8744278</v>
      </c>
      <c r="OY53" s="6">
        <v>87442.78</v>
      </c>
      <c r="PD53" s="8">
        <v>19350000</v>
      </c>
      <c r="PF53" s="8">
        <v>19350000</v>
      </c>
      <c r="PG53" s="8">
        <v>1400000</v>
      </c>
      <c r="PH53" s="8">
        <v>100000</v>
      </c>
      <c r="PI53" s="8">
        <v>1500000</v>
      </c>
      <c r="PO53" s="8">
        <v>20750000</v>
      </c>
      <c r="PP53" s="8">
        <v>100000</v>
      </c>
      <c r="PQ53" s="8">
        <v>20850000</v>
      </c>
      <c r="PR53" s="8">
        <v>2898000</v>
      </c>
      <c r="PT53" s="8">
        <v>2898000</v>
      </c>
      <c r="PU53" s="6">
        <v>2919000</v>
      </c>
      <c r="PV53" s="8">
        <v>23648000</v>
      </c>
      <c r="PW53" s="8">
        <v>100000</v>
      </c>
      <c r="PX53" s="8">
        <v>23748000</v>
      </c>
      <c r="PY53" s="8">
        <v>1179900</v>
      </c>
      <c r="QA53" s="8">
        <v>1179900</v>
      </c>
      <c r="QB53" s="6">
        <v>1187400</v>
      </c>
      <c r="QC53" s="8">
        <v>1725000</v>
      </c>
      <c r="QD53" s="8">
        <v>252500</v>
      </c>
      <c r="QE53" s="8">
        <v>1977500</v>
      </c>
      <c r="QF53" s="8">
        <v>200000</v>
      </c>
      <c r="QH53" s="8">
        <v>200000</v>
      </c>
      <c r="QI53" s="8">
        <v>1032610</v>
      </c>
      <c r="QK53" s="8">
        <v>1032610</v>
      </c>
      <c r="QM53" s="8">
        <v>409804</v>
      </c>
      <c r="QN53" s="8">
        <v>409804</v>
      </c>
      <c r="QU53" s="8">
        <v>2957610</v>
      </c>
      <c r="QV53" s="8">
        <v>662304</v>
      </c>
      <c r="QW53" s="8">
        <v>3619914</v>
      </c>
      <c r="QY53" s="8">
        <v>111375</v>
      </c>
      <c r="QZ53" s="8">
        <v>111375</v>
      </c>
      <c r="RA53" s="6">
        <v>180995.7</v>
      </c>
      <c r="RB53" s="8">
        <v>925828</v>
      </c>
      <c r="RC53" s="8">
        <v>600316</v>
      </c>
      <c r="RD53" s="8">
        <v>1526144</v>
      </c>
      <c r="RE53" s="8">
        <v>125000</v>
      </c>
      <c r="RF53" s="8">
        <v>125000</v>
      </c>
      <c r="RH53" s="8">
        <v>409992</v>
      </c>
      <c r="RI53" s="8">
        <v>409992</v>
      </c>
      <c r="RJ53" s="8">
        <v>925828</v>
      </c>
      <c r="RK53" s="8">
        <v>1135308</v>
      </c>
      <c r="RL53" s="8">
        <v>2061136</v>
      </c>
      <c r="RT53" s="8">
        <v>28711338</v>
      </c>
      <c r="RU53" s="8">
        <v>2008987</v>
      </c>
      <c r="RV53" s="8">
        <v>30720325</v>
      </c>
      <c r="RY53" s="2">
        <v>0</v>
      </c>
      <c r="RZ53" s="6">
        <v>0</v>
      </c>
      <c r="SA53" s="8">
        <v>5529658</v>
      </c>
      <c r="SC53" s="8">
        <v>5529658</v>
      </c>
      <c r="SD53" s="6">
        <v>5529658</v>
      </c>
      <c r="SE53" s="8">
        <v>5529658</v>
      </c>
      <c r="SF53" s="8">
        <v>5529658</v>
      </c>
      <c r="SG53" s="6">
        <v>5529658</v>
      </c>
      <c r="SH53" s="8">
        <v>300000</v>
      </c>
      <c r="SI53" s="8">
        <v>300000</v>
      </c>
      <c r="SJ53" s="6">
        <v>350000</v>
      </c>
      <c r="SK53" s="8">
        <v>1700000</v>
      </c>
      <c r="SL53" s="8">
        <v>1700000</v>
      </c>
      <c r="SM53" s="8">
        <v>34240996</v>
      </c>
      <c r="SN53" s="8">
        <v>4008987</v>
      </c>
      <c r="SO53" s="8">
        <v>38249983</v>
      </c>
      <c r="SP53" s="8">
        <v>20000000</v>
      </c>
      <c r="SQ53" s="2" t="s">
        <v>4220</v>
      </c>
      <c r="SR53" s="8">
        <v>104000</v>
      </c>
      <c r="SS53" s="2" t="s">
        <v>180</v>
      </c>
      <c r="SX53" s="8">
        <v>10188900</v>
      </c>
      <c r="SY53" s="2" t="s">
        <v>96</v>
      </c>
      <c r="SZ53" s="2" t="s">
        <v>96</v>
      </c>
      <c r="TA53" s="2" t="s">
        <v>96</v>
      </c>
      <c r="TB53" s="8">
        <v>3204635</v>
      </c>
      <c r="TF53" s="8">
        <v>4752448</v>
      </c>
      <c r="TG53" s="8">
        <v>38249983</v>
      </c>
      <c r="TH53" s="2">
        <v>0</v>
      </c>
      <c r="TI53" s="8">
        <v>7500000</v>
      </c>
      <c r="TJ53" s="2" t="s">
        <v>4220</v>
      </c>
      <c r="TK53" s="8">
        <v>104000</v>
      </c>
      <c r="TL53" s="2" t="s">
        <v>180</v>
      </c>
      <c r="TR53" s="8">
        <v>10188900</v>
      </c>
      <c r="TS53" s="8">
        <v>16023176</v>
      </c>
      <c r="TZ53" s="8">
        <v>4433907</v>
      </c>
      <c r="UA53" s="8">
        <v>38249983</v>
      </c>
      <c r="UB53" s="6">
        <v>17792900</v>
      </c>
      <c r="UC53" s="2">
        <v>0</v>
      </c>
      <c r="UD53" s="2">
        <v>100</v>
      </c>
      <c r="UE53" s="5">
        <v>240000</v>
      </c>
      <c r="UF53" s="6">
        <v>320000</v>
      </c>
      <c r="UG53" s="6">
        <v>327500</v>
      </c>
      <c r="UH53" s="6">
        <v>347150</v>
      </c>
      <c r="UI53" s="6">
        <v>34715000</v>
      </c>
      <c r="UJ53" s="6">
        <v>6248700</v>
      </c>
      <c r="UK53" s="2" t="s">
        <v>97</v>
      </c>
      <c r="UL53" s="6">
        <v>6248700</v>
      </c>
      <c r="UM53" s="6">
        <v>40963700</v>
      </c>
      <c r="UN53" s="6">
        <v>36249983</v>
      </c>
      <c r="UO53" s="6">
        <v>104000</v>
      </c>
      <c r="UP53" s="6">
        <v>75889.919999999998</v>
      </c>
      <c r="UQ53" s="6">
        <v>28110.080000000002</v>
      </c>
      <c r="US53" s="6">
        <v>0</v>
      </c>
      <c r="UV53" s="6">
        <v>0</v>
      </c>
      <c r="UW53" s="6">
        <v>104000</v>
      </c>
      <c r="UX53" s="6">
        <v>75889.919999999998</v>
      </c>
      <c r="UY53" s="6">
        <v>28110.080000000002</v>
      </c>
      <c r="UZ53" s="2" t="s">
        <v>2878</v>
      </c>
      <c r="VA53" s="2" t="s">
        <v>182</v>
      </c>
      <c r="VB53" s="2" t="s">
        <v>17</v>
      </c>
      <c r="VI53" s="388" t="s">
        <v>3235</v>
      </c>
      <c r="VJ53" s="2" t="s">
        <v>98</v>
      </c>
      <c r="VK53" s="2" t="s">
        <v>3236</v>
      </c>
      <c r="VL53" s="23">
        <f t="shared" si="22"/>
        <v>150</v>
      </c>
      <c r="VM53" s="17">
        <f t="shared" si="23"/>
        <v>1.5</v>
      </c>
      <c r="VN53" s="17" t="str">
        <f t="shared" si="24"/>
        <v>NC-GA-E</v>
      </c>
      <c r="VO53" s="17" t="str">
        <f t="shared" si="15"/>
        <v>NC-GA-E-ESS</v>
      </c>
      <c r="VP53" s="57">
        <v>1</v>
      </c>
      <c r="VQ53" s="17">
        <f t="shared" si="25"/>
        <v>1.1100000000000001</v>
      </c>
      <c r="VR53" s="14">
        <f t="shared" si="26"/>
        <v>1</v>
      </c>
      <c r="VS53" s="14">
        <f t="shared" si="27"/>
        <v>1</v>
      </c>
      <c r="VT53" s="12">
        <f t="shared" si="28"/>
        <v>0.85439999999999994</v>
      </c>
      <c r="VU53" s="29">
        <f t="shared" si="29"/>
        <v>9009553.1615999993</v>
      </c>
      <c r="VV53" s="29">
        <f t="shared" si="30"/>
        <v>90095.53</v>
      </c>
      <c r="VW53" s="351" t="str">
        <f t="shared" si="16"/>
        <v>B</v>
      </c>
      <c r="VX53" s="12" t="str">
        <f t="shared" si="31"/>
        <v>NC-GA-ESS</v>
      </c>
      <c r="VY53" s="23">
        <f t="shared" si="17"/>
        <v>5</v>
      </c>
      <c r="WA53" s="12">
        <f t="shared" si="18"/>
        <v>1</v>
      </c>
      <c r="WB53" s="12">
        <f t="shared" si="19"/>
        <v>1</v>
      </c>
      <c r="WC53" s="12">
        <f t="shared" si="19"/>
        <v>0</v>
      </c>
      <c r="WD53" s="12">
        <f t="shared" si="19"/>
        <v>0</v>
      </c>
      <c r="WE53" s="12">
        <f t="shared" si="20"/>
        <v>1</v>
      </c>
      <c r="WF53" s="12">
        <f t="shared" si="32"/>
        <v>1</v>
      </c>
      <c r="WG53" s="12">
        <f t="shared" si="33"/>
        <v>0</v>
      </c>
      <c r="WH53" s="12">
        <f t="shared" si="34"/>
        <v>0</v>
      </c>
      <c r="WI53" s="22">
        <f t="shared" si="35"/>
        <v>4</v>
      </c>
      <c r="WK53" s="444" t="str">
        <f t="shared" si="21"/>
        <v>NC-GA-ESS-BBY-BRN-NPH-E</v>
      </c>
      <c r="WL53" s="444"/>
      <c r="WM53" s="444"/>
    </row>
    <row r="54" spans="1:611" x14ac:dyDescent="0.25">
      <c r="A54" s="2">
        <v>9285</v>
      </c>
      <c r="B54" s="2" t="s">
        <v>4789</v>
      </c>
      <c r="C54" s="2" t="s">
        <v>4205</v>
      </c>
      <c r="D54" s="3">
        <v>45135</v>
      </c>
      <c r="E54" s="2" t="s">
        <v>9</v>
      </c>
      <c r="F54" s="2">
        <v>1</v>
      </c>
      <c r="G54" s="2" t="s">
        <v>9</v>
      </c>
      <c r="H54" s="2">
        <v>1</v>
      </c>
      <c r="I54" s="2" t="s">
        <v>11</v>
      </c>
      <c r="J54" s="2">
        <v>0</v>
      </c>
      <c r="K54" s="2" t="s">
        <v>9</v>
      </c>
      <c r="L54" s="2">
        <v>1</v>
      </c>
      <c r="M54" s="2" t="s">
        <v>10</v>
      </c>
      <c r="N54" s="2">
        <v>0</v>
      </c>
      <c r="O54" s="2" t="s">
        <v>10</v>
      </c>
      <c r="P54" s="2">
        <v>0</v>
      </c>
      <c r="Q54" s="2" t="s">
        <v>11</v>
      </c>
      <c r="R54" s="2">
        <v>0</v>
      </c>
      <c r="S54" s="2" t="s">
        <v>9</v>
      </c>
      <c r="T54" s="2">
        <v>2</v>
      </c>
      <c r="U54" s="2" t="s">
        <v>9</v>
      </c>
      <c r="V54" s="2">
        <v>2</v>
      </c>
      <c r="W54" s="2" t="s">
        <v>9</v>
      </c>
      <c r="X54" s="2">
        <v>2</v>
      </c>
      <c r="Y54" s="2" t="s">
        <v>12</v>
      </c>
      <c r="Z54" s="2" t="s">
        <v>605</v>
      </c>
      <c r="AA54" s="2" t="s">
        <v>15</v>
      </c>
      <c r="AB54" s="2" t="s">
        <v>15</v>
      </c>
      <c r="AC54" s="2" t="s">
        <v>15</v>
      </c>
      <c r="AD54" s="2" t="s">
        <v>15</v>
      </c>
      <c r="AE54" s="2" t="s">
        <v>15</v>
      </c>
      <c r="AF54" s="2">
        <v>1</v>
      </c>
      <c r="AG54" s="2" t="s">
        <v>3000</v>
      </c>
      <c r="AH54" s="2" t="s">
        <v>17</v>
      </c>
      <c r="AI54" s="4">
        <v>0.15115999999999999</v>
      </c>
      <c r="AJ54" s="2" t="s">
        <v>17</v>
      </c>
      <c r="AK54" s="2" t="s">
        <v>9</v>
      </c>
      <c r="AL54" s="2" t="s">
        <v>17</v>
      </c>
      <c r="AM54" s="2" t="s">
        <v>17</v>
      </c>
      <c r="AN54" s="2" t="s">
        <v>17</v>
      </c>
      <c r="AO54" s="2" t="s">
        <v>9</v>
      </c>
      <c r="AP54" s="2" t="s">
        <v>17</v>
      </c>
      <c r="AQ54" s="2" t="s">
        <v>17</v>
      </c>
      <c r="AR54" s="2" t="s">
        <v>17</v>
      </c>
      <c r="AS54" s="2" t="s">
        <v>17</v>
      </c>
      <c r="AT54" s="2">
        <v>5</v>
      </c>
      <c r="AU54" s="5">
        <v>20000</v>
      </c>
      <c r="AV54" s="5">
        <v>340000</v>
      </c>
      <c r="AW54" s="2">
        <v>1</v>
      </c>
      <c r="AX54" s="2">
        <v>8</v>
      </c>
      <c r="AY54" s="2">
        <v>0</v>
      </c>
      <c r="AZ54" s="2">
        <v>17</v>
      </c>
      <c r="BA54" s="2">
        <v>0</v>
      </c>
      <c r="BB54" s="2">
        <v>1</v>
      </c>
      <c r="BC54" s="2">
        <v>0</v>
      </c>
      <c r="BD54" s="2">
        <v>0</v>
      </c>
      <c r="BE54" s="2">
        <v>1</v>
      </c>
      <c r="BF54" s="2">
        <v>1</v>
      </c>
      <c r="BG54" s="2">
        <v>0</v>
      </c>
      <c r="BH54" s="2">
        <v>0</v>
      </c>
      <c r="BI54" s="2">
        <v>13</v>
      </c>
      <c r="BJ54" s="2">
        <v>1</v>
      </c>
      <c r="BK54" s="2">
        <v>0</v>
      </c>
      <c r="BL54" s="2">
        <v>3</v>
      </c>
      <c r="BM54" s="2">
        <v>1</v>
      </c>
      <c r="BN54" s="2">
        <v>10</v>
      </c>
      <c r="BO54" s="2">
        <v>10</v>
      </c>
      <c r="BP54" s="2">
        <v>30.99</v>
      </c>
      <c r="BQ54" s="5">
        <v>8784200</v>
      </c>
      <c r="BR54" s="2">
        <v>1</v>
      </c>
      <c r="BS54" s="4">
        <v>0.06</v>
      </c>
      <c r="BT54" s="2" t="s">
        <v>9</v>
      </c>
      <c r="BU54" s="2" t="s">
        <v>17</v>
      </c>
      <c r="BV54" s="6">
        <v>87443.7</v>
      </c>
      <c r="BW54" s="2" t="s">
        <v>18</v>
      </c>
      <c r="BX54" s="2" t="s">
        <v>17</v>
      </c>
      <c r="BY54" s="2" t="s">
        <v>17</v>
      </c>
      <c r="BZ54" s="2" t="s">
        <v>17</v>
      </c>
      <c r="CA54" s="2" t="s">
        <v>17</v>
      </c>
      <c r="CB54" s="2" t="s">
        <v>17</v>
      </c>
      <c r="CC54" s="2" t="s">
        <v>17</v>
      </c>
      <c r="CE54" s="2" t="s">
        <v>4790</v>
      </c>
      <c r="CF54" s="2" t="s">
        <v>17</v>
      </c>
      <c r="CG54" s="2" t="s">
        <v>9</v>
      </c>
      <c r="DA54" s="2" t="s">
        <v>4791</v>
      </c>
      <c r="DD54" s="2" t="s">
        <v>9</v>
      </c>
      <c r="DE54" s="2" t="s">
        <v>21</v>
      </c>
      <c r="DF54" s="2" t="s">
        <v>4791</v>
      </c>
      <c r="DG54" s="2" t="s">
        <v>22</v>
      </c>
      <c r="DH54" s="2" t="s">
        <v>23</v>
      </c>
      <c r="DI54" s="2">
        <v>90</v>
      </c>
      <c r="DJ54" s="2" t="s">
        <v>1058</v>
      </c>
      <c r="DK54" s="2">
        <v>2017</v>
      </c>
      <c r="DL54" s="2" t="s">
        <v>4209</v>
      </c>
      <c r="DM54" s="2" t="s">
        <v>4210</v>
      </c>
      <c r="DN54" s="2" t="s">
        <v>33</v>
      </c>
      <c r="DO54" s="2" t="s">
        <v>34</v>
      </c>
      <c r="DQ54" s="2" t="s">
        <v>35</v>
      </c>
      <c r="DR54" s="2" t="s">
        <v>36</v>
      </c>
      <c r="DS54" s="2">
        <v>1</v>
      </c>
      <c r="DT54" s="2" t="s">
        <v>37</v>
      </c>
      <c r="DU54" s="2" t="s">
        <v>38</v>
      </c>
      <c r="DV54" s="2" t="s">
        <v>39</v>
      </c>
      <c r="DW54" s="2">
        <v>32405</v>
      </c>
      <c r="DX54" s="2" t="s">
        <v>40</v>
      </c>
      <c r="DZ54" s="2" t="s">
        <v>41</v>
      </c>
      <c r="EA54" s="2" t="s">
        <v>36</v>
      </c>
      <c r="EB54" s="2" t="s">
        <v>42</v>
      </c>
      <c r="EC54" s="2" t="s">
        <v>43</v>
      </c>
      <c r="ED54" s="2" t="s">
        <v>44</v>
      </c>
      <c r="EE54" s="2">
        <v>84</v>
      </c>
      <c r="EF54" s="2" t="s">
        <v>1062</v>
      </c>
      <c r="EG54" s="2">
        <v>6</v>
      </c>
      <c r="EH54" s="2" t="s">
        <v>46</v>
      </c>
      <c r="EI54" s="2" t="s">
        <v>47</v>
      </c>
      <c r="EJ54" s="2" t="s">
        <v>48</v>
      </c>
      <c r="EK54" s="2" t="s">
        <v>49</v>
      </c>
      <c r="EL54" s="2" t="s">
        <v>44</v>
      </c>
      <c r="EM54" s="2">
        <v>112</v>
      </c>
      <c r="EN54" s="2" t="s">
        <v>1062</v>
      </c>
      <c r="EO54" s="2">
        <v>5</v>
      </c>
      <c r="EP54" s="2" t="s">
        <v>46</v>
      </c>
      <c r="EQ54" s="2" t="s">
        <v>47</v>
      </c>
      <c r="ER54" s="2" t="s">
        <v>50</v>
      </c>
      <c r="ET54" s="2" t="s">
        <v>51</v>
      </c>
      <c r="EU54" s="2" t="s">
        <v>52</v>
      </c>
      <c r="EV54" s="2" t="s">
        <v>53</v>
      </c>
      <c r="EW54" s="2" t="s">
        <v>54</v>
      </c>
      <c r="EX54" s="2" t="s">
        <v>55</v>
      </c>
      <c r="EY54" s="2">
        <v>91730</v>
      </c>
      <c r="EZ54" s="2" t="s">
        <v>4705</v>
      </c>
      <c r="FB54" s="2" t="s">
        <v>57</v>
      </c>
      <c r="FC54" s="2" t="s">
        <v>58</v>
      </c>
      <c r="FE54" s="2" t="s">
        <v>59</v>
      </c>
      <c r="FF54" s="2" t="s">
        <v>52</v>
      </c>
      <c r="FG54" s="2" t="s">
        <v>53</v>
      </c>
      <c r="FH54" s="2" t="s">
        <v>54</v>
      </c>
      <c r="FI54" s="2" t="s">
        <v>55</v>
      </c>
      <c r="FJ54" s="2">
        <v>91730</v>
      </c>
      <c r="FK54" s="2" t="s">
        <v>60</v>
      </c>
      <c r="FM54" s="2" t="s">
        <v>61</v>
      </c>
      <c r="FN54" s="2" t="s">
        <v>4792</v>
      </c>
      <c r="FO54" s="2" t="s">
        <v>63</v>
      </c>
      <c r="FP54" s="2" t="s">
        <v>64</v>
      </c>
      <c r="FQ54" s="2" t="s">
        <v>9</v>
      </c>
      <c r="FR54" s="2" t="s">
        <v>17</v>
      </c>
      <c r="FS54" s="2" t="s">
        <v>17</v>
      </c>
      <c r="FT54" s="2" t="s">
        <v>9</v>
      </c>
      <c r="FX54" s="2">
        <v>0</v>
      </c>
      <c r="FY54" s="2">
        <v>0</v>
      </c>
      <c r="FZ54" s="4">
        <v>0</v>
      </c>
      <c r="GA54" s="4">
        <v>0</v>
      </c>
      <c r="GB54" s="2" t="s">
        <v>65</v>
      </c>
      <c r="GC54" s="2" t="s">
        <v>66</v>
      </c>
      <c r="GD54" s="2" t="s">
        <v>67</v>
      </c>
      <c r="GE54" s="2" t="s">
        <v>68</v>
      </c>
      <c r="GF54" s="2">
        <v>86</v>
      </c>
      <c r="GG54" s="2">
        <v>86</v>
      </c>
      <c r="GQ54" s="2">
        <v>86</v>
      </c>
      <c r="GR54" s="2" t="s">
        <v>775</v>
      </c>
      <c r="GS54" s="2" t="s">
        <v>70</v>
      </c>
      <c r="GT54" s="2" t="s">
        <v>4793</v>
      </c>
      <c r="GU54" s="2" t="s">
        <v>4794</v>
      </c>
      <c r="GV54" s="2" t="s">
        <v>17</v>
      </c>
      <c r="GW54" s="2">
        <v>28.543939999999999</v>
      </c>
      <c r="GX54" s="2">
        <v>-82.405854000000005</v>
      </c>
      <c r="GZ54" s="2" t="s">
        <v>17</v>
      </c>
      <c r="HA54" s="2">
        <v>0</v>
      </c>
      <c r="HB54" s="2" t="s">
        <v>17</v>
      </c>
      <c r="HC54" s="2">
        <v>0</v>
      </c>
      <c r="HD54" s="2">
        <v>28.541245</v>
      </c>
      <c r="HE54" s="2">
        <v>-82.406642000000005</v>
      </c>
      <c r="HF54" s="2">
        <v>0.19</v>
      </c>
      <c r="HG54" s="2">
        <v>2</v>
      </c>
      <c r="HZ54" s="2" t="s">
        <v>359</v>
      </c>
      <c r="IA54" s="2">
        <v>0.15</v>
      </c>
      <c r="IB54" s="2">
        <v>4</v>
      </c>
      <c r="IC54" s="2" t="s">
        <v>4795</v>
      </c>
      <c r="ID54" s="2">
        <v>0.36</v>
      </c>
      <c r="IE54" s="2">
        <v>3.5</v>
      </c>
      <c r="IF54" s="2" t="s">
        <v>957</v>
      </c>
      <c r="IG54" s="2">
        <v>0.15</v>
      </c>
      <c r="IH54" s="2">
        <v>4</v>
      </c>
      <c r="IL54" s="2" t="s">
        <v>17</v>
      </c>
      <c r="IM54" s="2" t="s">
        <v>17</v>
      </c>
      <c r="IO54" s="2" t="s">
        <v>17</v>
      </c>
      <c r="IP54" s="2" t="s">
        <v>79</v>
      </c>
      <c r="IQ54" s="2" t="s">
        <v>79</v>
      </c>
      <c r="IR54" s="2">
        <v>2</v>
      </c>
      <c r="IS54" s="2">
        <v>11.5</v>
      </c>
      <c r="IT54" s="2">
        <v>0</v>
      </c>
      <c r="IU54" s="2">
        <v>13.5</v>
      </c>
      <c r="IV54" s="2" t="s">
        <v>80</v>
      </c>
      <c r="IW54" s="2" t="s">
        <v>9</v>
      </c>
      <c r="IX54" s="2" t="s">
        <v>9</v>
      </c>
      <c r="IY54" s="2">
        <v>13.5</v>
      </c>
      <c r="IZ54" s="2">
        <v>86</v>
      </c>
      <c r="JB54" s="2" t="s">
        <v>82</v>
      </c>
      <c r="JH54" s="7">
        <v>0</v>
      </c>
      <c r="JI54" s="2">
        <v>0</v>
      </c>
      <c r="JJ54" s="7">
        <v>0</v>
      </c>
      <c r="JK54" s="2">
        <v>0</v>
      </c>
      <c r="JL54" s="7">
        <v>0</v>
      </c>
      <c r="JN54" s="2">
        <v>13</v>
      </c>
      <c r="JQ54" s="2">
        <v>48</v>
      </c>
      <c r="JR54" s="2">
        <v>15</v>
      </c>
      <c r="JS54" s="2">
        <v>10</v>
      </c>
      <c r="JT54" s="2">
        <v>0</v>
      </c>
      <c r="JU54" s="2">
        <v>0</v>
      </c>
      <c r="JV54" s="2">
        <v>86</v>
      </c>
      <c r="JW54" s="4">
        <v>1</v>
      </c>
      <c r="JX54" s="2">
        <v>86</v>
      </c>
      <c r="JY54" s="4">
        <v>0.59535000000000005</v>
      </c>
      <c r="KE54" s="7">
        <v>0</v>
      </c>
      <c r="KF54" s="2">
        <v>0</v>
      </c>
      <c r="KH54" s="2">
        <v>32</v>
      </c>
      <c r="KI54" s="2">
        <v>54</v>
      </c>
      <c r="KQ54" s="2" t="s">
        <v>83</v>
      </c>
      <c r="KR54" s="2" t="s">
        <v>73</v>
      </c>
      <c r="KT54" s="2">
        <v>3</v>
      </c>
      <c r="KU54" s="2" t="s">
        <v>84</v>
      </c>
      <c r="KW54" s="2" t="s">
        <v>86</v>
      </c>
      <c r="KX54" s="2" t="s">
        <v>17</v>
      </c>
      <c r="KY54" s="2" t="s">
        <v>17</v>
      </c>
      <c r="KZ54" s="2" t="s">
        <v>17</v>
      </c>
      <c r="LA54" s="2" t="s">
        <v>17</v>
      </c>
      <c r="LB54" s="2" t="s">
        <v>17</v>
      </c>
      <c r="LC54" s="2" t="s">
        <v>17</v>
      </c>
      <c r="LD54" s="2" t="s">
        <v>17</v>
      </c>
      <c r="LE54" s="2" t="s">
        <v>17</v>
      </c>
      <c r="LF54" s="2" t="s">
        <v>17</v>
      </c>
      <c r="LG54" s="2" t="s">
        <v>17</v>
      </c>
      <c r="LH54" s="2" t="s">
        <v>17</v>
      </c>
      <c r="LI54" s="2" t="s">
        <v>17</v>
      </c>
      <c r="LJ54" s="2" t="s">
        <v>87</v>
      </c>
      <c r="LK54" s="2" t="s">
        <v>17</v>
      </c>
      <c r="LL54" s="2" t="s">
        <v>17</v>
      </c>
      <c r="LM54" s="2">
        <v>0</v>
      </c>
      <c r="LN54" s="2" t="s">
        <v>17</v>
      </c>
      <c r="LO54" s="2" t="s">
        <v>9</v>
      </c>
      <c r="LP54" s="2" t="s">
        <v>9</v>
      </c>
      <c r="LQ54" s="2" t="s">
        <v>17</v>
      </c>
      <c r="LR54" s="2" t="s">
        <v>9</v>
      </c>
      <c r="LS54" s="2" t="s">
        <v>17</v>
      </c>
      <c r="LT54" s="2" t="s">
        <v>17</v>
      </c>
      <c r="LU54" s="2" t="s">
        <v>17</v>
      </c>
      <c r="LV54" s="2" t="s">
        <v>17</v>
      </c>
      <c r="LW54" s="2" t="s">
        <v>17</v>
      </c>
      <c r="LX54" s="2" t="s">
        <v>17</v>
      </c>
      <c r="LY54" s="5">
        <v>6500000</v>
      </c>
      <c r="LZ54" s="5">
        <v>0</v>
      </c>
      <c r="MA54" s="5">
        <v>8170000</v>
      </c>
      <c r="MB54" s="5">
        <v>8170000</v>
      </c>
      <c r="MC54" s="5">
        <v>8170000</v>
      </c>
      <c r="MD54" s="5">
        <v>614200</v>
      </c>
      <c r="ME54" s="5">
        <v>614200</v>
      </c>
      <c r="MF54" s="5">
        <v>614200</v>
      </c>
      <c r="MG54" s="5">
        <v>9030000</v>
      </c>
      <c r="MH54" s="5">
        <v>0</v>
      </c>
      <c r="MI54" s="5">
        <v>9030000</v>
      </c>
      <c r="MJ54" s="5">
        <v>0</v>
      </c>
      <c r="MK54" s="5">
        <v>614200</v>
      </c>
      <c r="ML54" s="5">
        <v>0</v>
      </c>
      <c r="MM54" s="5">
        <v>0</v>
      </c>
      <c r="MN54" s="2">
        <v>0</v>
      </c>
      <c r="MO54" s="5">
        <v>0</v>
      </c>
      <c r="MP54" s="5">
        <v>0</v>
      </c>
      <c r="MQ54" s="2">
        <v>0</v>
      </c>
      <c r="MR54" s="2">
        <v>0</v>
      </c>
      <c r="MS54" s="2">
        <v>0</v>
      </c>
      <c r="MT54" s="5">
        <v>2950000</v>
      </c>
      <c r="MU54" s="5">
        <v>0</v>
      </c>
      <c r="MV54" s="5">
        <v>4600000</v>
      </c>
      <c r="MW54" s="5">
        <v>0</v>
      </c>
      <c r="MY54" s="5">
        <v>0</v>
      </c>
      <c r="MZ54" s="5">
        <v>0</v>
      </c>
      <c r="NA54" s="5">
        <v>0</v>
      </c>
      <c r="NB54" s="5">
        <v>2500000</v>
      </c>
      <c r="NC54" s="5">
        <v>0</v>
      </c>
      <c r="ND54" s="5">
        <v>5000000</v>
      </c>
      <c r="NE54" s="5">
        <v>0</v>
      </c>
      <c r="NF54" s="5">
        <v>0</v>
      </c>
      <c r="NG54" s="5">
        <v>0</v>
      </c>
      <c r="NH54" s="5"/>
      <c r="NI54" s="5">
        <v>0</v>
      </c>
      <c r="NJ54" s="5">
        <v>1187092</v>
      </c>
      <c r="NK54" s="2" t="s">
        <v>17</v>
      </c>
      <c r="NL54" s="2" t="s">
        <v>4292</v>
      </c>
      <c r="NM54" s="2" t="s">
        <v>17</v>
      </c>
      <c r="NO54" s="2" t="s">
        <v>17</v>
      </c>
      <c r="NR54" s="2" t="s">
        <v>17</v>
      </c>
      <c r="NT54" s="2" t="s">
        <v>9</v>
      </c>
      <c r="NU54" s="2" t="s">
        <v>450</v>
      </c>
      <c r="NV54" s="2">
        <v>405.01</v>
      </c>
      <c r="NW54" s="2" t="s">
        <v>1809</v>
      </c>
      <c r="NX54" s="2" t="s">
        <v>118</v>
      </c>
      <c r="NY54" s="2" t="s">
        <v>118</v>
      </c>
      <c r="NZ54" s="2" t="s">
        <v>118</v>
      </c>
      <c r="OA54" s="2" t="s">
        <v>17</v>
      </c>
      <c r="OB54" s="2" t="s">
        <v>119</v>
      </c>
      <c r="OC54" s="5">
        <v>14000000</v>
      </c>
      <c r="OF54" s="2" t="s">
        <v>17</v>
      </c>
      <c r="OG54" s="2" t="s">
        <v>17</v>
      </c>
      <c r="OH54" s="2" t="s">
        <v>85</v>
      </c>
      <c r="OI54" s="6">
        <v>0</v>
      </c>
      <c r="OJ54" s="6">
        <v>245100</v>
      </c>
      <c r="OK54" s="2" t="s">
        <v>17</v>
      </c>
      <c r="OL54" s="2" t="s">
        <v>17</v>
      </c>
      <c r="OM54" s="6">
        <v>0</v>
      </c>
      <c r="ON54" s="6">
        <v>0</v>
      </c>
      <c r="OO54" s="6">
        <v>0</v>
      </c>
      <c r="OP54" s="6">
        <v>0</v>
      </c>
      <c r="OQ54" s="4">
        <v>0</v>
      </c>
      <c r="OR54" s="6">
        <v>0</v>
      </c>
      <c r="OS54" s="4">
        <v>0</v>
      </c>
      <c r="OT54" s="2" t="s">
        <v>17</v>
      </c>
      <c r="OU54" s="2" t="s">
        <v>17</v>
      </c>
      <c r="OW54" s="2" t="s">
        <v>17</v>
      </c>
      <c r="OX54" s="5">
        <v>7520158</v>
      </c>
      <c r="OY54" s="6">
        <v>87443.7</v>
      </c>
      <c r="PD54" s="8">
        <v>13832500</v>
      </c>
      <c r="PF54" s="8">
        <v>13832500</v>
      </c>
      <c r="PO54" s="8">
        <v>13832500</v>
      </c>
      <c r="PQ54" s="8">
        <v>13832500</v>
      </c>
      <c r="PR54" s="8">
        <v>1936550</v>
      </c>
      <c r="PT54" s="8">
        <v>1936550</v>
      </c>
      <c r="PU54" s="6">
        <v>1936550</v>
      </c>
      <c r="PV54" s="8">
        <v>15769050</v>
      </c>
      <c r="PX54" s="8">
        <v>15769050</v>
      </c>
      <c r="PY54" s="8">
        <v>788452</v>
      </c>
      <c r="QA54" s="8">
        <v>788452</v>
      </c>
      <c r="QB54" s="6">
        <v>788452.5</v>
      </c>
      <c r="QC54" s="8">
        <v>1267551</v>
      </c>
      <c r="QE54" s="8">
        <v>1267551</v>
      </c>
      <c r="QF54" s="8">
        <v>200000</v>
      </c>
      <c r="QH54" s="8">
        <v>200000</v>
      </c>
      <c r="QI54" s="8">
        <v>1025600</v>
      </c>
      <c r="QK54" s="8">
        <v>1025600</v>
      </c>
      <c r="QM54" s="8">
        <v>95071</v>
      </c>
      <c r="QN54" s="8">
        <v>95071</v>
      </c>
      <c r="QU54" s="8">
        <v>2493151</v>
      </c>
      <c r="QV54" s="8">
        <v>95071</v>
      </c>
      <c r="QW54" s="8">
        <v>2588222</v>
      </c>
      <c r="QX54" s="8">
        <v>129411</v>
      </c>
      <c r="QZ54" s="8">
        <v>129411</v>
      </c>
      <c r="RA54" s="6">
        <v>129411.1</v>
      </c>
      <c r="RB54" s="8">
        <v>872250</v>
      </c>
      <c r="RC54" s="8">
        <v>600000</v>
      </c>
      <c r="RD54" s="8">
        <v>1472250</v>
      </c>
      <c r="RE54" s="8">
        <v>70800</v>
      </c>
      <c r="RF54" s="8">
        <v>70800</v>
      </c>
      <c r="RG54" s="8">
        <v>147219</v>
      </c>
      <c r="RH54" s="8">
        <v>200000</v>
      </c>
      <c r="RI54" s="8">
        <v>347219</v>
      </c>
      <c r="RJ54" s="8">
        <v>1019469</v>
      </c>
      <c r="RK54" s="8">
        <v>870800</v>
      </c>
      <c r="RL54" s="8">
        <v>1890269</v>
      </c>
      <c r="RT54" s="8">
        <v>20199533</v>
      </c>
      <c r="RU54" s="8">
        <v>965871</v>
      </c>
      <c r="RV54" s="8">
        <v>21165404</v>
      </c>
      <c r="RY54" s="2">
        <v>0</v>
      </c>
      <c r="RZ54" s="6">
        <v>0</v>
      </c>
      <c r="SA54" s="8">
        <v>3809772</v>
      </c>
      <c r="SC54" s="8">
        <v>3809772</v>
      </c>
      <c r="SD54" s="6">
        <v>3809772</v>
      </c>
      <c r="SE54" s="8">
        <v>3809772</v>
      </c>
      <c r="SF54" s="8">
        <v>3809772</v>
      </c>
      <c r="SG54" s="6">
        <v>3809772</v>
      </c>
      <c r="SH54" s="8">
        <v>301000</v>
      </c>
      <c r="SI54" s="8">
        <v>301000</v>
      </c>
      <c r="SJ54" s="6">
        <v>301000</v>
      </c>
      <c r="SK54" s="8">
        <v>1175000</v>
      </c>
      <c r="SL54" s="8">
        <v>1175000</v>
      </c>
      <c r="SM54" s="8">
        <v>24009305</v>
      </c>
      <c r="SN54" s="8">
        <v>2441871</v>
      </c>
      <c r="SO54" s="8">
        <v>26451176</v>
      </c>
      <c r="SP54" s="8">
        <v>14000000</v>
      </c>
      <c r="SQ54" s="2" t="s">
        <v>4295</v>
      </c>
      <c r="SX54" s="8">
        <v>8784200</v>
      </c>
      <c r="SY54" s="2" t="s">
        <v>96</v>
      </c>
      <c r="SZ54" s="2" t="s">
        <v>96</v>
      </c>
      <c r="TA54" s="2" t="s">
        <v>96</v>
      </c>
      <c r="TB54" s="8">
        <v>5341379</v>
      </c>
      <c r="TC54" s="2" t="s">
        <v>4796</v>
      </c>
      <c r="TD54" s="8">
        <v>20000</v>
      </c>
      <c r="TE54" s="2" t="s">
        <v>180</v>
      </c>
      <c r="TF54" s="2">
        <v>0</v>
      </c>
      <c r="TG54" s="8">
        <v>28145579</v>
      </c>
      <c r="TH54" s="8">
        <v>1694403</v>
      </c>
      <c r="TI54" s="8">
        <v>5900000</v>
      </c>
      <c r="TJ54" s="2" t="s">
        <v>4295</v>
      </c>
      <c r="TR54" s="8">
        <v>8784200</v>
      </c>
      <c r="TS54" s="8">
        <v>10682759</v>
      </c>
      <c r="TT54" s="2" t="s">
        <v>4796</v>
      </c>
      <c r="TU54" s="8">
        <v>20000</v>
      </c>
      <c r="TV54" s="2" t="s">
        <v>180</v>
      </c>
      <c r="TZ54" s="8">
        <v>1064217</v>
      </c>
      <c r="UA54" s="8">
        <v>26451176</v>
      </c>
      <c r="UB54" s="6">
        <v>14704200</v>
      </c>
      <c r="UC54" s="2">
        <v>0</v>
      </c>
      <c r="UD54" s="2">
        <v>86</v>
      </c>
      <c r="UE54" s="5">
        <v>240000</v>
      </c>
      <c r="UF54" s="6">
        <v>320000</v>
      </c>
      <c r="UG54" s="6">
        <v>327500</v>
      </c>
      <c r="UH54" s="6">
        <v>347150</v>
      </c>
      <c r="UI54" s="6">
        <v>29854900</v>
      </c>
      <c r="UJ54" s="6">
        <v>5373882</v>
      </c>
      <c r="UK54" s="2" t="s">
        <v>97</v>
      </c>
      <c r="UL54" s="6">
        <v>5373882</v>
      </c>
      <c r="UM54" s="6">
        <v>35228782</v>
      </c>
      <c r="UN54" s="6">
        <v>24975176</v>
      </c>
      <c r="UQ54" s="6">
        <v>0</v>
      </c>
      <c r="UR54" s="6">
        <v>20000</v>
      </c>
      <c r="US54" s="6">
        <v>20000</v>
      </c>
      <c r="UV54" s="6">
        <v>0</v>
      </c>
      <c r="UW54" s="6">
        <v>20000</v>
      </c>
      <c r="UX54" s="6">
        <v>0</v>
      </c>
      <c r="UY54" s="6">
        <v>20000</v>
      </c>
      <c r="UZ54" s="2" t="s">
        <v>1813</v>
      </c>
      <c r="VA54" s="2" t="s">
        <v>453</v>
      </c>
      <c r="VB54" s="2" t="s">
        <v>17</v>
      </c>
      <c r="VI54" s="388" t="s">
        <v>21</v>
      </c>
      <c r="VJ54" s="2" t="s">
        <v>98</v>
      </c>
      <c r="VK54" s="2" t="s">
        <v>99</v>
      </c>
      <c r="VL54" s="23">
        <f t="shared" si="22"/>
        <v>140</v>
      </c>
      <c r="VM54" s="17">
        <f t="shared" si="23"/>
        <v>1.6279069767441861</v>
      </c>
      <c r="VN54" s="17" t="str">
        <f t="shared" si="24"/>
        <v>NC-GA-F</v>
      </c>
      <c r="VO54" s="17" t="str">
        <f t="shared" si="15"/>
        <v>NC-GA-F-ESS</v>
      </c>
      <c r="VP54" s="57">
        <v>1</v>
      </c>
      <c r="VQ54" s="17">
        <f t="shared" si="25"/>
        <v>1.1100000000000001</v>
      </c>
      <c r="VR54" s="14">
        <f t="shared" si="26"/>
        <v>1</v>
      </c>
      <c r="VS54" s="14">
        <f t="shared" si="27"/>
        <v>1</v>
      </c>
      <c r="VT54" s="12">
        <f t="shared" si="28"/>
        <v>0.85440000000000005</v>
      </c>
      <c r="VU54" s="29">
        <f t="shared" si="29"/>
        <v>7748297.2800000003</v>
      </c>
      <c r="VV54" s="29">
        <f t="shared" si="30"/>
        <v>90096.48</v>
      </c>
      <c r="VW54" s="351" t="str">
        <f t="shared" si="16"/>
        <v>B</v>
      </c>
      <c r="VX54" s="12" t="str">
        <f t="shared" si="31"/>
        <v>NC-GA-ESS</v>
      </c>
      <c r="VY54" s="23">
        <f t="shared" si="17"/>
        <v>5</v>
      </c>
      <c r="WA54" s="12">
        <f t="shared" si="18"/>
        <v>0</v>
      </c>
      <c r="WB54" s="12">
        <f t="shared" si="19"/>
        <v>1</v>
      </c>
      <c r="WC54" s="12">
        <f t="shared" si="19"/>
        <v>0</v>
      </c>
      <c r="WD54" s="12">
        <f t="shared" si="19"/>
        <v>0</v>
      </c>
      <c r="WE54" s="12">
        <f t="shared" si="20"/>
        <v>1</v>
      </c>
      <c r="WF54" s="12">
        <f t="shared" si="32"/>
        <v>1</v>
      </c>
      <c r="WG54" s="12">
        <f t="shared" si="33"/>
        <v>0</v>
      </c>
      <c r="WH54" s="12">
        <f t="shared" si="34"/>
        <v>0</v>
      </c>
      <c r="WI54" s="22">
        <f t="shared" si="35"/>
        <v>3</v>
      </c>
      <c r="WK54" s="444" t="str">
        <f t="shared" si="21"/>
        <v>NC-GA-ESS-BBY-BRN-NPH-F</v>
      </c>
      <c r="WL54" s="444"/>
      <c r="WM54" s="444"/>
    </row>
    <row r="55" spans="1:611" x14ac:dyDescent="0.25">
      <c r="A55" s="2">
        <v>9329</v>
      </c>
      <c r="B55" s="2" t="s">
        <v>4797</v>
      </c>
      <c r="C55" s="2" t="s">
        <v>4205</v>
      </c>
      <c r="D55" s="3">
        <v>45128</v>
      </c>
      <c r="E55" s="2" t="s">
        <v>9</v>
      </c>
      <c r="F55" s="2">
        <v>1</v>
      </c>
      <c r="G55" s="2" t="s">
        <v>9</v>
      </c>
      <c r="H55" s="2">
        <v>1</v>
      </c>
      <c r="I55" s="2" t="s">
        <v>11</v>
      </c>
      <c r="J55" s="2">
        <v>0</v>
      </c>
      <c r="K55" s="2" t="s">
        <v>9</v>
      </c>
      <c r="L55" s="2">
        <v>1</v>
      </c>
      <c r="M55" s="2" t="s">
        <v>10</v>
      </c>
      <c r="N55" s="2">
        <v>0</v>
      </c>
      <c r="O55" s="2" t="s">
        <v>10</v>
      </c>
      <c r="P55" s="2">
        <v>0</v>
      </c>
      <c r="Q55" s="2" t="s">
        <v>11</v>
      </c>
      <c r="R55" s="2">
        <v>0</v>
      </c>
      <c r="S55" s="2" t="s">
        <v>9</v>
      </c>
      <c r="T55" s="2">
        <v>2</v>
      </c>
      <c r="U55" s="2" t="s">
        <v>9</v>
      </c>
      <c r="V55" s="2">
        <v>2</v>
      </c>
      <c r="W55" s="2" t="s">
        <v>9</v>
      </c>
      <c r="X55" s="2">
        <v>2</v>
      </c>
      <c r="Y55" s="2" t="s">
        <v>12</v>
      </c>
      <c r="Z55" s="2" t="s">
        <v>538</v>
      </c>
      <c r="AA55" s="2" t="s">
        <v>2914</v>
      </c>
      <c r="AB55" s="2" t="s">
        <v>15</v>
      </c>
      <c r="AC55" s="2" t="s">
        <v>15</v>
      </c>
      <c r="AD55" s="2" t="s">
        <v>15</v>
      </c>
      <c r="AE55" s="2" t="s">
        <v>15</v>
      </c>
      <c r="AF55" s="2">
        <v>2</v>
      </c>
      <c r="AG55" s="2" t="s">
        <v>2915</v>
      </c>
      <c r="AH55" s="2" t="s">
        <v>17</v>
      </c>
      <c r="AI55" s="4">
        <v>0.1</v>
      </c>
      <c r="AJ55" s="2" t="s">
        <v>17</v>
      </c>
      <c r="AK55" s="2" t="s">
        <v>9</v>
      </c>
      <c r="AL55" s="2" t="s">
        <v>17</v>
      </c>
      <c r="AM55" s="2" t="s">
        <v>17</v>
      </c>
      <c r="AN55" s="2" t="s">
        <v>17</v>
      </c>
      <c r="AO55" s="2" t="s">
        <v>9</v>
      </c>
      <c r="AP55" s="2" t="s">
        <v>17</v>
      </c>
      <c r="AQ55" s="2" t="s">
        <v>17</v>
      </c>
      <c r="AR55" s="2" t="s">
        <v>17</v>
      </c>
      <c r="AS55" s="2" t="s">
        <v>17</v>
      </c>
      <c r="AT55" s="2">
        <v>5</v>
      </c>
      <c r="AU55" s="5">
        <v>75000</v>
      </c>
      <c r="AV55" s="5">
        <v>610000</v>
      </c>
      <c r="AW55" s="2">
        <v>0</v>
      </c>
      <c r="AX55" s="2">
        <v>6</v>
      </c>
      <c r="AY55" s="2">
        <v>0</v>
      </c>
      <c r="AZ55" s="2">
        <v>17</v>
      </c>
      <c r="BA55" s="2">
        <v>0</v>
      </c>
      <c r="BB55" s="2">
        <v>1</v>
      </c>
      <c r="BC55" s="2">
        <v>1</v>
      </c>
      <c r="BD55" s="2">
        <v>4</v>
      </c>
      <c r="BE55" s="2">
        <v>0</v>
      </c>
      <c r="BF55" s="2">
        <v>1</v>
      </c>
      <c r="BG55" s="2">
        <v>0</v>
      </c>
      <c r="BH55" s="2">
        <v>0</v>
      </c>
      <c r="BI55" s="2">
        <v>13</v>
      </c>
      <c r="BJ55" s="2">
        <v>1</v>
      </c>
      <c r="BK55" s="2">
        <v>0</v>
      </c>
      <c r="BL55" s="2">
        <v>2</v>
      </c>
      <c r="BM55" s="2">
        <v>1</v>
      </c>
      <c r="BN55" s="2">
        <v>10</v>
      </c>
      <c r="BO55" s="2">
        <v>10</v>
      </c>
      <c r="BP55" s="2">
        <v>30.99</v>
      </c>
      <c r="BQ55" s="5">
        <v>8984300</v>
      </c>
      <c r="BR55" s="2">
        <v>1</v>
      </c>
      <c r="BS55" s="4">
        <v>0.06</v>
      </c>
      <c r="BT55" s="2" t="s">
        <v>9</v>
      </c>
      <c r="BU55" s="2" t="s">
        <v>17</v>
      </c>
      <c r="BV55" s="6">
        <v>87443.7</v>
      </c>
      <c r="BW55" s="2" t="s">
        <v>126</v>
      </c>
      <c r="BX55" s="2" t="s">
        <v>17</v>
      </c>
      <c r="BY55" s="2" t="s">
        <v>17</v>
      </c>
      <c r="BZ55" s="2" t="s">
        <v>17</v>
      </c>
      <c r="CA55" s="2" t="s">
        <v>17</v>
      </c>
      <c r="CB55" s="2" t="s">
        <v>17</v>
      </c>
      <c r="CC55" s="2" t="s">
        <v>17</v>
      </c>
      <c r="CD55" s="2" t="s">
        <v>9</v>
      </c>
      <c r="CE55" s="2" t="s">
        <v>4798</v>
      </c>
      <c r="CF55" s="2" t="s">
        <v>17</v>
      </c>
      <c r="CG55" s="2" t="s">
        <v>17</v>
      </c>
      <c r="DA55" s="2" t="s">
        <v>1172</v>
      </c>
      <c r="DD55" s="2" t="s">
        <v>9</v>
      </c>
      <c r="DE55" s="2" t="s">
        <v>1173</v>
      </c>
      <c r="DF55" s="2" t="s">
        <v>1172</v>
      </c>
      <c r="DG55" s="2" t="s">
        <v>1176</v>
      </c>
      <c r="DH55" s="2" t="s">
        <v>1175</v>
      </c>
      <c r="DI55" s="2">
        <v>120</v>
      </c>
      <c r="DJ55" s="2" t="s">
        <v>984</v>
      </c>
      <c r="DK55" s="2">
        <v>2020</v>
      </c>
      <c r="DL55" s="2" t="s">
        <v>4209</v>
      </c>
      <c r="DM55" s="2" t="s">
        <v>4210</v>
      </c>
      <c r="DN55" s="2" t="s">
        <v>33</v>
      </c>
      <c r="DO55" s="2" t="s">
        <v>1179</v>
      </c>
      <c r="DP55" s="2" t="s">
        <v>951</v>
      </c>
      <c r="DQ55" s="2" t="s">
        <v>1180</v>
      </c>
      <c r="DR55" s="2" t="s">
        <v>1181</v>
      </c>
      <c r="DS55" s="2">
        <v>1</v>
      </c>
      <c r="DT55" s="2" t="s">
        <v>1182</v>
      </c>
      <c r="DU55" s="2" t="s">
        <v>299</v>
      </c>
      <c r="DV55" s="2" t="s">
        <v>39</v>
      </c>
      <c r="DW55" s="2">
        <v>33176</v>
      </c>
      <c r="DX55" s="2" t="s">
        <v>1183</v>
      </c>
      <c r="DY55" s="2">
        <v>218</v>
      </c>
      <c r="DZ55" s="2" t="s">
        <v>1184</v>
      </c>
      <c r="EA55" s="2" t="s">
        <v>1181</v>
      </c>
      <c r="EB55" s="2" t="s">
        <v>1185</v>
      </c>
      <c r="EC55" s="2" t="s">
        <v>330</v>
      </c>
      <c r="ED55" s="2" t="s">
        <v>44</v>
      </c>
      <c r="EE55" s="2">
        <v>300</v>
      </c>
      <c r="EF55" s="2" t="s">
        <v>991</v>
      </c>
      <c r="EG55" s="2">
        <v>11</v>
      </c>
      <c r="EH55" s="2" t="s">
        <v>46</v>
      </c>
      <c r="EI55" s="2" t="s">
        <v>47</v>
      </c>
      <c r="EJ55" s="2" t="s">
        <v>1186</v>
      </c>
      <c r="EK55" s="2" t="s">
        <v>692</v>
      </c>
      <c r="EL55" s="2" t="s">
        <v>44</v>
      </c>
      <c r="EM55" s="2">
        <v>420</v>
      </c>
      <c r="EN55" s="2" t="s">
        <v>991</v>
      </c>
      <c r="EO55" s="2">
        <v>18</v>
      </c>
      <c r="EP55" s="2" t="s">
        <v>46</v>
      </c>
      <c r="EQ55" s="2" t="s">
        <v>47</v>
      </c>
      <c r="ER55" s="2" t="s">
        <v>2821</v>
      </c>
      <c r="ES55" s="2" t="s">
        <v>476</v>
      </c>
      <c r="ET55" s="2" t="s">
        <v>2822</v>
      </c>
      <c r="EU55" s="2" t="s">
        <v>4798</v>
      </c>
      <c r="EV55" s="2" t="s">
        <v>1193</v>
      </c>
      <c r="EW55" s="2" t="s">
        <v>661</v>
      </c>
      <c r="EX55" s="2" t="s">
        <v>39</v>
      </c>
      <c r="EY55" s="2">
        <v>32751</v>
      </c>
      <c r="EZ55" s="2" t="s">
        <v>2823</v>
      </c>
      <c r="FB55" s="2" t="s">
        <v>2824</v>
      </c>
      <c r="FC55" s="2" t="s">
        <v>1191</v>
      </c>
      <c r="FE55" s="2" t="s">
        <v>1192</v>
      </c>
      <c r="FF55" s="2" t="s">
        <v>1172</v>
      </c>
      <c r="FG55" s="2" t="s">
        <v>1193</v>
      </c>
      <c r="FH55" s="2" t="s">
        <v>661</v>
      </c>
      <c r="FI55" s="2" t="s">
        <v>39</v>
      </c>
      <c r="FJ55" s="2">
        <v>32751</v>
      </c>
      <c r="FK55" s="2" t="s">
        <v>1194</v>
      </c>
      <c r="FM55" s="2" t="s">
        <v>1195</v>
      </c>
      <c r="FN55" s="2" t="s">
        <v>4799</v>
      </c>
      <c r="FO55" s="2" t="s">
        <v>63</v>
      </c>
      <c r="FP55" s="2" t="s">
        <v>64</v>
      </c>
      <c r="FQ55" s="2" t="s">
        <v>9</v>
      </c>
      <c r="FR55" s="2" t="s">
        <v>17</v>
      </c>
      <c r="FS55" s="2" t="s">
        <v>17</v>
      </c>
      <c r="FT55" s="2" t="s">
        <v>9</v>
      </c>
      <c r="FX55" s="2">
        <v>0</v>
      </c>
      <c r="FY55" s="2">
        <v>0</v>
      </c>
      <c r="FZ55" s="4">
        <v>0</v>
      </c>
      <c r="GA55" s="4">
        <v>0</v>
      </c>
      <c r="GB55" s="2" t="s">
        <v>65</v>
      </c>
      <c r="GC55" s="2" t="s">
        <v>66</v>
      </c>
      <c r="GD55" s="2" t="s">
        <v>67</v>
      </c>
      <c r="GE55" s="2" t="s">
        <v>68</v>
      </c>
      <c r="GF55" s="2">
        <v>88</v>
      </c>
      <c r="GG55" s="2">
        <v>88</v>
      </c>
      <c r="GQ55" s="2">
        <v>88</v>
      </c>
      <c r="GR55" s="2" t="s">
        <v>2873</v>
      </c>
      <c r="GS55" s="2" t="s">
        <v>2686</v>
      </c>
      <c r="GT55" s="2" t="s">
        <v>4800</v>
      </c>
      <c r="GU55" s="2" t="s">
        <v>479</v>
      </c>
      <c r="GV55" s="2" t="s">
        <v>17</v>
      </c>
      <c r="GW55" s="2">
        <v>30.375762999999999</v>
      </c>
      <c r="GX55" s="2">
        <v>-81.651751000000004</v>
      </c>
      <c r="GZ55" s="2" t="s">
        <v>17</v>
      </c>
      <c r="HA55" s="2">
        <v>0</v>
      </c>
      <c r="HB55" s="2" t="s">
        <v>17</v>
      </c>
      <c r="HC55" s="2">
        <v>0</v>
      </c>
      <c r="HD55" s="2">
        <v>30.375934999999998</v>
      </c>
      <c r="HE55" s="2">
        <v>-81.651369000000003</v>
      </c>
      <c r="HF55" s="2">
        <v>0.03</v>
      </c>
      <c r="HG55" s="2">
        <v>4</v>
      </c>
      <c r="HH55" s="2">
        <v>30.375042000000001</v>
      </c>
      <c r="HI55" s="2">
        <v>-81.651154000000005</v>
      </c>
      <c r="HJ55" s="2">
        <v>0.06</v>
      </c>
      <c r="HZ55" s="2" t="s">
        <v>4801</v>
      </c>
      <c r="IA55" s="2">
        <v>0.17</v>
      </c>
      <c r="IB55" s="2">
        <v>4</v>
      </c>
      <c r="IF55" s="2" t="s">
        <v>4801</v>
      </c>
      <c r="IG55" s="2">
        <v>0.17</v>
      </c>
      <c r="IH55" s="2">
        <v>4</v>
      </c>
      <c r="II55" s="2" t="s">
        <v>4802</v>
      </c>
      <c r="IJ55" s="2">
        <v>0.23</v>
      </c>
      <c r="IK55" s="2">
        <v>4</v>
      </c>
      <c r="IL55" s="2" t="s">
        <v>9</v>
      </c>
      <c r="IM55" s="2" t="s">
        <v>17</v>
      </c>
      <c r="IO55" s="2" t="s">
        <v>17</v>
      </c>
      <c r="IP55" s="2" t="s">
        <v>79</v>
      </c>
      <c r="IQ55" s="2" t="s">
        <v>79</v>
      </c>
      <c r="IR55" s="2">
        <v>4</v>
      </c>
      <c r="IS55" s="2">
        <v>12</v>
      </c>
      <c r="IT55" s="2">
        <v>0</v>
      </c>
      <c r="IU55" s="2">
        <v>16</v>
      </c>
      <c r="IV55" s="2" t="s">
        <v>9</v>
      </c>
      <c r="IW55" s="2" t="s">
        <v>9</v>
      </c>
      <c r="IX55" s="2" t="s">
        <v>9</v>
      </c>
      <c r="IY55" s="2">
        <v>16</v>
      </c>
      <c r="IZ55" s="2">
        <v>88</v>
      </c>
      <c r="JB55" s="2" t="s">
        <v>173</v>
      </c>
      <c r="JE55" s="7">
        <v>0.1</v>
      </c>
      <c r="JG55" s="7">
        <v>0.9</v>
      </c>
      <c r="JH55" s="7">
        <v>0</v>
      </c>
      <c r="JI55" s="2">
        <v>88</v>
      </c>
      <c r="JJ55" s="7">
        <v>1</v>
      </c>
      <c r="JK55" s="2">
        <v>88</v>
      </c>
      <c r="JL55" s="7">
        <v>1</v>
      </c>
      <c r="JT55" s="2">
        <v>0</v>
      </c>
      <c r="JU55" s="2">
        <v>0</v>
      </c>
      <c r="JV55" s="2">
        <v>0</v>
      </c>
      <c r="JW55" s="4">
        <v>0</v>
      </c>
      <c r="JX55" s="2">
        <v>0</v>
      </c>
      <c r="JY55" s="4">
        <v>0</v>
      </c>
      <c r="KB55" s="7">
        <v>0.1</v>
      </c>
      <c r="KD55" s="7">
        <v>0.9</v>
      </c>
      <c r="KE55" s="7">
        <v>1</v>
      </c>
      <c r="KF55" s="2">
        <v>88</v>
      </c>
      <c r="KH55" s="2">
        <v>44</v>
      </c>
      <c r="KK55" s="2">
        <v>35</v>
      </c>
      <c r="KL55" s="2">
        <v>9</v>
      </c>
      <c r="KQ55" s="2" t="s">
        <v>83</v>
      </c>
      <c r="KS55" s="2" t="s">
        <v>73</v>
      </c>
      <c r="KT55" s="2">
        <v>2</v>
      </c>
      <c r="KU55" s="2" t="s">
        <v>84</v>
      </c>
      <c r="KW55" s="2" t="s">
        <v>86</v>
      </c>
      <c r="KX55" s="2" t="s">
        <v>17</v>
      </c>
      <c r="KY55" s="2" t="s">
        <v>17</v>
      </c>
      <c r="KZ55" s="2" t="s">
        <v>17</v>
      </c>
      <c r="LA55" s="2" t="s">
        <v>17</v>
      </c>
      <c r="LB55" s="2" t="s">
        <v>17</v>
      </c>
      <c r="LC55" s="2" t="s">
        <v>17</v>
      </c>
      <c r="LD55" s="2" t="s">
        <v>17</v>
      </c>
      <c r="LE55" s="2" t="s">
        <v>17</v>
      </c>
      <c r="LF55" s="2" t="s">
        <v>17</v>
      </c>
      <c r="LG55" s="2" t="s">
        <v>17</v>
      </c>
      <c r="LH55" s="2" t="s">
        <v>17</v>
      </c>
      <c r="LI55" s="2" t="s">
        <v>17</v>
      </c>
      <c r="LJ55" s="2" t="s">
        <v>87</v>
      </c>
      <c r="LK55" s="2" t="s">
        <v>17</v>
      </c>
      <c r="LL55" s="2" t="s">
        <v>17</v>
      </c>
      <c r="LM55" s="2">
        <v>0</v>
      </c>
      <c r="LN55" s="2" t="s">
        <v>17</v>
      </c>
      <c r="LO55" s="2" t="s">
        <v>17</v>
      </c>
      <c r="LP55" s="2" t="s">
        <v>17</v>
      </c>
      <c r="LQ55" s="2" t="s">
        <v>17</v>
      </c>
      <c r="LR55" s="2" t="s">
        <v>17</v>
      </c>
      <c r="LS55" s="2" t="s">
        <v>17</v>
      </c>
      <c r="LT55" s="2" t="s">
        <v>9</v>
      </c>
      <c r="LU55" s="2" t="s">
        <v>9</v>
      </c>
      <c r="LV55" s="2" t="s">
        <v>17</v>
      </c>
      <c r="LW55" s="2" t="s">
        <v>17</v>
      </c>
      <c r="LX55" s="2" t="s">
        <v>9</v>
      </c>
      <c r="LY55" s="5">
        <v>6500000</v>
      </c>
      <c r="LZ55" s="5">
        <v>0</v>
      </c>
      <c r="MA55" s="5">
        <v>8360000</v>
      </c>
      <c r="MB55" s="5">
        <v>8360000</v>
      </c>
      <c r="MC55" s="5">
        <v>8360000</v>
      </c>
      <c r="MD55" s="5">
        <v>624300</v>
      </c>
      <c r="ME55" s="5">
        <v>624300</v>
      </c>
      <c r="MF55" s="5">
        <v>624300</v>
      </c>
      <c r="MG55" s="5">
        <v>9240000</v>
      </c>
      <c r="MH55" s="5">
        <v>0</v>
      </c>
      <c r="MI55" s="5">
        <v>9240000</v>
      </c>
      <c r="MJ55" s="5">
        <v>0</v>
      </c>
      <c r="MK55" s="5">
        <v>624300</v>
      </c>
      <c r="ML55" s="5">
        <v>0</v>
      </c>
      <c r="MM55" s="5">
        <v>0</v>
      </c>
      <c r="MN55" s="2">
        <v>0</v>
      </c>
      <c r="MO55" s="5">
        <v>0</v>
      </c>
      <c r="MP55" s="5">
        <v>0</v>
      </c>
      <c r="MQ55" s="2">
        <v>0</v>
      </c>
      <c r="MR55" s="2">
        <v>0</v>
      </c>
      <c r="MS55" s="2">
        <v>0</v>
      </c>
      <c r="MT55" s="5">
        <v>2950000</v>
      </c>
      <c r="MU55" s="5">
        <v>0</v>
      </c>
      <c r="MV55" s="5">
        <v>4600000</v>
      </c>
      <c r="MW55" s="5">
        <v>0</v>
      </c>
      <c r="MY55" s="5">
        <v>0</v>
      </c>
      <c r="MZ55" s="5">
        <v>0</v>
      </c>
      <c r="NA55" s="5">
        <v>0</v>
      </c>
      <c r="NB55" s="5">
        <v>2500000</v>
      </c>
      <c r="NC55" s="5">
        <v>0</v>
      </c>
      <c r="ND55" s="5">
        <v>5000000</v>
      </c>
      <c r="NE55" s="5">
        <v>0</v>
      </c>
      <c r="NF55" s="5">
        <v>0</v>
      </c>
      <c r="NG55" s="5">
        <v>0</v>
      </c>
      <c r="NH55" s="5"/>
      <c r="NI55" s="5">
        <v>0</v>
      </c>
      <c r="NJ55" s="5">
        <v>1356656</v>
      </c>
      <c r="NK55" s="2" t="s">
        <v>17</v>
      </c>
      <c r="NL55" s="2">
        <v>2023</v>
      </c>
      <c r="NM55" s="2" t="s">
        <v>17</v>
      </c>
      <c r="NO55" s="2" t="s">
        <v>17</v>
      </c>
      <c r="NR55" s="2" t="s">
        <v>17</v>
      </c>
      <c r="NT55" s="2" t="s">
        <v>9</v>
      </c>
      <c r="NU55" s="2" t="s">
        <v>450</v>
      </c>
      <c r="NV55" s="2">
        <v>1.02</v>
      </c>
      <c r="NW55" s="2" t="s">
        <v>2910</v>
      </c>
      <c r="NX55" s="2" t="s">
        <v>118</v>
      </c>
      <c r="NY55" s="2" t="s">
        <v>118</v>
      </c>
      <c r="NZ55" s="2" t="s">
        <v>118</v>
      </c>
      <c r="OA55" s="2" t="s">
        <v>17</v>
      </c>
      <c r="OB55" s="2" t="s">
        <v>119</v>
      </c>
      <c r="OF55" s="2" t="s">
        <v>17</v>
      </c>
      <c r="OG55" s="2" t="s">
        <v>17</v>
      </c>
      <c r="OH55" s="2" t="s">
        <v>85</v>
      </c>
      <c r="OI55" s="6">
        <v>0</v>
      </c>
      <c r="OJ55" s="6">
        <v>250800</v>
      </c>
      <c r="OK55" s="2" t="s">
        <v>17</v>
      </c>
      <c r="OL55" s="2" t="s">
        <v>17</v>
      </c>
      <c r="OM55" s="6">
        <v>0</v>
      </c>
      <c r="ON55" s="6">
        <v>0</v>
      </c>
      <c r="OO55" s="6">
        <v>0</v>
      </c>
      <c r="OP55" s="6">
        <v>0</v>
      </c>
      <c r="OQ55" s="4">
        <v>0</v>
      </c>
      <c r="OR55" s="6">
        <v>0</v>
      </c>
      <c r="OS55" s="4">
        <v>0</v>
      </c>
      <c r="OT55" s="2" t="s">
        <v>17</v>
      </c>
      <c r="OU55" s="2" t="s">
        <v>17</v>
      </c>
      <c r="OW55" s="2" t="s">
        <v>17</v>
      </c>
      <c r="OX55" s="5">
        <v>7695046</v>
      </c>
      <c r="OY55" s="6">
        <v>87443.7</v>
      </c>
      <c r="OZ55" s="8">
        <v>100000</v>
      </c>
      <c r="PA55" s="8">
        <v>100000</v>
      </c>
      <c r="PD55" s="8">
        <v>13200000</v>
      </c>
      <c r="PF55" s="8">
        <v>13200000</v>
      </c>
      <c r="PG55" s="8">
        <v>2323200</v>
      </c>
      <c r="PH55" s="8">
        <v>216800</v>
      </c>
      <c r="PI55" s="8">
        <v>2540000</v>
      </c>
      <c r="PO55" s="8">
        <v>15523200</v>
      </c>
      <c r="PP55" s="8">
        <v>316800</v>
      </c>
      <c r="PQ55" s="8">
        <v>15840000</v>
      </c>
      <c r="PR55" s="8">
        <v>2217600</v>
      </c>
      <c r="PT55" s="8">
        <v>2217600</v>
      </c>
      <c r="PU55" s="6">
        <v>2217600</v>
      </c>
      <c r="PV55" s="8">
        <v>17740800</v>
      </c>
      <c r="PW55" s="8">
        <v>316800</v>
      </c>
      <c r="PX55" s="8">
        <v>18057600</v>
      </c>
      <c r="PY55" s="8">
        <v>902880</v>
      </c>
      <c r="QA55" s="8">
        <v>902880</v>
      </c>
      <c r="QB55" s="6">
        <v>902880</v>
      </c>
      <c r="QC55" s="8">
        <v>1093259</v>
      </c>
      <c r="QD55" s="8">
        <v>250500</v>
      </c>
      <c r="QE55" s="8">
        <v>1343759</v>
      </c>
      <c r="QF55" s="8">
        <v>200320</v>
      </c>
      <c r="QH55" s="8">
        <v>200320</v>
      </c>
      <c r="QI55" s="8">
        <v>906253</v>
      </c>
      <c r="QJ55" s="8">
        <v>39600</v>
      </c>
      <c r="QK55" s="8">
        <v>945853</v>
      </c>
      <c r="QM55" s="8">
        <v>404012</v>
      </c>
      <c r="QN55" s="8">
        <v>404012</v>
      </c>
      <c r="QR55" s="8">
        <v>142500</v>
      </c>
      <c r="QS55" s="8">
        <v>237500</v>
      </c>
      <c r="QT55" s="8">
        <v>380000</v>
      </c>
      <c r="QU55" s="8">
        <v>2342332</v>
      </c>
      <c r="QV55" s="8">
        <v>931612</v>
      </c>
      <c r="QW55" s="8">
        <v>3273944</v>
      </c>
      <c r="QX55" s="8">
        <v>163697</v>
      </c>
      <c r="QZ55" s="8">
        <v>163697</v>
      </c>
      <c r="RA55" s="6">
        <v>163697.20000000001</v>
      </c>
      <c r="RB55" s="8">
        <v>701441</v>
      </c>
      <c r="RC55" s="8">
        <v>279189</v>
      </c>
      <c r="RD55" s="8">
        <v>980630</v>
      </c>
      <c r="RE55" s="8">
        <v>137393</v>
      </c>
      <c r="RF55" s="8">
        <v>137393</v>
      </c>
      <c r="RG55" s="8">
        <v>4660</v>
      </c>
      <c r="RI55" s="8">
        <v>4660</v>
      </c>
      <c r="RJ55" s="8">
        <v>706101</v>
      </c>
      <c r="RK55" s="8">
        <v>416582</v>
      </c>
      <c r="RL55" s="8">
        <v>1122683</v>
      </c>
      <c r="RT55" s="8">
        <v>21855810</v>
      </c>
      <c r="RU55" s="8">
        <v>1664994</v>
      </c>
      <c r="RV55" s="8">
        <v>23520804</v>
      </c>
      <c r="RY55" s="2">
        <v>0</v>
      </c>
      <c r="RZ55" s="6">
        <v>0</v>
      </c>
      <c r="SA55" s="8">
        <v>4233744</v>
      </c>
      <c r="SC55" s="8">
        <v>4233744</v>
      </c>
      <c r="SD55" s="6">
        <v>4233744</v>
      </c>
      <c r="SE55" s="8">
        <v>4233744</v>
      </c>
      <c r="SF55" s="8">
        <v>4233744</v>
      </c>
      <c r="SG55" s="6">
        <v>4233744</v>
      </c>
      <c r="SH55" s="8">
        <v>308000</v>
      </c>
      <c r="SI55" s="8">
        <v>308000</v>
      </c>
      <c r="SJ55" s="6">
        <v>308000</v>
      </c>
      <c r="SK55" s="8">
        <v>2300000</v>
      </c>
      <c r="SL55" s="8">
        <v>2300000</v>
      </c>
      <c r="SM55" s="8">
        <v>26089554</v>
      </c>
      <c r="SN55" s="8">
        <v>4272994</v>
      </c>
      <c r="SO55" s="8">
        <v>30362548</v>
      </c>
      <c r="SP55" s="8">
        <v>17000000</v>
      </c>
      <c r="SQ55" s="2" t="s">
        <v>4220</v>
      </c>
      <c r="SX55" s="8">
        <v>8984300</v>
      </c>
      <c r="SY55" s="2" t="s">
        <v>96</v>
      </c>
      <c r="SZ55" s="2" t="s">
        <v>96</v>
      </c>
      <c r="TA55" s="2" t="s">
        <v>96</v>
      </c>
      <c r="TB55" s="8">
        <v>2577388</v>
      </c>
      <c r="TC55" s="2" t="s">
        <v>2878</v>
      </c>
      <c r="TD55" s="8">
        <v>104000</v>
      </c>
      <c r="TE55" s="2" t="s">
        <v>180</v>
      </c>
      <c r="TF55" s="8">
        <v>1696860</v>
      </c>
      <c r="TG55" s="8">
        <v>30362548</v>
      </c>
      <c r="TH55" s="2">
        <v>0</v>
      </c>
      <c r="TI55" s="8">
        <v>4755036</v>
      </c>
      <c r="TJ55" s="2" t="s">
        <v>4220</v>
      </c>
      <c r="TR55" s="8">
        <v>8984300</v>
      </c>
      <c r="TS55" s="8">
        <v>12886940</v>
      </c>
      <c r="TT55" s="2" t="s">
        <v>2878</v>
      </c>
      <c r="TU55" s="8">
        <v>104000</v>
      </c>
      <c r="TV55" s="2" t="s">
        <v>180</v>
      </c>
      <c r="TZ55" s="8">
        <v>3632272</v>
      </c>
      <c r="UA55" s="8">
        <v>30362548</v>
      </c>
      <c r="UB55" s="6">
        <v>13843336</v>
      </c>
      <c r="UC55" s="2">
        <v>0</v>
      </c>
      <c r="UD55" s="2">
        <v>88</v>
      </c>
      <c r="UE55" s="5">
        <v>240000</v>
      </c>
      <c r="UF55" s="6">
        <v>320000</v>
      </c>
      <c r="UG55" s="6">
        <v>327500</v>
      </c>
      <c r="UH55" s="6">
        <v>347150</v>
      </c>
      <c r="UI55" s="6">
        <v>30549200</v>
      </c>
      <c r="UJ55" s="6">
        <v>5498856</v>
      </c>
      <c r="UK55" s="2" t="s">
        <v>97</v>
      </c>
      <c r="UL55" s="6">
        <v>5498856</v>
      </c>
      <c r="UM55" s="6">
        <v>36048056</v>
      </c>
      <c r="UN55" s="6">
        <v>27654548</v>
      </c>
      <c r="UO55" s="6">
        <v>104000</v>
      </c>
      <c r="UP55" s="6">
        <v>28110.080000000002</v>
      </c>
      <c r="UQ55" s="6">
        <v>75889.919999999998</v>
      </c>
      <c r="US55" s="6">
        <v>0</v>
      </c>
      <c r="UV55" s="6">
        <v>0</v>
      </c>
      <c r="UW55" s="6">
        <v>104000</v>
      </c>
      <c r="UX55" s="6">
        <v>28110.080000000002</v>
      </c>
      <c r="UY55" s="6">
        <v>75889.919999999998</v>
      </c>
      <c r="UZ55" s="2" t="s">
        <v>2878</v>
      </c>
      <c r="VA55" s="2" t="s">
        <v>182</v>
      </c>
      <c r="VB55" s="2" t="s">
        <v>17</v>
      </c>
      <c r="VI55" s="388" t="s">
        <v>1173</v>
      </c>
      <c r="VJ55" s="2" t="s">
        <v>98</v>
      </c>
      <c r="VK55" s="2" t="s">
        <v>1224</v>
      </c>
      <c r="VL55" s="23">
        <f t="shared" si="22"/>
        <v>141</v>
      </c>
      <c r="VM55" s="17">
        <f t="shared" si="23"/>
        <v>1.6022727272727273</v>
      </c>
      <c r="VN55" s="17" t="str">
        <f t="shared" si="24"/>
        <v>NC-GA-E</v>
      </c>
      <c r="VO55" s="17" t="str">
        <f t="shared" si="15"/>
        <v>NC-GA-E-ESS</v>
      </c>
      <c r="VP55" s="57">
        <v>1</v>
      </c>
      <c r="VQ55" s="17">
        <f t="shared" si="25"/>
        <v>1.1100000000000001</v>
      </c>
      <c r="VR55" s="14">
        <f t="shared" si="26"/>
        <v>1</v>
      </c>
      <c r="VS55" s="14">
        <f t="shared" si="27"/>
        <v>1</v>
      </c>
      <c r="VT55" s="12">
        <f t="shared" si="28"/>
        <v>0.85440000000000005</v>
      </c>
      <c r="VU55" s="29">
        <f t="shared" si="29"/>
        <v>7928490.2400000002</v>
      </c>
      <c r="VV55" s="29">
        <f t="shared" si="30"/>
        <v>90096.48</v>
      </c>
      <c r="VW55" s="351" t="str">
        <f t="shared" si="16"/>
        <v>B</v>
      </c>
      <c r="VX55" s="12" t="str">
        <f t="shared" si="31"/>
        <v>NC-GA-ESS</v>
      </c>
      <c r="VY55" s="23">
        <f t="shared" si="17"/>
        <v>5</v>
      </c>
      <c r="WA55" s="12">
        <f t="shared" si="18"/>
        <v>1</v>
      </c>
      <c r="WB55" s="12">
        <f t="shared" si="19"/>
        <v>1</v>
      </c>
      <c r="WC55" s="12">
        <f t="shared" si="19"/>
        <v>0</v>
      </c>
      <c r="WD55" s="12">
        <f t="shared" si="19"/>
        <v>0</v>
      </c>
      <c r="WE55" s="12">
        <f t="shared" si="20"/>
        <v>1</v>
      </c>
      <c r="WF55" s="12">
        <f t="shared" si="32"/>
        <v>1</v>
      </c>
      <c r="WG55" s="12">
        <f t="shared" si="33"/>
        <v>0</v>
      </c>
      <c r="WH55" s="12">
        <f t="shared" si="34"/>
        <v>0</v>
      </c>
      <c r="WI55" s="22">
        <f t="shared" si="35"/>
        <v>4</v>
      </c>
      <c r="WK55" s="444" t="str">
        <f t="shared" si="21"/>
        <v>NC-GA-ESS-BBY-BRN-NPH-E</v>
      </c>
      <c r="WL55" s="444"/>
      <c r="WM55" s="444"/>
    </row>
    <row r="56" spans="1:611" x14ac:dyDescent="0.25">
      <c r="A56" s="2">
        <v>9331</v>
      </c>
      <c r="B56" s="2" t="s">
        <v>4803</v>
      </c>
      <c r="C56" s="2" t="s">
        <v>4205</v>
      </c>
      <c r="D56" s="3">
        <v>45135</v>
      </c>
      <c r="E56" s="2" t="s">
        <v>9</v>
      </c>
      <c r="F56" s="2">
        <v>1</v>
      </c>
      <c r="G56" s="2" t="s">
        <v>9</v>
      </c>
      <c r="H56" s="2">
        <v>1</v>
      </c>
      <c r="I56" s="2" t="s">
        <v>11</v>
      </c>
      <c r="J56" s="2">
        <v>0</v>
      </c>
      <c r="K56" s="2" t="s">
        <v>9</v>
      </c>
      <c r="L56" s="2">
        <v>1</v>
      </c>
      <c r="M56" s="2" t="s">
        <v>10</v>
      </c>
      <c r="N56" s="2">
        <v>0</v>
      </c>
      <c r="O56" s="2" t="s">
        <v>10</v>
      </c>
      <c r="P56" s="2">
        <v>0</v>
      </c>
      <c r="Q56" s="2" t="s">
        <v>11</v>
      </c>
      <c r="R56" s="2">
        <v>0</v>
      </c>
      <c r="S56" s="2" t="s">
        <v>9</v>
      </c>
      <c r="T56" s="2">
        <v>2</v>
      </c>
      <c r="U56" s="2" t="s">
        <v>9</v>
      </c>
      <c r="V56" s="2">
        <v>2</v>
      </c>
      <c r="W56" s="2" t="s">
        <v>9</v>
      </c>
      <c r="X56" s="2">
        <v>2</v>
      </c>
      <c r="Y56" s="2" t="s">
        <v>12</v>
      </c>
      <c r="Z56" s="2" t="s">
        <v>2999</v>
      </c>
      <c r="AA56" s="2" t="s">
        <v>434</v>
      </c>
      <c r="AB56" s="2" t="s">
        <v>3625</v>
      </c>
      <c r="AC56" s="2" t="s">
        <v>15</v>
      </c>
      <c r="AD56" s="2" t="s">
        <v>15</v>
      </c>
      <c r="AE56" s="2" t="s">
        <v>15</v>
      </c>
      <c r="AF56" s="2">
        <v>3</v>
      </c>
      <c r="AG56" s="2" t="s">
        <v>4804</v>
      </c>
      <c r="AH56" s="2" t="s">
        <v>17</v>
      </c>
      <c r="AI56" s="4">
        <v>0.15625</v>
      </c>
      <c r="AJ56" s="2" t="s">
        <v>17</v>
      </c>
      <c r="AK56" s="2" t="s">
        <v>9</v>
      </c>
      <c r="AL56" s="2" t="s">
        <v>17</v>
      </c>
      <c r="AM56" s="2" t="s">
        <v>9</v>
      </c>
      <c r="AN56" s="2" t="s">
        <v>17</v>
      </c>
      <c r="AO56" s="2" t="s">
        <v>9</v>
      </c>
      <c r="AP56" s="2" t="s">
        <v>17</v>
      </c>
      <c r="AQ56" s="2" t="s">
        <v>17</v>
      </c>
      <c r="AR56" s="2" t="s">
        <v>17</v>
      </c>
      <c r="AS56" s="2" t="s">
        <v>17</v>
      </c>
      <c r="AT56" s="2">
        <v>5</v>
      </c>
      <c r="AU56" s="5">
        <v>75000</v>
      </c>
      <c r="AV56" s="5">
        <v>610000</v>
      </c>
      <c r="AW56" s="2">
        <v>0</v>
      </c>
      <c r="AX56" s="2">
        <v>7</v>
      </c>
      <c r="AY56" s="2">
        <v>0</v>
      </c>
      <c r="AZ56" s="2">
        <v>17</v>
      </c>
      <c r="BA56" s="2">
        <v>0</v>
      </c>
      <c r="BB56" s="2">
        <v>1</v>
      </c>
      <c r="BC56" s="2">
        <v>1</v>
      </c>
      <c r="BD56" s="2">
        <v>3</v>
      </c>
      <c r="BE56" s="2">
        <v>1</v>
      </c>
      <c r="BF56" s="2">
        <v>1</v>
      </c>
      <c r="BG56" s="2">
        <v>0</v>
      </c>
      <c r="BH56" s="2">
        <v>0</v>
      </c>
      <c r="BI56" s="2">
        <v>13</v>
      </c>
      <c r="BJ56" s="2">
        <v>1</v>
      </c>
      <c r="BK56" s="2">
        <v>0</v>
      </c>
      <c r="BL56" s="2">
        <v>2</v>
      </c>
      <c r="BM56" s="2">
        <v>1</v>
      </c>
      <c r="BN56" s="2">
        <v>8</v>
      </c>
      <c r="BO56" s="2">
        <v>10</v>
      </c>
      <c r="BP56" s="2">
        <v>35.24</v>
      </c>
      <c r="BQ56" s="5">
        <v>8692600</v>
      </c>
      <c r="BR56" s="2">
        <v>1</v>
      </c>
      <c r="BS56" s="4">
        <v>0.06</v>
      </c>
      <c r="BT56" s="2" t="s">
        <v>9</v>
      </c>
      <c r="BU56" s="2" t="s">
        <v>17</v>
      </c>
      <c r="BV56" s="6">
        <v>88387.08</v>
      </c>
      <c r="BW56" s="2" t="s">
        <v>126</v>
      </c>
      <c r="BX56" s="2" t="s">
        <v>17</v>
      </c>
      <c r="BY56" s="2" t="s">
        <v>17</v>
      </c>
      <c r="BZ56" s="2" t="s">
        <v>17</v>
      </c>
      <c r="CA56" s="2" t="s">
        <v>17</v>
      </c>
      <c r="CB56" s="2" t="s">
        <v>17</v>
      </c>
      <c r="CC56" s="2" t="s">
        <v>17</v>
      </c>
      <c r="CD56" s="2" t="s">
        <v>9</v>
      </c>
      <c r="CE56" s="2" t="s">
        <v>4805</v>
      </c>
      <c r="CF56" s="2" t="s">
        <v>17</v>
      </c>
      <c r="CG56" s="2" t="s">
        <v>17</v>
      </c>
      <c r="DA56" s="2" t="s">
        <v>4806</v>
      </c>
      <c r="DD56" s="2" t="s">
        <v>9</v>
      </c>
      <c r="DE56" s="2" t="s">
        <v>193</v>
      </c>
      <c r="DF56" s="2" t="s">
        <v>4806</v>
      </c>
      <c r="DG56" s="2" t="s">
        <v>210</v>
      </c>
      <c r="DH56" s="2" t="s">
        <v>195</v>
      </c>
      <c r="DI56" s="2">
        <v>209</v>
      </c>
      <c r="DJ56" s="2" t="s">
        <v>795</v>
      </c>
      <c r="DK56" s="2">
        <v>2019</v>
      </c>
      <c r="DL56" s="2" t="s">
        <v>4209</v>
      </c>
      <c r="DM56" s="2" t="s">
        <v>4210</v>
      </c>
      <c r="DN56" s="2" t="s">
        <v>33</v>
      </c>
      <c r="DO56" s="2" t="s">
        <v>201</v>
      </c>
      <c r="DP56" s="2" t="s">
        <v>202</v>
      </c>
      <c r="DQ56" s="2" t="s">
        <v>203</v>
      </c>
      <c r="DR56" s="2" t="s">
        <v>204</v>
      </c>
      <c r="DS56" s="2">
        <v>1</v>
      </c>
      <c r="DT56" s="2" t="s">
        <v>4440</v>
      </c>
      <c r="DU56" s="2" t="s">
        <v>214</v>
      </c>
      <c r="DV56" s="2" t="s">
        <v>207</v>
      </c>
      <c r="DW56" s="2">
        <v>37212</v>
      </c>
      <c r="DX56" s="2" t="s">
        <v>4441</v>
      </c>
      <c r="DZ56" s="2" t="s">
        <v>209</v>
      </c>
      <c r="EA56" s="2" t="s">
        <v>204</v>
      </c>
      <c r="EB56" s="2" t="s">
        <v>210</v>
      </c>
      <c r="EC56" s="2" t="s">
        <v>195</v>
      </c>
      <c r="ED56" s="2" t="s">
        <v>44</v>
      </c>
      <c r="EE56" s="2">
        <v>209</v>
      </c>
      <c r="EF56" s="2" t="s">
        <v>810</v>
      </c>
      <c r="EG56" s="2">
        <v>3</v>
      </c>
      <c r="EH56" s="2" t="s">
        <v>46</v>
      </c>
      <c r="EI56" s="2" t="s">
        <v>47</v>
      </c>
      <c r="EJ56" s="2" t="s">
        <v>212</v>
      </c>
      <c r="EK56" s="2" t="s">
        <v>198</v>
      </c>
      <c r="EL56" s="2" t="s">
        <v>44</v>
      </c>
      <c r="EM56" s="2">
        <v>221</v>
      </c>
      <c r="EN56" s="2" t="s">
        <v>810</v>
      </c>
      <c r="EO56" s="2">
        <v>4</v>
      </c>
      <c r="EP56" s="2" t="s">
        <v>46</v>
      </c>
      <c r="EQ56" s="2" t="s">
        <v>47</v>
      </c>
      <c r="ER56" s="2" t="s">
        <v>201</v>
      </c>
      <c r="ES56" s="2" t="s">
        <v>202</v>
      </c>
      <c r="ET56" s="2" t="s">
        <v>203</v>
      </c>
      <c r="EU56" s="2" t="s">
        <v>4805</v>
      </c>
      <c r="EV56" s="2" t="s">
        <v>213</v>
      </c>
      <c r="EW56" s="2" t="s">
        <v>214</v>
      </c>
      <c r="EX56" s="2" t="s">
        <v>207</v>
      </c>
      <c r="EY56" s="2">
        <v>37212</v>
      </c>
      <c r="EZ56" s="2" t="s">
        <v>4441</v>
      </c>
      <c r="FB56" s="2" t="s">
        <v>209</v>
      </c>
      <c r="FC56" s="2" t="s">
        <v>215</v>
      </c>
      <c r="FE56" s="2" t="s">
        <v>4446</v>
      </c>
      <c r="FF56" s="2" t="s">
        <v>4805</v>
      </c>
      <c r="FG56" s="2" t="s">
        <v>213</v>
      </c>
      <c r="FH56" s="2" t="s">
        <v>214</v>
      </c>
      <c r="FI56" s="2" t="s">
        <v>207</v>
      </c>
      <c r="FJ56" s="2">
        <v>37212</v>
      </c>
      <c r="FK56" s="2" t="s">
        <v>4441</v>
      </c>
      <c r="FM56" s="2" t="s">
        <v>217</v>
      </c>
      <c r="FN56" s="2" t="s">
        <v>4807</v>
      </c>
      <c r="FO56" s="2" t="s">
        <v>63</v>
      </c>
      <c r="FP56" s="2" t="s">
        <v>64</v>
      </c>
      <c r="FQ56" s="2" t="s">
        <v>9</v>
      </c>
      <c r="FR56" s="2" t="s">
        <v>17</v>
      </c>
      <c r="FS56" s="2" t="s">
        <v>17</v>
      </c>
      <c r="FT56" s="2" t="s">
        <v>9</v>
      </c>
      <c r="FX56" s="2">
        <v>0</v>
      </c>
      <c r="FY56" s="2">
        <v>0</v>
      </c>
      <c r="FZ56" s="4">
        <v>0</v>
      </c>
      <c r="GA56" s="4">
        <v>0</v>
      </c>
      <c r="GB56" s="2" t="s">
        <v>65</v>
      </c>
      <c r="GC56" s="2" t="s">
        <v>66</v>
      </c>
      <c r="GD56" s="2" t="s">
        <v>67</v>
      </c>
      <c r="GE56" s="2" t="s">
        <v>68</v>
      </c>
      <c r="GH56" s="2">
        <v>96</v>
      </c>
      <c r="GQ56" s="2">
        <v>96</v>
      </c>
      <c r="GR56" s="2" t="s">
        <v>2826</v>
      </c>
      <c r="GS56" s="2" t="s">
        <v>2686</v>
      </c>
      <c r="GT56" s="2" t="s">
        <v>4808</v>
      </c>
      <c r="GU56" s="2" t="s">
        <v>510</v>
      </c>
      <c r="GV56" s="2" t="s">
        <v>17</v>
      </c>
      <c r="GW56" s="2">
        <v>28.541222000000001</v>
      </c>
      <c r="GX56" s="2">
        <v>-81.435525999999996</v>
      </c>
      <c r="GZ56" s="2" t="s">
        <v>17</v>
      </c>
      <c r="HA56" s="2">
        <v>0</v>
      </c>
      <c r="HB56" s="2" t="s">
        <v>17</v>
      </c>
      <c r="HC56" s="2">
        <v>0</v>
      </c>
      <c r="HD56" s="2">
        <v>28.542560000000002</v>
      </c>
      <c r="HE56" s="2">
        <v>-81.434808000000004</v>
      </c>
      <c r="HF56" s="2">
        <v>0.1</v>
      </c>
      <c r="HG56" s="2">
        <v>5.5</v>
      </c>
      <c r="HH56" s="2">
        <v>28.542677000000001</v>
      </c>
      <c r="HI56" s="2">
        <v>-81.434912999999995</v>
      </c>
      <c r="HJ56" s="2">
        <v>0.11</v>
      </c>
      <c r="HK56" s="2">
        <v>28.545995000000001</v>
      </c>
      <c r="HL56" s="2">
        <v>-81.438074</v>
      </c>
      <c r="HM56" s="2">
        <v>0.36</v>
      </c>
      <c r="HZ56" s="2" t="s">
        <v>4809</v>
      </c>
      <c r="IA56" s="2">
        <v>1.48</v>
      </c>
      <c r="IB56" s="2">
        <v>1.5</v>
      </c>
      <c r="IF56" s="2" t="s">
        <v>4809</v>
      </c>
      <c r="IG56" s="2">
        <v>1.48</v>
      </c>
      <c r="IH56" s="2">
        <v>1.5</v>
      </c>
      <c r="II56" s="2" t="s">
        <v>4810</v>
      </c>
      <c r="IJ56" s="2">
        <v>0.26</v>
      </c>
      <c r="IK56" s="2">
        <v>4</v>
      </c>
      <c r="IL56" s="2" t="s">
        <v>9</v>
      </c>
      <c r="IM56" s="2" t="s">
        <v>17</v>
      </c>
      <c r="IO56" s="2" t="s">
        <v>17</v>
      </c>
      <c r="IP56" s="2" t="s">
        <v>79</v>
      </c>
      <c r="IQ56" s="2" t="s">
        <v>79</v>
      </c>
      <c r="IR56" s="2">
        <v>5.5</v>
      </c>
      <c r="IS56" s="2">
        <v>7</v>
      </c>
      <c r="IT56" s="2">
        <v>0</v>
      </c>
      <c r="IU56" s="2">
        <v>12.5</v>
      </c>
      <c r="IV56" s="2" t="s">
        <v>9</v>
      </c>
      <c r="IW56" s="2" t="s">
        <v>9</v>
      </c>
      <c r="IX56" s="2" t="s">
        <v>9</v>
      </c>
      <c r="IY56" s="2">
        <v>12.5</v>
      </c>
      <c r="IZ56" s="2">
        <v>96</v>
      </c>
      <c r="JB56" s="2" t="s">
        <v>82</v>
      </c>
      <c r="JH56" s="7">
        <v>0</v>
      </c>
      <c r="JI56" s="2">
        <v>0</v>
      </c>
      <c r="JJ56" s="7">
        <v>0</v>
      </c>
      <c r="JK56" s="2">
        <v>0</v>
      </c>
      <c r="JL56" s="7">
        <v>0</v>
      </c>
      <c r="JN56" s="2">
        <v>15</v>
      </c>
      <c r="JQ56" s="2">
        <v>36</v>
      </c>
      <c r="JR56" s="2">
        <v>45</v>
      </c>
      <c r="JT56" s="2">
        <v>0</v>
      </c>
      <c r="JU56" s="2">
        <v>0</v>
      </c>
      <c r="JV56" s="2">
        <v>96</v>
      </c>
      <c r="JW56" s="4">
        <v>1</v>
      </c>
      <c r="JX56" s="2">
        <v>96</v>
      </c>
      <c r="JY56" s="4">
        <v>0.6</v>
      </c>
      <c r="KE56" s="7">
        <v>0</v>
      </c>
      <c r="KF56" s="2">
        <v>0</v>
      </c>
      <c r="KH56" s="2">
        <v>58</v>
      </c>
      <c r="KI56" s="2">
        <v>38</v>
      </c>
      <c r="KQ56" s="2" t="s">
        <v>83</v>
      </c>
      <c r="KS56" s="2" t="s">
        <v>73</v>
      </c>
      <c r="KT56" s="2">
        <v>1</v>
      </c>
      <c r="KU56" s="2" t="s">
        <v>84</v>
      </c>
      <c r="KW56" s="2" t="s">
        <v>86</v>
      </c>
      <c r="KX56" s="2" t="s">
        <v>17</v>
      </c>
      <c r="KY56" s="2" t="s">
        <v>17</v>
      </c>
      <c r="KZ56" s="2" t="s">
        <v>17</v>
      </c>
      <c r="LA56" s="2" t="s">
        <v>17</v>
      </c>
      <c r="LB56" s="2" t="s">
        <v>17</v>
      </c>
      <c r="LC56" s="2" t="s">
        <v>17</v>
      </c>
      <c r="LD56" s="2" t="s">
        <v>17</v>
      </c>
      <c r="LE56" s="2" t="s">
        <v>17</v>
      </c>
      <c r="LF56" s="2" t="s">
        <v>17</v>
      </c>
      <c r="LG56" s="2" t="s">
        <v>17</v>
      </c>
      <c r="LH56" s="2" t="s">
        <v>17</v>
      </c>
      <c r="LI56" s="2" t="s">
        <v>17</v>
      </c>
      <c r="LJ56" s="2" t="s">
        <v>87</v>
      </c>
      <c r="LK56" s="2" t="s">
        <v>17</v>
      </c>
      <c r="LL56" s="2" t="s">
        <v>17</v>
      </c>
      <c r="LM56" s="2">
        <v>0</v>
      </c>
      <c r="LN56" s="2" t="s">
        <v>17</v>
      </c>
      <c r="LO56" s="2" t="s">
        <v>17</v>
      </c>
      <c r="LP56" s="2" t="s">
        <v>17</v>
      </c>
      <c r="LQ56" s="2" t="s">
        <v>17</v>
      </c>
      <c r="LR56" s="2" t="s">
        <v>17</v>
      </c>
      <c r="LS56" s="2" t="s">
        <v>17</v>
      </c>
      <c r="LT56" s="2" t="s">
        <v>9</v>
      </c>
      <c r="LU56" s="2" t="s">
        <v>9</v>
      </c>
      <c r="LV56" s="2" t="s">
        <v>9</v>
      </c>
      <c r="LW56" s="2" t="s">
        <v>17</v>
      </c>
      <c r="LX56" s="2" t="s">
        <v>17</v>
      </c>
      <c r="LY56" s="5">
        <v>6500000</v>
      </c>
      <c r="LZ56" s="5">
        <v>0</v>
      </c>
      <c r="MA56" s="5">
        <v>9120000</v>
      </c>
      <c r="MB56" s="5">
        <v>8020000</v>
      </c>
      <c r="MC56" s="5">
        <v>8020000</v>
      </c>
      <c r="MD56" s="5">
        <v>672600</v>
      </c>
      <c r="ME56" s="5">
        <v>672600</v>
      </c>
      <c r="MF56" s="5">
        <v>672600</v>
      </c>
      <c r="MG56" s="5">
        <v>10000000</v>
      </c>
      <c r="MH56" s="5">
        <v>0</v>
      </c>
      <c r="MI56" s="5">
        <v>10000000</v>
      </c>
      <c r="MJ56" s="5">
        <v>0</v>
      </c>
      <c r="MK56" s="5">
        <v>672600</v>
      </c>
      <c r="ML56" s="5">
        <v>0</v>
      </c>
      <c r="MM56" s="5">
        <v>0</v>
      </c>
      <c r="MN56" s="2">
        <v>0</v>
      </c>
      <c r="MO56" s="5">
        <v>0</v>
      </c>
      <c r="MP56" s="5">
        <v>0</v>
      </c>
      <c r="MQ56" s="2">
        <v>0</v>
      </c>
      <c r="MR56" s="2">
        <v>0</v>
      </c>
      <c r="MS56" s="2">
        <v>0</v>
      </c>
      <c r="MT56" s="5">
        <v>2950000</v>
      </c>
      <c r="MU56" s="5">
        <v>0</v>
      </c>
      <c r="MV56" s="5">
        <v>4600000</v>
      </c>
      <c r="MW56" s="5">
        <v>0</v>
      </c>
      <c r="MX56" s="2" t="s">
        <v>17</v>
      </c>
      <c r="MY56" s="5">
        <v>0</v>
      </c>
      <c r="MZ56" s="5">
        <v>0</v>
      </c>
      <c r="NA56" s="5">
        <v>0</v>
      </c>
      <c r="NB56" s="5">
        <v>2500000</v>
      </c>
      <c r="NC56" s="5">
        <v>0</v>
      </c>
      <c r="ND56" s="5">
        <v>5000000</v>
      </c>
      <c r="NE56" s="5">
        <v>0</v>
      </c>
      <c r="NF56" s="5">
        <v>0</v>
      </c>
      <c r="NG56" s="5">
        <v>0</v>
      </c>
      <c r="NH56" s="5"/>
      <c r="NI56" s="5">
        <v>0</v>
      </c>
      <c r="NJ56" s="5">
        <v>1466842</v>
      </c>
      <c r="NK56" s="2" t="s">
        <v>17</v>
      </c>
      <c r="NL56" s="2" t="s">
        <v>4292</v>
      </c>
      <c r="NM56" s="2" t="s">
        <v>17</v>
      </c>
      <c r="NO56" s="2" t="s">
        <v>9</v>
      </c>
      <c r="NP56" s="2">
        <v>32811</v>
      </c>
      <c r="NQ56" s="2" t="s">
        <v>2835</v>
      </c>
      <c r="NR56" s="2" t="s">
        <v>17</v>
      </c>
      <c r="NT56" s="2" t="s">
        <v>9</v>
      </c>
      <c r="NU56" s="2" t="s">
        <v>450</v>
      </c>
      <c r="NV56" s="2">
        <v>146.01</v>
      </c>
      <c r="NW56" s="2" t="s">
        <v>3011</v>
      </c>
      <c r="NX56" s="2" t="s">
        <v>118</v>
      </c>
      <c r="NY56" s="2" t="s">
        <v>118</v>
      </c>
      <c r="NZ56" s="2" t="s">
        <v>118</v>
      </c>
      <c r="OA56" s="2" t="s">
        <v>17</v>
      </c>
      <c r="OB56" s="2" t="s">
        <v>119</v>
      </c>
      <c r="OC56" s="5">
        <v>18000000</v>
      </c>
      <c r="OF56" s="2" t="s">
        <v>17</v>
      </c>
      <c r="OG56" s="2" t="s">
        <v>17</v>
      </c>
      <c r="OH56" s="2" t="s">
        <v>85</v>
      </c>
      <c r="OI56" s="6">
        <v>0</v>
      </c>
      <c r="OJ56" s="6">
        <v>240600</v>
      </c>
      <c r="OK56" s="2" t="s">
        <v>17</v>
      </c>
      <c r="OL56" s="2" t="s">
        <v>17</v>
      </c>
      <c r="OM56" s="6">
        <v>0</v>
      </c>
      <c r="ON56" s="6">
        <v>0</v>
      </c>
      <c r="OO56" s="6">
        <v>0</v>
      </c>
      <c r="OP56" s="6">
        <v>0</v>
      </c>
      <c r="OQ56" s="4">
        <v>0</v>
      </c>
      <c r="OR56" s="6">
        <v>0</v>
      </c>
      <c r="OS56" s="4">
        <v>0</v>
      </c>
      <c r="OT56" s="2" t="s">
        <v>17</v>
      </c>
      <c r="OU56" s="2" t="s">
        <v>17</v>
      </c>
      <c r="OW56" s="2" t="s">
        <v>17</v>
      </c>
      <c r="OX56" s="5">
        <v>8485160</v>
      </c>
      <c r="OY56" s="6">
        <v>88387.08</v>
      </c>
      <c r="OZ56" s="8">
        <v>20000</v>
      </c>
      <c r="PA56" s="8">
        <v>20000</v>
      </c>
      <c r="PD56" s="8">
        <v>15622106</v>
      </c>
      <c r="PF56" s="8">
        <v>15622106</v>
      </c>
      <c r="PG56" s="8">
        <v>1450000</v>
      </c>
      <c r="PH56" s="8">
        <v>50000</v>
      </c>
      <c r="PI56" s="8">
        <v>1500000</v>
      </c>
      <c r="PO56" s="8">
        <v>17072106</v>
      </c>
      <c r="PP56" s="8">
        <v>70000</v>
      </c>
      <c r="PQ56" s="8">
        <v>17142106</v>
      </c>
      <c r="PR56" s="8">
        <v>2057894</v>
      </c>
      <c r="PT56" s="8">
        <v>2057894</v>
      </c>
      <c r="PU56" s="6">
        <v>2399894</v>
      </c>
      <c r="PV56" s="8">
        <v>19130000</v>
      </c>
      <c r="PW56" s="8">
        <v>70000</v>
      </c>
      <c r="PX56" s="8">
        <v>19200000</v>
      </c>
      <c r="PY56" s="8">
        <v>960000</v>
      </c>
      <c r="QA56" s="8">
        <v>960000</v>
      </c>
      <c r="QB56" s="6">
        <v>960000</v>
      </c>
      <c r="QC56" s="8">
        <v>1082500</v>
      </c>
      <c r="QD56" s="8">
        <v>200000</v>
      </c>
      <c r="QE56" s="8">
        <v>1282500</v>
      </c>
      <c r="QF56" s="8">
        <v>305000</v>
      </c>
      <c r="QH56" s="8">
        <v>305000</v>
      </c>
      <c r="QI56" s="8">
        <v>110000</v>
      </c>
      <c r="QK56" s="8">
        <v>110000</v>
      </c>
      <c r="QM56" s="8">
        <v>397934</v>
      </c>
      <c r="QN56" s="8">
        <v>397934</v>
      </c>
      <c r="QR56" s="8">
        <v>651000</v>
      </c>
      <c r="QS56" s="8">
        <v>175000</v>
      </c>
      <c r="QT56" s="8">
        <v>826000</v>
      </c>
      <c r="QU56" s="8">
        <v>2148500</v>
      </c>
      <c r="QV56" s="8">
        <v>772934</v>
      </c>
      <c r="QW56" s="8">
        <v>2921434</v>
      </c>
      <c r="QX56" s="8">
        <v>100000</v>
      </c>
      <c r="QY56" s="8">
        <v>33000</v>
      </c>
      <c r="QZ56" s="8">
        <v>133000</v>
      </c>
      <c r="RA56" s="6">
        <v>146071.70000000001</v>
      </c>
      <c r="RB56" s="8">
        <v>1330000</v>
      </c>
      <c r="RC56" s="8">
        <v>375000</v>
      </c>
      <c r="RD56" s="8">
        <v>1705000</v>
      </c>
      <c r="RE56" s="8">
        <v>90420</v>
      </c>
      <c r="RF56" s="8">
        <v>90420</v>
      </c>
      <c r="RG56" s="8">
        <v>40000</v>
      </c>
      <c r="RH56" s="8">
        <v>337926</v>
      </c>
      <c r="RI56" s="8">
        <v>377926</v>
      </c>
      <c r="RJ56" s="8">
        <v>1370000</v>
      </c>
      <c r="RK56" s="8">
        <v>803346</v>
      </c>
      <c r="RL56" s="8">
        <v>2173346</v>
      </c>
      <c r="RT56" s="8">
        <v>23708500</v>
      </c>
      <c r="RU56" s="8">
        <v>1679280</v>
      </c>
      <c r="RV56" s="8">
        <v>25387780</v>
      </c>
      <c r="RY56" s="2">
        <v>0</v>
      </c>
      <c r="RZ56" s="6">
        <v>0</v>
      </c>
      <c r="SA56" s="8">
        <v>4500000</v>
      </c>
      <c r="SC56" s="8">
        <v>4500000</v>
      </c>
      <c r="SD56" s="6">
        <v>4569800</v>
      </c>
      <c r="SE56" s="8">
        <v>4500000</v>
      </c>
      <c r="SF56" s="8">
        <v>4500000</v>
      </c>
      <c r="SG56" s="6">
        <v>4569800</v>
      </c>
      <c r="SH56" s="8">
        <v>321000</v>
      </c>
      <c r="SI56" s="8">
        <v>321000</v>
      </c>
      <c r="SJ56" s="6">
        <v>336000</v>
      </c>
      <c r="SK56" s="8">
        <v>1700000</v>
      </c>
      <c r="SL56" s="8">
        <v>1700000</v>
      </c>
      <c r="SM56" s="8">
        <v>28208500</v>
      </c>
      <c r="SN56" s="8">
        <v>3700280</v>
      </c>
      <c r="SO56" s="8">
        <v>31908780</v>
      </c>
      <c r="SP56" s="8">
        <v>18000000</v>
      </c>
      <c r="SQ56" s="2" t="s">
        <v>4295</v>
      </c>
      <c r="SX56" s="8">
        <v>8692600</v>
      </c>
      <c r="SY56" s="2" t="s">
        <v>96</v>
      </c>
      <c r="SZ56" s="2" t="s">
        <v>96</v>
      </c>
      <c r="TA56" s="2" t="s">
        <v>96</v>
      </c>
      <c r="TB56" s="8">
        <v>5940117</v>
      </c>
      <c r="TF56" s="2">
        <v>0</v>
      </c>
      <c r="TG56" s="8">
        <v>32632717</v>
      </c>
      <c r="TH56" s="8">
        <v>723937</v>
      </c>
      <c r="TI56" s="8">
        <v>6540000</v>
      </c>
      <c r="TJ56" s="2" t="s">
        <v>4295</v>
      </c>
      <c r="TR56" s="8">
        <v>8692600</v>
      </c>
      <c r="TS56" s="8">
        <v>13200258</v>
      </c>
      <c r="TZ56" s="8">
        <v>3475922</v>
      </c>
      <c r="UA56" s="8">
        <v>31908780</v>
      </c>
      <c r="UB56" s="6">
        <v>15232600</v>
      </c>
      <c r="UC56" s="2">
        <v>0</v>
      </c>
      <c r="UD56" s="2">
        <v>96</v>
      </c>
      <c r="UE56" s="5">
        <v>220000</v>
      </c>
      <c r="UF56" s="6">
        <v>293333.33</v>
      </c>
      <c r="UG56" s="6">
        <v>300833.33</v>
      </c>
      <c r="UH56" s="6">
        <v>318883.33</v>
      </c>
      <c r="UI56" s="6">
        <v>30612800</v>
      </c>
      <c r="UJ56" s="6">
        <v>5510304</v>
      </c>
      <c r="UK56" s="2" t="s">
        <v>97</v>
      </c>
      <c r="UL56" s="6">
        <v>5510304</v>
      </c>
      <c r="UM56" s="6">
        <v>36123104</v>
      </c>
      <c r="UN56" s="6">
        <v>29867780</v>
      </c>
      <c r="UQ56" s="6">
        <v>0</v>
      </c>
      <c r="US56" s="6">
        <v>0</v>
      </c>
      <c r="UU56" s="6">
        <v>301920</v>
      </c>
      <c r="UV56" s="6">
        <v>301920</v>
      </c>
      <c r="UW56" s="6">
        <v>301920</v>
      </c>
      <c r="UX56" s="6">
        <v>0</v>
      </c>
      <c r="UY56" s="6">
        <v>301920</v>
      </c>
      <c r="UZ56" s="2" t="s">
        <v>4656</v>
      </c>
      <c r="VA56" s="2" t="s">
        <v>3288</v>
      </c>
      <c r="VB56" s="2" t="s">
        <v>17</v>
      </c>
      <c r="VI56" s="388" t="s">
        <v>193</v>
      </c>
      <c r="VJ56" s="2" t="s">
        <v>98</v>
      </c>
      <c r="VK56" s="2" t="s">
        <v>4453</v>
      </c>
      <c r="VL56" s="23">
        <f t="shared" si="22"/>
        <v>134</v>
      </c>
      <c r="VM56" s="17">
        <f t="shared" si="23"/>
        <v>1.3958333333333333</v>
      </c>
      <c r="VN56" s="17" t="str">
        <f t="shared" si="24"/>
        <v>NC-GA-E</v>
      </c>
      <c r="VO56" s="17" t="str">
        <f t="shared" si="15"/>
        <v>NC-GA-E-Non</v>
      </c>
      <c r="VP56" s="57">
        <v>1</v>
      </c>
      <c r="VQ56" s="17">
        <f t="shared" si="25"/>
        <v>1.1100000000000001</v>
      </c>
      <c r="VR56" s="14">
        <f t="shared" si="26"/>
        <v>1</v>
      </c>
      <c r="VS56" s="14">
        <f t="shared" si="27"/>
        <v>1</v>
      </c>
      <c r="VT56" s="12">
        <f t="shared" si="28"/>
        <v>0.89</v>
      </c>
      <c r="VU56" s="29">
        <f t="shared" si="29"/>
        <v>7922958</v>
      </c>
      <c r="VV56" s="29">
        <f t="shared" si="30"/>
        <v>82530.81</v>
      </c>
      <c r="VW56" s="351" t="str">
        <f t="shared" si="16"/>
        <v>A</v>
      </c>
      <c r="VX56" s="12" t="str">
        <f t="shared" si="31"/>
        <v>NC-GA-Non</v>
      </c>
      <c r="VY56" s="23">
        <f t="shared" si="17"/>
        <v>5</v>
      </c>
      <c r="WA56" s="12">
        <f t="shared" si="18"/>
        <v>1</v>
      </c>
      <c r="WB56" s="12">
        <f t="shared" si="19"/>
        <v>1</v>
      </c>
      <c r="WC56" s="12">
        <f t="shared" si="19"/>
        <v>0</v>
      </c>
      <c r="WD56" s="12">
        <f t="shared" si="19"/>
        <v>0</v>
      </c>
      <c r="WE56" s="12">
        <f t="shared" si="20"/>
        <v>0</v>
      </c>
      <c r="WF56" s="12">
        <f t="shared" si="32"/>
        <v>1</v>
      </c>
      <c r="WG56" s="12">
        <f t="shared" si="33"/>
        <v>0</v>
      </c>
      <c r="WH56" s="12">
        <f t="shared" si="34"/>
        <v>0</v>
      </c>
      <c r="WI56" s="22">
        <f t="shared" si="35"/>
        <v>3</v>
      </c>
      <c r="WK56" s="444" t="str">
        <f t="shared" si="21"/>
        <v>NC-GA-Non-BBY-BRN-NPH-E</v>
      </c>
      <c r="WL56" s="444"/>
      <c r="WM56" s="444"/>
    </row>
    <row r="57" spans="1:611" x14ac:dyDescent="0.25">
      <c r="A57" s="2">
        <v>9263</v>
      </c>
      <c r="B57" s="2" t="s">
        <v>4811</v>
      </c>
      <c r="C57" s="2" t="s">
        <v>4205</v>
      </c>
      <c r="D57" s="3">
        <v>45128</v>
      </c>
      <c r="E57" s="2" t="s">
        <v>9</v>
      </c>
      <c r="F57" s="2">
        <v>1</v>
      </c>
      <c r="G57" s="2" t="s">
        <v>9</v>
      </c>
      <c r="H57" s="2">
        <v>1</v>
      </c>
      <c r="I57" s="2" t="s">
        <v>11</v>
      </c>
      <c r="J57" s="2">
        <v>0</v>
      </c>
      <c r="K57" s="2" t="s">
        <v>9</v>
      </c>
      <c r="L57" s="2">
        <v>1</v>
      </c>
      <c r="M57" s="2" t="s">
        <v>10</v>
      </c>
      <c r="N57" s="2">
        <v>0</v>
      </c>
      <c r="O57" s="2" t="s">
        <v>10</v>
      </c>
      <c r="P57" s="2">
        <v>0</v>
      </c>
      <c r="Q57" s="2" t="s">
        <v>11</v>
      </c>
      <c r="R57" s="2">
        <v>0</v>
      </c>
      <c r="S57" s="2" t="s">
        <v>9</v>
      </c>
      <c r="T57" s="2">
        <v>2</v>
      </c>
      <c r="U57" s="2" t="s">
        <v>9</v>
      </c>
      <c r="V57" s="2">
        <v>2</v>
      </c>
      <c r="W57" s="2" t="s">
        <v>9</v>
      </c>
      <c r="X57" s="2">
        <v>2</v>
      </c>
      <c r="Y57" s="2" t="s">
        <v>12</v>
      </c>
      <c r="Z57" s="2" t="s">
        <v>15</v>
      </c>
      <c r="AA57" s="2" t="s">
        <v>15</v>
      </c>
      <c r="AB57" s="2" t="s">
        <v>15</v>
      </c>
      <c r="AC57" s="2" t="s">
        <v>3562</v>
      </c>
      <c r="AD57" s="2" t="s">
        <v>15</v>
      </c>
      <c r="AE57" s="2" t="s">
        <v>15</v>
      </c>
      <c r="AF57" s="2">
        <v>0</v>
      </c>
      <c r="AG57" s="2" t="s">
        <v>234</v>
      </c>
      <c r="AH57" s="2" t="s">
        <v>17</v>
      </c>
      <c r="AI57" s="4">
        <v>0.1</v>
      </c>
      <c r="AJ57" s="2" t="s">
        <v>17</v>
      </c>
      <c r="AK57" s="2" t="s">
        <v>9</v>
      </c>
      <c r="AL57" s="2" t="s">
        <v>17</v>
      </c>
      <c r="AM57" s="2" t="s">
        <v>17</v>
      </c>
      <c r="AN57" s="2" t="s">
        <v>17</v>
      </c>
      <c r="AO57" s="2" t="s">
        <v>9</v>
      </c>
      <c r="AP57" s="2" t="s">
        <v>17</v>
      </c>
      <c r="AQ57" s="2" t="s">
        <v>17</v>
      </c>
      <c r="AR57" s="2" t="s">
        <v>17</v>
      </c>
      <c r="AS57" s="2" t="s">
        <v>17</v>
      </c>
      <c r="AT57" s="2">
        <v>5</v>
      </c>
      <c r="AU57" s="5">
        <v>50000</v>
      </c>
      <c r="AV57" s="5">
        <v>460000</v>
      </c>
      <c r="AW57" s="2">
        <v>1</v>
      </c>
      <c r="AX57" s="2">
        <v>5</v>
      </c>
      <c r="AY57" s="2">
        <v>0</v>
      </c>
      <c r="AZ57" s="2">
        <v>17</v>
      </c>
      <c r="BA57" s="2">
        <v>0</v>
      </c>
      <c r="BB57" s="2">
        <v>1</v>
      </c>
      <c r="BC57" s="2">
        <v>1</v>
      </c>
      <c r="BD57" s="2">
        <v>0</v>
      </c>
      <c r="BE57" s="2">
        <v>0</v>
      </c>
      <c r="BF57" s="2">
        <v>1</v>
      </c>
      <c r="BG57" s="2">
        <v>0</v>
      </c>
      <c r="BH57" s="2">
        <v>0</v>
      </c>
      <c r="BI57" s="2">
        <v>13</v>
      </c>
      <c r="BJ57" s="2">
        <v>1</v>
      </c>
      <c r="BK57" s="2">
        <v>0</v>
      </c>
      <c r="BL57" s="2">
        <v>3</v>
      </c>
      <c r="BM57" s="2">
        <v>1</v>
      </c>
      <c r="BN57" s="2">
        <v>9</v>
      </c>
      <c r="BO57" s="2">
        <v>10</v>
      </c>
      <c r="BP57" s="2">
        <v>30.99</v>
      </c>
      <c r="BQ57" s="5">
        <v>9402500</v>
      </c>
      <c r="BR57" s="2">
        <v>1</v>
      </c>
      <c r="BS57" s="4">
        <v>0.06</v>
      </c>
      <c r="BT57" s="2" t="s">
        <v>9</v>
      </c>
      <c r="BU57" s="2" t="s">
        <v>17</v>
      </c>
      <c r="BV57" s="6">
        <v>90140.76</v>
      </c>
      <c r="BW57" s="2" t="s">
        <v>18</v>
      </c>
      <c r="BX57" s="2" t="s">
        <v>17</v>
      </c>
      <c r="BY57" s="2" t="s">
        <v>17</v>
      </c>
      <c r="BZ57" s="2" t="s">
        <v>17</v>
      </c>
      <c r="CA57" s="2" t="s">
        <v>17</v>
      </c>
      <c r="CB57" s="2" t="s">
        <v>17</v>
      </c>
      <c r="CC57" s="2" t="s">
        <v>17</v>
      </c>
      <c r="CE57" s="2" t="s">
        <v>4812</v>
      </c>
      <c r="CF57" s="2" t="s">
        <v>17</v>
      </c>
      <c r="CG57" s="2" t="s">
        <v>17</v>
      </c>
      <c r="DA57" s="2" t="s">
        <v>1920</v>
      </c>
      <c r="DB57" s="2" t="s">
        <v>1921</v>
      </c>
      <c r="DD57" s="2" t="s">
        <v>9</v>
      </c>
      <c r="DE57" s="2" t="s">
        <v>1922</v>
      </c>
      <c r="DF57" s="2" t="s">
        <v>1920</v>
      </c>
      <c r="DG57" s="2" t="s">
        <v>4605</v>
      </c>
      <c r="DH57" s="2" t="s">
        <v>330</v>
      </c>
      <c r="DI57" s="2">
        <v>220</v>
      </c>
      <c r="DJ57" s="2" t="s">
        <v>4029</v>
      </c>
      <c r="DK57" s="2">
        <v>2012</v>
      </c>
      <c r="DL57" s="2" t="s">
        <v>4209</v>
      </c>
      <c r="DM57" s="2" t="s">
        <v>4210</v>
      </c>
      <c r="DN57" s="2" t="s">
        <v>33</v>
      </c>
      <c r="DO57" s="2" t="s">
        <v>656</v>
      </c>
      <c r="DQ57" s="2" t="s">
        <v>1929</v>
      </c>
      <c r="DR57" s="2" t="s">
        <v>1930</v>
      </c>
      <c r="DS57" s="2">
        <v>1</v>
      </c>
      <c r="DT57" s="2" t="s">
        <v>1931</v>
      </c>
      <c r="DU57" s="2" t="s">
        <v>1932</v>
      </c>
      <c r="DV57" s="2" t="s">
        <v>1933</v>
      </c>
      <c r="DW57" s="2">
        <v>63102</v>
      </c>
      <c r="DX57" s="2" t="s">
        <v>1934</v>
      </c>
      <c r="DZ57" s="2" t="s">
        <v>1935</v>
      </c>
      <c r="EA57" s="2" t="s">
        <v>1930</v>
      </c>
      <c r="EB57" s="2" t="s">
        <v>1936</v>
      </c>
      <c r="EC57" s="2" t="s">
        <v>1928</v>
      </c>
      <c r="ED57" s="2" t="s">
        <v>44</v>
      </c>
      <c r="EE57" s="2">
        <v>82</v>
      </c>
      <c r="EF57" s="2" t="s">
        <v>4030</v>
      </c>
      <c r="EG57" s="2">
        <v>18</v>
      </c>
      <c r="EH57" s="2" t="s">
        <v>46</v>
      </c>
      <c r="EI57" s="2" t="s">
        <v>47</v>
      </c>
      <c r="EJ57" s="2" t="s">
        <v>1938</v>
      </c>
      <c r="EK57" s="2" t="s">
        <v>1928</v>
      </c>
      <c r="EL57" s="2" t="s">
        <v>44</v>
      </c>
      <c r="EM57" s="2">
        <v>101</v>
      </c>
      <c r="EN57" s="2" t="s">
        <v>4030</v>
      </c>
      <c r="EO57" s="2">
        <v>40</v>
      </c>
      <c r="EP57" s="2" t="s">
        <v>46</v>
      </c>
      <c r="EQ57" s="2" t="s">
        <v>47</v>
      </c>
      <c r="ER57" s="2" t="s">
        <v>1939</v>
      </c>
      <c r="ES57" s="2" t="s">
        <v>657</v>
      </c>
      <c r="ET57" s="2" t="s">
        <v>1940</v>
      </c>
      <c r="EU57" s="2" t="s">
        <v>4812</v>
      </c>
      <c r="EV57" s="2" t="s">
        <v>1931</v>
      </c>
      <c r="EW57" s="2" t="s">
        <v>1932</v>
      </c>
      <c r="EX57" s="2" t="s">
        <v>1933</v>
      </c>
      <c r="EY57" s="2">
        <v>63102</v>
      </c>
      <c r="EZ57" s="2" t="s">
        <v>1941</v>
      </c>
      <c r="FB57" s="2" t="s">
        <v>1942</v>
      </c>
      <c r="FC57" s="2" t="s">
        <v>1943</v>
      </c>
      <c r="FD57" s="2" t="s">
        <v>1660</v>
      </c>
      <c r="FE57" s="2" t="s">
        <v>1944</v>
      </c>
      <c r="FF57" s="2" t="s">
        <v>1945</v>
      </c>
      <c r="FG57" s="2" t="s">
        <v>1931</v>
      </c>
      <c r="FH57" s="2" t="s">
        <v>1932</v>
      </c>
      <c r="FI57" s="2" t="s">
        <v>1933</v>
      </c>
      <c r="FJ57" s="2">
        <v>63102</v>
      </c>
      <c r="FK57" s="2" t="s">
        <v>1946</v>
      </c>
      <c r="FM57" s="2" t="s">
        <v>1947</v>
      </c>
      <c r="FN57" s="2" t="s">
        <v>4813</v>
      </c>
      <c r="FO57" s="2" t="s">
        <v>63</v>
      </c>
      <c r="FP57" s="2" t="s">
        <v>64</v>
      </c>
      <c r="FQ57" s="2" t="s">
        <v>9</v>
      </c>
      <c r="FR57" s="2" t="s">
        <v>17</v>
      </c>
      <c r="FS57" s="2" t="s">
        <v>17</v>
      </c>
      <c r="FT57" s="2" t="s">
        <v>9</v>
      </c>
      <c r="FX57" s="2">
        <v>0</v>
      </c>
      <c r="FY57" s="2">
        <v>0</v>
      </c>
      <c r="FZ57" s="4">
        <v>0</v>
      </c>
      <c r="GA57" s="4">
        <v>0</v>
      </c>
      <c r="GB57" s="2" t="s">
        <v>65</v>
      </c>
      <c r="GC57" s="2" t="s">
        <v>66</v>
      </c>
      <c r="GD57" s="2" t="s">
        <v>67</v>
      </c>
      <c r="GE57" s="2" t="s">
        <v>68</v>
      </c>
      <c r="GF57" s="2">
        <v>92</v>
      </c>
      <c r="GG57" s="2">
        <v>92</v>
      </c>
      <c r="GQ57" s="2">
        <v>92</v>
      </c>
      <c r="GR57" s="2" t="s">
        <v>1197</v>
      </c>
      <c r="GS57" s="2" t="s">
        <v>70</v>
      </c>
      <c r="GT57" s="2" t="s">
        <v>4814</v>
      </c>
      <c r="GU57" s="2" t="s">
        <v>1469</v>
      </c>
      <c r="GV57" s="2" t="s">
        <v>17</v>
      </c>
      <c r="GW57" s="2">
        <v>26.610181000000001</v>
      </c>
      <c r="GX57" s="2">
        <v>-81.871010999999996</v>
      </c>
      <c r="GZ57" s="2" t="s">
        <v>17</v>
      </c>
      <c r="HA57" s="2">
        <v>0</v>
      </c>
      <c r="HC57" s="2">
        <v>0</v>
      </c>
      <c r="HN57" s="2">
        <v>26.599301000000001</v>
      </c>
      <c r="HO57" s="2">
        <v>-81.866781000000003</v>
      </c>
      <c r="HP57" s="2">
        <v>0.8</v>
      </c>
      <c r="HQ57" s="2">
        <v>4.5</v>
      </c>
      <c r="HZ57" s="2" t="s">
        <v>4815</v>
      </c>
      <c r="IA57" s="2">
        <v>0.53</v>
      </c>
      <c r="IB57" s="2">
        <v>3</v>
      </c>
      <c r="IF57" s="2" t="s">
        <v>224</v>
      </c>
      <c r="IG57" s="2">
        <v>0.1</v>
      </c>
      <c r="IH57" s="2">
        <v>4</v>
      </c>
      <c r="II57" s="2" t="s">
        <v>4817</v>
      </c>
      <c r="IJ57" s="2">
        <v>0.63</v>
      </c>
      <c r="IK57" s="2">
        <v>3.5</v>
      </c>
      <c r="IL57" s="2" t="s">
        <v>17</v>
      </c>
      <c r="IM57" s="2" t="s">
        <v>17</v>
      </c>
      <c r="IO57" s="2" t="s">
        <v>17</v>
      </c>
      <c r="IP57" s="2" t="s">
        <v>79</v>
      </c>
      <c r="IQ57" s="2" t="s">
        <v>79</v>
      </c>
      <c r="IR57" s="2">
        <v>4.5</v>
      </c>
      <c r="IS57" s="2">
        <v>10.5</v>
      </c>
      <c r="IT57" s="2">
        <v>0</v>
      </c>
      <c r="IU57" s="2">
        <v>15</v>
      </c>
      <c r="IV57" s="2" t="s">
        <v>80</v>
      </c>
      <c r="IW57" s="2" t="s">
        <v>9</v>
      </c>
      <c r="IX57" s="2" t="s">
        <v>9</v>
      </c>
      <c r="IY57" s="2">
        <v>15</v>
      </c>
      <c r="IZ57" s="2">
        <v>92</v>
      </c>
      <c r="JB57" s="2" t="s">
        <v>173</v>
      </c>
      <c r="JE57" s="7">
        <v>0.1</v>
      </c>
      <c r="JF57" s="7">
        <v>0.44</v>
      </c>
      <c r="JG57" s="7">
        <v>0.36</v>
      </c>
      <c r="JH57" s="7">
        <v>0.1</v>
      </c>
      <c r="JI57" s="2">
        <v>83</v>
      </c>
      <c r="JJ57" s="7">
        <v>0.9</v>
      </c>
      <c r="JK57" s="2">
        <v>92</v>
      </c>
      <c r="JL57" s="7">
        <v>1</v>
      </c>
      <c r="JT57" s="2">
        <v>0</v>
      </c>
      <c r="JU57" s="2">
        <v>0</v>
      </c>
      <c r="JV57" s="2">
        <v>0</v>
      </c>
      <c r="JW57" s="4">
        <v>0</v>
      </c>
      <c r="JX57" s="2">
        <v>0</v>
      </c>
      <c r="JY57" s="4">
        <v>0</v>
      </c>
      <c r="KB57" s="7">
        <v>0.1</v>
      </c>
      <c r="KC57" s="7">
        <v>0.44</v>
      </c>
      <c r="KD57" s="7">
        <v>0.36</v>
      </c>
      <c r="KE57" s="7">
        <v>0.9</v>
      </c>
      <c r="KF57" s="2">
        <v>92</v>
      </c>
      <c r="KH57" s="2">
        <v>50</v>
      </c>
      <c r="KI57" s="2">
        <v>42</v>
      </c>
      <c r="KQ57" s="2" t="s">
        <v>83</v>
      </c>
      <c r="KR57" s="2" t="s">
        <v>73</v>
      </c>
      <c r="KT57" s="2">
        <v>4</v>
      </c>
      <c r="KU57" s="2" t="s">
        <v>84</v>
      </c>
      <c r="KW57" s="2" t="s">
        <v>86</v>
      </c>
      <c r="KX57" s="2" t="s">
        <v>17</v>
      </c>
      <c r="KY57" s="2" t="s">
        <v>17</v>
      </c>
      <c r="KZ57" s="2" t="s">
        <v>17</v>
      </c>
      <c r="LA57" s="2" t="s">
        <v>17</v>
      </c>
      <c r="LB57" s="2" t="s">
        <v>17</v>
      </c>
      <c r="LC57" s="2" t="s">
        <v>17</v>
      </c>
      <c r="LD57" s="2" t="s">
        <v>17</v>
      </c>
      <c r="LE57" s="2" t="s">
        <v>17</v>
      </c>
      <c r="LF57" s="2" t="s">
        <v>17</v>
      </c>
      <c r="LG57" s="2" t="s">
        <v>17</v>
      </c>
      <c r="LH57" s="2" t="s">
        <v>17</v>
      </c>
      <c r="LI57" s="2" t="s">
        <v>17</v>
      </c>
      <c r="LJ57" s="2" t="s">
        <v>87</v>
      </c>
      <c r="LK57" s="2" t="s">
        <v>17</v>
      </c>
      <c r="LL57" s="2" t="s">
        <v>17</v>
      </c>
      <c r="LM57" s="2">
        <v>0</v>
      </c>
      <c r="LN57" s="2" t="s">
        <v>17</v>
      </c>
      <c r="LO57" s="2" t="s">
        <v>17</v>
      </c>
      <c r="LP57" s="2" t="s">
        <v>9</v>
      </c>
      <c r="LQ57" s="2" t="s">
        <v>9</v>
      </c>
      <c r="LR57" s="2" t="s">
        <v>9</v>
      </c>
      <c r="LS57" s="2" t="s">
        <v>17</v>
      </c>
      <c r="LT57" s="2" t="s">
        <v>17</v>
      </c>
      <c r="LU57" s="2" t="s">
        <v>17</v>
      </c>
      <c r="LV57" s="2" t="s">
        <v>17</v>
      </c>
      <c r="LW57" s="2" t="s">
        <v>17</v>
      </c>
      <c r="LX57" s="2" t="s">
        <v>17</v>
      </c>
      <c r="LY57" s="5">
        <v>6500000</v>
      </c>
      <c r="LZ57" s="5">
        <v>0</v>
      </c>
      <c r="MA57" s="5">
        <v>8740000</v>
      </c>
      <c r="MB57" s="5">
        <v>8740000</v>
      </c>
      <c r="MC57" s="5">
        <v>8740000</v>
      </c>
      <c r="MD57" s="5">
        <v>662500</v>
      </c>
      <c r="ME57" s="5">
        <v>662500</v>
      </c>
      <c r="MF57" s="5">
        <v>662500</v>
      </c>
      <c r="MG57" s="5">
        <v>9660000</v>
      </c>
      <c r="MH57" s="5">
        <v>0</v>
      </c>
      <c r="MI57" s="5">
        <v>9660000</v>
      </c>
      <c r="MJ57" s="5">
        <v>0</v>
      </c>
      <c r="MK57" s="5">
        <v>662500</v>
      </c>
      <c r="ML57" s="5">
        <v>0</v>
      </c>
      <c r="MM57" s="5">
        <v>0</v>
      </c>
      <c r="MN57" s="2">
        <v>0</v>
      </c>
      <c r="MO57" s="5">
        <v>0</v>
      </c>
      <c r="MP57" s="5">
        <v>0</v>
      </c>
      <c r="MQ57" s="2">
        <v>0</v>
      </c>
      <c r="MR57" s="2">
        <v>0</v>
      </c>
      <c r="MS57" s="2">
        <v>0</v>
      </c>
      <c r="MT57" s="5">
        <v>2950000</v>
      </c>
      <c r="MU57" s="5">
        <v>0</v>
      </c>
      <c r="MV57" s="5">
        <v>4600000</v>
      </c>
      <c r="MW57" s="5">
        <v>0</v>
      </c>
      <c r="MY57" s="5">
        <v>0</v>
      </c>
      <c r="MZ57" s="5">
        <v>0</v>
      </c>
      <c r="NA57" s="5">
        <v>0</v>
      </c>
      <c r="NB57" s="5">
        <v>2500000</v>
      </c>
      <c r="NC57" s="5">
        <v>0</v>
      </c>
      <c r="ND57" s="5">
        <v>5000000</v>
      </c>
      <c r="NE57" s="5">
        <v>0</v>
      </c>
      <c r="NF57" s="5">
        <v>0</v>
      </c>
      <c r="NG57" s="5">
        <v>0</v>
      </c>
      <c r="NH57" s="5"/>
      <c r="NI57" s="5">
        <v>0</v>
      </c>
      <c r="NJ57" s="5">
        <v>1868611</v>
      </c>
      <c r="NK57" s="2" t="s">
        <v>17</v>
      </c>
      <c r="NL57" s="2">
        <v>2023</v>
      </c>
      <c r="NM57" s="2" t="s">
        <v>17</v>
      </c>
      <c r="NO57" s="2" t="s">
        <v>17</v>
      </c>
      <c r="NR57" s="2" t="s">
        <v>17</v>
      </c>
      <c r="NT57" s="2" t="s">
        <v>9</v>
      </c>
      <c r="NU57" s="2" t="s">
        <v>450</v>
      </c>
      <c r="NV57" s="2">
        <v>11.04</v>
      </c>
      <c r="NW57" s="2" t="s">
        <v>1221</v>
      </c>
      <c r="NX57" s="2" t="s">
        <v>118</v>
      </c>
      <c r="NY57" s="2" t="s">
        <v>118</v>
      </c>
      <c r="NZ57" s="2" t="s">
        <v>118</v>
      </c>
      <c r="OA57" s="2" t="s">
        <v>17</v>
      </c>
      <c r="OB57" s="2" t="s">
        <v>119</v>
      </c>
      <c r="OC57" s="5">
        <v>0</v>
      </c>
      <c r="OF57" s="2" t="s">
        <v>17</v>
      </c>
      <c r="OG57" s="2" t="s">
        <v>17</v>
      </c>
      <c r="OH57" s="2" t="s">
        <v>85</v>
      </c>
      <c r="OI57" s="6">
        <v>0</v>
      </c>
      <c r="OJ57" s="6">
        <v>262200</v>
      </c>
      <c r="OK57" s="2" t="s">
        <v>17</v>
      </c>
      <c r="OL57" s="2" t="s">
        <v>17</v>
      </c>
      <c r="OM57" s="6">
        <v>0</v>
      </c>
      <c r="ON57" s="6">
        <v>0</v>
      </c>
      <c r="OO57" s="6">
        <v>0</v>
      </c>
      <c r="OP57" s="6">
        <v>0</v>
      </c>
      <c r="OQ57" s="4">
        <v>0</v>
      </c>
      <c r="OR57" s="6">
        <v>0</v>
      </c>
      <c r="OS57" s="4">
        <v>0</v>
      </c>
      <c r="OT57" s="2" t="s">
        <v>17</v>
      </c>
      <c r="OU57" s="2" t="s">
        <v>9</v>
      </c>
      <c r="OV57" s="2" t="s">
        <v>1951</v>
      </c>
      <c r="OW57" s="2" t="s">
        <v>9</v>
      </c>
      <c r="OX57" s="5">
        <v>7481683</v>
      </c>
      <c r="OY57" s="6">
        <v>90140.76</v>
      </c>
      <c r="PB57" s="8">
        <v>1122272</v>
      </c>
      <c r="PC57" s="8">
        <v>1122272</v>
      </c>
      <c r="PD57" s="8">
        <v>21313339</v>
      </c>
      <c r="PF57" s="8">
        <v>21313339</v>
      </c>
      <c r="PG57" s="8">
        <v>4254797</v>
      </c>
      <c r="PI57" s="8">
        <v>4254797</v>
      </c>
      <c r="PO57" s="8">
        <v>25568136</v>
      </c>
      <c r="PP57" s="8">
        <v>1122272</v>
      </c>
      <c r="PQ57" s="8">
        <v>26690408</v>
      </c>
      <c r="PR57" s="8">
        <v>3521806</v>
      </c>
      <c r="PS57" s="8">
        <v>214851</v>
      </c>
      <c r="PT57" s="8">
        <v>3736657</v>
      </c>
      <c r="PU57" s="6">
        <v>3736657</v>
      </c>
      <c r="PV57" s="8">
        <v>29089942</v>
      </c>
      <c r="PW57" s="8">
        <v>1337123</v>
      </c>
      <c r="PX57" s="8">
        <v>30427065</v>
      </c>
      <c r="PY57" s="8">
        <v>1521353</v>
      </c>
      <c r="QA57" s="8">
        <v>1521353</v>
      </c>
      <c r="QB57" s="6">
        <v>1521353.25</v>
      </c>
      <c r="QC57" s="8">
        <v>372103</v>
      </c>
      <c r="QD57" s="8">
        <v>1103526</v>
      </c>
      <c r="QE57" s="8">
        <v>1475629</v>
      </c>
      <c r="QF57" s="8">
        <v>87500</v>
      </c>
      <c r="QG57" s="8">
        <v>87500</v>
      </c>
      <c r="QH57" s="8">
        <v>175000</v>
      </c>
      <c r="QI57" s="8">
        <v>14138</v>
      </c>
      <c r="QJ57" s="2">
        <v>862</v>
      </c>
      <c r="QK57" s="8">
        <v>15000</v>
      </c>
      <c r="QL57" s="8">
        <v>386816</v>
      </c>
      <c r="QM57" s="8">
        <v>267150</v>
      </c>
      <c r="QN57" s="8">
        <v>653966</v>
      </c>
      <c r="QR57" s="8">
        <v>356814</v>
      </c>
      <c r="QS57" s="8">
        <v>344500</v>
      </c>
      <c r="QT57" s="8">
        <v>701314</v>
      </c>
      <c r="QU57" s="8">
        <v>1217371</v>
      </c>
      <c r="QV57" s="8">
        <v>1803538</v>
      </c>
      <c r="QW57" s="8">
        <v>3020909</v>
      </c>
      <c r="QX57" s="8">
        <v>150000</v>
      </c>
      <c r="QZ57" s="8">
        <v>150000</v>
      </c>
      <c r="RA57" s="6">
        <v>151045.45000000001</v>
      </c>
      <c r="RB57" s="8">
        <v>1499207</v>
      </c>
      <c r="RC57" s="8">
        <v>1499207</v>
      </c>
      <c r="RD57" s="8">
        <v>2998414</v>
      </c>
      <c r="RE57" s="8">
        <v>168790</v>
      </c>
      <c r="RF57" s="8">
        <v>168790</v>
      </c>
      <c r="RJ57" s="8">
        <v>1499207</v>
      </c>
      <c r="RK57" s="8">
        <v>1667997</v>
      </c>
      <c r="RL57" s="8">
        <v>3167204</v>
      </c>
      <c r="RT57" s="8">
        <v>33477873</v>
      </c>
      <c r="RU57" s="8">
        <v>4808658</v>
      </c>
      <c r="RV57" s="8">
        <v>38286531</v>
      </c>
      <c r="RY57" s="2">
        <v>0</v>
      </c>
      <c r="RZ57" s="6">
        <v>0</v>
      </c>
      <c r="SA57" s="8">
        <v>6805841</v>
      </c>
      <c r="SC57" s="8">
        <v>6805841</v>
      </c>
      <c r="SD57" s="6">
        <v>6891575</v>
      </c>
      <c r="SE57" s="8">
        <v>6805841</v>
      </c>
      <c r="SF57" s="8">
        <v>6805841</v>
      </c>
      <c r="SG57" s="6">
        <v>6891575</v>
      </c>
      <c r="SJ57" s="6">
        <v>322000</v>
      </c>
      <c r="SK57" s="8">
        <v>2250099</v>
      </c>
      <c r="SL57" s="8">
        <v>2250099</v>
      </c>
      <c r="SM57" s="8">
        <v>40283714</v>
      </c>
      <c r="SN57" s="8">
        <v>7058757</v>
      </c>
      <c r="SO57" s="8">
        <v>47342471</v>
      </c>
      <c r="SP57" s="8">
        <v>24000000</v>
      </c>
      <c r="SQ57" s="2" t="s">
        <v>4220</v>
      </c>
      <c r="SR57" s="8">
        <v>14691181</v>
      </c>
      <c r="SS57" s="2" t="s">
        <v>413</v>
      </c>
      <c r="SX57" s="8">
        <v>9402500</v>
      </c>
      <c r="SY57" s="2" t="s">
        <v>96</v>
      </c>
      <c r="SZ57" s="2" t="s">
        <v>96</v>
      </c>
      <c r="TA57" s="2" t="s">
        <v>96</v>
      </c>
      <c r="TB57" s="8">
        <v>2662504</v>
      </c>
      <c r="TC57" s="2" t="s">
        <v>453</v>
      </c>
      <c r="TD57" s="8">
        <v>50000</v>
      </c>
      <c r="TE57" s="2" t="s">
        <v>180</v>
      </c>
      <c r="TF57" s="2">
        <v>0</v>
      </c>
      <c r="TG57" s="8">
        <v>50806185</v>
      </c>
      <c r="TH57" s="8">
        <v>3463714</v>
      </c>
      <c r="TI57" s="8">
        <v>4879000</v>
      </c>
      <c r="TJ57" s="2" t="s">
        <v>4220</v>
      </c>
      <c r="TK57" s="8">
        <v>14691181</v>
      </c>
      <c r="TL57" s="2" t="s">
        <v>413</v>
      </c>
      <c r="TR57" s="8">
        <v>9402500</v>
      </c>
      <c r="TS57" s="8">
        <v>17750029</v>
      </c>
      <c r="TT57" s="2" t="s">
        <v>453</v>
      </c>
      <c r="TU57" s="8">
        <v>50000</v>
      </c>
      <c r="TV57" s="2" t="s">
        <v>180</v>
      </c>
      <c r="TZ57" s="8">
        <v>569761</v>
      </c>
      <c r="UA57" s="8">
        <v>47342471</v>
      </c>
      <c r="UB57" s="6">
        <v>29022681</v>
      </c>
      <c r="UC57" s="2">
        <v>0</v>
      </c>
      <c r="UD57" s="2">
        <v>92</v>
      </c>
      <c r="UE57" s="5">
        <v>240000</v>
      </c>
      <c r="UF57" s="6">
        <v>320000</v>
      </c>
      <c r="UG57" s="6">
        <v>335000</v>
      </c>
      <c r="UH57" s="6">
        <v>355100</v>
      </c>
      <c r="UI57" s="6">
        <v>32669200</v>
      </c>
      <c r="UJ57" s="6">
        <v>5880456</v>
      </c>
      <c r="UK57" s="2" t="s">
        <v>97</v>
      </c>
      <c r="UL57" s="6">
        <v>5880456</v>
      </c>
      <c r="UM57" s="6">
        <v>38549656</v>
      </c>
      <c r="UN57" s="6">
        <v>43970100</v>
      </c>
      <c r="UQ57" s="6">
        <v>0</v>
      </c>
      <c r="UR57" s="6">
        <v>50000</v>
      </c>
      <c r="US57" s="6">
        <v>50000</v>
      </c>
      <c r="UV57" s="6">
        <v>0</v>
      </c>
      <c r="UW57" s="6">
        <v>50000</v>
      </c>
      <c r="UX57" s="6">
        <v>0</v>
      </c>
      <c r="UY57" s="6">
        <v>50000</v>
      </c>
      <c r="UZ57" s="2" t="s">
        <v>1954</v>
      </c>
      <c r="VA57" s="2" t="s">
        <v>453</v>
      </c>
      <c r="VB57" s="2" t="s">
        <v>17</v>
      </c>
      <c r="VI57" s="388" t="s">
        <v>1922</v>
      </c>
      <c r="VJ57" s="2" t="s">
        <v>98</v>
      </c>
      <c r="VK57" s="2" t="s">
        <v>4819</v>
      </c>
      <c r="VL57" s="23">
        <f t="shared" si="22"/>
        <v>134</v>
      </c>
      <c r="VM57" s="17">
        <f t="shared" si="23"/>
        <v>1.4565217391304348</v>
      </c>
      <c r="VN57" s="17" t="str">
        <f t="shared" si="24"/>
        <v>NC-GA-F</v>
      </c>
      <c r="VO57" s="17" t="str">
        <f t="shared" si="15"/>
        <v>NC-GA-F-ESS</v>
      </c>
      <c r="VP57" s="57">
        <v>1</v>
      </c>
      <c r="VQ57" s="17">
        <f t="shared" si="25"/>
        <v>1.1100000000000001</v>
      </c>
      <c r="VR57" s="14">
        <f t="shared" si="26"/>
        <v>1</v>
      </c>
      <c r="VS57" s="14">
        <f t="shared" si="27"/>
        <v>0.87</v>
      </c>
      <c r="VT57" s="12">
        <f t="shared" si="28"/>
        <v>0.85439999999999994</v>
      </c>
      <c r="VU57" s="29">
        <f t="shared" si="29"/>
        <v>7211322.2591999993</v>
      </c>
      <c r="VV57" s="29">
        <f t="shared" si="30"/>
        <v>86883.4</v>
      </c>
      <c r="VW57" s="351" t="str">
        <f t="shared" si="16"/>
        <v>A</v>
      </c>
      <c r="VX57" s="12" t="str">
        <f t="shared" si="31"/>
        <v>NC-GA-ESS</v>
      </c>
      <c r="VY57" s="23">
        <f t="shared" si="17"/>
        <v>5</v>
      </c>
      <c r="WA57" s="12">
        <f t="shared" si="18"/>
        <v>0</v>
      </c>
      <c r="WB57" s="12">
        <f t="shared" si="19"/>
        <v>1</v>
      </c>
      <c r="WC57" s="12">
        <f t="shared" si="19"/>
        <v>0</v>
      </c>
      <c r="WD57" s="12">
        <f t="shared" si="19"/>
        <v>1</v>
      </c>
      <c r="WE57" s="12">
        <f t="shared" si="20"/>
        <v>1</v>
      </c>
      <c r="WF57" s="12">
        <f t="shared" si="32"/>
        <v>1</v>
      </c>
      <c r="WG57" s="12">
        <f t="shared" si="33"/>
        <v>0</v>
      </c>
      <c r="WH57" s="12">
        <f t="shared" si="34"/>
        <v>0</v>
      </c>
      <c r="WI57" s="22">
        <f t="shared" si="35"/>
        <v>4</v>
      </c>
      <c r="WK57" s="444" t="str">
        <f t="shared" si="21"/>
        <v>NC-GA-ESS-BBY-BRN-PHA-F</v>
      </c>
      <c r="WL57" s="444"/>
      <c r="WM57" s="444"/>
    </row>
    <row r="58" spans="1:611" x14ac:dyDescent="0.25">
      <c r="A58" s="2">
        <v>9332</v>
      </c>
      <c r="B58" s="2" t="s">
        <v>4820</v>
      </c>
      <c r="C58" s="2" t="s">
        <v>4205</v>
      </c>
      <c r="D58" s="3">
        <v>45128</v>
      </c>
      <c r="E58" s="2" t="s">
        <v>9</v>
      </c>
      <c r="F58" s="2">
        <v>1</v>
      </c>
      <c r="G58" s="2" t="s">
        <v>9</v>
      </c>
      <c r="H58" s="2">
        <v>1</v>
      </c>
      <c r="I58" s="2" t="s">
        <v>11</v>
      </c>
      <c r="J58" s="2">
        <v>0</v>
      </c>
      <c r="K58" s="2" t="s">
        <v>9</v>
      </c>
      <c r="L58" s="2">
        <v>1</v>
      </c>
      <c r="M58" s="2" t="s">
        <v>10</v>
      </c>
      <c r="N58" s="2">
        <v>0</v>
      </c>
      <c r="O58" s="2" t="s">
        <v>10</v>
      </c>
      <c r="P58" s="2">
        <v>0</v>
      </c>
      <c r="Q58" s="2" t="s">
        <v>11</v>
      </c>
      <c r="R58" s="2">
        <v>0</v>
      </c>
      <c r="S58" s="2" t="s">
        <v>11</v>
      </c>
      <c r="T58" s="2">
        <v>1</v>
      </c>
      <c r="U58" s="2" t="s">
        <v>9</v>
      </c>
      <c r="V58" s="2">
        <v>2</v>
      </c>
      <c r="W58" s="2" t="s">
        <v>9</v>
      </c>
      <c r="X58" s="2">
        <v>1</v>
      </c>
      <c r="Y58" s="2" t="s">
        <v>12</v>
      </c>
      <c r="Z58" s="2" t="s">
        <v>978</v>
      </c>
      <c r="AA58" s="2" t="s">
        <v>187</v>
      </c>
      <c r="AB58" s="2" t="s">
        <v>101</v>
      </c>
      <c r="AC58" s="2" t="s">
        <v>15</v>
      </c>
      <c r="AD58" s="2" t="s">
        <v>15</v>
      </c>
      <c r="AE58" s="2" t="s">
        <v>15</v>
      </c>
      <c r="AF58" s="2">
        <v>3</v>
      </c>
      <c r="AG58" s="2" t="s">
        <v>730</v>
      </c>
      <c r="AH58" s="2" t="s">
        <v>17</v>
      </c>
      <c r="AI58" s="4">
        <v>0</v>
      </c>
      <c r="AJ58" s="2" t="s">
        <v>17</v>
      </c>
      <c r="AK58" s="2" t="s">
        <v>9</v>
      </c>
      <c r="AL58" s="2" t="s">
        <v>17</v>
      </c>
      <c r="AM58" s="2" t="s">
        <v>17</v>
      </c>
      <c r="AN58" s="2" t="s">
        <v>17</v>
      </c>
      <c r="AO58" s="2" t="s">
        <v>9</v>
      </c>
      <c r="AP58" s="2" t="s">
        <v>17</v>
      </c>
      <c r="AQ58" s="2" t="s">
        <v>17</v>
      </c>
      <c r="AR58" s="2" t="s">
        <v>17</v>
      </c>
      <c r="AS58" s="2" t="s">
        <v>17</v>
      </c>
      <c r="AT58" s="2">
        <v>5</v>
      </c>
      <c r="AU58" s="5">
        <v>75000</v>
      </c>
      <c r="AV58" s="5">
        <v>640000</v>
      </c>
      <c r="AW58" s="2">
        <v>2</v>
      </c>
      <c r="AX58" s="2">
        <v>7</v>
      </c>
      <c r="AY58" s="2">
        <v>0</v>
      </c>
      <c r="AZ58" s="2">
        <v>17</v>
      </c>
      <c r="BA58" s="2">
        <v>0</v>
      </c>
      <c r="BB58" s="2">
        <v>1</v>
      </c>
      <c r="BC58" s="2">
        <v>1</v>
      </c>
      <c r="BD58" s="2">
        <v>3</v>
      </c>
      <c r="BE58" s="2">
        <v>1</v>
      </c>
      <c r="BF58" s="2">
        <v>0</v>
      </c>
      <c r="BG58" s="2">
        <v>0</v>
      </c>
      <c r="BH58" s="2">
        <v>0</v>
      </c>
      <c r="BI58" s="2">
        <v>13</v>
      </c>
      <c r="BJ58" s="2">
        <v>1</v>
      </c>
      <c r="BK58" s="2">
        <v>0</v>
      </c>
      <c r="BL58" s="2">
        <v>2</v>
      </c>
      <c r="BM58" s="2">
        <v>2</v>
      </c>
      <c r="BN58" s="2">
        <v>8</v>
      </c>
      <c r="BO58" s="2">
        <v>10</v>
      </c>
      <c r="BP58" s="2">
        <v>31.8</v>
      </c>
      <c r="BQ58" s="5">
        <v>5000000</v>
      </c>
      <c r="BR58" s="2">
        <v>1</v>
      </c>
      <c r="BS58" s="4">
        <v>0.06</v>
      </c>
      <c r="BT58" s="2" t="s">
        <v>9</v>
      </c>
      <c r="BU58" s="2" t="s">
        <v>17</v>
      </c>
      <c r="BV58" s="6">
        <v>90509.26</v>
      </c>
      <c r="BW58" s="2" t="s">
        <v>18</v>
      </c>
      <c r="BX58" s="2" t="s">
        <v>17</v>
      </c>
      <c r="BY58" s="2" t="s">
        <v>17</v>
      </c>
      <c r="BZ58" s="2" t="s">
        <v>17</v>
      </c>
      <c r="CA58" s="2" t="s">
        <v>17</v>
      </c>
      <c r="CB58" s="2" t="s">
        <v>17</v>
      </c>
      <c r="CC58" s="2" t="s">
        <v>17</v>
      </c>
      <c r="CE58" s="2" t="s">
        <v>4821</v>
      </c>
      <c r="CF58" s="2" t="s">
        <v>17</v>
      </c>
      <c r="CG58" s="2" t="s">
        <v>9</v>
      </c>
      <c r="DA58" s="2" t="s">
        <v>4822</v>
      </c>
      <c r="DD58" s="2" t="s">
        <v>9</v>
      </c>
      <c r="DE58" s="2" t="s">
        <v>4823</v>
      </c>
      <c r="DF58" s="2" t="s">
        <v>4822</v>
      </c>
      <c r="DG58" s="2" t="s">
        <v>4824</v>
      </c>
      <c r="DH58" s="2" t="s">
        <v>4825</v>
      </c>
      <c r="DI58" s="2">
        <v>120</v>
      </c>
      <c r="DJ58" s="2" t="s">
        <v>4826</v>
      </c>
      <c r="DK58" s="2">
        <v>2008</v>
      </c>
      <c r="DL58" s="2" t="s">
        <v>4209</v>
      </c>
      <c r="DM58" s="2" t="s">
        <v>4210</v>
      </c>
      <c r="DN58" s="2" t="s">
        <v>33</v>
      </c>
      <c r="DO58" s="2" t="s">
        <v>4827</v>
      </c>
      <c r="DQ58" s="2" t="s">
        <v>4828</v>
      </c>
      <c r="DR58" s="2" t="s">
        <v>4829</v>
      </c>
      <c r="DS58" s="2">
        <v>1</v>
      </c>
      <c r="DT58" s="2" t="s">
        <v>4830</v>
      </c>
      <c r="DU58" s="2" t="s">
        <v>4831</v>
      </c>
      <c r="DV58" s="2" t="s">
        <v>260</v>
      </c>
      <c r="DW58" s="2">
        <v>78731</v>
      </c>
      <c r="DX58" s="2" t="s">
        <v>4832</v>
      </c>
      <c r="DZ58" s="2" t="s">
        <v>4833</v>
      </c>
      <c r="EA58" s="2" t="s">
        <v>4829</v>
      </c>
      <c r="EB58" s="2" t="s">
        <v>4834</v>
      </c>
      <c r="EC58" s="2" t="s">
        <v>4835</v>
      </c>
      <c r="ED58" s="2" t="s">
        <v>44</v>
      </c>
      <c r="EE58" s="2">
        <v>239</v>
      </c>
      <c r="EF58" s="2" t="s">
        <v>4836</v>
      </c>
      <c r="EG58" s="2" t="s">
        <v>4837</v>
      </c>
      <c r="EH58" s="2" t="s">
        <v>4838</v>
      </c>
      <c r="EI58" s="2" t="s">
        <v>47</v>
      </c>
      <c r="EJ58" s="2" t="s">
        <v>4839</v>
      </c>
      <c r="EK58" s="2" t="s">
        <v>4840</v>
      </c>
      <c r="EL58" s="2" t="s">
        <v>44</v>
      </c>
      <c r="EO58" s="2" t="s">
        <v>4841</v>
      </c>
      <c r="EP58" s="2" t="s">
        <v>4838</v>
      </c>
      <c r="EQ58" s="2" t="s">
        <v>4842</v>
      </c>
      <c r="ER58" s="2" t="s">
        <v>4843</v>
      </c>
      <c r="ET58" s="2" t="s">
        <v>4844</v>
      </c>
      <c r="EU58" s="2" t="s">
        <v>4845</v>
      </c>
      <c r="EV58" s="2" t="s">
        <v>4846</v>
      </c>
      <c r="EW58" s="2" t="s">
        <v>4847</v>
      </c>
      <c r="EX58" s="2" t="s">
        <v>4848</v>
      </c>
      <c r="EY58" s="2">
        <v>48214</v>
      </c>
      <c r="EZ58" s="2" t="s">
        <v>4849</v>
      </c>
      <c r="FB58" s="2" t="s">
        <v>4850</v>
      </c>
      <c r="FC58" s="2" t="s">
        <v>4843</v>
      </c>
      <c r="FD58" s="2" t="s">
        <v>151</v>
      </c>
      <c r="FE58" s="2" t="s">
        <v>4844</v>
      </c>
      <c r="FF58" s="2" t="s">
        <v>4845</v>
      </c>
      <c r="FG58" s="2" t="s">
        <v>4846</v>
      </c>
      <c r="FH58" s="2" t="s">
        <v>4847</v>
      </c>
      <c r="FI58" s="2" t="s">
        <v>4848</v>
      </c>
      <c r="FJ58" s="2">
        <v>48214</v>
      </c>
      <c r="FK58" s="2" t="s">
        <v>4849</v>
      </c>
      <c r="FM58" s="2" t="s">
        <v>4850</v>
      </c>
      <c r="FN58" s="2" t="s">
        <v>4851</v>
      </c>
      <c r="FO58" s="2" t="s">
        <v>63</v>
      </c>
      <c r="FP58" s="2" t="s">
        <v>64</v>
      </c>
      <c r="FQ58" s="2" t="s">
        <v>9</v>
      </c>
      <c r="FR58" s="2" t="s">
        <v>17</v>
      </c>
      <c r="FS58" s="2" t="s">
        <v>17</v>
      </c>
      <c r="FT58" s="2" t="s">
        <v>9</v>
      </c>
      <c r="FX58" s="2">
        <v>0</v>
      </c>
      <c r="FY58" s="2">
        <v>0</v>
      </c>
      <c r="FZ58" s="4">
        <v>0</v>
      </c>
      <c r="GA58" s="4">
        <v>0</v>
      </c>
      <c r="GB58" s="2" t="s">
        <v>65</v>
      </c>
      <c r="GC58" s="2" t="s">
        <v>66</v>
      </c>
      <c r="GD58" s="2" t="s">
        <v>67</v>
      </c>
      <c r="GE58" s="2" t="s">
        <v>108</v>
      </c>
      <c r="GJ58" s="2">
        <v>54</v>
      </c>
      <c r="GQ58" s="2">
        <v>54</v>
      </c>
      <c r="GR58" s="2" t="s">
        <v>2685</v>
      </c>
      <c r="GS58" s="2" t="s">
        <v>2686</v>
      </c>
      <c r="GT58" s="2" t="s">
        <v>4852</v>
      </c>
      <c r="GU58" s="2" t="s">
        <v>4853</v>
      </c>
      <c r="GV58" s="2" t="s">
        <v>17</v>
      </c>
      <c r="GW58" s="2">
        <v>26.619240000000001</v>
      </c>
      <c r="GX58" s="2">
        <v>-80.083641</v>
      </c>
      <c r="GZ58" s="2" t="s">
        <v>17</v>
      </c>
      <c r="HA58" s="2">
        <v>0</v>
      </c>
      <c r="HC58" s="2">
        <v>0</v>
      </c>
      <c r="HD58" s="2">
        <v>26.617401999999998</v>
      </c>
      <c r="HE58" s="2">
        <v>-80.084357999999995</v>
      </c>
      <c r="HF58" s="2">
        <v>0.13</v>
      </c>
      <c r="HG58" s="2">
        <v>6</v>
      </c>
      <c r="HH58" s="2">
        <v>26.617159000000001</v>
      </c>
      <c r="HI58" s="2">
        <v>-80.084213000000005</v>
      </c>
      <c r="HJ58" s="2">
        <v>0.16</v>
      </c>
      <c r="HK58" s="2">
        <v>26.619952300000001</v>
      </c>
      <c r="HL58" s="2">
        <v>-80.081924299999997</v>
      </c>
      <c r="HM58" s="2">
        <v>0.2</v>
      </c>
      <c r="IC58" s="2" t="s">
        <v>4854</v>
      </c>
      <c r="ID58" s="2">
        <v>0.35</v>
      </c>
      <c r="IE58" s="2">
        <v>3.5</v>
      </c>
      <c r="IF58" s="2" t="s">
        <v>4855</v>
      </c>
      <c r="IG58" s="2">
        <v>0.52</v>
      </c>
      <c r="IH58" s="2">
        <v>3</v>
      </c>
      <c r="II58" s="2" t="s">
        <v>4856</v>
      </c>
      <c r="IJ58" s="2">
        <v>0.44</v>
      </c>
      <c r="IK58" s="2">
        <v>4</v>
      </c>
      <c r="IL58" s="2" t="s">
        <v>9</v>
      </c>
      <c r="IM58" s="2" t="s">
        <v>17</v>
      </c>
      <c r="IO58" s="2" t="s">
        <v>17</v>
      </c>
      <c r="IP58" s="2" t="s">
        <v>79</v>
      </c>
      <c r="IQ58" s="2" t="s">
        <v>79</v>
      </c>
      <c r="IR58" s="2">
        <v>6</v>
      </c>
      <c r="IS58" s="2">
        <v>10.5</v>
      </c>
      <c r="IT58" s="2">
        <v>0</v>
      </c>
      <c r="IU58" s="2">
        <v>16.5</v>
      </c>
      <c r="IV58" s="2" t="s">
        <v>9</v>
      </c>
      <c r="IW58" s="2" t="s">
        <v>9</v>
      </c>
      <c r="IX58" s="2" t="s">
        <v>9</v>
      </c>
      <c r="IY58" s="2">
        <v>16.5</v>
      </c>
      <c r="IZ58" s="2">
        <v>54</v>
      </c>
      <c r="JA58" s="2" t="s">
        <v>3455</v>
      </c>
      <c r="JB58" s="2" t="s">
        <v>173</v>
      </c>
      <c r="JF58" s="7">
        <v>0.2</v>
      </c>
      <c r="JG58" s="7">
        <v>0.8</v>
      </c>
      <c r="JH58" s="7">
        <v>0</v>
      </c>
      <c r="JI58" s="2">
        <v>54</v>
      </c>
      <c r="JJ58" s="7">
        <v>1</v>
      </c>
      <c r="JK58" s="2">
        <v>54</v>
      </c>
      <c r="JL58" s="7">
        <v>1</v>
      </c>
      <c r="JT58" s="2">
        <v>0</v>
      </c>
      <c r="JU58" s="2">
        <v>0</v>
      </c>
      <c r="JV58" s="2">
        <v>0</v>
      </c>
      <c r="JW58" s="4">
        <v>0</v>
      </c>
      <c r="JX58" s="2">
        <v>0</v>
      </c>
      <c r="JY58" s="4">
        <v>0</v>
      </c>
      <c r="KC58" s="7">
        <v>0.2</v>
      </c>
      <c r="KD58" s="7">
        <v>0.8</v>
      </c>
      <c r="KE58" s="7">
        <v>1</v>
      </c>
      <c r="KF58" s="2">
        <v>54</v>
      </c>
      <c r="KK58" s="2">
        <v>25</v>
      </c>
      <c r="KL58" s="2">
        <v>29</v>
      </c>
      <c r="KQ58" s="2" t="s">
        <v>83</v>
      </c>
      <c r="KR58" s="2" t="s">
        <v>73</v>
      </c>
      <c r="KT58" s="2">
        <v>2</v>
      </c>
      <c r="KU58" s="2" t="s">
        <v>84</v>
      </c>
      <c r="KW58" s="2" t="s">
        <v>86</v>
      </c>
      <c r="KX58" s="2" t="s">
        <v>17</v>
      </c>
      <c r="KY58" s="2" t="s">
        <v>17</v>
      </c>
      <c r="KZ58" s="2" t="s">
        <v>17</v>
      </c>
      <c r="LA58" s="2" t="s">
        <v>17</v>
      </c>
      <c r="LB58" s="2" t="s">
        <v>17</v>
      </c>
      <c r="LC58" s="2" t="s">
        <v>17</v>
      </c>
      <c r="LD58" s="2" t="s">
        <v>17</v>
      </c>
      <c r="LE58" s="2" t="s">
        <v>17</v>
      </c>
      <c r="LF58" s="2" t="s">
        <v>17</v>
      </c>
      <c r="LG58" s="2" t="s">
        <v>17</v>
      </c>
      <c r="LH58" s="2" t="s">
        <v>17</v>
      </c>
      <c r="LI58" s="2" t="s">
        <v>17</v>
      </c>
      <c r="LJ58" s="2" t="s">
        <v>87</v>
      </c>
      <c r="LK58" s="2" t="s">
        <v>17</v>
      </c>
      <c r="LL58" s="2" t="s">
        <v>17</v>
      </c>
      <c r="LM58" s="2">
        <v>0</v>
      </c>
      <c r="LN58" s="2" t="s">
        <v>17</v>
      </c>
      <c r="LO58" s="2" t="s">
        <v>9</v>
      </c>
      <c r="LP58" s="2" t="s">
        <v>9</v>
      </c>
      <c r="LQ58" s="2" t="s">
        <v>9</v>
      </c>
      <c r="LR58" s="2" t="s">
        <v>9</v>
      </c>
      <c r="LS58" s="2" t="s">
        <v>17</v>
      </c>
      <c r="LT58" s="2" t="s">
        <v>17</v>
      </c>
      <c r="LU58" s="2" t="s">
        <v>17</v>
      </c>
      <c r="LV58" s="2" t="s">
        <v>17</v>
      </c>
      <c r="LW58" s="2" t="s">
        <v>17</v>
      </c>
      <c r="LX58" s="2" t="s">
        <v>17</v>
      </c>
      <c r="LY58" s="5">
        <v>4320000</v>
      </c>
      <c r="LZ58" s="5">
        <v>0</v>
      </c>
      <c r="MA58" s="5">
        <v>5130000</v>
      </c>
      <c r="MB58" s="5">
        <v>5000000</v>
      </c>
      <c r="MC58" s="5">
        <v>5000000</v>
      </c>
      <c r="MD58" s="5">
        <v>705600</v>
      </c>
      <c r="MF58" s="5">
        <v>0</v>
      </c>
      <c r="MG58" s="5">
        <v>5670000</v>
      </c>
      <c r="MH58" s="5">
        <v>0</v>
      </c>
      <c r="MI58" s="5">
        <v>5670000</v>
      </c>
      <c r="MJ58" s="5">
        <v>0</v>
      </c>
      <c r="MK58" s="5">
        <v>705600</v>
      </c>
      <c r="ML58" s="5">
        <v>0</v>
      </c>
      <c r="MM58" s="5">
        <v>0</v>
      </c>
      <c r="MN58" s="2">
        <v>0</v>
      </c>
      <c r="MO58" s="5">
        <v>0</v>
      </c>
      <c r="MP58" s="5">
        <v>0</v>
      </c>
      <c r="MQ58" s="2">
        <v>0</v>
      </c>
      <c r="MR58" s="2">
        <v>0</v>
      </c>
      <c r="MS58" s="2">
        <v>0</v>
      </c>
      <c r="MT58" s="5">
        <v>0</v>
      </c>
      <c r="MU58" s="5">
        <v>0</v>
      </c>
      <c r="MV58" s="5">
        <v>4600000</v>
      </c>
      <c r="MW58" s="5">
        <v>0</v>
      </c>
      <c r="MY58" s="5">
        <v>0</v>
      </c>
      <c r="MZ58" s="5">
        <v>0</v>
      </c>
      <c r="NA58" s="5">
        <v>0</v>
      </c>
      <c r="NB58" s="5">
        <v>0</v>
      </c>
      <c r="NC58" s="5">
        <v>0</v>
      </c>
      <c r="ND58" s="5">
        <v>5000000</v>
      </c>
      <c r="NE58" s="5">
        <v>0</v>
      </c>
      <c r="NF58" s="5">
        <v>0</v>
      </c>
      <c r="NG58" s="5">
        <v>0</v>
      </c>
      <c r="NH58" s="5"/>
      <c r="NI58" s="5">
        <v>0</v>
      </c>
      <c r="NJ58" s="5">
        <v>1160705</v>
      </c>
      <c r="NK58" s="2" t="s">
        <v>17</v>
      </c>
      <c r="NL58" s="2">
        <v>2023</v>
      </c>
      <c r="NM58" s="2" t="s">
        <v>17</v>
      </c>
      <c r="NO58" s="2" t="s">
        <v>17</v>
      </c>
      <c r="NR58" s="2" t="s">
        <v>17</v>
      </c>
      <c r="NT58" s="2" t="s">
        <v>9</v>
      </c>
      <c r="NU58" s="2" t="s">
        <v>450</v>
      </c>
      <c r="NV58" s="2">
        <v>45</v>
      </c>
      <c r="NW58" s="2" t="s">
        <v>2995</v>
      </c>
      <c r="NX58" s="2" t="s">
        <v>118</v>
      </c>
      <c r="NY58" s="2" t="s">
        <v>118</v>
      </c>
      <c r="NZ58" s="2" t="s">
        <v>118</v>
      </c>
      <c r="OA58" s="2" t="s">
        <v>17</v>
      </c>
      <c r="OB58" s="2" t="s">
        <v>119</v>
      </c>
      <c r="OD58" s="2" t="s">
        <v>4857</v>
      </c>
      <c r="OE58" s="6">
        <v>500000</v>
      </c>
      <c r="OF58" s="2" t="s">
        <v>17</v>
      </c>
      <c r="OG58" s="2" t="s">
        <v>17</v>
      </c>
      <c r="OH58" s="2" t="s">
        <v>85</v>
      </c>
      <c r="OI58" s="6">
        <v>0</v>
      </c>
      <c r="OJ58" s="6">
        <v>150000</v>
      </c>
      <c r="OK58" s="2" t="s">
        <v>17</v>
      </c>
      <c r="OL58" s="2" t="s">
        <v>17</v>
      </c>
      <c r="OM58" s="6">
        <v>0</v>
      </c>
      <c r="ON58" s="6">
        <v>0</v>
      </c>
      <c r="OO58" s="6">
        <v>0</v>
      </c>
      <c r="OP58" s="6">
        <v>0</v>
      </c>
      <c r="OQ58" s="4">
        <v>0</v>
      </c>
      <c r="OR58" s="6">
        <v>0</v>
      </c>
      <c r="OS58" s="4">
        <v>0</v>
      </c>
      <c r="OT58" s="2" t="s">
        <v>17</v>
      </c>
      <c r="OU58" s="2" t="s">
        <v>17</v>
      </c>
      <c r="OW58" s="2" t="s">
        <v>17</v>
      </c>
      <c r="OX58" s="5">
        <v>4887500</v>
      </c>
      <c r="OY58" s="6">
        <v>90509.26</v>
      </c>
      <c r="PD58" s="8">
        <v>11338569</v>
      </c>
      <c r="PF58" s="8">
        <v>11338569</v>
      </c>
      <c r="PG58" s="8">
        <v>1683713</v>
      </c>
      <c r="PI58" s="8">
        <v>1683713</v>
      </c>
      <c r="PL58" s="8">
        <v>270000</v>
      </c>
      <c r="PN58" s="8">
        <v>270000</v>
      </c>
      <c r="PO58" s="8">
        <v>13292282</v>
      </c>
      <c r="PQ58" s="8">
        <v>13292282</v>
      </c>
      <c r="PR58" s="8">
        <v>1823119</v>
      </c>
      <c r="PT58" s="8">
        <v>1823119</v>
      </c>
      <c r="PU58" s="6">
        <v>1860919</v>
      </c>
      <c r="PV58" s="8">
        <v>15115401</v>
      </c>
      <c r="PX58" s="8">
        <v>15115401</v>
      </c>
      <c r="PY58" s="8">
        <v>739200</v>
      </c>
      <c r="QA58" s="8">
        <v>739200</v>
      </c>
      <c r="QB58" s="6">
        <v>755770.05</v>
      </c>
      <c r="QC58" s="8">
        <v>845000</v>
      </c>
      <c r="QE58" s="8">
        <v>845000</v>
      </c>
      <c r="QF58" s="8">
        <v>88221</v>
      </c>
      <c r="QH58" s="8">
        <v>88221</v>
      </c>
      <c r="QI58" s="8">
        <v>320000</v>
      </c>
      <c r="QK58" s="8">
        <v>320000</v>
      </c>
      <c r="QU58" s="8">
        <v>1253221</v>
      </c>
      <c r="QW58" s="8">
        <v>1253221</v>
      </c>
      <c r="RA58" s="6">
        <v>62661.05</v>
      </c>
      <c r="RB58" s="8">
        <v>1780600</v>
      </c>
      <c r="RD58" s="8">
        <v>1780600</v>
      </c>
      <c r="RE58" s="8">
        <v>182840</v>
      </c>
      <c r="RF58" s="8">
        <v>182840</v>
      </c>
      <c r="RJ58" s="8">
        <v>1780600</v>
      </c>
      <c r="RK58" s="8">
        <v>182840</v>
      </c>
      <c r="RL58" s="8">
        <v>1963440</v>
      </c>
      <c r="RT58" s="8">
        <v>18888422</v>
      </c>
      <c r="RU58" s="8">
        <v>182840</v>
      </c>
      <c r="RV58" s="8">
        <v>19071262</v>
      </c>
      <c r="RY58" s="2">
        <v>0</v>
      </c>
      <c r="RZ58" s="6">
        <v>0</v>
      </c>
      <c r="SC58" s="8">
        <v>3432827</v>
      </c>
      <c r="SD58" s="6">
        <v>3432827</v>
      </c>
      <c r="SF58" s="8">
        <v>3432827</v>
      </c>
      <c r="SG58" s="6">
        <v>3432827</v>
      </c>
      <c r="SH58" s="8">
        <v>189000</v>
      </c>
      <c r="SI58" s="8">
        <v>189000</v>
      </c>
      <c r="SJ58" s="6">
        <v>189000</v>
      </c>
      <c r="SK58" s="8">
        <v>1164567</v>
      </c>
      <c r="SL58" s="8">
        <v>1164567</v>
      </c>
      <c r="SM58" s="8">
        <v>18888422</v>
      </c>
      <c r="SN58" s="8">
        <v>1536407</v>
      </c>
      <c r="SO58" s="8">
        <v>23857656</v>
      </c>
      <c r="SP58" s="8">
        <v>13000000</v>
      </c>
      <c r="SQ58" s="2" t="s">
        <v>4220</v>
      </c>
      <c r="SR58" s="8">
        <v>2000000</v>
      </c>
      <c r="SS58" s="2" t="s">
        <v>453</v>
      </c>
      <c r="ST58" s="8">
        <v>153331</v>
      </c>
      <c r="SU58" s="2" t="s">
        <v>453</v>
      </c>
      <c r="SV58" s="8">
        <v>100000</v>
      </c>
      <c r="SW58" s="2" t="s">
        <v>453</v>
      </c>
      <c r="SX58" s="8">
        <v>5000000</v>
      </c>
      <c r="SY58" s="2" t="s">
        <v>96</v>
      </c>
      <c r="SZ58" s="2" t="s">
        <v>96</v>
      </c>
      <c r="TA58" s="2" t="s">
        <v>96</v>
      </c>
      <c r="TB58" s="8">
        <v>1454796</v>
      </c>
      <c r="TF58" s="8">
        <v>2149529</v>
      </c>
      <c r="TG58" s="8">
        <v>23857656</v>
      </c>
      <c r="TH58" s="2">
        <v>0</v>
      </c>
      <c r="TI58" s="8">
        <v>5000000</v>
      </c>
      <c r="TJ58" s="2" t="s">
        <v>95</v>
      </c>
      <c r="TR58" s="8">
        <v>5000000</v>
      </c>
      <c r="TS58" s="8">
        <v>9698641</v>
      </c>
      <c r="TT58" s="2" t="s">
        <v>4858</v>
      </c>
      <c r="TU58" s="8">
        <v>2000000</v>
      </c>
      <c r="TV58" s="2" t="s">
        <v>453</v>
      </c>
      <c r="TW58" s="2" t="s">
        <v>4859</v>
      </c>
      <c r="TX58" s="8">
        <v>153331</v>
      </c>
      <c r="TY58" s="2" t="s">
        <v>453</v>
      </c>
      <c r="TZ58" s="8">
        <v>2005684</v>
      </c>
      <c r="UA58" s="8">
        <v>23857656</v>
      </c>
      <c r="UB58" s="6">
        <v>12153331</v>
      </c>
      <c r="UC58" s="2">
        <v>0</v>
      </c>
      <c r="UD58" s="2">
        <v>54</v>
      </c>
      <c r="UE58" s="5">
        <v>260000</v>
      </c>
      <c r="UF58" s="6">
        <v>346666.67</v>
      </c>
      <c r="UG58" s="6">
        <v>354166.67</v>
      </c>
      <c r="UH58" s="6">
        <v>375416.67</v>
      </c>
      <c r="UI58" s="6">
        <v>20272500</v>
      </c>
      <c r="UJ58" s="6">
        <v>3649050</v>
      </c>
      <c r="UK58" s="2" t="s">
        <v>97</v>
      </c>
      <c r="UL58" s="6">
        <v>3649050</v>
      </c>
      <c r="UM58" s="6">
        <v>23921550</v>
      </c>
      <c r="UN58" s="6">
        <v>22504089</v>
      </c>
      <c r="UQ58" s="6">
        <v>0</v>
      </c>
      <c r="UR58" s="6">
        <v>2000000</v>
      </c>
      <c r="US58" s="6">
        <v>2000000</v>
      </c>
      <c r="UU58" s="6">
        <v>153331</v>
      </c>
      <c r="UV58" s="6">
        <v>153331</v>
      </c>
      <c r="UW58" s="6">
        <v>2153331</v>
      </c>
      <c r="UX58" s="6">
        <v>0</v>
      </c>
      <c r="UY58" s="6">
        <v>2153331</v>
      </c>
      <c r="UZ58" s="2" t="s">
        <v>3172</v>
      </c>
      <c r="VA58" s="2" t="s">
        <v>5352</v>
      </c>
      <c r="VB58" s="2" t="s">
        <v>17</v>
      </c>
      <c r="VI58" s="388" t="s">
        <v>4823</v>
      </c>
      <c r="VJ58" s="2" t="s">
        <v>98</v>
      </c>
      <c r="VK58" s="2" t="s">
        <v>4860</v>
      </c>
      <c r="VL58" s="23">
        <f t="shared" si="22"/>
        <v>137</v>
      </c>
      <c r="VM58" s="17">
        <f t="shared" si="23"/>
        <v>2.5370370370370372</v>
      </c>
      <c r="VN58" s="17" t="str">
        <f t="shared" si="24"/>
        <v>NC-MR-F</v>
      </c>
      <c r="VO58" s="17" t="str">
        <f t="shared" si="15"/>
        <v>NC-MR-F-Non</v>
      </c>
      <c r="VP58" s="57">
        <v>1</v>
      </c>
      <c r="VQ58" s="17">
        <f t="shared" si="25"/>
        <v>1.1100000000000001</v>
      </c>
      <c r="VR58" s="14">
        <f t="shared" si="26"/>
        <v>1</v>
      </c>
      <c r="VS58" s="14">
        <f t="shared" si="27"/>
        <v>1</v>
      </c>
      <c r="VT58" s="12">
        <f t="shared" si="28"/>
        <v>0.88</v>
      </c>
      <c r="VU58" s="29">
        <f t="shared" si="29"/>
        <v>4884000.0000000009</v>
      </c>
      <c r="VV58" s="29">
        <f t="shared" si="30"/>
        <v>90444.44</v>
      </c>
      <c r="VW58" s="351" t="str">
        <f t="shared" si="16"/>
        <v>B</v>
      </c>
      <c r="VX58" s="12" t="str">
        <f t="shared" si="31"/>
        <v>NC-MR-Non</v>
      </c>
      <c r="VY58" s="23">
        <f t="shared" si="17"/>
        <v>5</v>
      </c>
      <c r="WA58" s="12">
        <f t="shared" si="18"/>
        <v>0</v>
      </c>
      <c r="WB58" s="12">
        <f t="shared" si="19"/>
        <v>1</v>
      </c>
      <c r="WC58" s="12">
        <f t="shared" si="19"/>
        <v>0</v>
      </c>
      <c r="WD58" s="12">
        <f t="shared" si="19"/>
        <v>0</v>
      </c>
      <c r="WE58" s="12">
        <f t="shared" si="20"/>
        <v>0</v>
      </c>
      <c r="WF58" s="12">
        <f t="shared" si="32"/>
        <v>0</v>
      </c>
      <c r="WG58" s="12">
        <f t="shared" si="33"/>
        <v>1</v>
      </c>
      <c r="WH58" s="12">
        <f t="shared" si="34"/>
        <v>0</v>
      </c>
      <c r="WI58" s="22">
        <f t="shared" si="35"/>
        <v>2</v>
      </c>
      <c r="WK58" s="444" t="str">
        <f t="shared" si="21"/>
        <v>NC-MR-Non-BBY-BRN-NPH-F</v>
      </c>
      <c r="WL58" s="444"/>
      <c r="WM58" s="444"/>
    </row>
    <row r="59" spans="1:611" x14ac:dyDescent="0.25">
      <c r="A59" s="2">
        <v>9243</v>
      </c>
      <c r="B59" s="2" t="s">
        <v>4861</v>
      </c>
      <c r="C59" s="2" t="s">
        <v>4205</v>
      </c>
      <c r="D59" s="3">
        <v>45128</v>
      </c>
      <c r="E59" s="2" t="s">
        <v>9</v>
      </c>
      <c r="F59" s="2">
        <v>1</v>
      </c>
      <c r="G59" s="2" t="s">
        <v>9</v>
      </c>
      <c r="H59" s="2">
        <v>1</v>
      </c>
      <c r="I59" s="2" t="s">
        <v>11</v>
      </c>
      <c r="J59" s="2">
        <v>0</v>
      </c>
      <c r="K59" s="2" t="s">
        <v>9</v>
      </c>
      <c r="L59" s="2">
        <v>1</v>
      </c>
      <c r="M59" s="2" t="s">
        <v>10</v>
      </c>
      <c r="N59" s="2">
        <v>0</v>
      </c>
      <c r="O59" s="2" t="s">
        <v>10</v>
      </c>
      <c r="P59" s="2">
        <v>0</v>
      </c>
      <c r="Q59" s="2" t="s">
        <v>11</v>
      </c>
      <c r="R59" s="2">
        <v>0</v>
      </c>
      <c r="S59" s="2" t="s">
        <v>9</v>
      </c>
      <c r="T59" s="2">
        <v>2</v>
      </c>
      <c r="U59" s="2" t="s">
        <v>9</v>
      </c>
      <c r="V59" s="2">
        <v>2</v>
      </c>
      <c r="W59" s="2" t="s">
        <v>9</v>
      </c>
      <c r="X59" s="2">
        <v>2</v>
      </c>
      <c r="Y59" s="2" t="s">
        <v>12</v>
      </c>
      <c r="Z59" s="2" t="s">
        <v>1666</v>
      </c>
      <c r="AA59" s="2" t="s">
        <v>1667</v>
      </c>
      <c r="AB59" s="2" t="s">
        <v>15</v>
      </c>
      <c r="AC59" s="2" t="s">
        <v>15</v>
      </c>
      <c r="AD59" s="2" t="s">
        <v>15</v>
      </c>
      <c r="AE59" s="2" t="s">
        <v>15</v>
      </c>
      <c r="AF59" s="2">
        <v>2</v>
      </c>
      <c r="AG59" s="2" t="s">
        <v>4862</v>
      </c>
      <c r="AH59" s="2" t="s">
        <v>17</v>
      </c>
      <c r="AI59" s="4">
        <v>0.1</v>
      </c>
      <c r="AJ59" s="2" t="s">
        <v>17</v>
      </c>
      <c r="AK59" s="2" t="s">
        <v>9</v>
      </c>
      <c r="AL59" s="2" t="s">
        <v>9</v>
      </c>
      <c r="AM59" s="2" t="s">
        <v>17</v>
      </c>
      <c r="AN59" s="2" t="s">
        <v>17</v>
      </c>
      <c r="AO59" s="2" t="s">
        <v>9</v>
      </c>
      <c r="AP59" s="2" t="s">
        <v>17</v>
      </c>
      <c r="AQ59" s="2" t="s">
        <v>17</v>
      </c>
      <c r="AR59" s="2" t="s">
        <v>17</v>
      </c>
      <c r="AS59" s="2" t="s">
        <v>17</v>
      </c>
      <c r="AT59" s="2">
        <v>5</v>
      </c>
      <c r="AU59" s="5">
        <v>20000</v>
      </c>
      <c r="AV59" s="5">
        <v>340000</v>
      </c>
      <c r="AW59" s="2">
        <v>0</v>
      </c>
      <c r="AX59" s="2">
        <v>4</v>
      </c>
      <c r="AY59" s="2">
        <v>0</v>
      </c>
      <c r="AZ59" s="2">
        <v>17</v>
      </c>
      <c r="BA59" s="2">
        <v>0</v>
      </c>
      <c r="BB59" s="2">
        <v>1</v>
      </c>
      <c r="BC59" s="2">
        <v>0</v>
      </c>
      <c r="BD59" s="2">
        <v>0</v>
      </c>
      <c r="BE59" s="2">
        <v>0</v>
      </c>
      <c r="BF59" s="2">
        <v>1</v>
      </c>
      <c r="BG59" s="2">
        <v>0</v>
      </c>
      <c r="BH59" s="2">
        <v>0</v>
      </c>
      <c r="BI59" s="2">
        <v>13</v>
      </c>
      <c r="BJ59" s="2">
        <v>1</v>
      </c>
      <c r="BK59" s="2">
        <v>0</v>
      </c>
      <c r="BL59" s="2">
        <v>2</v>
      </c>
      <c r="BM59" s="2">
        <v>1</v>
      </c>
      <c r="BN59" s="2">
        <v>8</v>
      </c>
      <c r="BO59" s="2">
        <v>10</v>
      </c>
      <c r="BP59" s="2">
        <v>30.99</v>
      </c>
      <c r="BQ59" s="5">
        <v>8296000</v>
      </c>
      <c r="BR59" s="2">
        <v>1</v>
      </c>
      <c r="BS59" s="4">
        <v>0.06</v>
      </c>
      <c r="BT59" s="2" t="s">
        <v>9</v>
      </c>
      <c r="BU59" s="2" t="s">
        <v>17</v>
      </c>
      <c r="BV59" s="6">
        <v>93474.3</v>
      </c>
      <c r="BW59" s="2" t="s">
        <v>126</v>
      </c>
      <c r="BX59" s="2" t="s">
        <v>17</v>
      </c>
      <c r="BY59" s="2" t="s">
        <v>17</v>
      </c>
      <c r="BZ59" s="2" t="s">
        <v>17</v>
      </c>
      <c r="CA59" s="2" t="s">
        <v>17</v>
      </c>
      <c r="CB59" s="2" t="s">
        <v>17</v>
      </c>
      <c r="CC59" s="2" t="s">
        <v>17</v>
      </c>
      <c r="CD59" s="2" t="s">
        <v>9</v>
      </c>
      <c r="CE59" s="2" t="s">
        <v>4863</v>
      </c>
      <c r="CF59" s="2" t="s">
        <v>17</v>
      </c>
      <c r="CG59" s="2" t="s">
        <v>9</v>
      </c>
      <c r="DA59" s="2" t="s">
        <v>1623</v>
      </c>
      <c r="DB59" s="2" t="s">
        <v>1624</v>
      </c>
      <c r="DC59" s="2" t="s">
        <v>1625</v>
      </c>
      <c r="DD59" s="2" t="s">
        <v>9</v>
      </c>
      <c r="DE59" s="2" t="s">
        <v>1626</v>
      </c>
      <c r="DF59" s="2" t="s">
        <v>4864</v>
      </c>
      <c r="DG59" s="2" t="s">
        <v>1627</v>
      </c>
      <c r="DH59" s="2" t="s">
        <v>330</v>
      </c>
      <c r="DI59" s="2">
        <v>160</v>
      </c>
      <c r="DJ59" s="2" t="s">
        <v>375</v>
      </c>
      <c r="DK59" s="2">
        <v>2019</v>
      </c>
      <c r="DL59" s="2" t="s">
        <v>4209</v>
      </c>
      <c r="DM59" s="2" t="s">
        <v>4210</v>
      </c>
      <c r="DN59" s="2" t="s">
        <v>33</v>
      </c>
      <c r="DO59" s="2" t="s">
        <v>4865</v>
      </c>
      <c r="DQ59" s="2" t="s">
        <v>1631</v>
      </c>
      <c r="DR59" s="2" t="s">
        <v>1632</v>
      </c>
      <c r="DS59" s="2">
        <v>1</v>
      </c>
      <c r="DT59" s="2" t="s">
        <v>1633</v>
      </c>
      <c r="DU59" s="2" t="s">
        <v>299</v>
      </c>
      <c r="DV59" s="2" t="s">
        <v>39</v>
      </c>
      <c r="DW59" s="2">
        <v>33127</v>
      </c>
      <c r="DX59" s="2" t="s">
        <v>1634</v>
      </c>
      <c r="DY59" s="2">
        <v>102</v>
      </c>
      <c r="DZ59" s="2" t="s">
        <v>1635</v>
      </c>
      <c r="EA59" s="2" t="s">
        <v>1626</v>
      </c>
      <c r="EB59" s="2" t="s">
        <v>1628</v>
      </c>
      <c r="EC59" s="2" t="s">
        <v>4866</v>
      </c>
      <c r="ED59" s="2" t="s">
        <v>44</v>
      </c>
      <c r="EE59" s="2">
        <v>228</v>
      </c>
      <c r="EF59" s="2" t="s">
        <v>390</v>
      </c>
      <c r="EG59" s="2">
        <v>27</v>
      </c>
      <c r="EH59" s="2" t="s">
        <v>46</v>
      </c>
      <c r="EI59" s="2" t="s">
        <v>47</v>
      </c>
      <c r="EJ59" s="2" t="s">
        <v>1627</v>
      </c>
      <c r="EK59" s="2" t="s">
        <v>330</v>
      </c>
      <c r="EL59" s="2" t="s">
        <v>44</v>
      </c>
      <c r="EM59" s="2">
        <v>160</v>
      </c>
      <c r="EN59" s="2" t="s">
        <v>390</v>
      </c>
      <c r="EO59" s="2">
        <v>5</v>
      </c>
      <c r="EP59" s="2" t="s">
        <v>46</v>
      </c>
      <c r="EQ59" s="2" t="s">
        <v>47</v>
      </c>
      <c r="ER59" s="2" t="s">
        <v>1630</v>
      </c>
      <c r="ET59" s="2" t="s">
        <v>1631</v>
      </c>
      <c r="EU59" s="2" t="s">
        <v>3876</v>
      </c>
      <c r="EV59" s="2" t="s">
        <v>1633</v>
      </c>
      <c r="EW59" s="2" t="s">
        <v>299</v>
      </c>
      <c r="EX59" s="2" t="s">
        <v>39</v>
      </c>
      <c r="EY59" s="2">
        <v>33127</v>
      </c>
      <c r="EZ59" s="2" t="s">
        <v>3877</v>
      </c>
      <c r="FA59" s="2">
        <v>102</v>
      </c>
      <c r="FB59" s="2" t="s">
        <v>1635</v>
      </c>
      <c r="FC59" s="2" t="s">
        <v>4736</v>
      </c>
      <c r="FE59" s="2" t="s">
        <v>267</v>
      </c>
      <c r="FF59" s="2" t="s">
        <v>3876</v>
      </c>
      <c r="FG59" s="2" t="s">
        <v>1633</v>
      </c>
      <c r="FH59" s="2" t="s">
        <v>299</v>
      </c>
      <c r="FI59" s="2" t="s">
        <v>39</v>
      </c>
      <c r="FJ59" s="2">
        <v>33127</v>
      </c>
      <c r="FK59" s="2" t="s">
        <v>3877</v>
      </c>
      <c r="FM59" s="2" t="s">
        <v>1637</v>
      </c>
      <c r="FN59" s="2" t="s">
        <v>1670</v>
      </c>
      <c r="FO59" s="2" t="s">
        <v>63</v>
      </c>
      <c r="FP59" s="2" t="s">
        <v>64</v>
      </c>
      <c r="FQ59" s="2" t="s">
        <v>9</v>
      </c>
      <c r="FR59" s="2" t="s">
        <v>17</v>
      </c>
      <c r="FS59" s="2" t="s">
        <v>17</v>
      </c>
      <c r="FT59" s="2" t="s">
        <v>9</v>
      </c>
      <c r="FX59" s="2">
        <v>0</v>
      </c>
      <c r="FY59" s="2">
        <v>0</v>
      </c>
      <c r="FZ59" s="4">
        <v>0</v>
      </c>
      <c r="GA59" s="4">
        <v>0</v>
      </c>
      <c r="GB59" s="2" t="s">
        <v>65</v>
      </c>
      <c r="GC59" s="2" t="s">
        <v>66</v>
      </c>
      <c r="GD59" s="2" t="s">
        <v>67</v>
      </c>
      <c r="GE59" s="2" t="s">
        <v>68</v>
      </c>
      <c r="GH59" s="2">
        <v>80</v>
      </c>
      <c r="GQ59" s="2">
        <v>80</v>
      </c>
      <c r="GR59" s="2" t="s">
        <v>1639</v>
      </c>
      <c r="GS59" s="2" t="s">
        <v>70</v>
      </c>
      <c r="GT59" s="2" t="s">
        <v>1671</v>
      </c>
      <c r="GU59" s="2" t="s">
        <v>1641</v>
      </c>
      <c r="GV59" s="2" t="s">
        <v>17</v>
      </c>
      <c r="GW59" s="2">
        <v>30.410668000000001</v>
      </c>
      <c r="GX59" s="2">
        <v>-86.617726000000005</v>
      </c>
      <c r="GZ59" s="2" t="s">
        <v>9</v>
      </c>
      <c r="HA59" s="2">
        <v>3</v>
      </c>
      <c r="HB59" s="2" t="s">
        <v>17</v>
      </c>
      <c r="HC59" s="2">
        <v>0</v>
      </c>
      <c r="HD59" s="2">
        <v>30.410254999999999</v>
      </c>
      <c r="HE59" s="2">
        <v>-86.619116000000005</v>
      </c>
      <c r="HF59" s="2">
        <v>0.09</v>
      </c>
      <c r="HG59" s="2">
        <v>4</v>
      </c>
      <c r="HH59" s="2">
        <v>30.410167999999999</v>
      </c>
      <c r="HI59" s="2">
        <v>-86.618945999999994</v>
      </c>
      <c r="HJ59" s="2">
        <v>0.08</v>
      </c>
      <c r="HZ59" s="2" t="s">
        <v>167</v>
      </c>
      <c r="IA59" s="2">
        <v>0.81</v>
      </c>
      <c r="IB59" s="2">
        <v>2.5</v>
      </c>
      <c r="IF59" s="2" t="s">
        <v>167</v>
      </c>
      <c r="IG59" s="2">
        <v>0.81</v>
      </c>
      <c r="IH59" s="2">
        <v>2.5</v>
      </c>
      <c r="II59" s="2" t="s">
        <v>1643</v>
      </c>
      <c r="IJ59" s="2">
        <v>1.37</v>
      </c>
      <c r="IK59" s="2">
        <v>2</v>
      </c>
      <c r="IL59" s="2" t="s">
        <v>17</v>
      </c>
      <c r="IM59" s="2" t="s">
        <v>9</v>
      </c>
      <c r="IN59" s="2" t="s">
        <v>1672</v>
      </c>
      <c r="IO59" s="2" t="s">
        <v>17</v>
      </c>
      <c r="IP59" s="2" t="s">
        <v>79</v>
      </c>
      <c r="IQ59" s="2" t="s">
        <v>79</v>
      </c>
      <c r="IR59" s="2">
        <v>4</v>
      </c>
      <c r="IS59" s="2">
        <v>7</v>
      </c>
      <c r="IT59" s="2">
        <v>3</v>
      </c>
      <c r="IU59" s="2">
        <v>14</v>
      </c>
      <c r="IV59" s="2" t="s">
        <v>80</v>
      </c>
      <c r="IW59" s="2" t="s">
        <v>9</v>
      </c>
      <c r="IX59" s="2" t="s">
        <v>9</v>
      </c>
      <c r="IY59" s="2">
        <v>11</v>
      </c>
      <c r="IZ59" s="2">
        <v>80</v>
      </c>
      <c r="JB59" s="2" t="s">
        <v>173</v>
      </c>
      <c r="JD59" s="7">
        <v>0.1</v>
      </c>
      <c r="JG59" s="7">
        <v>0.9</v>
      </c>
      <c r="JH59" s="7">
        <v>0</v>
      </c>
      <c r="JI59" s="2">
        <v>80</v>
      </c>
      <c r="JJ59" s="7">
        <v>1</v>
      </c>
      <c r="JK59" s="2">
        <v>80</v>
      </c>
      <c r="JL59" s="7">
        <v>1</v>
      </c>
      <c r="JT59" s="2">
        <v>0</v>
      </c>
      <c r="JU59" s="2">
        <v>0</v>
      </c>
      <c r="JV59" s="2">
        <v>0</v>
      </c>
      <c r="JW59" s="4">
        <v>0</v>
      </c>
      <c r="JX59" s="2">
        <v>0</v>
      </c>
      <c r="JY59" s="4">
        <v>0</v>
      </c>
      <c r="KA59" s="7">
        <v>0.1</v>
      </c>
      <c r="KD59" s="7">
        <v>0.9</v>
      </c>
      <c r="KE59" s="7">
        <v>1</v>
      </c>
      <c r="KF59" s="2">
        <v>80</v>
      </c>
      <c r="KH59" s="2">
        <v>60</v>
      </c>
      <c r="KK59" s="2">
        <v>20</v>
      </c>
      <c r="KQ59" s="2" t="s">
        <v>83</v>
      </c>
      <c r="KS59" s="2" t="s">
        <v>73</v>
      </c>
      <c r="KT59" s="2">
        <v>5</v>
      </c>
      <c r="KU59" s="2" t="s">
        <v>84</v>
      </c>
      <c r="KW59" s="2" t="s">
        <v>86</v>
      </c>
      <c r="KX59" s="2" t="s">
        <v>17</v>
      </c>
      <c r="KY59" s="2" t="s">
        <v>17</v>
      </c>
      <c r="KZ59" s="2" t="s">
        <v>17</v>
      </c>
      <c r="LA59" s="2" t="s">
        <v>17</v>
      </c>
      <c r="LB59" s="2" t="s">
        <v>17</v>
      </c>
      <c r="LC59" s="2" t="s">
        <v>17</v>
      </c>
      <c r="LD59" s="2" t="s">
        <v>17</v>
      </c>
      <c r="LE59" s="2" t="s">
        <v>17</v>
      </c>
      <c r="LF59" s="2" t="s">
        <v>17</v>
      </c>
      <c r="LG59" s="2" t="s">
        <v>17</v>
      </c>
      <c r="LH59" s="2" t="s">
        <v>17</v>
      </c>
      <c r="LI59" s="2" t="s">
        <v>17</v>
      </c>
      <c r="LJ59" s="2" t="s">
        <v>87</v>
      </c>
      <c r="LK59" s="2" t="s">
        <v>17</v>
      </c>
      <c r="LL59" s="2" t="s">
        <v>17</v>
      </c>
      <c r="LM59" s="2">
        <v>0</v>
      </c>
      <c r="LN59" s="2" t="s">
        <v>17</v>
      </c>
      <c r="LO59" s="2" t="s">
        <v>17</v>
      </c>
      <c r="LP59" s="2" t="s">
        <v>17</v>
      </c>
      <c r="LQ59" s="2" t="s">
        <v>17</v>
      </c>
      <c r="LR59" s="2" t="s">
        <v>17</v>
      </c>
      <c r="LS59" s="2" t="s">
        <v>17</v>
      </c>
      <c r="LT59" s="2" t="s">
        <v>9</v>
      </c>
      <c r="LU59" s="2" t="s">
        <v>9</v>
      </c>
      <c r="LV59" s="2" t="s">
        <v>9</v>
      </c>
      <c r="LW59" s="2" t="s">
        <v>17</v>
      </c>
      <c r="LX59" s="2" t="s">
        <v>17</v>
      </c>
      <c r="LY59" s="5">
        <v>6400000</v>
      </c>
      <c r="LZ59" s="5">
        <v>0</v>
      </c>
      <c r="MA59" s="5">
        <v>7600000</v>
      </c>
      <c r="MB59" s="5">
        <v>7600000</v>
      </c>
      <c r="MC59" s="5">
        <v>7600000</v>
      </c>
      <c r="MD59" s="5">
        <v>696000</v>
      </c>
      <c r="ME59" s="5">
        <v>696000</v>
      </c>
      <c r="MF59" s="5">
        <v>696000</v>
      </c>
      <c r="MG59" s="5">
        <v>8400000</v>
      </c>
      <c r="MH59" s="5">
        <v>0</v>
      </c>
      <c r="MI59" s="5">
        <v>8400000</v>
      </c>
      <c r="MJ59" s="5">
        <v>0</v>
      </c>
      <c r="MK59" s="5">
        <v>696000</v>
      </c>
      <c r="ML59" s="5">
        <v>0</v>
      </c>
      <c r="MM59" s="5">
        <v>0</v>
      </c>
      <c r="MN59" s="2">
        <v>0</v>
      </c>
      <c r="MO59" s="5">
        <v>0</v>
      </c>
      <c r="MP59" s="5">
        <v>0</v>
      </c>
      <c r="MQ59" s="2">
        <v>0</v>
      </c>
      <c r="MR59" s="2">
        <v>0</v>
      </c>
      <c r="MS59" s="2">
        <v>0</v>
      </c>
      <c r="MT59" s="5">
        <v>2950000</v>
      </c>
      <c r="MU59" s="5">
        <v>0</v>
      </c>
      <c r="MV59" s="5">
        <v>4600000</v>
      </c>
      <c r="MW59" s="5">
        <v>0</v>
      </c>
      <c r="MY59" s="5">
        <v>0</v>
      </c>
      <c r="MZ59" s="5">
        <v>0</v>
      </c>
      <c r="NA59" s="5">
        <v>0</v>
      </c>
      <c r="NB59" s="5">
        <v>2500000</v>
      </c>
      <c r="NC59" s="5">
        <v>0</v>
      </c>
      <c r="ND59" s="5">
        <v>5000000</v>
      </c>
      <c r="NE59" s="5">
        <v>0</v>
      </c>
      <c r="NF59" s="5">
        <v>0</v>
      </c>
      <c r="NG59" s="5">
        <v>0</v>
      </c>
      <c r="NH59" s="5"/>
      <c r="NI59" s="5">
        <v>0</v>
      </c>
      <c r="NJ59" s="5">
        <v>1520886</v>
      </c>
      <c r="NK59" s="2" t="s">
        <v>17</v>
      </c>
      <c r="NL59" s="2" t="s">
        <v>4292</v>
      </c>
      <c r="NM59" s="2" t="s">
        <v>9</v>
      </c>
      <c r="NN59" s="2" t="s">
        <v>4867</v>
      </c>
      <c r="NO59" s="2" t="s">
        <v>17</v>
      </c>
      <c r="NR59" s="2" t="s">
        <v>17</v>
      </c>
      <c r="NT59" s="2" t="s">
        <v>9</v>
      </c>
      <c r="NU59" s="2" t="s">
        <v>450</v>
      </c>
      <c r="NV59" s="2">
        <v>226</v>
      </c>
      <c r="NW59" s="2" t="s">
        <v>1646</v>
      </c>
      <c r="NX59" s="2" t="s">
        <v>118</v>
      </c>
      <c r="NY59" s="2" t="s">
        <v>118</v>
      </c>
      <c r="NZ59" s="2" t="s">
        <v>118</v>
      </c>
      <c r="OA59" s="2" t="s">
        <v>17</v>
      </c>
      <c r="OB59" s="2" t="s">
        <v>119</v>
      </c>
      <c r="OC59" s="5">
        <v>20000000</v>
      </c>
      <c r="OF59" s="2" t="s">
        <v>17</v>
      </c>
      <c r="OG59" s="2" t="s">
        <v>17</v>
      </c>
      <c r="OH59" s="2" t="s">
        <v>85</v>
      </c>
      <c r="OI59" s="6">
        <v>0</v>
      </c>
      <c r="OJ59" s="6">
        <v>228000</v>
      </c>
      <c r="OK59" s="2" t="s">
        <v>17</v>
      </c>
      <c r="OL59" s="2" t="s">
        <v>17</v>
      </c>
      <c r="OM59" s="6">
        <v>0</v>
      </c>
      <c r="ON59" s="6">
        <v>0</v>
      </c>
      <c r="OO59" s="6">
        <v>0</v>
      </c>
      <c r="OP59" s="6">
        <v>0</v>
      </c>
      <c r="OQ59" s="4">
        <v>0</v>
      </c>
      <c r="OR59" s="6">
        <v>0</v>
      </c>
      <c r="OS59" s="4">
        <v>0</v>
      </c>
      <c r="OT59" s="2" t="s">
        <v>9</v>
      </c>
      <c r="OU59" s="2" t="s">
        <v>9</v>
      </c>
      <c r="OV59" s="2" t="s">
        <v>1647</v>
      </c>
      <c r="OW59" s="2" t="s">
        <v>17</v>
      </c>
      <c r="OX59" s="5">
        <v>7477944</v>
      </c>
      <c r="OY59" s="6">
        <v>93474.3</v>
      </c>
      <c r="PD59" s="8">
        <v>15600000</v>
      </c>
      <c r="PF59" s="8">
        <v>15600000</v>
      </c>
      <c r="PO59" s="8">
        <v>15600000</v>
      </c>
      <c r="PQ59" s="8">
        <v>15600000</v>
      </c>
      <c r="PR59" s="8">
        <v>2184000</v>
      </c>
      <c r="PT59" s="8">
        <v>2184000</v>
      </c>
      <c r="PU59" s="6">
        <v>2184000</v>
      </c>
      <c r="PV59" s="8">
        <v>17784000</v>
      </c>
      <c r="PX59" s="8">
        <v>17784000</v>
      </c>
      <c r="PY59" s="8">
        <v>889200</v>
      </c>
      <c r="QA59" s="8">
        <v>889200</v>
      </c>
      <c r="QB59" s="6">
        <v>889200</v>
      </c>
      <c r="QC59" s="8">
        <v>1295000</v>
      </c>
      <c r="QE59" s="8">
        <v>1295000</v>
      </c>
      <c r="QF59" s="8">
        <v>195624</v>
      </c>
      <c r="QH59" s="8">
        <v>195624</v>
      </c>
      <c r="QI59" s="8">
        <v>764000</v>
      </c>
      <c r="QK59" s="8">
        <v>764000</v>
      </c>
      <c r="QL59" s="8">
        <v>481113</v>
      </c>
      <c r="QN59" s="8">
        <v>481113</v>
      </c>
      <c r="QR59" s="8">
        <v>205000</v>
      </c>
      <c r="QS59" s="8">
        <v>32000</v>
      </c>
      <c r="QT59" s="8">
        <v>237000</v>
      </c>
      <c r="QU59" s="8">
        <v>2940737</v>
      </c>
      <c r="QV59" s="8">
        <v>32000</v>
      </c>
      <c r="QW59" s="8">
        <v>2972737</v>
      </c>
      <c r="QX59" s="8">
        <v>147063</v>
      </c>
      <c r="QZ59" s="8">
        <v>147063</v>
      </c>
      <c r="RA59" s="6">
        <v>148636.85</v>
      </c>
      <c r="RB59" s="8">
        <v>3856296</v>
      </c>
      <c r="RD59" s="8">
        <v>3856296</v>
      </c>
      <c r="RE59" s="8">
        <v>84432</v>
      </c>
      <c r="RF59" s="8">
        <v>84432</v>
      </c>
      <c r="RJ59" s="8">
        <v>3856296</v>
      </c>
      <c r="RK59" s="8">
        <v>84432</v>
      </c>
      <c r="RL59" s="8">
        <v>3940728</v>
      </c>
      <c r="RT59" s="8">
        <v>25617296</v>
      </c>
      <c r="RU59" s="8">
        <v>116432</v>
      </c>
      <c r="RV59" s="8">
        <v>25733728</v>
      </c>
      <c r="RY59" s="2">
        <v>0</v>
      </c>
      <c r="RZ59" s="6">
        <v>0</v>
      </c>
      <c r="SA59" s="8">
        <v>4632071</v>
      </c>
      <c r="SC59" s="8">
        <v>4632071</v>
      </c>
      <c r="SD59" s="6">
        <v>4632071</v>
      </c>
      <c r="SE59" s="8">
        <v>4632071</v>
      </c>
      <c r="SF59" s="8">
        <v>4632071</v>
      </c>
      <c r="SG59" s="6">
        <v>4632071</v>
      </c>
      <c r="SJ59" s="6">
        <v>280000</v>
      </c>
      <c r="SM59" s="8">
        <v>30249367</v>
      </c>
      <c r="SN59" s="8">
        <v>116432</v>
      </c>
      <c r="SO59" s="8">
        <v>30365799</v>
      </c>
      <c r="SP59" s="8">
        <v>20000000</v>
      </c>
      <c r="SQ59" s="2" t="s">
        <v>4295</v>
      </c>
      <c r="SX59" s="8">
        <v>8296000</v>
      </c>
      <c r="SY59" s="2" t="s">
        <v>96</v>
      </c>
      <c r="SZ59" s="2" t="s">
        <v>96</v>
      </c>
      <c r="TA59" s="2" t="s">
        <v>96</v>
      </c>
      <c r="TB59" s="8">
        <v>6022105</v>
      </c>
      <c r="TF59" s="2">
        <v>0</v>
      </c>
      <c r="TG59" s="8">
        <v>34318105</v>
      </c>
      <c r="TH59" s="8">
        <v>3952306</v>
      </c>
      <c r="TI59" s="8">
        <v>6900000</v>
      </c>
      <c r="TJ59" s="2" t="s">
        <v>4295</v>
      </c>
      <c r="TK59" s="8">
        <v>340000</v>
      </c>
      <c r="TL59" s="2" t="s">
        <v>180</v>
      </c>
      <c r="TR59" s="8">
        <v>8296000</v>
      </c>
      <c r="TS59" s="8">
        <v>13382456</v>
      </c>
      <c r="TZ59" s="8">
        <v>1447343</v>
      </c>
      <c r="UA59" s="8">
        <v>30365799</v>
      </c>
      <c r="UB59" s="6">
        <v>15536000</v>
      </c>
      <c r="UC59" s="2">
        <v>0</v>
      </c>
      <c r="UD59" s="2">
        <v>80</v>
      </c>
      <c r="UE59" s="5">
        <v>220000</v>
      </c>
      <c r="UF59" s="6">
        <v>293333.33</v>
      </c>
      <c r="UG59" s="6">
        <v>308333.33</v>
      </c>
      <c r="UH59" s="6">
        <v>326833.33</v>
      </c>
      <c r="UI59" s="6">
        <v>26146666.670000002</v>
      </c>
      <c r="UJ59" s="6">
        <v>4706400</v>
      </c>
      <c r="UK59" s="2" t="s">
        <v>97</v>
      </c>
      <c r="UL59" s="6">
        <v>4706400</v>
      </c>
      <c r="UM59" s="6">
        <v>30853066.670000002</v>
      </c>
      <c r="UN59" s="6">
        <v>30365799</v>
      </c>
      <c r="UO59" s="6">
        <v>340000</v>
      </c>
      <c r="UP59" s="6">
        <v>148253</v>
      </c>
      <c r="UQ59" s="6">
        <v>191747</v>
      </c>
      <c r="US59" s="6">
        <v>0</v>
      </c>
      <c r="UU59" s="6">
        <v>20000</v>
      </c>
      <c r="UV59" s="6">
        <v>20000</v>
      </c>
      <c r="UW59" s="6">
        <v>360000</v>
      </c>
      <c r="UX59" s="6">
        <v>148253</v>
      </c>
      <c r="UY59" s="6">
        <v>211747</v>
      </c>
      <c r="UZ59" s="2" t="s">
        <v>5354</v>
      </c>
      <c r="VA59" s="2" t="s">
        <v>5353</v>
      </c>
      <c r="VB59" s="2" t="s">
        <v>9</v>
      </c>
      <c r="VC59" s="2">
        <v>24</v>
      </c>
      <c r="VD59" s="2">
        <v>24</v>
      </c>
      <c r="VE59" s="2" t="s">
        <v>17</v>
      </c>
      <c r="VG59" s="2" t="s">
        <v>9</v>
      </c>
      <c r="VH59" s="2">
        <v>24</v>
      </c>
      <c r="VI59" s="388" t="s">
        <v>4737</v>
      </c>
      <c r="VJ59" s="2" t="s">
        <v>98</v>
      </c>
      <c r="VK59" s="2" t="s">
        <v>99</v>
      </c>
      <c r="VL59" s="23">
        <f t="shared" si="22"/>
        <v>100</v>
      </c>
      <c r="VM59" s="17">
        <f t="shared" si="23"/>
        <v>1.25</v>
      </c>
      <c r="VN59" s="17" t="str">
        <f t="shared" si="24"/>
        <v>NC-GA-E</v>
      </c>
      <c r="VO59" s="17" t="str">
        <f t="shared" si="15"/>
        <v>NC-GA-E-Non</v>
      </c>
      <c r="VP59" s="57">
        <v>1</v>
      </c>
      <c r="VQ59" s="17">
        <f t="shared" si="25"/>
        <v>1.1100000000000001</v>
      </c>
      <c r="VR59" s="14">
        <f t="shared" si="26"/>
        <v>1</v>
      </c>
      <c r="VS59" s="14">
        <f t="shared" si="27"/>
        <v>0.87</v>
      </c>
      <c r="VT59" s="12">
        <f t="shared" si="28"/>
        <v>0.89</v>
      </c>
      <c r="VU59" s="29">
        <f t="shared" si="29"/>
        <v>6531994.7999999998</v>
      </c>
      <c r="VV59" s="29">
        <f t="shared" si="30"/>
        <v>81649.94</v>
      </c>
      <c r="VW59" s="351" t="str">
        <f t="shared" si="16"/>
        <v>A</v>
      </c>
      <c r="VX59" s="12" t="str">
        <f t="shared" si="31"/>
        <v>NC-GA-Non</v>
      </c>
      <c r="VY59" s="23">
        <f t="shared" si="17"/>
        <v>5</v>
      </c>
      <c r="WA59" s="12">
        <f t="shared" si="18"/>
        <v>1</v>
      </c>
      <c r="WB59" s="12">
        <f t="shared" si="19"/>
        <v>1</v>
      </c>
      <c r="WC59" s="12">
        <f t="shared" si="19"/>
        <v>0</v>
      </c>
      <c r="WD59" s="12">
        <f t="shared" si="19"/>
        <v>1</v>
      </c>
      <c r="WE59" s="12">
        <f t="shared" si="20"/>
        <v>0</v>
      </c>
      <c r="WF59" s="12">
        <f t="shared" si="32"/>
        <v>1</v>
      </c>
      <c r="WG59" s="12">
        <f t="shared" si="33"/>
        <v>0</v>
      </c>
      <c r="WH59" s="12">
        <f t="shared" si="34"/>
        <v>0</v>
      </c>
      <c r="WI59" s="22">
        <f t="shared" si="35"/>
        <v>4</v>
      </c>
      <c r="WK59" s="444" t="str">
        <f t="shared" si="21"/>
        <v>NC-GA-Non-BBY-BRN-PHA-E</v>
      </c>
      <c r="WL59" s="444"/>
      <c r="WM59" s="444"/>
    </row>
    <row r="60" spans="1:611" x14ac:dyDescent="0.25">
      <c r="A60" s="2">
        <v>9315</v>
      </c>
      <c r="B60" s="2" t="s">
        <v>4868</v>
      </c>
      <c r="C60" s="2" t="s">
        <v>4205</v>
      </c>
      <c r="D60" s="3">
        <v>45128</v>
      </c>
      <c r="E60" s="2" t="s">
        <v>9</v>
      </c>
      <c r="F60" s="2">
        <v>1</v>
      </c>
      <c r="G60" s="2" t="s">
        <v>9</v>
      </c>
      <c r="H60" s="2">
        <v>1</v>
      </c>
      <c r="I60" s="2" t="s">
        <v>11</v>
      </c>
      <c r="J60" s="2">
        <v>0</v>
      </c>
      <c r="K60" s="2" t="s">
        <v>9</v>
      </c>
      <c r="L60" s="2">
        <v>1</v>
      </c>
      <c r="M60" s="2" t="s">
        <v>10</v>
      </c>
      <c r="N60" s="2">
        <v>0</v>
      </c>
      <c r="O60" s="2" t="s">
        <v>10</v>
      </c>
      <c r="P60" s="2">
        <v>0</v>
      </c>
      <c r="Q60" s="2" t="s">
        <v>11</v>
      </c>
      <c r="R60" s="2">
        <v>0</v>
      </c>
      <c r="S60" s="2" t="s">
        <v>9</v>
      </c>
      <c r="T60" s="2">
        <v>2</v>
      </c>
      <c r="U60" s="2" t="s">
        <v>9</v>
      </c>
      <c r="V60" s="2">
        <v>2</v>
      </c>
      <c r="W60" s="2" t="s">
        <v>9</v>
      </c>
      <c r="X60" s="2">
        <v>2</v>
      </c>
      <c r="Y60" s="2" t="s">
        <v>12</v>
      </c>
      <c r="Z60" s="2" t="s">
        <v>1227</v>
      </c>
      <c r="AA60" s="2" t="s">
        <v>1620</v>
      </c>
      <c r="AB60" s="2" t="s">
        <v>15</v>
      </c>
      <c r="AC60" s="2" t="s">
        <v>15</v>
      </c>
      <c r="AD60" s="2" t="s">
        <v>15</v>
      </c>
      <c r="AE60" s="2" t="s">
        <v>15</v>
      </c>
      <c r="AF60" s="2">
        <v>2</v>
      </c>
      <c r="AG60" s="2" t="s">
        <v>1621</v>
      </c>
      <c r="AH60" s="2" t="s">
        <v>17</v>
      </c>
      <c r="AI60" s="4">
        <v>0.1</v>
      </c>
      <c r="AJ60" s="2" t="s">
        <v>17</v>
      </c>
      <c r="AK60" s="2" t="s">
        <v>9</v>
      </c>
      <c r="AL60" s="2" t="s">
        <v>9</v>
      </c>
      <c r="AM60" s="2" t="s">
        <v>17</v>
      </c>
      <c r="AN60" s="2" t="s">
        <v>17</v>
      </c>
      <c r="AO60" s="2" t="s">
        <v>9</v>
      </c>
      <c r="AP60" s="2" t="s">
        <v>17</v>
      </c>
      <c r="AQ60" s="2" t="s">
        <v>17</v>
      </c>
      <c r="AR60" s="2" t="s">
        <v>17</v>
      </c>
      <c r="AS60" s="2" t="s">
        <v>17</v>
      </c>
      <c r="AT60" s="2">
        <v>5</v>
      </c>
      <c r="AU60" s="5">
        <v>20000</v>
      </c>
      <c r="AV60" s="5">
        <v>340000</v>
      </c>
      <c r="AW60" s="2">
        <v>0</v>
      </c>
      <c r="AX60" s="2">
        <v>4</v>
      </c>
      <c r="AY60" s="2">
        <v>0</v>
      </c>
      <c r="AZ60" s="2">
        <v>17</v>
      </c>
      <c r="BA60" s="2">
        <v>0</v>
      </c>
      <c r="BB60" s="2">
        <v>1</v>
      </c>
      <c r="BC60" s="2">
        <v>0</v>
      </c>
      <c r="BD60" s="2">
        <v>0</v>
      </c>
      <c r="BE60" s="2">
        <v>0</v>
      </c>
      <c r="BF60" s="2">
        <v>1</v>
      </c>
      <c r="BG60" s="2">
        <v>0</v>
      </c>
      <c r="BH60" s="2">
        <v>0</v>
      </c>
      <c r="BI60" s="2">
        <v>13</v>
      </c>
      <c r="BJ60" s="2">
        <v>1</v>
      </c>
      <c r="BK60" s="2">
        <v>0</v>
      </c>
      <c r="BL60" s="2">
        <v>3</v>
      </c>
      <c r="BM60" s="2">
        <v>1</v>
      </c>
      <c r="BN60" s="2">
        <v>8</v>
      </c>
      <c r="BO60" s="2">
        <v>10</v>
      </c>
      <c r="BP60" s="2">
        <v>30.99</v>
      </c>
      <c r="BQ60" s="5">
        <v>9870000</v>
      </c>
      <c r="BR60" s="2">
        <v>1</v>
      </c>
      <c r="BS60" s="4">
        <v>0.06</v>
      </c>
      <c r="BT60" s="2" t="s">
        <v>9</v>
      </c>
      <c r="BU60" s="2" t="s">
        <v>17</v>
      </c>
      <c r="BV60" s="6">
        <v>93474.3</v>
      </c>
      <c r="BW60" s="2" t="s">
        <v>18</v>
      </c>
      <c r="BX60" s="2" t="s">
        <v>17</v>
      </c>
      <c r="BY60" s="2" t="s">
        <v>17</v>
      </c>
      <c r="BZ60" s="2" t="s">
        <v>17</v>
      </c>
      <c r="CA60" s="2" t="s">
        <v>17</v>
      </c>
      <c r="CB60" s="2" t="s">
        <v>17</v>
      </c>
      <c r="CC60" s="2" t="s">
        <v>17</v>
      </c>
      <c r="CD60" s="2" t="s">
        <v>17</v>
      </c>
      <c r="CE60" s="2" t="s">
        <v>1622</v>
      </c>
      <c r="CF60" s="2" t="s">
        <v>17</v>
      </c>
      <c r="CG60" s="2" t="s">
        <v>9</v>
      </c>
      <c r="DA60" s="2" t="s">
        <v>1623</v>
      </c>
      <c r="DB60" s="2" t="s">
        <v>1624</v>
      </c>
      <c r="DC60" s="2" t="s">
        <v>1625</v>
      </c>
      <c r="DD60" s="2" t="s">
        <v>9</v>
      </c>
      <c r="DE60" s="2" t="s">
        <v>1626</v>
      </c>
      <c r="DF60" s="2" t="s">
        <v>3876</v>
      </c>
      <c r="DG60" s="2" t="s">
        <v>1627</v>
      </c>
      <c r="DH60" s="2" t="s">
        <v>330</v>
      </c>
      <c r="DI60" s="2">
        <v>160</v>
      </c>
      <c r="DJ60" s="2" t="s">
        <v>795</v>
      </c>
      <c r="DK60" s="2">
        <v>2019</v>
      </c>
      <c r="DL60" s="2" t="s">
        <v>4209</v>
      </c>
      <c r="DM60" s="2" t="s">
        <v>4210</v>
      </c>
      <c r="DN60" s="2" t="s">
        <v>33</v>
      </c>
      <c r="DO60" s="2" t="s">
        <v>1630</v>
      </c>
      <c r="DQ60" s="2" t="s">
        <v>1631</v>
      </c>
      <c r="DR60" s="2" t="s">
        <v>1632</v>
      </c>
      <c r="DS60" s="2">
        <v>1</v>
      </c>
      <c r="DT60" s="2" t="s">
        <v>1633</v>
      </c>
      <c r="DU60" s="2" t="s">
        <v>299</v>
      </c>
      <c r="DV60" s="2" t="s">
        <v>39</v>
      </c>
      <c r="DW60" s="2">
        <v>33127</v>
      </c>
      <c r="DX60" s="2" t="s">
        <v>1634</v>
      </c>
      <c r="DY60" s="2">
        <v>102</v>
      </c>
      <c r="DZ60" s="2" t="s">
        <v>1635</v>
      </c>
      <c r="EA60" s="2" t="s">
        <v>1626</v>
      </c>
      <c r="EB60" s="2" t="s">
        <v>1628</v>
      </c>
      <c r="EC60" s="2" t="s">
        <v>1281</v>
      </c>
      <c r="ED60" s="2" t="s">
        <v>44</v>
      </c>
      <c r="EE60" s="2">
        <v>228</v>
      </c>
      <c r="EF60" s="2" t="s">
        <v>810</v>
      </c>
      <c r="EG60" s="2">
        <v>27</v>
      </c>
      <c r="EH60" s="2" t="s">
        <v>46</v>
      </c>
      <c r="EI60" s="2" t="s">
        <v>47</v>
      </c>
      <c r="EJ60" s="2" t="s">
        <v>1627</v>
      </c>
      <c r="EK60" s="2" t="s">
        <v>330</v>
      </c>
      <c r="EL60" s="2" t="s">
        <v>44</v>
      </c>
      <c r="EM60" s="2">
        <v>160</v>
      </c>
      <c r="EN60" s="2" t="s">
        <v>810</v>
      </c>
      <c r="EO60" s="2">
        <v>5</v>
      </c>
      <c r="EP60" s="2" t="s">
        <v>46</v>
      </c>
      <c r="EQ60" s="2" t="s">
        <v>47</v>
      </c>
      <c r="ER60" s="2" t="s">
        <v>1630</v>
      </c>
      <c r="ET60" s="2" t="s">
        <v>1631</v>
      </c>
      <c r="EU60" s="2" t="s">
        <v>1623</v>
      </c>
      <c r="EV60" s="2" t="s">
        <v>1633</v>
      </c>
      <c r="EW60" s="2" t="s">
        <v>299</v>
      </c>
      <c r="EX60" s="2" t="s">
        <v>39</v>
      </c>
      <c r="EY60" s="2">
        <v>33127</v>
      </c>
      <c r="EZ60" s="2" t="s">
        <v>1634</v>
      </c>
      <c r="FA60" s="2">
        <v>102</v>
      </c>
      <c r="FB60" s="2" t="s">
        <v>1635</v>
      </c>
      <c r="FC60" s="2" t="s">
        <v>1636</v>
      </c>
      <c r="FE60" s="2" t="s">
        <v>267</v>
      </c>
      <c r="FF60" s="2" t="s">
        <v>1623</v>
      </c>
      <c r="FG60" s="2" t="s">
        <v>1633</v>
      </c>
      <c r="FH60" s="2" t="s">
        <v>299</v>
      </c>
      <c r="FI60" s="2" t="s">
        <v>39</v>
      </c>
      <c r="FJ60" s="2">
        <v>33127</v>
      </c>
      <c r="FK60" s="2" t="s">
        <v>1634</v>
      </c>
      <c r="FM60" s="2" t="s">
        <v>1637</v>
      </c>
      <c r="FN60" s="2" t="s">
        <v>1638</v>
      </c>
      <c r="FO60" s="2" t="s">
        <v>63</v>
      </c>
      <c r="FP60" s="2" t="s">
        <v>64</v>
      </c>
      <c r="FQ60" s="2" t="s">
        <v>9</v>
      </c>
      <c r="FR60" s="2" t="s">
        <v>17</v>
      </c>
      <c r="FS60" s="2" t="s">
        <v>17</v>
      </c>
      <c r="FT60" s="2" t="s">
        <v>9</v>
      </c>
      <c r="FX60" s="2">
        <v>0</v>
      </c>
      <c r="FY60" s="2">
        <v>0</v>
      </c>
      <c r="FZ60" s="4">
        <v>0</v>
      </c>
      <c r="GA60" s="4">
        <v>0</v>
      </c>
      <c r="GB60" s="2" t="s">
        <v>65</v>
      </c>
      <c r="GC60" s="2" t="s">
        <v>66</v>
      </c>
      <c r="GD60" s="2" t="s">
        <v>67</v>
      </c>
      <c r="GE60" s="2" t="s">
        <v>68</v>
      </c>
      <c r="GH60" s="2">
        <v>96</v>
      </c>
      <c r="GQ60" s="2">
        <v>96</v>
      </c>
      <c r="GR60" s="2" t="s">
        <v>1639</v>
      </c>
      <c r="GS60" s="2" t="s">
        <v>70</v>
      </c>
      <c r="GT60" s="2" t="s">
        <v>1640</v>
      </c>
      <c r="GU60" s="2" t="s">
        <v>1641</v>
      </c>
      <c r="GV60" s="2" t="s">
        <v>17</v>
      </c>
      <c r="GW60" s="2">
        <v>30.409524999999999</v>
      </c>
      <c r="GX60" s="2">
        <v>-86.616404000000003</v>
      </c>
      <c r="GZ60" s="2" t="s">
        <v>9</v>
      </c>
      <c r="HA60" s="2">
        <v>3</v>
      </c>
      <c r="HC60" s="2">
        <v>0</v>
      </c>
      <c r="HD60" s="2">
        <v>30.412648000000001</v>
      </c>
      <c r="HE60" s="2">
        <v>-86.615039999999993</v>
      </c>
      <c r="HF60" s="2">
        <v>0.23</v>
      </c>
      <c r="HG60" s="2">
        <v>4</v>
      </c>
      <c r="HH60" s="2">
        <v>30.412495</v>
      </c>
      <c r="HI60" s="2">
        <v>-86.614022000000006</v>
      </c>
      <c r="HJ60" s="2">
        <v>0.25</v>
      </c>
      <c r="HZ60" s="2" t="s">
        <v>167</v>
      </c>
      <c r="IA60" s="2">
        <v>0.82</v>
      </c>
      <c r="IB60" s="2">
        <v>2.5</v>
      </c>
      <c r="IF60" s="2" t="s">
        <v>167</v>
      </c>
      <c r="IG60" s="2">
        <v>0.82</v>
      </c>
      <c r="IH60" s="2">
        <v>2.5</v>
      </c>
      <c r="II60" s="2" t="s">
        <v>1643</v>
      </c>
      <c r="IJ60" s="2">
        <v>1.34</v>
      </c>
      <c r="IK60" s="2">
        <v>2</v>
      </c>
      <c r="IL60" s="2" t="s">
        <v>17</v>
      </c>
      <c r="IM60" s="2" t="s">
        <v>17</v>
      </c>
      <c r="IO60" s="2" t="s">
        <v>17</v>
      </c>
      <c r="IP60" s="2" t="s">
        <v>79</v>
      </c>
      <c r="IQ60" s="2" t="s">
        <v>79</v>
      </c>
      <c r="IR60" s="2">
        <v>4</v>
      </c>
      <c r="IS60" s="2">
        <v>7</v>
      </c>
      <c r="IT60" s="2">
        <v>3</v>
      </c>
      <c r="IU60" s="2">
        <v>14</v>
      </c>
      <c r="IV60" s="2" t="s">
        <v>80</v>
      </c>
      <c r="IW60" s="2" t="s">
        <v>9</v>
      </c>
      <c r="IX60" s="2" t="s">
        <v>9</v>
      </c>
      <c r="IY60" s="2">
        <v>11</v>
      </c>
      <c r="IZ60" s="2">
        <v>96</v>
      </c>
      <c r="JB60" s="2" t="s">
        <v>173</v>
      </c>
      <c r="JD60" s="7">
        <v>0.1</v>
      </c>
      <c r="JG60" s="7">
        <v>0.9</v>
      </c>
      <c r="JH60" s="7">
        <v>0</v>
      </c>
      <c r="JI60" s="2">
        <v>96</v>
      </c>
      <c r="JJ60" s="7">
        <v>1</v>
      </c>
      <c r="JK60" s="2">
        <v>96</v>
      </c>
      <c r="JL60" s="7">
        <v>1</v>
      </c>
      <c r="JT60" s="2">
        <v>0</v>
      </c>
      <c r="JU60" s="2">
        <v>0</v>
      </c>
      <c r="JV60" s="2">
        <v>0</v>
      </c>
      <c r="JW60" s="4">
        <v>0</v>
      </c>
      <c r="JX60" s="2">
        <v>0</v>
      </c>
      <c r="JY60" s="4">
        <v>0</v>
      </c>
      <c r="KA60" s="7">
        <v>0.1</v>
      </c>
      <c r="KD60" s="7">
        <v>0.9</v>
      </c>
      <c r="KE60" s="7">
        <v>1</v>
      </c>
      <c r="KF60" s="2">
        <v>96</v>
      </c>
      <c r="KH60" s="2">
        <v>24</v>
      </c>
      <c r="KK60" s="2">
        <v>48</v>
      </c>
      <c r="KL60" s="2">
        <v>24</v>
      </c>
      <c r="KQ60" s="2" t="s">
        <v>83</v>
      </c>
      <c r="KR60" s="2" t="s">
        <v>73</v>
      </c>
      <c r="KT60" s="2">
        <v>5</v>
      </c>
      <c r="KU60" s="2" t="s">
        <v>84</v>
      </c>
      <c r="KW60" s="2" t="s">
        <v>86</v>
      </c>
      <c r="KX60" s="2" t="s">
        <v>17</v>
      </c>
      <c r="KY60" s="2" t="s">
        <v>17</v>
      </c>
      <c r="KZ60" s="2" t="s">
        <v>17</v>
      </c>
      <c r="LA60" s="2" t="s">
        <v>17</v>
      </c>
      <c r="LB60" s="2" t="s">
        <v>17</v>
      </c>
      <c r="LC60" s="2" t="s">
        <v>17</v>
      </c>
      <c r="LD60" s="2" t="s">
        <v>17</v>
      </c>
      <c r="LE60" s="2" t="s">
        <v>17</v>
      </c>
      <c r="LF60" s="2" t="s">
        <v>17</v>
      </c>
      <c r="LG60" s="2" t="s">
        <v>17</v>
      </c>
      <c r="LH60" s="2" t="s">
        <v>17</v>
      </c>
      <c r="LI60" s="2" t="s">
        <v>17</v>
      </c>
      <c r="LJ60" s="2" t="s">
        <v>87</v>
      </c>
      <c r="LK60" s="2" t="s">
        <v>17</v>
      </c>
      <c r="LL60" s="2" t="s">
        <v>17</v>
      </c>
      <c r="LM60" s="2">
        <v>0</v>
      </c>
      <c r="LN60" s="2" t="s">
        <v>17</v>
      </c>
      <c r="LO60" s="2" t="s">
        <v>9</v>
      </c>
      <c r="LP60" s="2" t="s">
        <v>9</v>
      </c>
      <c r="LQ60" s="2" t="s">
        <v>17</v>
      </c>
      <c r="LR60" s="2" t="s">
        <v>9</v>
      </c>
      <c r="LS60" s="2" t="s">
        <v>17</v>
      </c>
      <c r="LT60" s="2" t="s">
        <v>17</v>
      </c>
      <c r="LU60" s="2" t="s">
        <v>17</v>
      </c>
      <c r="LV60" s="2" t="s">
        <v>17</v>
      </c>
      <c r="LW60" s="2" t="s">
        <v>17</v>
      </c>
      <c r="LX60" s="2" t="s">
        <v>17</v>
      </c>
      <c r="LY60" s="5">
        <v>6500000</v>
      </c>
      <c r="LZ60" s="5">
        <v>0</v>
      </c>
      <c r="MA60" s="5">
        <v>9120000</v>
      </c>
      <c r="MB60" s="5">
        <v>9120000</v>
      </c>
      <c r="MC60" s="5">
        <v>9120000</v>
      </c>
      <c r="MD60" s="5">
        <v>750000</v>
      </c>
      <c r="ME60" s="5">
        <v>750000</v>
      </c>
      <c r="MF60" s="5">
        <v>750000</v>
      </c>
      <c r="MG60" s="5">
        <v>10000000</v>
      </c>
      <c r="MH60" s="5">
        <v>0</v>
      </c>
      <c r="MI60" s="5">
        <v>10000000</v>
      </c>
      <c r="MJ60" s="5">
        <v>0</v>
      </c>
      <c r="MK60" s="5">
        <v>959800</v>
      </c>
      <c r="ML60" s="5">
        <v>0</v>
      </c>
      <c r="MM60" s="5">
        <v>0</v>
      </c>
      <c r="MN60" s="2">
        <v>0</v>
      </c>
      <c r="MO60" s="5">
        <v>0</v>
      </c>
      <c r="MP60" s="5">
        <v>0</v>
      </c>
      <c r="MQ60" s="2">
        <v>0</v>
      </c>
      <c r="MR60" s="2">
        <v>0</v>
      </c>
      <c r="MS60" s="2">
        <v>0</v>
      </c>
      <c r="MT60" s="5">
        <v>2950000</v>
      </c>
      <c r="MU60" s="5">
        <v>0</v>
      </c>
      <c r="MV60" s="5">
        <v>4600000</v>
      </c>
      <c r="MW60" s="5">
        <v>0</v>
      </c>
      <c r="MY60" s="5">
        <v>0</v>
      </c>
      <c r="MZ60" s="5">
        <v>0</v>
      </c>
      <c r="NA60" s="5">
        <v>0</v>
      </c>
      <c r="NB60" s="5">
        <v>2500000</v>
      </c>
      <c r="NC60" s="5">
        <v>0</v>
      </c>
      <c r="ND60" s="5">
        <v>5000000</v>
      </c>
      <c r="NE60" s="5">
        <v>0</v>
      </c>
      <c r="NF60" s="5">
        <v>0</v>
      </c>
      <c r="NG60" s="5">
        <v>0</v>
      </c>
      <c r="NH60" s="5"/>
      <c r="NI60" s="5">
        <v>0</v>
      </c>
      <c r="NJ60" s="5">
        <v>1808225</v>
      </c>
      <c r="NK60" s="2" t="s">
        <v>17</v>
      </c>
      <c r="NL60" s="2" t="s">
        <v>4292</v>
      </c>
      <c r="NM60" s="2" t="s">
        <v>9</v>
      </c>
      <c r="NN60" s="2" t="s">
        <v>4867</v>
      </c>
      <c r="NO60" s="2" t="s">
        <v>17</v>
      </c>
      <c r="NR60" s="2" t="s">
        <v>17</v>
      </c>
      <c r="NT60" s="2" t="s">
        <v>9</v>
      </c>
      <c r="NU60" s="2" t="s">
        <v>450</v>
      </c>
      <c r="NV60" s="2">
        <v>226</v>
      </c>
      <c r="NW60" s="2" t="s">
        <v>1646</v>
      </c>
      <c r="NX60" s="2" t="s">
        <v>118</v>
      </c>
      <c r="NY60" s="2" t="s">
        <v>118</v>
      </c>
      <c r="NZ60" s="2" t="s">
        <v>118</v>
      </c>
      <c r="OA60" s="2" t="s">
        <v>17</v>
      </c>
      <c r="OB60" s="2" t="s">
        <v>119</v>
      </c>
      <c r="OC60" s="5">
        <v>21000000</v>
      </c>
      <c r="OF60" s="2" t="s">
        <v>17</v>
      </c>
      <c r="OG60" s="2" t="s">
        <v>17</v>
      </c>
      <c r="OH60" s="2" t="s">
        <v>85</v>
      </c>
      <c r="OI60" s="6">
        <v>0</v>
      </c>
      <c r="OJ60" s="6">
        <v>273600</v>
      </c>
      <c r="OK60" s="2" t="s">
        <v>17</v>
      </c>
      <c r="OL60" s="2" t="s">
        <v>17</v>
      </c>
      <c r="OM60" s="6">
        <v>0</v>
      </c>
      <c r="ON60" s="6">
        <v>0</v>
      </c>
      <c r="OO60" s="6">
        <v>0</v>
      </c>
      <c r="OP60" s="6">
        <v>0</v>
      </c>
      <c r="OQ60" s="4">
        <v>0</v>
      </c>
      <c r="OR60" s="6">
        <v>0</v>
      </c>
      <c r="OS60" s="4">
        <v>0</v>
      </c>
      <c r="OT60" s="2" t="s">
        <v>9</v>
      </c>
      <c r="OU60" s="2" t="s">
        <v>9</v>
      </c>
      <c r="OV60" s="2" t="s">
        <v>1647</v>
      </c>
      <c r="OW60" s="2" t="s">
        <v>17</v>
      </c>
      <c r="OX60" s="5">
        <v>8973533</v>
      </c>
      <c r="OY60" s="6">
        <v>93474.3</v>
      </c>
      <c r="PD60" s="8">
        <v>19296000</v>
      </c>
      <c r="PF60" s="8">
        <v>19296000</v>
      </c>
      <c r="PO60" s="8">
        <v>19296000</v>
      </c>
      <c r="PQ60" s="8">
        <v>19296000</v>
      </c>
      <c r="PR60" s="8">
        <v>2701440</v>
      </c>
      <c r="PT60" s="8">
        <v>2701440</v>
      </c>
      <c r="PU60" s="6">
        <v>2701440</v>
      </c>
      <c r="PV60" s="8">
        <v>21997440</v>
      </c>
      <c r="PX60" s="8">
        <v>21997440</v>
      </c>
      <c r="PY60" s="8">
        <v>1099872</v>
      </c>
      <c r="QA60" s="8">
        <v>1099872</v>
      </c>
      <c r="QB60" s="6">
        <v>1099872</v>
      </c>
      <c r="QC60" s="8">
        <v>1195000</v>
      </c>
      <c r="QE60" s="8">
        <v>1195000</v>
      </c>
      <c r="QF60" s="8">
        <v>217786</v>
      </c>
      <c r="QH60" s="8">
        <v>217786</v>
      </c>
      <c r="QI60" s="8">
        <v>980000</v>
      </c>
      <c r="QK60" s="8">
        <v>980000</v>
      </c>
      <c r="QL60" s="8">
        <v>584127</v>
      </c>
      <c r="QN60" s="8">
        <v>584127</v>
      </c>
      <c r="QR60" s="8">
        <v>150000</v>
      </c>
      <c r="QS60" s="8">
        <v>103000</v>
      </c>
      <c r="QT60" s="8">
        <v>253000</v>
      </c>
      <c r="QU60" s="8">
        <v>3126913</v>
      </c>
      <c r="QV60" s="8">
        <v>103000</v>
      </c>
      <c r="QW60" s="8">
        <v>3229913</v>
      </c>
      <c r="RA60" s="6">
        <v>161495.65</v>
      </c>
      <c r="RB60" s="8">
        <v>3756293</v>
      </c>
      <c r="RC60" s="8">
        <v>200000</v>
      </c>
      <c r="RD60" s="8">
        <v>3956293</v>
      </c>
      <c r="RE60" s="8">
        <v>117345</v>
      </c>
      <c r="RF60" s="8">
        <v>117345</v>
      </c>
      <c r="RJ60" s="8">
        <v>3756293</v>
      </c>
      <c r="RK60" s="8">
        <v>317345</v>
      </c>
      <c r="RL60" s="8">
        <v>4073638</v>
      </c>
      <c r="RT60" s="8">
        <v>29980518</v>
      </c>
      <c r="RU60" s="8">
        <v>420345</v>
      </c>
      <c r="RV60" s="8">
        <v>30400863</v>
      </c>
      <c r="RY60" s="2">
        <v>0</v>
      </c>
      <c r="RZ60" s="6">
        <v>0</v>
      </c>
      <c r="SA60" s="8">
        <v>5472155</v>
      </c>
      <c r="SC60" s="8">
        <v>5472155</v>
      </c>
      <c r="SD60" s="6">
        <v>5472155</v>
      </c>
      <c r="SE60" s="8">
        <v>5472155</v>
      </c>
      <c r="SF60" s="8">
        <v>5472155</v>
      </c>
      <c r="SG60" s="6">
        <v>5472155</v>
      </c>
      <c r="SJ60" s="6">
        <v>336000</v>
      </c>
      <c r="SM60" s="8">
        <v>35452673</v>
      </c>
      <c r="SN60" s="8">
        <v>420345</v>
      </c>
      <c r="SO60" s="8">
        <v>35873018</v>
      </c>
      <c r="SP60" s="8">
        <v>21000000</v>
      </c>
      <c r="SQ60" s="2" t="s">
        <v>4295</v>
      </c>
      <c r="SX60" s="8">
        <v>9870000</v>
      </c>
      <c r="SY60" s="2" t="s">
        <v>96</v>
      </c>
      <c r="SZ60" s="2" t="s">
        <v>96</v>
      </c>
      <c r="TA60" s="2" t="s">
        <v>96</v>
      </c>
      <c r="TB60" s="8">
        <v>7159855</v>
      </c>
      <c r="TF60" s="2">
        <v>0</v>
      </c>
      <c r="TG60" s="8">
        <v>38029855</v>
      </c>
      <c r="TH60" s="8">
        <v>2156837</v>
      </c>
      <c r="TI60" s="8">
        <v>9000000</v>
      </c>
      <c r="TJ60" s="2" t="s">
        <v>4295</v>
      </c>
      <c r="TR60" s="8">
        <v>9870000</v>
      </c>
      <c r="TS60" s="8">
        <v>15910788</v>
      </c>
      <c r="TZ60" s="8">
        <v>1092230</v>
      </c>
      <c r="UA60" s="8">
        <v>35873018</v>
      </c>
      <c r="UB60" s="6">
        <v>18870000</v>
      </c>
      <c r="UC60" s="2">
        <v>0</v>
      </c>
      <c r="UD60" s="2">
        <v>96</v>
      </c>
      <c r="UE60" s="5">
        <v>220000</v>
      </c>
      <c r="UF60" s="6">
        <v>293333.33</v>
      </c>
      <c r="UG60" s="6">
        <v>308333.33</v>
      </c>
      <c r="UH60" s="6">
        <v>326833.33</v>
      </c>
      <c r="UI60" s="6">
        <v>31376000</v>
      </c>
      <c r="UJ60" s="6">
        <v>5647680</v>
      </c>
      <c r="UK60" s="2" t="s">
        <v>97</v>
      </c>
      <c r="UL60" s="6">
        <v>5647680</v>
      </c>
      <c r="UM60" s="6">
        <v>37023680</v>
      </c>
      <c r="UN60" s="6">
        <v>35873018</v>
      </c>
      <c r="UQ60" s="6">
        <v>0</v>
      </c>
      <c r="US60" s="6">
        <v>0</v>
      </c>
      <c r="UU60" s="6">
        <v>20000</v>
      </c>
      <c r="UV60" s="6">
        <v>20000</v>
      </c>
      <c r="UW60" s="6">
        <v>20000</v>
      </c>
      <c r="UX60" s="6">
        <v>0</v>
      </c>
      <c r="UY60" s="6">
        <v>20000</v>
      </c>
      <c r="UZ60" s="2" t="s">
        <v>1649</v>
      </c>
      <c r="VA60" s="2" t="s">
        <v>3288</v>
      </c>
      <c r="VB60" s="2" t="s">
        <v>17</v>
      </c>
      <c r="VI60" s="388" t="s">
        <v>4737</v>
      </c>
      <c r="VJ60" s="2" t="s">
        <v>98</v>
      </c>
      <c r="VK60" s="2" t="s">
        <v>185</v>
      </c>
      <c r="VL60" s="23">
        <f t="shared" si="22"/>
        <v>192</v>
      </c>
      <c r="VM60" s="17">
        <f t="shared" si="23"/>
        <v>2</v>
      </c>
      <c r="VN60" s="17" t="str">
        <f t="shared" si="24"/>
        <v>NC-GA-F</v>
      </c>
      <c r="VO60" s="17" t="str">
        <f t="shared" si="15"/>
        <v>NC-GA-F-Non</v>
      </c>
      <c r="VP60" s="57">
        <v>1</v>
      </c>
      <c r="VQ60" s="17">
        <f t="shared" si="25"/>
        <v>1.1100000000000001</v>
      </c>
      <c r="VR60" s="14">
        <f t="shared" si="26"/>
        <v>1</v>
      </c>
      <c r="VS60" s="14">
        <f t="shared" si="27"/>
        <v>0.87</v>
      </c>
      <c r="VT60" s="12">
        <f t="shared" si="28"/>
        <v>0.89</v>
      </c>
      <c r="VU60" s="29">
        <f t="shared" si="29"/>
        <v>7838393.7599999998</v>
      </c>
      <c r="VV60" s="29">
        <f t="shared" si="30"/>
        <v>81649.94</v>
      </c>
      <c r="VW60" s="351" t="str">
        <f t="shared" si="16"/>
        <v>A</v>
      </c>
      <c r="VX60" s="12" t="str">
        <f t="shared" si="31"/>
        <v>NC-GA-Non</v>
      </c>
      <c r="VY60" s="23">
        <f t="shared" si="17"/>
        <v>5</v>
      </c>
      <c r="WA60" s="12">
        <f t="shared" si="18"/>
        <v>0</v>
      </c>
      <c r="WB60" s="12">
        <f t="shared" si="19"/>
        <v>1</v>
      </c>
      <c r="WC60" s="12">
        <f t="shared" si="19"/>
        <v>0</v>
      </c>
      <c r="WD60" s="12">
        <f t="shared" si="19"/>
        <v>1</v>
      </c>
      <c r="WE60" s="12">
        <f t="shared" si="20"/>
        <v>0</v>
      </c>
      <c r="WF60" s="12">
        <f t="shared" si="32"/>
        <v>1</v>
      </c>
      <c r="WG60" s="12">
        <f t="shared" si="33"/>
        <v>0</v>
      </c>
      <c r="WH60" s="12">
        <f t="shared" si="34"/>
        <v>0</v>
      </c>
      <c r="WI60" s="22">
        <f t="shared" si="35"/>
        <v>3</v>
      </c>
      <c r="WK60" s="444" t="str">
        <f t="shared" si="21"/>
        <v>NC-GA-Non-BBY-BRN-PHA-F</v>
      </c>
      <c r="WL60" s="444"/>
      <c r="WM60" s="444"/>
    </row>
    <row r="61" spans="1:611" x14ac:dyDescent="0.25">
      <c r="A61" s="2">
        <v>9271</v>
      </c>
      <c r="B61" s="2" t="s">
        <v>4869</v>
      </c>
      <c r="C61" s="2" t="s">
        <v>4205</v>
      </c>
      <c r="D61" s="3">
        <v>45135</v>
      </c>
      <c r="E61" s="2" t="s">
        <v>9</v>
      </c>
      <c r="F61" s="2">
        <v>1</v>
      </c>
      <c r="G61" s="2" t="s">
        <v>9</v>
      </c>
      <c r="H61" s="2">
        <v>1</v>
      </c>
      <c r="I61" s="2" t="s">
        <v>11</v>
      </c>
      <c r="J61" s="2">
        <v>0</v>
      </c>
      <c r="K61" s="2" t="s">
        <v>9</v>
      </c>
      <c r="L61" s="2">
        <v>1</v>
      </c>
      <c r="M61" s="2" t="s">
        <v>10</v>
      </c>
      <c r="N61" s="2">
        <v>0</v>
      </c>
      <c r="O61" s="2" t="s">
        <v>10</v>
      </c>
      <c r="P61" s="2">
        <v>0</v>
      </c>
      <c r="Q61" s="2" t="s">
        <v>11</v>
      </c>
      <c r="R61" s="2">
        <v>0</v>
      </c>
      <c r="S61" s="2" t="s">
        <v>9</v>
      </c>
      <c r="T61" s="2">
        <v>2</v>
      </c>
      <c r="U61" s="2" t="s">
        <v>9</v>
      </c>
      <c r="V61" s="2">
        <v>2</v>
      </c>
      <c r="W61" s="2" t="s">
        <v>9</v>
      </c>
      <c r="X61" s="2">
        <v>2</v>
      </c>
      <c r="Y61" s="2" t="s">
        <v>12</v>
      </c>
      <c r="Z61" s="2" t="s">
        <v>15</v>
      </c>
      <c r="AA61" s="2" t="s">
        <v>15</v>
      </c>
      <c r="AB61" s="2" t="s">
        <v>15</v>
      </c>
      <c r="AC61" s="2" t="s">
        <v>15</v>
      </c>
      <c r="AD61" s="2" t="s">
        <v>15</v>
      </c>
      <c r="AE61" s="2" t="s">
        <v>15</v>
      </c>
      <c r="AF61" s="2">
        <v>0</v>
      </c>
      <c r="AG61" s="2" t="s">
        <v>234</v>
      </c>
      <c r="AH61" s="2" t="s">
        <v>17</v>
      </c>
      <c r="AI61" s="4">
        <v>0.15625</v>
      </c>
      <c r="AJ61" s="2" t="s">
        <v>17</v>
      </c>
      <c r="AK61" s="2" t="s">
        <v>9</v>
      </c>
      <c r="AL61" s="2" t="s">
        <v>17</v>
      </c>
      <c r="AM61" s="2" t="s">
        <v>9</v>
      </c>
      <c r="AN61" s="2" t="s">
        <v>17</v>
      </c>
      <c r="AO61" s="2" t="s">
        <v>17</v>
      </c>
      <c r="AP61" s="2" t="s">
        <v>17</v>
      </c>
      <c r="AQ61" s="2" t="s">
        <v>17</v>
      </c>
      <c r="AR61" s="2" t="s">
        <v>17</v>
      </c>
      <c r="AS61" s="2" t="s">
        <v>17</v>
      </c>
      <c r="AT61" s="2">
        <v>0</v>
      </c>
      <c r="AU61" s="5">
        <v>50000</v>
      </c>
      <c r="AV61" s="5">
        <v>460000</v>
      </c>
      <c r="AW61" s="2">
        <v>1</v>
      </c>
      <c r="AX61" s="2">
        <v>15</v>
      </c>
      <c r="AY61" s="2">
        <v>0</v>
      </c>
      <c r="AZ61" s="2">
        <v>17</v>
      </c>
      <c r="BA61" s="2">
        <v>0</v>
      </c>
      <c r="BB61" s="2">
        <v>1</v>
      </c>
      <c r="BC61" s="2">
        <v>1</v>
      </c>
      <c r="BD61" s="2">
        <v>0</v>
      </c>
      <c r="BE61" s="2">
        <v>1</v>
      </c>
      <c r="BF61" s="2">
        <v>1</v>
      </c>
      <c r="BG61" s="2">
        <v>0</v>
      </c>
      <c r="BH61" s="2">
        <v>0</v>
      </c>
      <c r="BI61" s="2">
        <v>13</v>
      </c>
      <c r="BJ61" s="2">
        <v>1</v>
      </c>
      <c r="BK61" s="2">
        <v>0</v>
      </c>
      <c r="BL61" s="2">
        <v>3</v>
      </c>
      <c r="BM61" s="2">
        <v>1</v>
      </c>
      <c r="BN61" s="2">
        <v>10</v>
      </c>
      <c r="BO61" s="2">
        <v>10</v>
      </c>
      <c r="BP61" s="2">
        <v>31.02</v>
      </c>
      <c r="BQ61" s="5">
        <v>9812100</v>
      </c>
      <c r="BR61" s="2">
        <v>1</v>
      </c>
      <c r="BS61" s="4">
        <v>0.06</v>
      </c>
      <c r="BT61" s="2" t="s">
        <v>9</v>
      </c>
      <c r="BU61" s="2" t="s">
        <v>17</v>
      </c>
      <c r="BV61" s="6">
        <v>100399.79</v>
      </c>
      <c r="BW61" s="2" t="s">
        <v>18</v>
      </c>
      <c r="BX61" s="2" t="s">
        <v>17</v>
      </c>
      <c r="BY61" s="2" t="s">
        <v>17</v>
      </c>
      <c r="BZ61" s="2" t="s">
        <v>17</v>
      </c>
      <c r="CA61" s="2" t="s">
        <v>17</v>
      </c>
      <c r="CB61" s="2" t="s">
        <v>17</v>
      </c>
      <c r="CC61" s="2" t="s">
        <v>17</v>
      </c>
      <c r="CE61" s="2" t="s">
        <v>4870</v>
      </c>
      <c r="CF61" s="2" t="s">
        <v>17</v>
      </c>
      <c r="CG61" s="2" t="s">
        <v>17</v>
      </c>
      <c r="DA61" s="2" t="s">
        <v>4871</v>
      </c>
      <c r="DB61" s="2" t="s">
        <v>4872</v>
      </c>
      <c r="DD61" s="2" t="s">
        <v>9</v>
      </c>
      <c r="DE61" s="2" t="s">
        <v>4873</v>
      </c>
      <c r="DF61" s="2" t="s">
        <v>4872</v>
      </c>
      <c r="DG61" s="2" t="s">
        <v>4874</v>
      </c>
      <c r="DH61" s="2" t="s">
        <v>4875</v>
      </c>
      <c r="DI61" s="2">
        <v>240</v>
      </c>
      <c r="DJ61" s="2" t="s">
        <v>795</v>
      </c>
      <c r="DK61" s="2">
        <v>2009</v>
      </c>
      <c r="DL61" s="2" t="s">
        <v>4209</v>
      </c>
      <c r="DM61" s="2" t="s">
        <v>4210</v>
      </c>
      <c r="DN61" s="2" t="s">
        <v>33</v>
      </c>
      <c r="DO61" s="2" t="s">
        <v>336</v>
      </c>
      <c r="DQ61" s="2" t="s">
        <v>338</v>
      </c>
      <c r="DR61" s="2" t="s">
        <v>36</v>
      </c>
      <c r="DS61" s="2">
        <v>1</v>
      </c>
      <c r="DT61" s="2" t="s">
        <v>3600</v>
      </c>
      <c r="DU61" s="2" t="s">
        <v>38</v>
      </c>
      <c r="DV61" s="2" t="s">
        <v>39</v>
      </c>
      <c r="DW61" s="2">
        <v>32405</v>
      </c>
      <c r="DX61" s="2" t="s">
        <v>3601</v>
      </c>
      <c r="DZ61" s="2" t="s">
        <v>341</v>
      </c>
      <c r="EA61" s="2" t="s">
        <v>36</v>
      </c>
      <c r="EB61" s="2" t="s">
        <v>3602</v>
      </c>
      <c r="EC61" s="2" t="s">
        <v>3603</v>
      </c>
      <c r="ED61" s="2" t="s">
        <v>44</v>
      </c>
      <c r="EE61" s="2">
        <v>259</v>
      </c>
      <c r="EF61" s="2" t="s">
        <v>810</v>
      </c>
      <c r="EG61" s="2">
        <v>10</v>
      </c>
      <c r="EH61" s="2" t="s">
        <v>46</v>
      </c>
      <c r="EI61" s="2" t="s">
        <v>47</v>
      </c>
      <c r="EJ61" s="2" t="s">
        <v>3604</v>
      </c>
      <c r="EK61" s="2" t="s">
        <v>3603</v>
      </c>
      <c r="EL61" s="2" t="s">
        <v>44</v>
      </c>
      <c r="EM61" s="2">
        <v>103</v>
      </c>
      <c r="EN61" s="2" t="s">
        <v>810</v>
      </c>
      <c r="EO61" s="2">
        <v>13</v>
      </c>
      <c r="EP61" s="2" t="s">
        <v>46</v>
      </c>
      <c r="EQ61" s="2" t="s">
        <v>47</v>
      </c>
      <c r="ER61" s="2" t="s">
        <v>630</v>
      </c>
      <c r="ES61" s="2" t="s">
        <v>514</v>
      </c>
      <c r="ET61" s="2" t="s">
        <v>4876</v>
      </c>
      <c r="EU61" s="2" t="s">
        <v>4877</v>
      </c>
      <c r="EV61" s="2" t="s">
        <v>4878</v>
      </c>
      <c r="EW61" s="2" t="s">
        <v>347</v>
      </c>
      <c r="EX61" s="2" t="s">
        <v>39</v>
      </c>
      <c r="EY61" s="2">
        <v>33309</v>
      </c>
      <c r="EZ61" s="2" t="s">
        <v>4879</v>
      </c>
      <c r="FB61" s="2" t="s">
        <v>4880</v>
      </c>
      <c r="FN61" s="2" t="s">
        <v>4881</v>
      </c>
      <c r="FO61" s="2" t="s">
        <v>63</v>
      </c>
      <c r="FP61" s="2" t="s">
        <v>64</v>
      </c>
      <c r="FQ61" s="2" t="s">
        <v>9</v>
      </c>
      <c r="FR61" s="2" t="s">
        <v>17</v>
      </c>
      <c r="FS61" s="2" t="s">
        <v>17</v>
      </c>
      <c r="FT61" s="2" t="s">
        <v>9</v>
      </c>
      <c r="FX61" s="2">
        <v>0</v>
      </c>
      <c r="FY61" s="2">
        <v>0</v>
      </c>
      <c r="FZ61" s="4">
        <v>0</v>
      </c>
      <c r="GA61" s="4">
        <v>0</v>
      </c>
      <c r="GB61" s="2" t="s">
        <v>65</v>
      </c>
      <c r="GC61" s="2" t="s">
        <v>66</v>
      </c>
      <c r="GD61" s="2" t="s">
        <v>67</v>
      </c>
      <c r="GE61" s="2" t="s">
        <v>68</v>
      </c>
      <c r="GH61" s="2">
        <v>96</v>
      </c>
      <c r="GQ61" s="2">
        <v>96</v>
      </c>
      <c r="GR61" s="2" t="s">
        <v>1197</v>
      </c>
      <c r="GS61" s="2" t="s">
        <v>70</v>
      </c>
      <c r="GT61" s="2" t="s">
        <v>4882</v>
      </c>
      <c r="GU61" s="2" t="s">
        <v>4554</v>
      </c>
      <c r="GV61" s="2" t="s">
        <v>17</v>
      </c>
      <c r="GW61" s="2">
        <v>26.658787</v>
      </c>
      <c r="GX61" s="2">
        <v>-81.990898999999999</v>
      </c>
      <c r="GZ61" s="2" t="s">
        <v>17</v>
      </c>
      <c r="HA61" s="2">
        <v>0</v>
      </c>
      <c r="HC61" s="2">
        <v>0</v>
      </c>
      <c r="HZ61" s="2" t="s">
        <v>595</v>
      </c>
      <c r="IA61" s="2">
        <v>0.74</v>
      </c>
      <c r="IB61" s="2">
        <v>3</v>
      </c>
      <c r="IF61" s="2" t="s">
        <v>76</v>
      </c>
      <c r="IG61" s="2">
        <v>0.74</v>
      </c>
      <c r="IH61" s="2">
        <v>3</v>
      </c>
      <c r="II61" s="2" t="s">
        <v>4883</v>
      </c>
      <c r="IJ61" s="2">
        <v>0.98</v>
      </c>
      <c r="IK61" s="2">
        <v>3</v>
      </c>
      <c r="IL61" s="2" t="s">
        <v>17</v>
      </c>
      <c r="IM61" s="2" t="s">
        <v>17</v>
      </c>
      <c r="IO61" s="2" t="s">
        <v>17</v>
      </c>
      <c r="IP61" s="2" t="s">
        <v>79</v>
      </c>
      <c r="IQ61" s="2" t="s">
        <v>79</v>
      </c>
      <c r="IR61" s="2">
        <v>0</v>
      </c>
      <c r="IS61" s="2">
        <v>9</v>
      </c>
      <c r="IT61" s="2">
        <v>0</v>
      </c>
      <c r="IU61" s="2">
        <v>9</v>
      </c>
      <c r="IV61" s="2" t="s">
        <v>80</v>
      </c>
      <c r="IW61" s="2" t="s">
        <v>9</v>
      </c>
      <c r="IX61" s="2" t="s">
        <v>9</v>
      </c>
      <c r="IY61" s="2">
        <v>9</v>
      </c>
      <c r="IZ61" s="2">
        <v>96</v>
      </c>
      <c r="JB61" s="2" t="s">
        <v>82</v>
      </c>
      <c r="JH61" s="7">
        <v>0</v>
      </c>
      <c r="JI61" s="2">
        <v>0</v>
      </c>
      <c r="JJ61" s="7">
        <v>0</v>
      </c>
      <c r="JK61" s="2">
        <v>0</v>
      </c>
      <c r="JL61" s="7">
        <v>0</v>
      </c>
      <c r="JN61" s="2">
        <v>15</v>
      </c>
      <c r="JQ61" s="2">
        <v>40</v>
      </c>
      <c r="JR61" s="2">
        <v>41</v>
      </c>
      <c r="JT61" s="2">
        <v>0</v>
      </c>
      <c r="JU61" s="2">
        <v>0</v>
      </c>
      <c r="JV61" s="2">
        <v>96</v>
      </c>
      <c r="JW61" s="4">
        <v>1</v>
      </c>
      <c r="JX61" s="2">
        <v>96</v>
      </c>
      <c r="JY61" s="4">
        <v>0.59582999999999997</v>
      </c>
      <c r="KE61" s="7">
        <v>0</v>
      </c>
      <c r="KF61" s="2">
        <v>0</v>
      </c>
      <c r="KH61" s="2">
        <v>24</v>
      </c>
      <c r="KK61" s="2">
        <v>48</v>
      </c>
      <c r="KL61" s="2">
        <v>24</v>
      </c>
      <c r="KQ61" s="2" t="s">
        <v>83</v>
      </c>
      <c r="KR61" s="2" t="s">
        <v>73</v>
      </c>
      <c r="KT61" s="2">
        <v>4</v>
      </c>
      <c r="KU61" s="2" t="s">
        <v>84</v>
      </c>
      <c r="KW61" s="2" t="s">
        <v>86</v>
      </c>
      <c r="KX61" s="2" t="s">
        <v>17</v>
      </c>
      <c r="KY61" s="2" t="s">
        <v>17</v>
      </c>
      <c r="KZ61" s="2" t="s">
        <v>17</v>
      </c>
      <c r="LA61" s="2" t="s">
        <v>17</v>
      </c>
      <c r="LB61" s="2" t="s">
        <v>17</v>
      </c>
      <c r="LC61" s="2" t="s">
        <v>17</v>
      </c>
      <c r="LD61" s="2" t="s">
        <v>17</v>
      </c>
      <c r="LE61" s="2" t="s">
        <v>17</v>
      </c>
      <c r="LF61" s="2" t="s">
        <v>17</v>
      </c>
      <c r="LG61" s="2" t="s">
        <v>17</v>
      </c>
      <c r="LH61" s="2" t="s">
        <v>17</v>
      </c>
      <c r="LI61" s="2" t="s">
        <v>17</v>
      </c>
      <c r="LJ61" s="2" t="s">
        <v>87</v>
      </c>
      <c r="LK61" s="2" t="s">
        <v>17</v>
      </c>
      <c r="LL61" s="2" t="s">
        <v>17</v>
      </c>
      <c r="LM61" s="2">
        <v>0</v>
      </c>
      <c r="LN61" s="2" t="s">
        <v>17</v>
      </c>
      <c r="LO61" s="2" t="s">
        <v>9</v>
      </c>
      <c r="LP61" s="2" t="s">
        <v>9</v>
      </c>
      <c r="LQ61" s="2" t="s">
        <v>17</v>
      </c>
      <c r="LR61" s="2" t="s">
        <v>9</v>
      </c>
      <c r="LS61" s="2" t="s">
        <v>17</v>
      </c>
      <c r="LT61" s="2" t="s">
        <v>17</v>
      </c>
      <c r="LU61" s="2" t="s">
        <v>17</v>
      </c>
      <c r="LV61" s="2" t="s">
        <v>17</v>
      </c>
      <c r="LW61" s="2" t="s">
        <v>17</v>
      </c>
      <c r="LX61" s="2" t="s">
        <v>17</v>
      </c>
      <c r="LY61" s="5">
        <v>6500000</v>
      </c>
      <c r="LZ61" s="5">
        <v>0</v>
      </c>
      <c r="MA61" s="5">
        <v>9120000</v>
      </c>
      <c r="MB61" s="5">
        <v>9110000</v>
      </c>
      <c r="MC61" s="5">
        <v>9110000</v>
      </c>
      <c r="MD61" s="5">
        <v>702100</v>
      </c>
      <c r="ME61" s="5">
        <v>702100</v>
      </c>
      <c r="MF61" s="5">
        <v>702100</v>
      </c>
      <c r="MG61" s="5">
        <v>10000000</v>
      </c>
      <c r="MH61" s="5">
        <v>0</v>
      </c>
      <c r="MI61" s="5">
        <v>10000000</v>
      </c>
      <c r="MJ61" s="5">
        <v>0</v>
      </c>
      <c r="MK61" s="5">
        <v>702100</v>
      </c>
      <c r="ML61" s="5">
        <v>0</v>
      </c>
      <c r="MM61" s="5">
        <v>0</v>
      </c>
      <c r="MN61" s="2">
        <v>0</v>
      </c>
      <c r="MO61" s="5">
        <v>0</v>
      </c>
      <c r="MP61" s="5">
        <v>0</v>
      </c>
      <c r="MQ61" s="2">
        <v>0</v>
      </c>
      <c r="MR61" s="2">
        <v>0</v>
      </c>
      <c r="MS61" s="2">
        <v>0</v>
      </c>
      <c r="MT61" s="5">
        <v>2950000</v>
      </c>
      <c r="MU61" s="5">
        <v>0</v>
      </c>
      <c r="MV61" s="5">
        <v>4600000</v>
      </c>
      <c r="MW61" s="5">
        <v>0</v>
      </c>
      <c r="MY61" s="5">
        <v>0</v>
      </c>
      <c r="MZ61" s="5">
        <v>0</v>
      </c>
      <c r="NA61" s="5">
        <v>0</v>
      </c>
      <c r="NB61" s="5">
        <v>2500000</v>
      </c>
      <c r="NC61" s="5">
        <v>0</v>
      </c>
      <c r="ND61" s="5">
        <v>5000000</v>
      </c>
      <c r="NE61" s="5">
        <v>0</v>
      </c>
      <c r="NF61" s="5">
        <v>0</v>
      </c>
      <c r="NG61" s="5">
        <v>0</v>
      </c>
      <c r="NH61" s="5"/>
      <c r="NI61" s="5">
        <v>0</v>
      </c>
      <c r="NJ61" s="5">
        <v>1418813</v>
      </c>
      <c r="NK61" s="2" t="s">
        <v>9</v>
      </c>
      <c r="NL61" s="2" t="s">
        <v>4292</v>
      </c>
      <c r="NM61" s="2" t="s">
        <v>17</v>
      </c>
      <c r="NO61" s="2" t="s">
        <v>9</v>
      </c>
      <c r="NP61" s="2">
        <v>33993</v>
      </c>
      <c r="NQ61" s="2" t="s">
        <v>4561</v>
      </c>
      <c r="NR61" s="2" t="s">
        <v>17</v>
      </c>
      <c r="NT61" s="2" t="s">
        <v>17</v>
      </c>
      <c r="NX61" s="2" t="s">
        <v>118</v>
      </c>
      <c r="NY61" s="2" t="s">
        <v>118</v>
      </c>
      <c r="NZ61" s="2" t="s">
        <v>118</v>
      </c>
      <c r="OA61" s="2" t="s">
        <v>17</v>
      </c>
      <c r="OB61" s="2" t="s">
        <v>119</v>
      </c>
      <c r="OC61" s="5">
        <v>15000000</v>
      </c>
      <c r="OF61" s="2" t="s">
        <v>17</v>
      </c>
      <c r="OG61" s="2" t="s">
        <v>17</v>
      </c>
      <c r="OH61" s="2" t="s">
        <v>85</v>
      </c>
      <c r="OI61" s="6">
        <v>0</v>
      </c>
      <c r="OJ61" s="6">
        <v>273300</v>
      </c>
      <c r="OK61" s="2" t="s">
        <v>17</v>
      </c>
      <c r="OL61" s="2" t="s">
        <v>17</v>
      </c>
      <c r="OM61" s="6">
        <v>0</v>
      </c>
      <c r="ON61" s="6">
        <v>0</v>
      </c>
      <c r="OO61" s="6">
        <v>0</v>
      </c>
      <c r="OP61" s="6">
        <v>0</v>
      </c>
      <c r="OQ61" s="4">
        <v>0</v>
      </c>
      <c r="OR61" s="6">
        <v>0</v>
      </c>
      <c r="OS61" s="4">
        <v>0</v>
      </c>
      <c r="OT61" s="2" t="s">
        <v>17</v>
      </c>
      <c r="OU61" s="2" t="s">
        <v>17</v>
      </c>
      <c r="OW61" s="2" t="s">
        <v>17</v>
      </c>
      <c r="OX61" s="5">
        <v>9638380</v>
      </c>
      <c r="OY61" s="6">
        <v>100399.79</v>
      </c>
      <c r="PD61" s="8">
        <v>15793618</v>
      </c>
      <c r="PF61" s="8">
        <v>15793618</v>
      </c>
      <c r="PO61" s="8">
        <v>15793618</v>
      </c>
      <c r="PQ61" s="8">
        <v>15793618</v>
      </c>
      <c r="PR61" s="8">
        <v>2168406</v>
      </c>
      <c r="PT61" s="8">
        <v>2168406</v>
      </c>
      <c r="PU61" s="6">
        <v>2211106</v>
      </c>
      <c r="PV61" s="8">
        <v>17962024</v>
      </c>
      <c r="PX61" s="8">
        <v>17962024</v>
      </c>
      <c r="PY61" s="8">
        <v>882851</v>
      </c>
      <c r="QA61" s="8">
        <v>882851</v>
      </c>
      <c r="QB61" s="6">
        <v>898101.2</v>
      </c>
      <c r="QC61" s="8">
        <v>953714</v>
      </c>
      <c r="QD61" s="8">
        <v>198700</v>
      </c>
      <c r="QE61" s="8">
        <v>1152414</v>
      </c>
      <c r="QF61" s="8">
        <v>132114</v>
      </c>
      <c r="QH61" s="8">
        <v>132114</v>
      </c>
      <c r="QI61" s="8">
        <v>1649915</v>
      </c>
      <c r="QJ61" s="8">
        <v>64000</v>
      </c>
      <c r="QK61" s="8">
        <v>1713915</v>
      </c>
      <c r="QM61" s="8">
        <v>261549</v>
      </c>
      <c r="QN61" s="8">
        <v>261549</v>
      </c>
      <c r="QR61" s="8">
        <v>141967</v>
      </c>
      <c r="QS61" s="8">
        <v>215200</v>
      </c>
      <c r="QT61" s="8">
        <v>357167</v>
      </c>
      <c r="QU61" s="8">
        <v>2877710</v>
      </c>
      <c r="QV61" s="8">
        <v>739449</v>
      </c>
      <c r="QW61" s="8">
        <v>3617159</v>
      </c>
      <c r="QX61" s="8">
        <v>137216</v>
      </c>
      <c r="QZ61" s="8">
        <v>137216</v>
      </c>
      <c r="RA61" s="6">
        <v>180857.95</v>
      </c>
      <c r="RB61" s="8">
        <v>852009</v>
      </c>
      <c r="RC61" s="8">
        <v>574881</v>
      </c>
      <c r="RD61" s="8">
        <v>1426890</v>
      </c>
      <c r="RE61" s="8">
        <v>108500</v>
      </c>
      <c r="RF61" s="8">
        <v>108500</v>
      </c>
      <c r="RG61" s="8">
        <v>76439</v>
      </c>
      <c r="RH61" s="8">
        <v>395954</v>
      </c>
      <c r="RI61" s="8">
        <v>472393</v>
      </c>
      <c r="RJ61" s="8">
        <v>928448</v>
      </c>
      <c r="RK61" s="8">
        <v>1079335</v>
      </c>
      <c r="RL61" s="8">
        <v>2007783</v>
      </c>
      <c r="RT61" s="8">
        <v>22788249</v>
      </c>
      <c r="RU61" s="8">
        <v>1818784</v>
      </c>
      <c r="RV61" s="8">
        <v>24607033</v>
      </c>
      <c r="RY61" s="2">
        <v>0</v>
      </c>
      <c r="RZ61" s="6">
        <v>0</v>
      </c>
      <c r="SA61" s="8">
        <v>4429000</v>
      </c>
      <c r="SC61" s="8">
        <v>4429000</v>
      </c>
      <c r="SD61" s="6">
        <v>4429265</v>
      </c>
      <c r="SE61" s="8">
        <v>4429000</v>
      </c>
      <c r="SF61" s="8">
        <v>4429000</v>
      </c>
      <c r="SG61" s="6">
        <v>4429265</v>
      </c>
      <c r="SH61" s="8">
        <v>255986</v>
      </c>
      <c r="SI61" s="8">
        <v>255986</v>
      </c>
      <c r="SJ61" s="6">
        <v>336000</v>
      </c>
      <c r="SK61" s="8">
        <v>2155000</v>
      </c>
      <c r="SL61" s="8">
        <v>2155000</v>
      </c>
      <c r="SM61" s="8">
        <v>27217249</v>
      </c>
      <c r="SN61" s="8">
        <v>4229770</v>
      </c>
      <c r="SO61" s="8">
        <v>31447019</v>
      </c>
      <c r="SP61" s="8">
        <v>15000000</v>
      </c>
      <c r="SQ61" s="2" t="s">
        <v>4295</v>
      </c>
      <c r="SX61" s="8">
        <v>9812100</v>
      </c>
      <c r="SY61" s="2" t="s">
        <v>96</v>
      </c>
      <c r="SZ61" s="2" t="s">
        <v>96</v>
      </c>
      <c r="TA61" s="2" t="s">
        <v>96</v>
      </c>
      <c r="TB61" s="8">
        <v>9575934</v>
      </c>
      <c r="TF61" s="2">
        <v>0</v>
      </c>
      <c r="TG61" s="8">
        <v>34388034</v>
      </c>
      <c r="TH61" s="8">
        <v>2941015</v>
      </c>
      <c r="TI61" s="8">
        <v>6100000</v>
      </c>
      <c r="TJ61" s="2" t="s">
        <v>95</v>
      </c>
      <c r="TR61" s="8">
        <v>9812100</v>
      </c>
      <c r="TS61" s="8">
        <v>12767912</v>
      </c>
      <c r="TZ61" s="8">
        <v>2767007</v>
      </c>
      <c r="UA61" s="8">
        <v>31447019</v>
      </c>
      <c r="UB61" s="6">
        <v>15912100</v>
      </c>
      <c r="UC61" s="2">
        <v>0</v>
      </c>
      <c r="UD61" s="2">
        <v>96</v>
      </c>
      <c r="UE61" s="5">
        <v>220000</v>
      </c>
      <c r="UF61" s="6">
        <v>293333.33</v>
      </c>
      <c r="UG61" s="6">
        <v>300833.33</v>
      </c>
      <c r="UH61" s="6">
        <v>318883.33</v>
      </c>
      <c r="UI61" s="6">
        <v>30612800</v>
      </c>
      <c r="UJ61" s="6">
        <v>5510304</v>
      </c>
      <c r="UK61" s="2" t="s">
        <v>97</v>
      </c>
      <c r="UL61" s="6">
        <v>5510304</v>
      </c>
      <c r="UM61" s="6">
        <v>36123104</v>
      </c>
      <c r="UN61" s="6">
        <v>29036033</v>
      </c>
      <c r="UQ61" s="6">
        <v>0</v>
      </c>
      <c r="US61" s="6">
        <v>0</v>
      </c>
      <c r="UV61" s="6">
        <v>0</v>
      </c>
      <c r="UW61" s="6">
        <v>0</v>
      </c>
      <c r="UX61" s="6">
        <v>0</v>
      </c>
      <c r="UY61" s="6">
        <v>0</v>
      </c>
      <c r="VB61" s="2" t="s">
        <v>17</v>
      </c>
      <c r="VI61" s="388" t="s">
        <v>4884</v>
      </c>
      <c r="VJ61" s="2" t="s">
        <v>98</v>
      </c>
      <c r="VK61" s="2" t="s">
        <v>4885</v>
      </c>
      <c r="VL61" s="23">
        <f t="shared" si="22"/>
        <v>192</v>
      </c>
      <c r="VM61" s="17">
        <f t="shared" si="23"/>
        <v>2</v>
      </c>
      <c r="VN61" s="17" t="str">
        <f t="shared" si="24"/>
        <v>NC-GA-F</v>
      </c>
      <c r="VO61" s="17" t="str">
        <f t="shared" si="15"/>
        <v>NC-GA-F-Non</v>
      </c>
      <c r="VP61" s="57">
        <v>1</v>
      </c>
      <c r="VQ61" s="17">
        <f t="shared" si="25"/>
        <v>1.1100000000000001</v>
      </c>
      <c r="VR61" s="14">
        <f t="shared" si="26"/>
        <v>1</v>
      </c>
      <c r="VS61" s="14">
        <f t="shared" si="27"/>
        <v>1</v>
      </c>
      <c r="VT61" s="12">
        <f t="shared" si="28"/>
        <v>0.89</v>
      </c>
      <c r="VU61" s="29">
        <f t="shared" si="29"/>
        <v>8999769</v>
      </c>
      <c r="VV61" s="29">
        <f t="shared" si="30"/>
        <v>93747.59</v>
      </c>
      <c r="VW61" s="351" t="str">
        <f t="shared" si="16"/>
        <v>B</v>
      </c>
      <c r="VX61" s="12" t="str">
        <f t="shared" si="31"/>
        <v>NC-GA-Non</v>
      </c>
      <c r="VY61" s="23">
        <f t="shared" si="17"/>
        <v>5</v>
      </c>
      <c r="WA61" s="12">
        <f t="shared" si="18"/>
        <v>0</v>
      </c>
      <c r="WB61" s="12">
        <f t="shared" si="19"/>
        <v>1</v>
      </c>
      <c r="WC61" s="12">
        <f t="shared" si="19"/>
        <v>0</v>
      </c>
      <c r="WD61" s="12">
        <f t="shared" si="19"/>
        <v>0</v>
      </c>
      <c r="WE61" s="12">
        <f t="shared" si="20"/>
        <v>0</v>
      </c>
      <c r="WF61" s="12">
        <f t="shared" si="32"/>
        <v>1</v>
      </c>
      <c r="WG61" s="12">
        <f t="shared" si="33"/>
        <v>0</v>
      </c>
      <c r="WH61" s="12">
        <f t="shared" si="34"/>
        <v>0</v>
      </c>
      <c r="WI61" s="22">
        <f t="shared" si="35"/>
        <v>2</v>
      </c>
      <c r="WK61" s="444" t="str">
        <f t="shared" si="21"/>
        <v>NC-GA-Non-BBY-BRN-NPH-F</v>
      </c>
      <c r="WL61" s="444"/>
      <c r="WM61" s="444"/>
    </row>
    <row r="62" spans="1:611" x14ac:dyDescent="0.25">
      <c r="A62" s="2">
        <v>9266</v>
      </c>
      <c r="B62" s="2" t="s">
        <v>4886</v>
      </c>
      <c r="C62" s="2" t="s">
        <v>4205</v>
      </c>
      <c r="D62" s="3">
        <v>45128</v>
      </c>
      <c r="E62" s="2" t="s">
        <v>9</v>
      </c>
      <c r="F62" s="2">
        <v>1</v>
      </c>
      <c r="G62" s="2" t="s">
        <v>9</v>
      </c>
      <c r="H62" s="2">
        <v>1</v>
      </c>
      <c r="I62" s="2" t="s">
        <v>11</v>
      </c>
      <c r="J62" s="2">
        <v>0</v>
      </c>
      <c r="K62" s="2" t="s">
        <v>9</v>
      </c>
      <c r="L62" s="2">
        <v>1</v>
      </c>
      <c r="M62" s="2" t="s">
        <v>10</v>
      </c>
      <c r="N62" s="2">
        <v>0</v>
      </c>
      <c r="O62" s="2" t="s">
        <v>10</v>
      </c>
      <c r="P62" s="2">
        <v>0</v>
      </c>
      <c r="Q62" s="2" t="s">
        <v>11</v>
      </c>
      <c r="R62" s="2">
        <v>0</v>
      </c>
      <c r="S62" s="2" t="s">
        <v>9</v>
      </c>
      <c r="T62" s="2">
        <v>2</v>
      </c>
      <c r="U62" s="2" t="s">
        <v>9</v>
      </c>
      <c r="V62" s="2">
        <v>2</v>
      </c>
      <c r="W62" s="2" t="s">
        <v>9</v>
      </c>
      <c r="X62" s="2">
        <v>2</v>
      </c>
      <c r="Y62" s="2" t="s">
        <v>12</v>
      </c>
      <c r="Z62" s="2" t="s">
        <v>15</v>
      </c>
      <c r="AA62" s="2" t="s">
        <v>15</v>
      </c>
      <c r="AB62" s="2" t="s">
        <v>15</v>
      </c>
      <c r="AC62" s="2" t="s">
        <v>15</v>
      </c>
      <c r="AD62" s="2" t="s">
        <v>15</v>
      </c>
      <c r="AE62" s="2" t="s">
        <v>15</v>
      </c>
      <c r="AF62" s="2">
        <v>0</v>
      </c>
      <c r="AG62" s="2" t="s">
        <v>234</v>
      </c>
      <c r="AH62" s="2" t="s">
        <v>17</v>
      </c>
      <c r="AI62" s="4">
        <v>0.1</v>
      </c>
      <c r="AJ62" s="2" t="s">
        <v>17</v>
      </c>
      <c r="AK62" s="2" t="s">
        <v>9</v>
      </c>
      <c r="AL62" s="2" t="s">
        <v>17</v>
      </c>
      <c r="AM62" s="2" t="s">
        <v>17</v>
      </c>
      <c r="AN62" s="2" t="s">
        <v>17</v>
      </c>
      <c r="AO62" s="2" t="s">
        <v>9</v>
      </c>
      <c r="AP62" s="2" t="s">
        <v>17</v>
      </c>
      <c r="AQ62" s="2" t="s">
        <v>17</v>
      </c>
      <c r="AR62" s="2" t="s">
        <v>17</v>
      </c>
      <c r="AS62" s="2" t="s">
        <v>17</v>
      </c>
      <c r="AT62" s="2">
        <v>5</v>
      </c>
      <c r="AU62" s="5">
        <v>5000</v>
      </c>
      <c r="AV62" s="2" t="s">
        <v>85</v>
      </c>
      <c r="AW62" s="2">
        <v>0</v>
      </c>
      <c r="AX62" s="2">
        <v>6</v>
      </c>
      <c r="AY62" s="2">
        <v>0</v>
      </c>
      <c r="AZ62" s="2">
        <v>11</v>
      </c>
      <c r="BA62" s="2">
        <v>0</v>
      </c>
      <c r="BB62" s="2">
        <v>1</v>
      </c>
      <c r="BC62" s="2">
        <v>1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13</v>
      </c>
      <c r="BJ62" s="2">
        <v>1</v>
      </c>
      <c r="BK62" s="2">
        <v>0</v>
      </c>
      <c r="BL62" s="2">
        <v>3</v>
      </c>
      <c r="BM62" s="2">
        <v>1</v>
      </c>
      <c r="BN62" s="2">
        <v>10</v>
      </c>
      <c r="BO62" s="2">
        <v>9</v>
      </c>
      <c r="BP62" s="2">
        <v>30.99</v>
      </c>
      <c r="BQ62" s="5">
        <v>8609400</v>
      </c>
      <c r="BR62" s="2">
        <v>1</v>
      </c>
      <c r="BS62" s="4">
        <v>0.06</v>
      </c>
      <c r="BT62" s="2" t="s">
        <v>9</v>
      </c>
      <c r="BU62" s="2" t="s">
        <v>17</v>
      </c>
      <c r="BV62" s="6">
        <v>100510</v>
      </c>
      <c r="BW62" s="2" t="s">
        <v>18</v>
      </c>
      <c r="BX62" s="2" t="s">
        <v>17</v>
      </c>
      <c r="BY62" s="2" t="s">
        <v>17</v>
      </c>
      <c r="BZ62" s="2" t="s">
        <v>17</v>
      </c>
      <c r="CA62" s="2" t="s">
        <v>17</v>
      </c>
      <c r="CB62" s="2" t="s">
        <v>17</v>
      </c>
      <c r="CC62" s="2" t="s">
        <v>17</v>
      </c>
      <c r="CD62" s="2" t="s">
        <v>17</v>
      </c>
      <c r="CE62" s="2" t="s">
        <v>4887</v>
      </c>
      <c r="CF62" s="2" t="s">
        <v>17</v>
      </c>
      <c r="CG62" s="2" t="s">
        <v>17</v>
      </c>
      <c r="DA62" s="2" t="s">
        <v>4888</v>
      </c>
      <c r="DD62" s="2" t="s">
        <v>9</v>
      </c>
      <c r="DE62" s="2" t="s">
        <v>4889</v>
      </c>
      <c r="DF62" s="2" t="s">
        <v>4888</v>
      </c>
      <c r="DG62" s="2" t="s">
        <v>4890</v>
      </c>
      <c r="DH62" s="2" t="s">
        <v>622</v>
      </c>
      <c r="DI62" s="2">
        <v>64</v>
      </c>
      <c r="DJ62" s="2" t="s">
        <v>461</v>
      </c>
      <c r="DK62" s="2">
        <v>2018</v>
      </c>
      <c r="DL62" s="2" t="s">
        <v>4209</v>
      </c>
      <c r="DM62" s="2" t="s">
        <v>4210</v>
      </c>
      <c r="DN62" s="2" t="s">
        <v>33</v>
      </c>
      <c r="DO62" s="2" t="s">
        <v>801</v>
      </c>
      <c r="DQ62" s="2" t="s">
        <v>4891</v>
      </c>
      <c r="DR62" s="2" t="s">
        <v>4892</v>
      </c>
      <c r="DS62" s="2">
        <v>1</v>
      </c>
      <c r="DT62" s="2" t="s">
        <v>4893</v>
      </c>
      <c r="DU62" s="2" t="s">
        <v>1746</v>
      </c>
      <c r="DV62" s="2" t="s">
        <v>1747</v>
      </c>
      <c r="DW62" s="2">
        <v>35242</v>
      </c>
      <c r="DX62" s="2" t="s">
        <v>4894</v>
      </c>
      <c r="DZ62" s="2" t="s">
        <v>4895</v>
      </c>
      <c r="EA62" s="2" t="s">
        <v>4896</v>
      </c>
      <c r="EB62" s="2" t="s">
        <v>4890</v>
      </c>
      <c r="EC62" s="2" t="s">
        <v>622</v>
      </c>
      <c r="ED62" s="2" t="s">
        <v>44</v>
      </c>
      <c r="EE62" s="2">
        <v>64</v>
      </c>
      <c r="EF62" s="2" t="s">
        <v>473</v>
      </c>
      <c r="EG62" s="2">
        <v>5</v>
      </c>
      <c r="EH62" s="2" t="s">
        <v>46</v>
      </c>
      <c r="EI62" s="2" t="s">
        <v>47</v>
      </c>
      <c r="EJ62" s="2" t="s">
        <v>4897</v>
      </c>
      <c r="EK62" s="2" t="s">
        <v>4898</v>
      </c>
      <c r="EL62" s="2" t="s">
        <v>44</v>
      </c>
      <c r="EM62" s="2">
        <v>94</v>
      </c>
      <c r="EN62" s="2" t="s">
        <v>473</v>
      </c>
      <c r="EO62" s="2">
        <v>12</v>
      </c>
      <c r="EP62" s="2" t="s">
        <v>46</v>
      </c>
      <c r="EQ62" s="2" t="s">
        <v>47</v>
      </c>
      <c r="ER62" s="2" t="s">
        <v>4899</v>
      </c>
      <c r="ET62" s="2" t="s">
        <v>4900</v>
      </c>
      <c r="EU62" s="2" t="s">
        <v>4901</v>
      </c>
      <c r="EV62" s="2" t="s">
        <v>4893</v>
      </c>
      <c r="EW62" s="2" t="s">
        <v>1746</v>
      </c>
      <c r="EX62" s="2" t="s">
        <v>1747</v>
      </c>
      <c r="EY62" s="2">
        <v>35242</v>
      </c>
      <c r="EZ62" s="2" t="s">
        <v>4902</v>
      </c>
      <c r="FA62" s="2">
        <v>2233</v>
      </c>
      <c r="FB62" s="2" t="s">
        <v>4903</v>
      </c>
      <c r="FC62" s="2" t="s">
        <v>4904</v>
      </c>
      <c r="FE62" s="2" t="s">
        <v>4905</v>
      </c>
      <c r="FF62" s="2" t="s">
        <v>4888</v>
      </c>
      <c r="FG62" s="2" t="s">
        <v>4893</v>
      </c>
      <c r="FH62" s="2" t="s">
        <v>1746</v>
      </c>
      <c r="FI62" s="2" t="s">
        <v>1747</v>
      </c>
      <c r="FJ62" s="2">
        <v>35242</v>
      </c>
      <c r="FK62" s="2" t="s">
        <v>4902</v>
      </c>
      <c r="FL62" s="2">
        <v>2221</v>
      </c>
      <c r="FM62" s="2" t="s">
        <v>4906</v>
      </c>
      <c r="FN62" s="2" t="s">
        <v>4907</v>
      </c>
      <c r="FO62" s="2" t="s">
        <v>63</v>
      </c>
      <c r="FP62" s="2" t="s">
        <v>64</v>
      </c>
      <c r="FQ62" s="2" t="s">
        <v>9</v>
      </c>
      <c r="FR62" s="2" t="s">
        <v>17</v>
      </c>
      <c r="FS62" s="2" t="s">
        <v>17</v>
      </c>
      <c r="FT62" s="2" t="s">
        <v>9</v>
      </c>
      <c r="FX62" s="2">
        <v>0</v>
      </c>
      <c r="FY62" s="2">
        <v>0</v>
      </c>
      <c r="FZ62" s="4">
        <v>0</v>
      </c>
      <c r="GA62" s="4">
        <v>0</v>
      </c>
      <c r="GB62" s="2" t="s">
        <v>65</v>
      </c>
      <c r="GC62" s="2" t="s">
        <v>66</v>
      </c>
      <c r="GD62" s="2" t="s">
        <v>67</v>
      </c>
      <c r="GE62" s="2" t="s">
        <v>68</v>
      </c>
      <c r="GF62" s="2">
        <v>0</v>
      </c>
      <c r="GH62" s="2">
        <v>84</v>
      </c>
      <c r="GQ62" s="2">
        <v>84</v>
      </c>
      <c r="GR62" s="2" t="s">
        <v>4908</v>
      </c>
      <c r="GS62" s="2" t="s">
        <v>268</v>
      </c>
      <c r="GT62" s="2" t="s">
        <v>4909</v>
      </c>
      <c r="GU62" s="2" t="s">
        <v>4910</v>
      </c>
      <c r="GV62" s="2" t="s">
        <v>17</v>
      </c>
      <c r="GW62" s="2">
        <v>30.7303</v>
      </c>
      <c r="GX62" s="2">
        <v>-86.123400000000004</v>
      </c>
      <c r="GZ62" s="2" t="s">
        <v>17</v>
      </c>
      <c r="HA62" s="2">
        <v>0</v>
      </c>
      <c r="HC62" s="2">
        <v>0</v>
      </c>
      <c r="IA62" s="2">
        <v>0</v>
      </c>
      <c r="IC62" s="2" t="s">
        <v>4911</v>
      </c>
      <c r="ID62" s="2">
        <v>0.53</v>
      </c>
      <c r="IE62" s="2">
        <v>3.5</v>
      </c>
      <c r="IF62" s="2" t="s">
        <v>4912</v>
      </c>
      <c r="IG62" s="2">
        <v>0.94</v>
      </c>
      <c r="IH62" s="2">
        <v>3</v>
      </c>
      <c r="II62" s="2" t="s">
        <v>4913</v>
      </c>
      <c r="IJ62" s="2">
        <v>0.72</v>
      </c>
      <c r="IK62" s="2">
        <v>4</v>
      </c>
      <c r="IL62" s="2" t="s">
        <v>17</v>
      </c>
      <c r="IM62" s="2" t="s">
        <v>17</v>
      </c>
      <c r="IO62" s="2" t="s">
        <v>17</v>
      </c>
      <c r="IP62" s="2" t="s">
        <v>79</v>
      </c>
      <c r="IQ62" s="2" t="s">
        <v>79</v>
      </c>
      <c r="IR62" s="2">
        <v>0</v>
      </c>
      <c r="IS62" s="2">
        <v>10.5</v>
      </c>
      <c r="IT62" s="2">
        <v>0</v>
      </c>
      <c r="IU62" s="2">
        <v>10.5</v>
      </c>
      <c r="IV62" s="2" t="s">
        <v>80</v>
      </c>
      <c r="IW62" s="2" t="s">
        <v>9</v>
      </c>
      <c r="IX62" s="2" t="s">
        <v>9</v>
      </c>
      <c r="IY62" s="2">
        <v>10.5</v>
      </c>
      <c r="IZ62" s="2">
        <v>84</v>
      </c>
      <c r="JA62" s="2" t="s">
        <v>3455</v>
      </c>
      <c r="JB62" s="2" t="s">
        <v>173</v>
      </c>
      <c r="JE62" s="7">
        <v>0.1</v>
      </c>
      <c r="JG62" s="7">
        <v>0.9</v>
      </c>
      <c r="JH62" s="7">
        <v>0</v>
      </c>
      <c r="JI62" s="2">
        <v>84</v>
      </c>
      <c r="JJ62" s="7">
        <v>1</v>
      </c>
      <c r="JK62" s="2">
        <v>84</v>
      </c>
      <c r="JL62" s="7">
        <v>1</v>
      </c>
      <c r="JT62" s="2">
        <v>0</v>
      </c>
      <c r="JU62" s="2">
        <v>0</v>
      </c>
      <c r="JV62" s="2">
        <v>0</v>
      </c>
      <c r="JW62" s="4">
        <v>0</v>
      </c>
      <c r="JX62" s="2">
        <v>0</v>
      </c>
      <c r="JY62" s="4">
        <v>0</v>
      </c>
      <c r="KB62" s="7">
        <v>0.1</v>
      </c>
      <c r="KD62" s="7">
        <v>0.9</v>
      </c>
      <c r="KE62" s="7">
        <v>1</v>
      </c>
      <c r="KF62" s="2">
        <v>84</v>
      </c>
      <c r="KH62" s="2">
        <v>18</v>
      </c>
      <c r="KK62" s="2">
        <v>42</v>
      </c>
      <c r="KL62" s="2">
        <v>24</v>
      </c>
      <c r="KQ62" s="2" t="s">
        <v>83</v>
      </c>
      <c r="KR62" s="2" t="s">
        <v>73</v>
      </c>
      <c r="KT62" s="2">
        <v>4</v>
      </c>
      <c r="KU62" s="2" t="s">
        <v>84</v>
      </c>
      <c r="KV62" s="2" t="s">
        <v>17</v>
      </c>
      <c r="KW62" s="2" t="s">
        <v>86</v>
      </c>
      <c r="KX62" s="2" t="s">
        <v>17</v>
      </c>
      <c r="KY62" s="2" t="s">
        <v>17</v>
      </c>
      <c r="KZ62" s="2" t="s">
        <v>17</v>
      </c>
      <c r="LA62" s="2" t="s">
        <v>17</v>
      </c>
      <c r="LB62" s="2" t="s">
        <v>17</v>
      </c>
      <c r="LC62" s="2" t="s">
        <v>17</v>
      </c>
      <c r="LD62" s="2" t="s">
        <v>17</v>
      </c>
      <c r="LE62" s="2" t="s">
        <v>17</v>
      </c>
      <c r="LF62" s="2" t="s">
        <v>17</v>
      </c>
      <c r="LG62" s="2" t="s">
        <v>17</v>
      </c>
      <c r="LH62" s="2" t="s">
        <v>17</v>
      </c>
      <c r="LI62" s="2" t="s">
        <v>17</v>
      </c>
      <c r="LJ62" s="2" t="s">
        <v>87</v>
      </c>
      <c r="LK62" s="2" t="s">
        <v>17</v>
      </c>
      <c r="LL62" s="2" t="s">
        <v>17</v>
      </c>
      <c r="LM62" s="2">
        <v>0</v>
      </c>
      <c r="LN62" s="2" t="s">
        <v>17</v>
      </c>
      <c r="LO62" s="2" t="s">
        <v>9</v>
      </c>
      <c r="LP62" s="2" t="s">
        <v>17</v>
      </c>
      <c r="LQ62" s="2" t="s">
        <v>17</v>
      </c>
      <c r="LR62" s="2" t="s">
        <v>9</v>
      </c>
      <c r="LS62" s="2" t="s">
        <v>9</v>
      </c>
      <c r="LT62" s="2" t="s">
        <v>17</v>
      </c>
      <c r="LU62" s="2" t="s">
        <v>17</v>
      </c>
      <c r="LV62" s="2" t="s">
        <v>17</v>
      </c>
      <c r="LW62" s="2" t="s">
        <v>17</v>
      </c>
      <c r="LX62" s="2" t="s">
        <v>17</v>
      </c>
      <c r="LY62" s="5">
        <v>6500000</v>
      </c>
      <c r="LZ62" s="5">
        <v>0</v>
      </c>
      <c r="MA62" s="5">
        <v>7980000</v>
      </c>
      <c r="MB62" s="5">
        <v>7980000</v>
      </c>
      <c r="MC62" s="5">
        <v>7980000</v>
      </c>
      <c r="MD62" s="5">
        <v>629400</v>
      </c>
      <c r="ME62" s="5">
        <v>629400</v>
      </c>
      <c r="MF62" s="5">
        <v>629400</v>
      </c>
      <c r="MG62" s="5">
        <v>8820000</v>
      </c>
      <c r="MH62" s="5">
        <v>0</v>
      </c>
      <c r="MI62" s="5">
        <v>8820000</v>
      </c>
      <c r="MJ62" s="5">
        <v>0</v>
      </c>
      <c r="MK62" s="5">
        <v>629400</v>
      </c>
      <c r="ML62" s="5">
        <v>0</v>
      </c>
      <c r="MM62" s="5">
        <v>0</v>
      </c>
      <c r="MN62" s="2">
        <v>0</v>
      </c>
      <c r="MO62" s="5">
        <v>0</v>
      </c>
      <c r="MP62" s="5">
        <v>0</v>
      </c>
      <c r="MQ62" s="2">
        <v>0</v>
      </c>
      <c r="MR62" s="2">
        <v>0</v>
      </c>
      <c r="MS62" s="2">
        <v>0</v>
      </c>
      <c r="MT62" s="5">
        <v>2950000</v>
      </c>
      <c r="MU62" s="5">
        <v>0</v>
      </c>
      <c r="MV62" s="5">
        <v>4600000</v>
      </c>
      <c r="MW62" s="5">
        <v>0</v>
      </c>
      <c r="MY62" s="5">
        <v>0</v>
      </c>
      <c r="MZ62" s="5">
        <v>0</v>
      </c>
      <c r="NA62" s="5">
        <v>0</v>
      </c>
      <c r="NB62" s="5">
        <v>2340000</v>
      </c>
      <c r="NC62" s="5">
        <v>0</v>
      </c>
      <c r="ND62" s="5">
        <v>5000000</v>
      </c>
      <c r="NE62" s="5">
        <v>0</v>
      </c>
      <c r="NF62" s="5">
        <v>0</v>
      </c>
      <c r="NG62" s="5">
        <v>0</v>
      </c>
      <c r="NH62" s="5"/>
      <c r="NI62" s="5">
        <v>0</v>
      </c>
      <c r="NJ62" s="5">
        <v>1318700</v>
      </c>
      <c r="NK62" s="2" t="s">
        <v>17</v>
      </c>
      <c r="NL62" s="2" t="s">
        <v>4292</v>
      </c>
      <c r="NM62" s="2" t="s">
        <v>17</v>
      </c>
      <c r="NO62" s="2" t="s">
        <v>17</v>
      </c>
      <c r="NR62" s="2" t="s">
        <v>17</v>
      </c>
      <c r="NT62" s="2" t="s">
        <v>9</v>
      </c>
      <c r="NU62" s="2" t="s">
        <v>450</v>
      </c>
      <c r="NV62" s="2">
        <v>9503.0400000000009</v>
      </c>
      <c r="NW62" s="2" t="s">
        <v>4914</v>
      </c>
      <c r="NX62" s="2" t="s">
        <v>118</v>
      </c>
      <c r="NY62" s="2" t="s">
        <v>118</v>
      </c>
      <c r="NZ62" s="2" t="s">
        <v>118</v>
      </c>
      <c r="OA62" s="2" t="s">
        <v>17</v>
      </c>
      <c r="OB62" s="2" t="s">
        <v>119</v>
      </c>
      <c r="OC62" s="5">
        <v>14400000</v>
      </c>
      <c r="OF62" s="2" t="s">
        <v>17</v>
      </c>
      <c r="OG62" s="2" t="s">
        <v>17</v>
      </c>
      <c r="OH62" s="2" t="s">
        <v>85</v>
      </c>
      <c r="OI62" s="6">
        <v>0</v>
      </c>
      <c r="OJ62" s="6">
        <v>239400</v>
      </c>
      <c r="OK62" s="2" t="s">
        <v>17</v>
      </c>
      <c r="OL62" s="2" t="s">
        <v>17</v>
      </c>
      <c r="OM62" s="6">
        <v>0</v>
      </c>
      <c r="ON62" s="6">
        <v>0</v>
      </c>
      <c r="OO62" s="6">
        <v>0</v>
      </c>
      <c r="OP62" s="6">
        <v>0</v>
      </c>
      <c r="OQ62" s="4">
        <v>0</v>
      </c>
      <c r="OR62" s="6">
        <v>0</v>
      </c>
      <c r="OS62" s="4">
        <v>0</v>
      </c>
      <c r="OT62" s="2" t="s">
        <v>17</v>
      </c>
      <c r="OU62" s="2" t="s">
        <v>17</v>
      </c>
      <c r="OW62" s="2" t="s">
        <v>17</v>
      </c>
      <c r="OX62" s="5">
        <v>8442840</v>
      </c>
      <c r="OY62" s="6">
        <v>100510</v>
      </c>
      <c r="PD62" s="8">
        <v>14279181</v>
      </c>
      <c r="PF62" s="8">
        <v>14279181</v>
      </c>
      <c r="PG62" s="8">
        <v>1931479</v>
      </c>
      <c r="PI62" s="8">
        <v>1931479</v>
      </c>
      <c r="PO62" s="8">
        <v>16210660</v>
      </c>
      <c r="PQ62" s="8">
        <v>16210660</v>
      </c>
      <c r="PR62" s="8">
        <v>2234400</v>
      </c>
      <c r="PT62" s="8">
        <v>2234400</v>
      </c>
      <c r="PU62" s="6">
        <v>2269492</v>
      </c>
      <c r="PV62" s="8">
        <v>18445060</v>
      </c>
      <c r="PX62" s="8">
        <v>18445060</v>
      </c>
      <c r="PY62" s="8">
        <v>798000</v>
      </c>
      <c r="QA62" s="8">
        <v>798000</v>
      </c>
      <c r="QB62" s="6">
        <v>922253</v>
      </c>
      <c r="QC62" s="8">
        <v>579900</v>
      </c>
      <c r="QD62" s="8">
        <v>30000</v>
      </c>
      <c r="QE62" s="8">
        <v>609900</v>
      </c>
      <c r="QF62" s="8">
        <v>50000</v>
      </c>
      <c r="QH62" s="8">
        <v>50000</v>
      </c>
      <c r="QI62" s="8">
        <v>410133</v>
      </c>
      <c r="QK62" s="8">
        <v>410133</v>
      </c>
      <c r="QM62" s="8">
        <v>433668</v>
      </c>
      <c r="QN62" s="8">
        <v>433668</v>
      </c>
      <c r="QU62" s="8">
        <v>1040033</v>
      </c>
      <c r="QV62" s="8">
        <v>463668</v>
      </c>
      <c r="QW62" s="8">
        <v>1503701</v>
      </c>
      <c r="RA62" s="6">
        <v>75185.05</v>
      </c>
      <c r="RB62" s="8">
        <v>1287710</v>
      </c>
      <c r="RC62" s="8">
        <v>368290</v>
      </c>
      <c r="RD62" s="8">
        <v>1656000</v>
      </c>
      <c r="RE62" s="8">
        <v>55000</v>
      </c>
      <c r="RF62" s="8">
        <v>55000</v>
      </c>
      <c r="RH62" s="8">
        <v>302250</v>
      </c>
      <c r="RI62" s="8">
        <v>302250</v>
      </c>
      <c r="RJ62" s="8">
        <v>1287710</v>
      </c>
      <c r="RK62" s="8">
        <v>725540</v>
      </c>
      <c r="RL62" s="8">
        <v>2013250</v>
      </c>
      <c r="RT62" s="8">
        <v>21570803</v>
      </c>
      <c r="RU62" s="8">
        <v>1189208</v>
      </c>
      <c r="RV62" s="8">
        <v>22760011</v>
      </c>
      <c r="RY62" s="2">
        <v>0</v>
      </c>
      <c r="RZ62" s="6">
        <v>0</v>
      </c>
      <c r="SA62" s="8">
        <v>3788822</v>
      </c>
      <c r="SC62" s="8">
        <v>3788822</v>
      </c>
      <c r="SD62" s="6">
        <v>4096801</v>
      </c>
      <c r="SE62" s="8">
        <v>3788822</v>
      </c>
      <c r="SF62" s="8">
        <v>3788822</v>
      </c>
      <c r="SG62" s="6">
        <v>4096801</v>
      </c>
      <c r="SJ62" s="6">
        <v>294000</v>
      </c>
      <c r="SK62" s="8">
        <v>715000</v>
      </c>
      <c r="SL62" s="8">
        <v>715000</v>
      </c>
      <c r="SM62" s="8">
        <v>25359625</v>
      </c>
      <c r="SN62" s="8">
        <v>1904208</v>
      </c>
      <c r="SO62" s="8">
        <v>27263833</v>
      </c>
      <c r="SP62" s="8">
        <v>14400000</v>
      </c>
      <c r="SQ62" s="2" t="s">
        <v>4295</v>
      </c>
      <c r="SR62" s="2">
        <v>0</v>
      </c>
      <c r="SX62" s="8">
        <v>8609400</v>
      </c>
      <c r="SY62" s="2" t="s">
        <v>96</v>
      </c>
      <c r="SZ62" s="2" t="s">
        <v>96</v>
      </c>
      <c r="TA62" s="2" t="s">
        <v>96</v>
      </c>
      <c r="TB62" s="8">
        <v>9638732</v>
      </c>
      <c r="TF62" s="2">
        <v>0</v>
      </c>
      <c r="TG62" s="8">
        <v>32648132</v>
      </c>
      <c r="TH62" s="8">
        <v>5384299</v>
      </c>
      <c r="TI62" s="8">
        <v>5500000</v>
      </c>
      <c r="TJ62" s="2" t="s">
        <v>4295</v>
      </c>
      <c r="TR62" s="8">
        <v>8609400</v>
      </c>
      <c r="TS62" s="8">
        <v>11339686</v>
      </c>
      <c r="TZ62" s="8">
        <v>1814747</v>
      </c>
      <c r="UA62" s="8">
        <v>27263833</v>
      </c>
      <c r="UB62" s="6">
        <v>14109400</v>
      </c>
      <c r="UC62" s="2">
        <v>0</v>
      </c>
      <c r="UD62" s="2">
        <v>84</v>
      </c>
      <c r="UE62" s="5">
        <v>220000</v>
      </c>
      <c r="UF62" s="6">
        <v>293333.33</v>
      </c>
      <c r="UG62" s="6">
        <v>300833.33</v>
      </c>
      <c r="UH62" s="6">
        <v>318883.33</v>
      </c>
      <c r="UI62" s="6">
        <v>26786200</v>
      </c>
      <c r="UJ62" s="6">
        <v>4821516</v>
      </c>
      <c r="UK62" s="2" t="s">
        <v>97</v>
      </c>
      <c r="UL62" s="6">
        <v>4821516</v>
      </c>
      <c r="UM62" s="6">
        <v>31607716</v>
      </c>
      <c r="UN62" s="6">
        <v>26548833</v>
      </c>
      <c r="UQ62" s="6">
        <v>0</v>
      </c>
      <c r="US62" s="6">
        <v>0</v>
      </c>
      <c r="UU62" s="6">
        <v>5000</v>
      </c>
      <c r="UV62" s="6">
        <v>5000</v>
      </c>
      <c r="UW62" s="6">
        <v>5000</v>
      </c>
      <c r="UX62" s="6">
        <v>0</v>
      </c>
      <c r="UY62" s="6">
        <v>5000</v>
      </c>
      <c r="UZ62" s="2" t="s">
        <v>4915</v>
      </c>
      <c r="VA62" s="2" t="s">
        <v>3288</v>
      </c>
      <c r="VB62" s="2" t="s">
        <v>17</v>
      </c>
      <c r="VI62" s="388" t="s">
        <v>4916</v>
      </c>
      <c r="VJ62" s="2" t="s">
        <v>98</v>
      </c>
      <c r="VK62" s="2" t="s">
        <v>4917</v>
      </c>
      <c r="VL62" s="23">
        <f t="shared" si="22"/>
        <v>174</v>
      </c>
      <c r="VM62" s="17">
        <f t="shared" si="23"/>
        <v>2.0714285714285716</v>
      </c>
      <c r="VN62" s="17" t="str">
        <f t="shared" si="24"/>
        <v>NC-GA-F</v>
      </c>
      <c r="VO62" s="17" t="str">
        <f t="shared" si="15"/>
        <v>NC-GA-F-Non</v>
      </c>
      <c r="VP62" s="57">
        <v>1</v>
      </c>
      <c r="VQ62" s="17">
        <f t="shared" si="25"/>
        <v>1.1100000000000001</v>
      </c>
      <c r="VR62" s="14">
        <f t="shared" si="26"/>
        <v>1</v>
      </c>
      <c r="VS62" s="14">
        <f t="shared" si="27"/>
        <v>1</v>
      </c>
      <c r="VT62" s="12">
        <f t="shared" si="28"/>
        <v>0.89</v>
      </c>
      <c r="VU62" s="29">
        <f t="shared" si="29"/>
        <v>7883442</v>
      </c>
      <c r="VV62" s="29">
        <f t="shared" si="30"/>
        <v>93850.5</v>
      </c>
      <c r="VW62" s="351" t="str">
        <f t="shared" si="16"/>
        <v>B</v>
      </c>
      <c r="VX62" s="12" t="str">
        <f t="shared" si="31"/>
        <v>NC-GA-Non</v>
      </c>
      <c r="VY62" s="23">
        <f>IF(RANK(VV62,VV$2:VV$62,1)&lt;=ROUNDUP(10%*VW$1,0),1,IF(RANK(VV62,VV$2:VV$62,1)&lt;=ROUNDUP(30%*VW$1,0),2,IF(RANK(VV62,VV$2:VV$62,1)&lt;=ROUNDUP(50%*VW$1,0),3,IF(RANK(VV62,VV$2:VV$62,1)&lt;=ROUNDUP(70%*VW$1,0),4,5))))</f>
        <v>5</v>
      </c>
      <c r="WA62" s="12">
        <f t="shared" si="18"/>
        <v>0</v>
      </c>
      <c r="WB62" s="12">
        <f t="shared" si="19"/>
        <v>1</v>
      </c>
      <c r="WC62" s="12">
        <f t="shared" si="19"/>
        <v>0</v>
      </c>
      <c r="WD62" s="12">
        <f t="shared" si="19"/>
        <v>0</v>
      </c>
      <c r="WE62" s="12">
        <f t="shared" si="20"/>
        <v>0</v>
      </c>
      <c r="WF62" s="12">
        <f t="shared" si="32"/>
        <v>1</v>
      </c>
      <c r="WG62" s="12">
        <f t="shared" si="33"/>
        <v>0</v>
      </c>
      <c r="WH62" s="12">
        <f t="shared" si="34"/>
        <v>0</v>
      </c>
      <c r="WI62" s="22">
        <f t="shared" si="35"/>
        <v>2</v>
      </c>
      <c r="WK62" s="444" t="str">
        <f t="shared" si="21"/>
        <v>NC-GA-Non-BBY-BRN-NPH-F</v>
      </c>
      <c r="WL62" s="444"/>
      <c r="WM62" s="444"/>
    </row>
    <row r="63" spans="1:611" x14ac:dyDescent="0.25">
      <c r="A63" s="172"/>
      <c r="B63" s="172"/>
      <c r="C63" s="172"/>
      <c r="D63" s="173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4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5"/>
      <c r="AV63" s="175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5"/>
      <c r="BR63" s="172"/>
      <c r="BS63" s="174"/>
      <c r="BT63" s="172"/>
      <c r="BU63" s="172"/>
      <c r="BV63" s="176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  <c r="DZ63" s="172"/>
      <c r="EA63" s="172"/>
      <c r="EB63" s="172"/>
      <c r="EC63" s="172"/>
      <c r="ED63" s="172"/>
      <c r="EE63" s="172"/>
      <c r="EF63" s="172"/>
      <c r="EG63" s="172"/>
      <c r="EH63" s="172"/>
      <c r="EI63" s="172"/>
      <c r="EJ63" s="172"/>
      <c r="EK63" s="172"/>
      <c r="EL63" s="172"/>
      <c r="EM63" s="172"/>
      <c r="EN63" s="172"/>
      <c r="EO63" s="172"/>
      <c r="EP63" s="172"/>
      <c r="EQ63" s="172"/>
      <c r="ER63" s="172"/>
      <c r="ES63" s="172"/>
      <c r="ET63" s="172"/>
      <c r="EU63" s="172"/>
      <c r="EV63" s="172"/>
      <c r="EW63" s="172"/>
      <c r="EX63" s="172"/>
      <c r="EY63" s="172"/>
      <c r="EZ63" s="172"/>
      <c r="FA63" s="172"/>
      <c r="FB63" s="172"/>
      <c r="FC63" s="172"/>
      <c r="FD63" s="172"/>
      <c r="FE63" s="172"/>
      <c r="FF63" s="172"/>
      <c r="FG63" s="172"/>
      <c r="FH63" s="172"/>
      <c r="FI63" s="172"/>
      <c r="FJ63" s="172"/>
      <c r="FK63" s="172"/>
      <c r="FL63" s="172"/>
      <c r="FM63" s="172"/>
      <c r="FN63" s="172"/>
      <c r="FO63" s="18"/>
      <c r="FZ63" s="4"/>
      <c r="GA63" s="4"/>
      <c r="GE63" s="172"/>
      <c r="GF63" s="172"/>
      <c r="GG63" s="172"/>
      <c r="GH63" s="172"/>
      <c r="GI63" s="172"/>
      <c r="GJ63" s="172"/>
      <c r="GK63" s="172"/>
      <c r="GL63" s="172"/>
      <c r="GM63" s="172"/>
      <c r="GN63" s="172"/>
      <c r="GO63" s="172"/>
      <c r="GP63" s="172"/>
      <c r="GQ63" s="172"/>
      <c r="GR63" s="172"/>
      <c r="GS63" s="172"/>
      <c r="GT63" s="172"/>
      <c r="GU63" s="172"/>
      <c r="GV63" s="172"/>
      <c r="GW63" s="172"/>
      <c r="GX63" s="172"/>
      <c r="GY63" s="172"/>
      <c r="GZ63" s="172"/>
      <c r="HA63" s="172"/>
      <c r="HB63" s="172"/>
      <c r="HC63" s="172"/>
      <c r="HD63" s="172"/>
      <c r="HE63" s="172"/>
      <c r="HF63" s="172"/>
      <c r="HG63" s="172"/>
      <c r="HH63" s="172"/>
      <c r="HI63" s="172"/>
      <c r="HJ63" s="172"/>
      <c r="HK63" s="172"/>
      <c r="HL63" s="172"/>
      <c r="HM63" s="172"/>
      <c r="HN63" s="172"/>
      <c r="HO63" s="172"/>
      <c r="HP63" s="172"/>
      <c r="HQ63" s="172"/>
      <c r="HR63" s="172"/>
      <c r="HS63" s="172"/>
      <c r="HT63" s="172"/>
      <c r="HU63" s="172"/>
      <c r="HV63" s="172"/>
      <c r="HW63" s="172"/>
      <c r="HX63" s="172"/>
      <c r="HY63" s="172"/>
      <c r="HZ63" s="172"/>
      <c r="IA63" s="172"/>
      <c r="IB63" s="172"/>
      <c r="IC63" s="172"/>
      <c r="ID63" s="172"/>
      <c r="IE63" s="172"/>
      <c r="IF63" s="172"/>
      <c r="IG63" s="172"/>
      <c r="IH63" s="172"/>
      <c r="II63" s="172"/>
      <c r="IJ63" s="172"/>
      <c r="IK63" s="172"/>
      <c r="IL63" s="172"/>
      <c r="IM63" s="172"/>
      <c r="IN63" s="172"/>
      <c r="IO63" s="172"/>
      <c r="IP63" s="172"/>
      <c r="IQ63" s="172"/>
      <c r="IR63" s="172"/>
      <c r="IS63" s="172"/>
      <c r="IT63" s="172"/>
      <c r="IU63" s="172"/>
      <c r="IV63" s="172"/>
      <c r="IW63" s="172"/>
      <c r="IX63" s="172"/>
      <c r="IY63" s="172"/>
      <c r="IZ63" s="172"/>
      <c r="JA63" s="172"/>
      <c r="JB63" s="172"/>
      <c r="JC63" s="178"/>
      <c r="JD63" s="172"/>
      <c r="JE63" s="172"/>
      <c r="JF63" s="172"/>
      <c r="JG63" s="178"/>
      <c r="JH63" s="178"/>
      <c r="JI63" s="172"/>
      <c r="JJ63" s="178"/>
      <c r="JK63" s="172"/>
      <c r="JL63" s="178"/>
      <c r="JM63" s="172"/>
      <c r="JN63" s="172"/>
      <c r="JO63" s="172"/>
      <c r="JP63" s="172"/>
      <c r="JQ63" s="172"/>
      <c r="JR63" s="172"/>
      <c r="JS63" s="172"/>
      <c r="JT63" s="172"/>
      <c r="JU63" s="172"/>
      <c r="JV63" s="172"/>
      <c r="JW63" s="174"/>
      <c r="JX63" s="172"/>
      <c r="JY63" s="174"/>
      <c r="JZ63" s="178"/>
      <c r="KA63" s="172"/>
      <c r="KB63" s="172"/>
      <c r="KC63" s="172"/>
      <c r="KD63" s="178"/>
      <c r="KE63" s="178"/>
      <c r="KF63" s="172"/>
      <c r="KG63" s="172"/>
      <c r="KH63" s="172"/>
      <c r="KI63" s="172"/>
      <c r="KJ63" s="172"/>
      <c r="KK63" s="172"/>
      <c r="KL63" s="172"/>
      <c r="KM63" s="172"/>
      <c r="KN63" s="172"/>
      <c r="KO63" s="172"/>
      <c r="KP63" s="172"/>
      <c r="KQ63" s="172"/>
      <c r="KR63" s="172"/>
      <c r="KS63" s="172"/>
      <c r="KT63" s="172"/>
      <c r="KU63" s="172"/>
      <c r="KV63" s="172"/>
      <c r="KW63" s="172"/>
      <c r="KX63" s="172"/>
      <c r="KY63" s="172"/>
      <c r="KZ63" s="172"/>
      <c r="LA63" s="172"/>
      <c r="LB63" s="172"/>
      <c r="LC63" s="172"/>
      <c r="LD63" s="172"/>
      <c r="LE63" s="172"/>
      <c r="LF63" s="172"/>
      <c r="LG63" s="172"/>
      <c r="LH63" s="172"/>
      <c r="LI63" s="172"/>
      <c r="LJ63" s="172"/>
      <c r="LK63" s="172"/>
      <c r="LL63" s="172"/>
      <c r="LM63" s="172"/>
      <c r="LN63" s="172"/>
      <c r="LO63" s="172"/>
      <c r="LP63" s="172"/>
      <c r="LQ63" s="172"/>
      <c r="LR63" s="172"/>
      <c r="LS63" s="172"/>
      <c r="LT63" s="172"/>
      <c r="LU63" s="172"/>
      <c r="LV63" s="172"/>
      <c r="LW63" s="172"/>
      <c r="LX63" s="172"/>
      <c r="LY63" s="175"/>
      <c r="LZ63" s="175"/>
      <c r="MA63" s="175"/>
      <c r="MB63" s="175"/>
      <c r="MC63" s="175"/>
      <c r="MD63" s="175"/>
      <c r="ME63" s="175"/>
      <c r="MF63" s="175"/>
      <c r="MG63" s="175"/>
      <c r="MH63" s="175"/>
      <c r="MI63" s="175"/>
      <c r="MJ63" s="175"/>
      <c r="MK63" s="175"/>
      <c r="ML63" s="175"/>
      <c r="MM63" s="175"/>
      <c r="MN63" s="172"/>
      <c r="MO63" s="175"/>
      <c r="MP63" s="175"/>
      <c r="MQ63" s="172"/>
      <c r="MR63" s="172"/>
      <c r="MS63" s="172"/>
      <c r="MT63" s="175"/>
      <c r="MU63" s="175"/>
      <c r="MV63" s="175"/>
      <c r="MW63" s="175"/>
      <c r="MX63" s="172"/>
      <c r="MY63" s="175"/>
      <c r="MZ63" s="175"/>
      <c r="NA63" s="175"/>
      <c r="NB63" s="175"/>
      <c r="NC63" s="175"/>
      <c r="ND63" s="175"/>
      <c r="NE63" s="175"/>
      <c r="NF63" s="175"/>
      <c r="NG63" s="175"/>
      <c r="NH63" s="175"/>
      <c r="NI63" s="175"/>
      <c r="NJ63" s="175"/>
      <c r="NK63" s="172"/>
      <c r="NL63" s="172"/>
      <c r="NM63" s="172"/>
      <c r="NN63" s="172"/>
      <c r="NO63" s="172"/>
      <c r="NP63" s="172"/>
      <c r="NQ63" s="172"/>
      <c r="NR63" s="172"/>
      <c r="NS63" s="172"/>
      <c r="NT63" s="172"/>
      <c r="NU63" s="172"/>
      <c r="NV63" s="172"/>
      <c r="NW63" s="172"/>
      <c r="NX63" s="172"/>
      <c r="NY63" s="172"/>
      <c r="NZ63" s="172"/>
      <c r="OA63" s="172"/>
      <c r="OB63" s="172"/>
      <c r="OC63" s="175"/>
      <c r="OD63" s="172"/>
      <c r="OE63" s="172"/>
      <c r="OF63" s="172"/>
      <c r="OG63" s="172"/>
      <c r="OH63" s="172"/>
      <c r="OI63" s="176"/>
      <c r="OJ63" s="176"/>
      <c r="OK63" s="172"/>
      <c r="OL63" s="172"/>
      <c r="OM63" s="176"/>
      <c r="ON63" s="176"/>
      <c r="OO63" s="176"/>
      <c r="OP63" s="176"/>
      <c r="OQ63" s="174"/>
      <c r="OR63" s="176"/>
      <c r="OS63" s="174"/>
      <c r="OT63" s="172"/>
      <c r="OU63" s="172"/>
      <c r="OV63" s="172"/>
      <c r="OW63" s="172"/>
      <c r="OX63" s="175"/>
      <c r="OY63" s="176"/>
      <c r="OZ63" s="179"/>
      <c r="PA63" s="179"/>
      <c r="PB63" s="172"/>
      <c r="PC63" s="172"/>
      <c r="PD63" s="172"/>
      <c r="PE63" s="172"/>
      <c r="PF63" s="172"/>
      <c r="PG63" s="179"/>
      <c r="PH63" s="172"/>
      <c r="PI63" s="179"/>
      <c r="PJ63" s="179"/>
      <c r="PK63" s="179"/>
      <c r="PL63" s="172"/>
      <c r="PM63" s="172"/>
      <c r="PN63" s="172"/>
      <c r="PO63" s="179"/>
      <c r="PP63" s="179"/>
      <c r="PQ63" s="179"/>
      <c r="PR63" s="179"/>
      <c r="PS63" s="172"/>
      <c r="PT63" s="179"/>
      <c r="PU63" s="176"/>
      <c r="PV63" s="179"/>
      <c r="PW63" s="179"/>
      <c r="PX63" s="179"/>
      <c r="PY63" s="179"/>
      <c r="PZ63" s="172"/>
      <c r="QA63" s="179"/>
      <c r="QB63" s="176"/>
      <c r="QC63" s="179"/>
      <c r="QD63" s="179"/>
      <c r="QE63" s="179"/>
      <c r="QF63" s="179"/>
      <c r="QG63" s="172"/>
      <c r="QH63" s="179"/>
      <c r="QI63" s="179"/>
      <c r="QJ63" s="172"/>
      <c r="QK63" s="179"/>
      <c r="QL63" s="172"/>
      <c r="QM63" s="179"/>
      <c r="QN63" s="179"/>
      <c r="QO63" s="179"/>
      <c r="QP63" s="179"/>
      <c r="QQ63" s="179"/>
      <c r="QR63" s="179"/>
      <c r="QS63" s="179"/>
      <c r="QT63" s="179"/>
      <c r="QU63" s="179"/>
      <c r="QV63" s="179"/>
      <c r="QW63" s="179"/>
      <c r="QX63" s="179"/>
      <c r="QY63" s="172"/>
      <c r="QZ63" s="179"/>
      <c r="RA63" s="176"/>
      <c r="RB63" s="179"/>
      <c r="RC63" s="172"/>
      <c r="RD63" s="179"/>
      <c r="RE63" s="179"/>
      <c r="RF63" s="179"/>
      <c r="RG63" s="179"/>
      <c r="RH63" s="179"/>
      <c r="RI63" s="179"/>
      <c r="RJ63" s="179"/>
      <c r="RK63" s="179"/>
      <c r="RL63" s="179"/>
      <c r="RM63" s="179"/>
      <c r="RN63" s="179"/>
      <c r="RO63" s="172"/>
      <c r="RP63" s="172"/>
      <c r="RQ63" s="179"/>
      <c r="RR63" s="172"/>
      <c r="RS63" s="179"/>
      <c r="RT63" s="179"/>
      <c r="RU63" s="179"/>
      <c r="RV63" s="179"/>
      <c r="RW63" s="179"/>
      <c r="RX63" s="172"/>
      <c r="RY63" s="179"/>
      <c r="RZ63" s="176"/>
      <c r="SA63" s="179"/>
      <c r="SB63" s="172"/>
      <c r="SC63" s="179"/>
      <c r="SD63" s="176"/>
      <c r="SE63" s="179"/>
      <c r="SF63" s="179"/>
      <c r="SG63" s="176"/>
      <c r="SH63" s="179"/>
      <c r="SI63" s="179"/>
      <c r="SJ63" s="176"/>
      <c r="SK63" s="179"/>
      <c r="SL63" s="179"/>
      <c r="SM63" s="179"/>
      <c r="SN63" s="179"/>
      <c r="SO63" s="179"/>
      <c r="SP63" s="179"/>
      <c r="SQ63" s="172"/>
      <c r="SR63" s="179"/>
      <c r="SS63" s="172"/>
      <c r="ST63" s="172"/>
      <c r="SU63" s="172"/>
      <c r="SV63" s="172"/>
      <c r="SW63" s="172"/>
      <c r="SX63" s="179"/>
      <c r="SY63" s="172"/>
      <c r="SZ63" s="172"/>
      <c r="TA63" s="172"/>
      <c r="TB63" s="179"/>
      <c r="TC63" s="172"/>
      <c r="TD63" s="179"/>
      <c r="TE63" s="172"/>
      <c r="TF63" s="179"/>
      <c r="TG63" s="179"/>
      <c r="TH63" s="172"/>
      <c r="TI63" s="179"/>
      <c r="TJ63" s="172"/>
      <c r="TK63" s="179"/>
      <c r="TL63" s="172"/>
      <c r="TM63" s="172"/>
      <c r="TN63" s="172"/>
      <c r="TO63" s="172"/>
      <c r="TP63" s="172"/>
      <c r="TQ63" s="172"/>
      <c r="TR63" s="179"/>
      <c r="TS63" s="179"/>
      <c r="TT63" s="172"/>
      <c r="TU63" s="179"/>
      <c r="TV63" s="172"/>
      <c r="TW63" s="172"/>
      <c r="TX63" s="172"/>
      <c r="TY63" s="172"/>
      <c r="TZ63" s="179"/>
      <c r="UA63" s="179"/>
      <c r="UB63" s="176"/>
      <c r="UC63" s="172"/>
      <c r="UD63" s="172"/>
      <c r="UE63" s="175"/>
      <c r="UF63" s="176"/>
      <c r="UG63" s="176"/>
      <c r="UH63" s="176"/>
      <c r="UI63" s="176"/>
      <c r="UJ63" s="176"/>
      <c r="UK63" s="176"/>
      <c r="UL63" s="176"/>
      <c r="UM63" s="176"/>
      <c r="UN63" s="176"/>
      <c r="UO63" s="172"/>
      <c r="UP63" s="172"/>
      <c r="UQ63" s="176"/>
      <c r="UR63" s="172"/>
      <c r="US63" s="176"/>
      <c r="UT63" s="172"/>
      <c r="UU63" s="172"/>
      <c r="UV63" s="176"/>
      <c r="UW63" s="176"/>
      <c r="UX63" s="176"/>
      <c r="UY63" s="176"/>
      <c r="UZ63" s="172"/>
      <c r="VA63" s="172"/>
      <c r="VB63" s="172"/>
      <c r="VC63" s="172"/>
      <c r="VD63" s="172"/>
      <c r="VE63" s="172"/>
      <c r="VF63" s="172"/>
      <c r="VG63" s="172"/>
      <c r="VH63" s="172"/>
      <c r="VI63" s="172"/>
      <c r="VJ63" s="172"/>
      <c r="VK63" s="172"/>
      <c r="VL63" s="180"/>
      <c r="VM63" s="181"/>
      <c r="VN63" s="181"/>
      <c r="VO63" s="181"/>
      <c r="VP63" s="183"/>
      <c r="VQ63" s="181"/>
      <c r="VR63" s="184"/>
      <c r="VS63" s="184"/>
      <c r="VT63" s="182"/>
      <c r="VU63" s="185"/>
      <c r="VV63" s="30"/>
      <c r="VW63" s="54"/>
      <c r="VX63" s="54"/>
      <c r="VY63" s="58"/>
      <c r="WA63" s="182"/>
      <c r="WB63" s="182"/>
      <c r="WC63" s="182"/>
      <c r="WD63" s="182"/>
      <c r="WE63" s="182"/>
      <c r="WF63" s="182"/>
      <c r="WG63" s="182"/>
      <c r="WH63" s="182"/>
      <c r="WI63" s="182"/>
    </row>
    <row r="64" spans="1:611" x14ac:dyDescent="0.25">
      <c r="A64" s="172"/>
      <c r="B64" s="172"/>
      <c r="C64" s="172"/>
      <c r="D64" s="173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4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5"/>
      <c r="AV64" s="175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5"/>
      <c r="BR64" s="172"/>
      <c r="BS64" s="174"/>
      <c r="BT64" s="172"/>
      <c r="BU64" s="172"/>
      <c r="BV64" s="176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  <c r="DZ64" s="172"/>
      <c r="EA64" s="172"/>
      <c r="EB64" s="172"/>
      <c r="EC64" s="172"/>
      <c r="ED64" s="172"/>
      <c r="EE64" s="172"/>
      <c r="EF64" s="172"/>
      <c r="EG64" s="172"/>
      <c r="EH64" s="172"/>
      <c r="EI64" s="172"/>
      <c r="EJ64" s="172"/>
      <c r="EK64" s="172"/>
      <c r="EL64" s="172"/>
      <c r="EM64" s="172"/>
      <c r="EN64" s="172"/>
      <c r="EO64" s="172"/>
      <c r="EP64" s="172"/>
      <c r="EQ64" s="172"/>
      <c r="ER64" s="172"/>
      <c r="ES64" s="172"/>
      <c r="ET64" s="172"/>
      <c r="EU64" s="172"/>
      <c r="EV64" s="172"/>
      <c r="EW64" s="172"/>
      <c r="EX64" s="172"/>
      <c r="EY64" s="172"/>
      <c r="EZ64" s="172"/>
      <c r="FA64" s="172"/>
      <c r="FB64" s="172"/>
      <c r="FC64" s="172"/>
      <c r="FD64" s="172"/>
      <c r="FE64" s="172"/>
      <c r="FF64" s="172"/>
      <c r="FG64" s="172"/>
      <c r="FH64" s="172"/>
      <c r="FI64" s="172"/>
      <c r="FJ64" s="172"/>
      <c r="FK64" s="172"/>
      <c r="FL64" s="172"/>
      <c r="FM64" s="172"/>
      <c r="FN64" s="172"/>
      <c r="FO64" s="18"/>
      <c r="FZ64" s="4"/>
      <c r="GA64" s="4"/>
      <c r="GE64" s="172"/>
      <c r="GF64" s="172"/>
      <c r="GG64" s="172"/>
      <c r="GH64" s="172"/>
      <c r="GI64" s="172"/>
      <c r="GJ64" s="172"/>
      <c r="GK64" s="172"/>
      <c r="GL64" s="172"/>
      <c r="GM64" s="172"/>
      <c r="GN64" s="172"/>
      <c r="GO64" s="172"/>
      <c r="GP64" s="172"/>
      <c r="GQ64" s="172"/>
      <c r="GR64" s="172"/>
      <c r="GS64" s="172"/>
      <c r="GT64" s="172"/>
      <c r="GU64" s="172"/>
      <c r="GV64" s="172"/>
      <c r="GW64" s="172"/>
      <c r="GX64" s="172"/>
      <c r="GY64" s="172"/>
      <c r="GZ64" s="172"/>
      <c r="HA64" s="172"/>
      <c r="HB64" s="172"/>
      <c r="HC64" s="172"/>
      <c r="HD64" s="172"/>
      <c r="HE64" s="172"/>
      <c r="HF64" s="172"/>
      <c r="HG64" s="172"/>
      <c r="HH64" s="172"/>
      <c r="HI64" s="172"/>
      <c r="HJ64" s="172"/>
      <c r="HK64" s="172"/>
      <c r="HL64" s="172"/>
      <c r="HM64" s="172"/>
      <c r="HN64" s="172"/>
      <c r="HO64" s="172"/>
      <c r="HP64" s="172"/>
      <c r="HQ64" s="172"/>
      <c r="HR64" s="172"/>
      <c r="HS64" s="172"/>
      <c r="HT64" s="172"/>
      <c r="HU64" s="172"/>
      <c r="HV64" s="172"/>
      <c r="HW64" s="172"/>
      <c r="HX64" s="172"/>
      <c r="HY64" s="172"/>
      <c r="HZ64" s="172"/>
      <c r="IA64" s="172"/>
      <c r="IB64" s="172"/>
      <c r="IC64" s="172"/>
      <c r="ID64" s="172"/>
      <c r="IE64" s="172"/>
      <c r="IF64" s="172"/>
      <c r="IG64" s="172"/>
      <c r="IH64" s="172"/>
      <c r="II64" s="172"/>
      <c r="IJ64" s="172"/>
      <c r="IK64" s="172"/>
      <c r="IL64" s="172"/>
      <c r="IM64" s="172"/>
      <c r="IN64" s="172"/>
      <c r="IO64" s="172"/>
      <c r="IP64" s="172"/>
      <c r="IQ64" s="172"/>
      <c r="IR64" s="172"/>
      <c r="IS64" s="172"/>
      <c r="IT64" s="172"/>
      <c r="IU64" s="172"/>
      <c r="IV64" s="172"/>
      <c r="IW64" s="172"/>
      <c r="IX64" s="172"/>
      <c r="IY64" s="172"/>
      <c r="IZ64" s="172"/>
      <c r="JA64" s="172"/>
      <c r="JB64" s="172"/>
      <c r="JC64" s="172"/>
      <c r="JD64" s="172"/>
      <c r="JE64" s="178"/>
      <c r="JF64" s="172"/>
      <c r="JG64" s="178"/>
      <c r="JH64" s="178"/>
      <c r="JI64" s="172"/>
      <c r="JJ64" s="178"/>
      <c r="JK64" s="172"/>
      <c r="JL64" s="178"/>
      <c r="JM64" s="172"/>
      <c r="JN64" s="172"/>
      <c r="JO64" s="172"/>
      <c r="JP64" s="172"/>
      <c r="JQ64" s="172"/>
      <c r="JR64" s="172"/>
      <c r="JS64" s="172"/>
      <c r="JT64" s="172"/>
      <c r="JU64" s="172"/>
      <c r="JV64" s="172"/>
      <c r="JW64" s="174"/>
      <c r="JX64" s="172"/>
      <c r="JY64" s="174"/>
      <c r="JZ64" s="172"/>
      <c r="KA64" s="172"/>
      <c r="KB64" s="178"/>
      <c r="KC64" s="172"/>
      <c r="KD64" s="178"/>
      <c r="KE64" s="178"/>
      <c r="KF64" s="172"/>
      <c r="KG64" s="172"/>
      <c r="KH64" s="172"/>
      <c r="KI64" s="172"/>
      <c r="KJ64" s="172"/>
      <c r="KK64" s="172"/>
      <c r="KL64" s="172"/>
      <c r="KM64" s="172"/>
      <c r="KN64" s="172"/>
      <c r="KO64" s="172"/>
      <c r="KP64" s="172"/>
      <c r="KQ64" s="172"/>
      <c r="KR64" s="172"/>
      <c r="KS64" s="172"/>
      <c r="KT64" s="172"/>
      <c r="KU64" s="172"/>
      <c r="KV64" s="172"/>
      <c r="KW64" s="172"/>
      <c r="KX64" s="172"/>
      <c r="KY64" s="172"/>
      <c r="KZ64" s="172"/>
      <c r="LA64" s="172"/>
      <c r="LB64" s="172"/>
      <c r="LC64" s="172"/>
      <c r="LD64" s="172"/>
      <c r="LE64" s="172"/>
      <c r="LF64" s="172"/>
      <c r="LG64" s="172"/>
      <c r="LH64" s="172"/>
      <c r="LI64" s="172"/>
      <c r="LJ64" s="172"/>
      <c r="LK64" s="172"/>
      <c r="LL64" s="172"/>
      <c r="LM64" s="172"/>
      <c r="LN64" s="172"/>
      <c r="LO64" s="172"/>
      <c r="LP64" s="172"/>
      <c r="LQ64" s="172"/>
      <c r="LR64" s="172"/>
      <c r="LS64" s="172"/>
      <c r="LT64" s="172"/>
      <c r="LU64" s="172"/>
      <c r="LV64" s="172"/>
      <c r="LW64" s="172"/>
      <c r="LX64" s="172"/>
      <c r="LY64" s="175"/>
      <c r="LZ64" s="175"/>
      <c r="MA64" s="175"/>
      <c r="MB64" s="175"/>
      <c r="MC64" s="175"/>
      <c r="MD64" s="175"/>
      <c r="ME64" s="175"/>
      <c r="MF64" s="175"/>
      <c r="MG64" s="175"/>
      <c r="MH64" s="175"/>
      <c r="MI64" s="175"/>
      <c r="MJ64" s="175"/>
      <c r="MK64" s="175"/>
      <c r="ML64" s="175"/>
      <c r="MM64" s="175"/>
      <c r="MN64" s="172"/>
      <c r="MO64" s="175"/>
      <c r="MP64" s="175"/>
      <c r="MQ64" s="172"/>
      <c r="MR64" s="172"/>
      <c r="MS64" s="172"/>
      <c r="MT64" s="175"/>
      <c r="MU64" s="175"/>
      <c r="MV64" s="175"/>
      <c r="MW64" s="175"/>
      <c r="MX64" s="172"/>
      <c r="MY64" s="175"/>
      <c r="MZ64" s="175"/>
      <c r="NA64" s="175"/>
      <c r="NB64" s="175"/>
      <c r="NC64" s="175"/>
      <c r="ND64" s="175"/>
      <c r="NE64" s="175"/>
      <c r="NF64" s="175"/>
      <c r="NG64" s="175"/>
      <c r="NH64" s="175"/>
      <c r="NI64" s="175"/>
      <c r="NJ64" s="175"/>
      <c r="NK64" s="172"/>
      <c r="NL64" s="172"/>
      <c r="NM64" s="172"/>
      <c r="NN64" s="172"/>
      <c r="NO64" s="172"/>
      <c r="NP64" s="172"/>
      <c r="NQ64" s="172"/>
      <c r="NR64" s="172"/>
      <c r="NS64" s="172"/>
      <c r="NT64" s="172"/>
      <c r="NU64" s="172"/>
      <c r="NV64" s="172"/>
      <c r="NW64" s="172"/>
      <c r="NX64" s="172"/>
      <c r="NY64" s="172"/>
      <c r="NZ64" s="172"/>
      <c r="OA64" s="172"/>
      <c r="OB64" s="172"/>
      <c r="OC64" s="175"/>
      <c r="OD64" s="172"/>
      <c r="OE64" s="172"/>
      <c r="OF64" s="172"/>
      <c r="OG64" s="172"/>
      <c r="OH64" s="172"/>
      <c r="OI64" s="176"/>
      <c r="OJ64" s="176"/>
      <c r="OK64" s="172"/>
      <c r="OL64" s="172"/>
      <c r="OM64" s="176"/>
      <c r="ON64" s="176"/>
      <c r="OO64" s="176"/>
      <c r="OP64" s="176"/>
      <c r="OQ64" s="174"/>
      <c r="OR64" s="176"/>
      <c r="OS64" s="174"/>
      <c r="OT64" s="172"/>
      <c r="OU64" s="172"/>
      <c r="OV64" s="172"/>
      <c r="OW64" s="172"/>
      <c r="OX64" s="175"/>
      <c r="OY64" s="176"/>
      <c r="OZ64" s="172"/>
      <c r="PA64" s="172"/>
      <c r="PB64" s="172"/>
      <c r="PC64" s="172"/>
      <c r="PD64" s="172"/>
      <c r="PE64" s="172"/>
      <c r="PF64" s="172"/>
      <c r="PG64" s="172"/>
      <c r="PH64" s="172"/>
      <c r="PI64" s="172"/>
      <c r="PJ64" s="179"/>
      <c r="PK64" s="179"/>
      <c r="PL64" s="172"/>
      <c r="PM64" s="172"/>
      <c r="PN64" s="172"/>
      <c r="PO64" s="179"/>
      <c r="PP64" s="172"/>
      <c r="PQ64" s="179"/>
      <c r="PR64" s="179"/>
      <c r="PS64" s="172"/>
      <c r="PT64" s="179"/>
      <c r="PU64" s="176"/>
      <c r="PV64" s="179"/>
      <c r="PW64" s="172"/>
      <c r="PX64" s="179"/>
      <c r="PY64" s="179"/>
      <c r="PZ64" s="172"/>
      <c r="QA64" s="179"/>
      <c r="QB64" s="176"/>
      <c r="QC64" s="179"/>
      <c r="QD64" s="179"/>
      <c r="QE64" s="179"/>
      <c r="QF64" s="179"/>
      <c r="QG64" s="172"/>
      <c r="QH64" s="179"/>
      <c r="QI64" s="179"/>
      <c r="QJ64" s="172"/>
      <c r="QK64" s="179"/>
      <c r="QL64" s="172"/>
      <c r="QM64" s="179"/>
      <c r="QN64" s="179"/>
      <c r="QO64" s="172"/>
      <c r="QP64" s="172"/>
      <c r="QQ64" s="172"/>
      <c r="QR64" s="179"/>
      <c r="QS64" s="179"/>
      <c r="QT64" s="179"/>
      <c r="QU64" s="179"/>
      <c r="QV64" s="179"/>
      <c r="QW64" s="179"/>
      <c r="QX64" s="172"/>
      <c r="QY64" s="172"/>
      <c r="QZ64" s="172"/>
      <c r="RA64" s="176"/>
      <c r="RB64" s="179"/>
      <c r="RC64" s="179"/>
      <c r="RD64" s="179"/>
      <c r="RE64" s="179"/>
      <c r="RF64" s="179"/>
      <c r="RG64" s="172"/>
      <c r="RH64" s="179"/>
      <c r="RI64" s="179"/>
      <c r="RJ64" s="179"/>
      <c r="RK64" s="179"/>
      <c r="RL64" s="179"/>
      <c r="RM64" s="179"/>
      <c r="RN64" s="179"/>
      <c r="RO64" s="172"/>
      <c r="RP64" s="172"/>
      <c r="RQ64" s="179"/>
      <c r="RR64" s="172"/>
      <c r="RS64" s="179"/>
      <c r="RT64" s="179"/>
      <c r="RU64" s="179"/>
      <c r="RV64" s="179"/>
      <c r="RW64" s="179"/>
      <c r="RX64" s="172"/>
      <c r="RY64" s="179"/>
      <c r="RZ64" s="176"/>
      <c r="SA64" s="179"/>
      <c r="SB64" s="172"/>
      <c r="SC64" s="179"/>
      <c r="SD64" s="176"/>
      <c r="SE64" s="179"/>
      <c r="SF64" s="179"/>
      <c r="SG64" s="176"/>
      <c r="SH64" s="179"/>
      <c r="SI64" s="179"/>
      <c r="SJ64" s="176"/>
      <c r="SK64" s="179"/>
      <c r="SL64" s="179"/>
      <c r="SM64" s="179"/>
      <c r="SN64" s="179"/>
      <c r="SO64" s="179"/>
      <c r="SP64" s="179"/>
      <c r="SQ64" s="172"/>
      <c r="SR64" s="172"/>
      <c r="SS64" s="172"/>
      <c r="ST64" s="172"/>
      <c r="SU64" s="172"/>
      <c r="SV64" s="172"/>
      <c r="SW64" s="172"/>
      <c r="SX64" s="179"/>
      <c r="SY64" s="172"/>
      <c r="SZ64" s="172"/>
      <c r="TA64" s="172"/>
      <c r="TB64" s="179"/>
      <c r="TC64" s="172"/>
      <c r="TD64" s="172"/>
      <c r="TE64" s="172"/>
      <c r="TF64" s="179"/>
      <c r="TG64" s="179"/>
      <c r="TH64" s="172"/>
      <c r="TI64" s="179"/>
      <c r="TJ64" s="172"/>
      <c r="TK64" s="172"/>
      <c r="TL64" s="172"/>
      <c r="TM64" s="172"/>
      <c r="TN64" s="172"/>
      <c r="TO64" s="172"/>
      <c r="TP64" s="172"/>
      <c r="TQ64" s="172"/>
      <c r="TR64" s="179"/>
      <c r="TS64" s="179"/>
      <c r="TT64" s="172"/>
      <c r="TU64" s="172"/>
      <c r="TV64" s="172"/>
      <c r="TW64" s="172"/>
      <c r="TX64" s="172"/>
      <c r="TY64" s="172"/>
      <c r="TZ64" s="179"/>
      <c r="UA64" s="179"/>
      <c r="UB64" s="176"/>
      <c r="UC64" s="172"/>
      <c r="UD64" s="172"/>
      <c r="UE64" s="175"/>
      <c r="UF64" s="176"/>
      <c r="UG64" s="176"/>
      <c r="UH64" s="176"/>
      <c r="UI64" s="176"/>
      <c r="UJ64" s="176"/>
      <c r="UK64" s="176"/>
      <c r="UL64" s="176"/>
      <c r="UM64" s="176"/>
      <c r="UN64" s="176"/>
      <c r="UO64" s="172"/>
      <c r="UP64" s="172"/>
      <c r="UQ64" s="176"/>
      <c r="UR64" s="172"/>
      <c r="US64" s="176"/>
      <c r="UT64" s="172"/>
      <c r="UU64" s="172"/>
      <c r="UV64" s="176"/>
      <c r="UW64" s="176"/>
      <c r="UX64" s="176"/>
      <c r="UY64" s="176"/>
      <c r="UZ64" s="172"/>
      <c r="VA64" s="172"/>
      <c r="VB64" s="172"/>
      <c r="VC64" s="172"/>
      <c r="VD64" s="172"/>
      <c r="VE64" s="172"/>
      <c r="VF64" s="172"/>
      <c r="VG64" s="172"/>
      <c r="VH64" s="172"/>
      <c r="VI64" s="172"/>
      <c r="VJ64" s="172"/>
      <c r="VK64" s="172"/>
      <c r="VL64" s="180"/>
      <c r="VM64" s="181"/>
      <c r="VN64" s="181"/>
      <c r="VO64" s="181"/>
      <c r="VP64" s="183"/>
      <c r="VQ64" s="181"/>
      <c r="VR64" s="184"/>
      <c r="VS64" s="184"/>
      <c r="VT64" s="182"/>
      <c r="VU64" s="185"/>
      <c r="VV64" s="30"/>
      <c r="VW64" s="54"/>
      <c r="VX64" s="54"/>
      <c r="VY64" s="58"/>
      <c r="WA64" s="182"/>
      <c r="WB64" s="182"/>
      <c r="WC64" s="182"/>
      <c r="WD64" s="182"/>
      <c r="WE64" s="182"/>
      <c r="WF64" s="182"/>
      <c r="WG64" s="182"/>
      <c r="WH64" s="182"/>
      <c r="WI64" s="182"/>
    </row>
    <row r="65" spans="1:613" x14ac:dyDescent="0.25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  <c r="IW65" s="68"/>
      <c r="IX65" s="68"/>
      <c r="IY65" s="68"/>
      <c r="IZ65" s="68"/>
      <c r="JA65" s="68"/>
      <c r="JB65" s="68"/>
      <c r="JC65" s="68"/>
      <c r="JD65" s="68"/>
      <c r="JE65" s="68"/>
      <c r="JF65" s="68"/>
      <c r="JG65" s="68"/>
      <c r="JH65" s="68"/>
      <c r="JI65" s="68"/>
      <c r="JJ65" s="68"/>
      <c r="JK65" s="68"/>
      <c r="JL65" s="68"/>
      <c r="JM65" s="68"/>
      <c r="JN65" s="68"/>
      <c r="JO65" s="68"/>
      <c r="JP65" s="68"/>
      <c r="JQ65" s="68"/>
      <c r="JR65" s="68"/>
      <c r="JS65" s="68"/>
      <c r="JT65" s="68"/>
      <c r="JU65" s="68"/>
      <c r="JV65" s="68"/>
      <c r="JW65" s="68"/>
      <c r="JX65" s="68"/>
      <c r="JY65" s="68"/>
      <c r="JZ65" s="68"/>
      <c r="KA65" s="68"/>
      <c r="KB65" s="68"/>
      <c r="KC65" s="68"/>
      <c r="KD65" s="68"/>
      <c r="KE65" s="68"/>
      <c r="KF65" s="68"/>
      <c r="KG65" s="68"/>
      <c r="KH65" s="68"/>
      <c r="KI65" s="68"/>
      <c r="KJ65" s="68"/>
      <c r="KK65" s="68"/>
      <c r="KL65" s="68"/>
      <c r="KM65" s="68"/>
      <c r="KN65" s="68"/>
      <c r="KO65" s="68"/>
      <c r="KP65" s="68"/>
      <c r="KQ65" s="68"/>
      <c r="KR65" s="68"/>
      <c r="KS65" s="68"/>
      <c r="KT65" s="68"/>
      <c r="KU65" s="68"/>
      <c r="KV65" s="68"/>
      <c r="KW65" s="68"/>
      <c r="KX65" s="68"/>
      <c r="KY65" s="68"/>
      <c r="KZ65" s="68"/>
      <c r="LA65" s="68"/>
      <c r="LB65" s="68"/>
      <c r="LC65" s="68"/>
      <c r="LD65" s="68"/>
      <c r="LE65" s="68"/>
      <c r="LF65" s="68"/>
      <c r="LG65" s="68"/>
      <c r="LH65" s="68"/>
      <c r="LI65" s="68"/>
      <c r="LJ65" s="68"/>
      <c r="LK65" s="68"/>
      <c r="LL65" s="68"/>
      <c r="LM65" s="68"/>
      <c r="LN65" s="68"/>
      <c r="LO65" s="68"/>
      <c r="LP65" s="68"/>
      <c r="LQ65" s="68"/>
      <c r="LR65" s="68"/>
      <c r="LS65" s="68"/>
      <c r="LT65" s="68"/>
      <c r="LU65" s="68"/>
      <c r="LV65" s="68"/>
      <c r="LW65" s="68"/>
      <c r="LX65" s="68"/>
      <c r="LY65" s="68"/>
      <c r="LZ65" s="68"/>
      <c r="MA65" s="68"/>
      <c r="MB65" s="68"/>
      <c r="MC65" s="68"/>
      <c r="MD65" s="68"/>
      <c r="ME65" s="68"/>
      <c r="MF65" s="68"/>
      <c r="MG65" s="68"/>
      <c r="MH65" s="68"/>
      <c r="MI65" s="68"/>
      <c r="MJ65" s="68"/>
      <c r="MK65" s="68"/>
      <c r="ML65" s="68"/>
      <c r="MM65" s="68"/>
      <c r="MN65" s="68"/>
      <c r="MO65" s="68"/>
      <c r="MP65" s="68"/>
      <c r="MQ65" s="68"/>
      <c r="MR65" s="68"/>
      <c r="MS65" s="68"/>
      <c r="MT65" s="68"/>
      <c r="MU65" s="68"/>
      <c r="MV65" s="68"/>
      <c r="MW65" s="68"/>
      <c r="MX65" s="68"/>
      <c r="MY65" s="68"/>
      <c r="MZ65" s="68"/>
      <c r="NA65" s="68"/>
      <c r="NB65" s="68"/>
      <c r="NC65" s="68"/>
      <c r="ND65" s="68"/>
      <c r="NE65" s="68"/>
      <c r="NF65" s="68"/>
      <c r="NG65" s="68"/>
      <c r="NH65" s="68"/>
      <c r="NI65" s="68"/>
      <c r="NJ65" s="68"/>
      <c r="NK65" s="68"/>
      <c r="NL65" s="68"/>
      <c r="NM65" s="68"/>
      <c r="NN65" s="68"/>
      <c r="NO65" s="68"/>
      <c r="NP65" s="68"/>
      <c r="NQ65" s="68"/>
      <c r="NR65" s="68"/>
      <c r="NS65" s="68"/>
      <c r="NT65" s="68"/>
      <c r="NU65" s="68"/>
      <c r="NV65" s="68"/>
      <c r="NW65" s="68"/>
      <c r="NX65" s="68"/>
      <c r="NY65" s="68"/>
      <c r="NZ65" s="68"/>
      <c r="OA65" s="68"/>
      <c r="OB65" s="68"/>
      <c r="OC65" s="68"/>
      <c r="OD65" s="68"/>
      <c r="OE65" s="68"/>
      <c r="OF65" s="68"/>
      <c r="OG65" s="68"/>
      <c r="OH65" s="68"/>
      <c r="OI65" s="68"/>
      <c r="OJ65" s="68"/>
      <c r="OK65" s="68"/>
      <c r="OL65" s="68"/>
      <c r="OM65" s="68"/>
      <c r="ON65" s="68"/>
      <c r="OO65" s="68"/>
      <c r="OP65" s="68"/>
      <c r="OQ65" s="68"/>
      <c r="OR65" s="68"/>
      <c r="OS65" s="68"/>
      <c r="OT65" s="68"/>
      <c r="OU65" s="68"/>
      <c r="OV65" s="68"/>
      <c r="OW65" s="68"/>
      <c r="OX65" s="68"/>
      <c r="OY65" s="68"/>
      <c r="OZ65" s="68"/>
      <c r="PA65" s="68"/>
      <c r="PB65" s="68"/>
      <c r="PC65" s="68"/>
      <c r="PD65" s="68"/>
      <c r="PE65" s="68"/>
      <c r="PF65" s="68"/>
      <c r="PG65" s="68"/>
      <c r="PH65" s="68"/>
      <c r="PI65" s="68"/>
      <c r="PJ65" s="68"/>
      <c r="PK65" s="68"/>
      <c r="PL65" s="68"/>
      <c r="PM65" s="68"/>
      <c r="PN65" s="68"/>
      <c r="PO65" s="68"/>
      <c r="PP65" s="68"/>
      <c r="PQ65" s="68"/>
      <c r="PR65" s="68"/>
      <c r="PS65" s="68"/>
      <c r="PT65" s="68"/>
      <c r="PU65" s="68"/>
      <c r="PV65" s="68"/>
      <c r="PW65" s="68"/>
      <c r="PX65" s="68"/>
      <c r="PY65" s="68"/>
      <c r="PZ65" s="68"/>
      <c r="QA65" s="68"/>
      <c r="QB65" s="68"/>
      <c r="QC65" s="68"/>
      <c r="QD65" s="68"/>
      <c r="QE65" s="68"/>
      <c r="QF65" s="68"/>
      <c r="QG65" s="68"/>
      <c r="QH65" s="68"/>
      <c r="QI65" s="68"/>
      <c r="QJ65" s="68"/>
      <c r="QK65" s="68"/>
      <c r="QL65" s="68"/>
      <c r="QM65" s="68"/>
      <c r="QN65" s="68"/>
      <c r="QO65" s="68"/>
      <c r="QP65" s="68"/>
      <c r="QQ65" s="68"/>
      <c r="QR65" s="68"/>
      <c r="QS65" s="68"/>
      <c r="QT65" s="68"/>
      <c r="QU65" s="68"/>
      <c r="QV65" s="68"/>
      <c r="QW65" s="68"/>
      <c r="QX65" s="68"/>
      <c r="QY65" s="68"/>
      <c r="QZ65" s="68"/>
      <c r="RA65" s="68"/>
      <c r="RB65" s="68"/>
      <c r="RC65" s="68"/>
      <c r="RD65" s="68"/>
      <c r="RE65" s="68"/>
      <c r="RF65" s="68"/>
      <c r="RG65" s="68"/>
      <c r="RH65" s="68"/>
      <c r="RI65" s="68"/>
      <c r="RJ65" s="68"/>
      <c r="RK65" s="68"/>
      <c r="RL65" s="68"/>
      <c r="RM65" s="68"/>
      <c r="RN65" s="68"/>
      <c r="RO65" s="68"/>
      <c r="RP65" s="68"/>
      <c r="RQ65" s="68"/>
      <c r="RR65" s="68"/>
      <c r="RS65" s="68"/>
      <c r="RT65" s="68"/>
      <c r="RU65" s="68"/>
      <c r="RV65" s="68"/>
      <c r="RW65" s="68"/>
      <c r="RX65" s="68"/>
      <c r="RY65" s="68"/>
      <c r="RZ65" s="68"/>
      <c r="SA65" s="68"/>
      <c r="SB65" s="68"/>
      <c r="SC65" s="68"/>
      <c r="SD65" s="68"/>
      <c r="SE65" s="68"/>
      <c r="SF65" s="68"/>
      <c r="SG65" s="68"/>
      <c r="SH65" s="68"/>
      <c r="SI65" s="68"/>
      <c r="SJ65" s="68"/>
      <c r="SK65" s="68"/>
      <c r="SL65" s="68"/>
      <c r="SM65" s="68"/>
      <c r="SN65" s="68"/>
      <c r="SO65" s="68"/>
      <c r="SP65" s="68"/>
      <c r="SQ65" s="68"/>
      <c r="SR65" s="68"/>
      <c r="SS65" s="68"/>
      <c r="ST65" s="68"/>
      <c r="SU65" s="68"/>
      <c r="SV65" s="68"/>
      <c r="SW65" s="68"/>
      <c r="SX65" s="68"/>
      <c r="SY65" s="68"/>
      <c r="SZ65" s="68"/>
      <c r="TA65" s="68"/>
      <c r="TB65" s="68"/>
      <c r="TC65" s="68"/>
      <c r="TD65" s="68"/>
      <c r="TE65" s="68"/>
      <c r="TF65" s="68"/>
      <c r="TG65" s="68"/>
      <c r="TH65" s="68"/>
      <c r="TI65" s="68"/>
      <c r="TJ65" s="68"/>
      <c r="TK65" s="68"/>
      <c r="TL65" s="68"/>
      <c r="TM65" s="68"/>
      <c r="TN65" s="68"/>
      <c r="TO65" s="68"/>
      <c r="TP65" s="68"/>
      <c r="TQ65" s="68"/>
      <c r="TR65" s="68"/>
      <c r="TS65" s="68"/>
      <c r="TT65" s="68"/>
      <c r="TU65" s="68"/>
      <c r="TV65" s="68"/>
      <c r="TW65" s="68"/>
      <c r="TX65" s="68"/>
      <c r="TY65" s="68"/>
      <c r="TZ65" s="68"/>
      <c r="UA65" s="68"/>
      <c r="UB65" s="68"/>
      <c r="UC65" s="68"/>
      <c r="UD65" s="68"/>
      <c r="UE65" s="68"/>
      <c r="UF65" s="68"/>
      <c r="UG65" s="68"/>
      <c r="UH65" s="68"/>
      <c r="UI65" s="68"/>
      <c r="UJ65" s="68"/>
      <c r="UK65" s="68"/>
      <c r="UL65" s="68"/>
      <c r="UM65" s="68"/>
      <c r="UN65" s="68"/>
      <c r="UO65" s="68"/>
      <c r="UP65" s="68"/>
      <c r="UQ65" s="68"/>
      <c r="UR65" s="68"/>
      <c r="US65" s="68"/>
      <c r="UT65" s="68"/>
      <c r="UU65" s="68"/>
      <c r="UV65" s="68"/>
      <c r="UW65" s="68"/>
      <c r="UX65" s="68"/>
      <c r="UY65" s="68"/>
      <c r="UZ65" s="68"/>
      <c r="VA65" s="68"/>
      <c r="VB65" s="68"/>
      <c r="VC65" s="68"/>
      <c r="VD65" s="68"/>
      <c r="VE65" s="68"/>
      <c r="VF65" s="68"/>
      <c r="VG65" s="68"/>
      <c r="VH65" s="68"/>
      <c r="VI65" s="68"/>
      <c r="VJ65" s="68"/>
      <c r="VK65" s="68"/>
      <c r="VL65" s="68"/>
      <c r="VM65" s="68"/>
      <c r="VN65" s="68"/>
      <c r="VO65" s="68"/>
      <c r="VP65" s="68"/>
      <c r="VQ65" s="68"/>
      <c r="VR65" s="68"/>
      <c r="VS65" s="68"/>
      <c r="VT65" s="68"/>
      <c r="VU65" s="68"/>
      <c r="VV65" s="68"/>
      <c r="VW65" s="68"/>
      <c r="VX65" s="68"/>
      <c r="VY65" s="68"/>
      <c r="WA65" s="68"/>
      <c r="WB65" s="68"/>
      <c r="WC65" s="68"/>
      <c r="WD65" s="68"/>
      <c r="WE65" s="68"/>
      <c r="WF65" s="68"/>
      <c r="WG65" s="68"/>
      <c r="WH65" s="68"/>
      <c r="WI65" s="84"/>
    </row>
    <row r="66" spans="1:613" x14ac:dyDescent="0.25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  <c r="IW66" s="68"/>
      <c r="IX66" s="68"/>
      <c r="IY66" s="68"/>
      <c r="IZ66" s="68"/>
      <c r="JA66" s="68"/>
      <c r="JB66" s="68"/>
      <c r="JC66" s="68"/>
      <c r="JD66" s="68"/>
      <c r="JE66" s="68"/>
      <c r="JF66" s="68"/>
      <c r="JG66" s="68"/>
      <c r="JH66" s="68"/>
      <c r="JI66" s="68"/>
      <c r="JJ66" s="68"/>
      <c r="JK66" s="68"/>
      <c r="JL66" s="68"/>
      <c r="JM66" s="68"/>
      <c r="JN66" s="68"/>
      <c r="JO66" s="68"/>
      <c r="JP66" s="68"/>
      <c r="JQ66" s="68"/>
      <c r="JR66" s="68"/>
      <c r="JS66" s="68"/>
      <c r="JT66" s="68"/>
      <c r="JU66" s="68"/>
      <c r="JV66" s="68"/>
      <c r="JW66" s="68"/>
      <c r="JX66" s="68"/>
      <c r="JY66" s="68"/>
      <c r="JZ66" s="68"/>
      <c r="KA66" s="68"/>
      <c r="KB66" s="68"/>
      <c r="KC66" s="68"/>
      <c r="KD66" s="68"/>
      <c r="KE66" s="68"/>
      <c r="KF66" s="68"/>
      <c r="KG66" s="68"/>
      <c r="KH66" s="68"/>
      <c r="KI66" s="68"/>
      <c r="KJ66" s="68"/>
      <c r="KK66" s="68"/>
      <c r="KL66" s="68"/>
      <c r="KM66" s="68"/>
      <c r="KN66" s="68"/>
      <c r="KO66" s="68"/>
      <c r="KP66" s="68"/>
      <c r="KQ66" s="68"/>
      <c r="KR66" s="68"/>
      <c r="KS66" s="68"/>
      <c r="KT66" s="68"/>
      <c r="KU66" s="68"/>
      <c r="KV66" s="68"/>
      <c r="KW66" s="68"/>
      <c r="KX66" s="68"/>
      <c r="KY66" s="68"/>
      <c r="KZ66" s="68"/>
      <c r="LA66" s="68"/>
      <c r="LB66" s="68"/>
      <c r="LC66" s="68"/>
      <c r="LD66" s="68"/>
      <c r="LE66" s="68"/>
      <c r="LF66" s="68"/>
      <c r="LG66" s="68"/>
      <c r="LH66" s="68"/>
      <c r="LI66" s="68"/>
      <c r="LJ66" s="68"/>
      <c r="LK66" s="68"/>
      <c r="LL66" s="68"/>
      <c r="LM66" s="68"/>
      <c r="LN66" s="68"/>
      <c r="LO66" s="68"/>
      <c r="LP66" s="68"/>
      <c r="LQ66" s="68"/>
      <c r="LR66" s="68"/>
      <c r="LS66" s="68"/>
      <c r="LT66" s="68"/>
      <c r="LU66" s="68"/>
      <c r="LV66" s="68"/>
      <c r="LW66" s="68"/>
      <c r="LX66" s="68"/>
      <c r="LY66" s="68"/>
      <c r="LZ66" s="68"/>
      <c r="MA66" s="68"/>
      <c r="MB66" s="68"/>
      <c r="MC66" s="68"/>
      <c r="MD66" s="68"/>
      <c r="ME66" s="68"/>
      <c r="MF66" s="68"/>
      <c r="MG66" s="68"/>
      <c r="MH66" s="68"/>
      <c r="MI66" s="68"/>
      <c r="MJ66" s="68"/>
      <c r="MK66" s="68"/>
      <c r="ML66" s="68"/>
      <c r="MM66" s="68"/>
      <c r="MN66" s="68"/>
      <c r="MO66" s="68"/>
      <c r="MP66" s="68"/>
      <c r="MQ66" s="68"/>
      <c r="MR66" s="68"/>
      <c r="MS66" s="68"/>
      <c r="MT66" s="68"/>
      <c r="MU66" s="68"/>
      <c r="MV66" s="68"/>
      <c r="MW66" s="68"/>
      <c r="MX66" s="68"/>
      <c r="MY66" s="68"/>
      <c r="MZ66" s="68"/>
      <c r="NA66" s="68"/>
      <c r="NB66" s="68"/>
      <c r="NC66" s="68"/>
      <c r="ND66" s="68"/>
      <c r="NE66" s="68"/>
      <c r="NF66" s="68"/>
      <c r="NG66" s="68"/>
      <c r="NH66" s="68"/>
      <c r="NI66" s="68"/>
      <c r="NJ66" s="68"/>
      <c r="NK66" s="68"/>
      <c r="NL66" s="68"/>
      <c r="NM66" s="68"/>
      <c r="NN66" s="68"/>
      <c r="NO66" s="68"/>
      <c r="NP66" s="68"/>
      <c r="NQ66" s="68"/>
      <c r="NR66" s="68"/>
      <c r="NS66" s="68"/>
      <c r="NT66" s="68"/>
      <c r="NU66" s="68"/>
      <c r="NV66" s="68"/>
      <c r="NW66" s="68"/>
      <c r="NX66" s="68"/>
      <c r="NY66" s="68"/>
      <c r="NZ66" s="68"/>
      <c r="OA66" s="68"/>
      <c r="OB66" s="68"/>
      <c r="OC66" s="68"/>
      <c r="OD66" s="68"/>
      <c r="OE66" s="68"/>
      <c r="OF66" s="68"/>
      <c r="OG66" s="68"/>
      <c r="OH66" s="68"/>
      <c r="OI66" s="68"/>
      <c r="OJ66" s="68"/>
      <c r="OK66" s="68"/>
      <c r="OL66" s="68"/>
      <c r="OM66" s="68"/>
      <c r="ON66" s="68"/>
      <c r="OO66" s="68"/>
      <c r="OP66" s="68"/>
      <c r="OQ66" s="68"/>
      <c r="OR66" s="68"/>
      <c r="OS66" s="68"/>
      <c r="OT66" s="68"/>
      <c r="OU66" s="68"/>
      <c r="OV66" s="68"/>
      <c r="OW66" s="68"/>
      <c r="OX66" s="68"/>
      <c r="OY66" s="68"/>
      <c r="OZ66" s="68"/>
      <c r="PA66" s="68"/>
      <c r="PB66" s="68"/>
      <c r="PC66" s="68"/>
      <c r="PD66" s="68"/>
      <c r="PE66" s="68"/>
      <c r="PF66" s="68"/>
      <c r="PG66" s="68"/>
      <c r="PH66" s="68"/>
      <c r="PI66" s="68"/>
      <c r="PJ66" s="68"/>
      <c r="PK66" s="68"/>
      <c r="PL66" s="68"/>
      <c r="PM66" s="68"/>
      <c r="PN66" s="68"/>
      <c r="PO66" s="68"/>
      <c r="PP66" s="68"/>
      <c r="PQ66" s="68"/>
      <c r="PR66" s="68"/>
      <c r="PS66" s="68"/>
      <c r="PT66" s="68"/>
      <c r="PU66" s="68"/>
      <c r="PV66" s="68"/>
      <c r="PW66" s="68"/>
      <c r="PX66" s="68"/>
      <c r="PY66" s="68"/>
      <c r="PZ66" s="68"/>
      <c r="QA66" s="68"/>
      <c r="QB66" s="68"/>
      <c r="QC66" s="68"/>
      <c r="QD66" s="68"/>
      <c r="QE66" s="68"/>
      <c r="QF66" s="68"/>
      <c r="QG66" s="68"/>
      <c r="QH66" s="68"/>
      <c r="QI66" s="68"/>
      <c r="QJ66" s="68"/>
      <c r="QK66" s="68"/>
      <c r="QL66" s="68"/>
      <c r="QM66" s="68"/>
      <c r="QN66" s="68"/>
      <c r="QO66" s="68"/>
      <c r="QP66" s="68"/>
      <c r="QQ66" s="68"/>
      <c r="QR66" s="68"/>
      <c r="QS66" s="68"/>
      <c r="QT66" s="68"/>
      <c r="QU66" s="68"/>
      <c r="QV66" s="68"/>
      <c r="QW66" s="68"/>
      <c r="QX66" s="68"/>
      <c r="QY66" s="68"/>
      <c r="QZ66" s="68"/>
      <c r="RA66" s="68"/>
      <c r="RB66" s="68"/>
      <c r="RC66" s="68"/>
      <c r="RD66" s="68"/>
      <c r="RE66" s="68"/>
      <c r="RF66" s="68"/>
      <c r="RG66" s="68"/>
      <c r="RH66" s="68"/>
      <c r="RI66" s="68"/>
      <c r="RJ66" s="68"/>
      <c r="RK66" s="68"/>
      <c r="RL66" s="68"/>
      <c r="RM66" s="68"/>
      <c r="RN66" s="68"/>
      <c r="RO66" s="68"/>
      <c r="RP66" s="68"/>
      <c r="RQ66" s="68"/>
      <c r="RR66" s="68"/>
      <c r="RS66" s="68"/>
      <c r="RT66" s="68"/>
      <c r="RU66" s="68"/>
      <c r="RV66" s="68"/>
      <c r="RW66" s="68"/>
      <c r="RX66" s="68"/>
      <c r="RY66" s="68"/>
      <c r="RZ66" s="68"/>
      <c r="SA66" s="68"/>
      <c r="SB66" s="68"/>
      <c r="SC66" s="68"/>
      <c r="SD66" s="68"/>
      <c r="SE66" s="68"/>
      <c r="SF66" s="68"/>
      <c r="SG66" s="68"/>
      <c r="SH66" s="68"/>
      <c r="SI66" s="68"/>
      <c r="SJ66" s="68"/>
      <c r="SK66" s="68"/>
      <c r="SL66" s="68"/>
      <c r="SM66" s="68"/>
      <c r="SN66" s="68"/>
      <c r="SO66" s="68"/>
      <c r="SP66" s="68"/>
      <c r="SQ66" s="68"/>
      <c r="SR66" s="68"/>
      <c r="SS66" s="68"/>
      <c r="ST66" s="68"/>
      <c r="SU66" s="68"/>
      <c r="SV66" s="68"/>
      <c r="SW66" s="68"/>
      <c r="SX66" s="68"/>
      <c r="SY66" s="68"/>
      <c r="SZ66" s="68"/>
      <c r="TA66" s="68"/>
      <c r="TB66" s="68"/>
      <c r="TC66" s="68"/>
      <c r="TD66" s="68"/>
      <c r="TE66" s="68"/>
      <c r="TF66" s="68"/>
      <c r="TG66" s="68"/>
      <c r="TH66" s="68"/>
      <c r="TI66" s="68"/>
      <c r="TJ66" s="68"/>
      <c r="TK66" s="68"/>
      <c r="TL66" s="68"/>
      <c r="TM66" s="68"/>
      <c r="TN66" s="68"/>
      <c r="TO66" s="68"/>
      <c r="TP66" s="68"/>
      <c r="TQ66" s="68"/>
      <c r="TR66" s="68"/>
      <c r="TS66" s="68"/>
      <c r="TT66" s="68"/>
      <c r="TU66" s="68"/>
      <c r="TV66" s="68"/>
      <c r="TW66" s="68"/>
      <c r="TX66" s="68"/>
      <c r="TY66" s="68"/>
      <c r="TZ66" s="68"/>
      <c r="UA66" s="68"/>
      <c r="UB66" s="68"/>
      <c r="UC66" s="68"/>
      <c r="UD66" s="68"/>
      <c r="UE66" s="68"/>
      <c r="UF66" s="68"/>
      <c r="UG66" s="68"/>
      <c r="UH66" s="68"/>
      <c r="UI66" s="68"/>
      <c r="UJ66" s="68"/>
      <c r="UK66" s="68"/>
      <c r="UL66" s="68"/>
      <c r="UM66" s="68"/>
      <c r="UN66" s="68"/>
      <c r="UO66" s="68"/>
      <c r="UP66" s="68"/>
      <c r="UQ66" s="68"/>
      <c r="UR66" s="68"/>
      <c r="US66" s="68"/>
      <c r="UT66" s="68"/>
      <c r="UU66" s="68"/>
      <c r="UV66" s="68"/>
      <c r="UW66" s="68"/>
      <c r="UX66" s="68"/>
      <c r="UY66" s="68"/>
      <c r="UZ66" s="68"/>
      <c r="VA66" s="68"/>
      <c r="VB66" s="68"/>
      <c r="VC66" s="68"/>
      <c r="VD66" s="68"/>
      <c r="VE66" s="68"/>
      <c r="VF66" s="68"/>
      <c r="VG66" s="68"/>
      <c r="VH66" s="68"/>
      <c r="VI66" s="68"/>
      <c r="VJ66" s="68"/>
      <c r="VK66" s="68"/>
      <c r="VL66" s="68"/>
      <c r="VM66" s="68"/>
      <c r="VN66" s="68"/>
      <c r="VO66" s="68"/>
      <c r="VP66" s="68"/>
      <c r="VQ66" s="68"/>
      <c r="VR66" s="68"/>
      <c r="VS66" s="68"/>
      <c r="VT66" s="68"/>
      <c r="VU66" s="68"/>
      <c r="VV66" s="68"/>
      <c r="VW66" s="68"/>
      <c r="VX66" s="68"/>
      <c r="VY66" s="68"/>
      <c r="WA66" s="68"/>
      <c r="WB66" s="68"/>
      <c r="WC66" s="68"/>
      <c r="WD66" s="68"/>
      <c r="WE66" s="68"/>
      <c r="WF66" s="68"/>
      <c r="WG66" s="68"/>
      <c r="WH66" s="68"/>
      <c r="WI66" s="84"/>
    </row>
    <row r="67" spans="1:613" x14ac:dyDescent="0.25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  <c r="IW67" s="68"/>
      <c r="IX67" s="68"/>
      <c r="IY67" s="68"/>
      <c r="IZ67" s="68"/>
      <c r="JA67" s="68"/>
      <c r="JB67" s="68"/>
      <c r="JC67" s="68"/>
      <c r="JD67" s="68"/>
      <c r="JE67" s="68"/>
      <c r="JF67" s="68"/>
      <c r="JG67" s="68"/>
      <c r="JH67" s="68"/>
      <c r="JI67" s="68"/>
      <c r="JJ67" s="68"/>
      <c r="JK67" s="68"/>
      <c r="JL67" s="68"/>
      <c r="JM67" s="68"/>
      <c r="JN67" s="68"/>
      <c r="JO67" s="68"/>
      <c r="JP67" s="68"/>
      <c r="JQ67" s="68"/>
      <c r="JR67" s="68"/>
      <c r="JS67" s="68"/>
      <c r="JT67" s="68"/>
      <c r="JU67" s="68"/>
      <c r="JV67" s="68"/>
      <c r="JW67" s="68"/>
      <c r="JX67" s="68"/>
      <c r="JY67" s="68"/>
      <c r="JZ67" s="68"/>
      <c r="KA67" s="68"/>
      <c r="KB67" s="68"/>
      <c r="KC67" s="68"/>
      <c r="KD67" s="68"/>
      <c r="KE67" s="68"/>
      <c r="KF67" s="68"/>
      <c r="KG67" s="68"/>
      <c r="KH67" s="68"/>
      <c r="KI67" s="68"/>
      <c r="KJ67" s="68"/>
      <c r="KK67" s="68"/>
      <c r="KL67" s="68"/>
      <c r="KM67" s="68"/>
      <c r="KN67" s="68"/>
      <c r="KO67" s="68"/>
      <c r="KP67" s="68"/>
      <c r="KQ67" s="68"/>
      <c r="KR67" s="68"/>
      <c r="KS67" s="68"/>
      <c r="KT67" s="68"/>
      <c r="KU67" s="68"/>
      <c r="KV67" s="68"/>
      <c r="KW67" s="68"/>
      <c r="KX67" s="68"/>
      <c r="KY67" s="68"/>
      <c r="KZ67" s="68"/>
      <c r="LA67" s="68"/>
      <c r="LB67" s="68"/>
      <c r="LC67" s="68"/>
      <c r="LD67" s="68"/>
      <c r="LE67" s="68"/>
      <c r="LF67" s="68"/>
      <c r="LG67" s="68"/>
      <c r="LH67" s="68"/>
      <c r="LI67" s="68"/>
      <c r="LJ67" s="68"/>
      <c r="LK67" s="68"/>
      <c r="LL67" s="68"/>
      <c r="LM67" s="68"/>
      <c r="LN67" s="68"/>
      <c r="LO67" s="68"/>
      <c r="LP67" s="68"/>
      <c r="LQ67" s="68"/>
      <c r="LR67" s="68"/>
      <c r="LS67" s="68"/>
      <c r="LT67" s="68"/>
      <c r="LU67" s="68"/>
      <c r="LV67" s="68"/>
      <c r="LW67" s="68"/>
      <c r="LX67" s="68"/>
      <c r="LY67" s="68"/>
      <c r="LZ67" s="68"/>
      <c r="MA67" s="68"/>
      <c r="MB67" s="68"/>
      <c r="MC67" s="68"/>
      <c r="MD67" s="68"/>
      <c r="ME67" s="68"/>
      <c r="MF67" s="68"/>
      <c r="MG67" s="68"/>
      <c r="MH67" s="68"/>
      <c r="MI67" s="68"/>
      <c r="MJ67" s="68"/>
      <c r="MK67" s="68"/>
      <c r="ML67" s="68"/>
      <c r="MM67" s="68"/>
      <c r="MN67" s="68"/>
      <c r="MO67" s="68"/>
      <c r="MP67" s="68"/>
      <c r="MQ67" s="68"/>
      <c r="MR67" s="68"/>
      <c r="MS67" s="68"/>
      <c r="MT67" s="68"/>
      <c r="MU67" s="68"/>
      <c r="MV67" s="68"/>
      <c r="MW67" s="68"/>
      <c r="MX67" s="68"/>
      <c r="MY67" s="68"/>
      <c r="MZ67" s="68"/>
      <c r="NA67" s="68"/>
      <c r="NB67" s="68"/>
      <c r="NC67" s="68"/>
      <c r="ND67" s="68"/>
      <c r="NE67" s="68"/>
      <c r="NF67" s="68"/>
      <c r="NG67" s="68"/>
      <c r="NH67" s="68"/>
      <c r="NI67" s="68"/>
      <c r="NJ67" s="68"/>
      <c r="NK67" s="68"/>
      <c r="NL67" s="68"/>
      <c r="NM67" s="68"/>
      <c r="NN67" s="68"/>
      <c r="NO67" s="68"/>
      <c r="NP67" s="68"/>
      <c r="NQ67" s="68"/>
      <c r="NR67" s="68"/>
      <c r="NS67" s="68"/>
      <c r="NT67" s="68"/>
      <c r="NU67" s="68"/>
      <c r="NV67" s="68"/>
      <c r="NW67" s="68"/>
      <c r="NX67" s="68"/>
      <c r="NY67" s="68"/>
      <c r="NZ67" s="68"/>
      <c r="OA67" s="68"/>
      <c r="OB67" s="68"/>
      <c r="OC67" s="68"/>
      <c r="OD67" s="68"/>
      <c r="OE67" s="68"/>
      <c r="OF67" s="68"/>
      <c r="OG67" s="68"/>
      <c r="OH67" s="68"/>
      <c r="OI67" s="68"/>
      <c r="OJ67" s="68"/>
      <c r="OK67" s="68"/>
      <c r="OL67" s="68"/>
      <c r="OM67" s="68"/>
      <c r="ON67" s="68"/>
      <c r="OO67" s="68"/>
      <c r="OP67" s="68"/>
      <c r="OQ67" s="68"/>
      <c r="OR67" s="68"/>
      <c r="OS67" s="68"/>
      <c r="OT67" s="68"/>
      <c r="OU67" s="68"/>
      <c r="OV67" s="68"/>
      <c r="OW67" s="68"/>
      <c r="OX67" s="68"/>
      <c r="OY67" s="68"/>
      <c r="OZ67" s="68"/>
      <c r="PA67" s="68"/>
      <c r="PB67" s="68"/>
      <c r="PC67" s="68"/>
      <c r="PD67" s="68"/>
      <c r="PE67" s="68"/>
      <c r="PF67" s="68"/>
      <c r="PG67" s="68"/>
      <c r="PH67" s="68"/>
      <c r="PI67" s="68"/>
      <c r="PJ67" s="68"/>
      <c r="PK67" s="68"/>
      <c r="PL67" s="68"/>
      <c r="PM67" s="68"/>
      <c r="PN67" s="68"/>
      <c r="PO67" s="68"/>
      <c r="PP67" s="68"/>
      <c r="PQ67" s="68"/>
      <c r="PR67" s="68"/>
      <c r="PS67" s="68"/>
      <c r="PT67" s="68"/>
      <c r="PU67" s="68"/>
      <c r="PV67" s="68"/>
      <c r="PW67" s="68"/>
      <c r="PX67" s="68"/>
      <c r="PY67" s="68"/>
      <c r="PZ67" s="68"/>
      <c r="QA67" s="68"/>
      <c r="QB67" s="68"/>
      <c r="QC67" s="68"/>
      <c r="QD67" s="68"/>
      <c r="QE67" s="68"/>
      <c r="QF67" s="68"/>
      <c r="QG67" s="68"/>
      <c r="QH67" s="68"/>
      <c r="QI67" s="68"/>
      <c r="QJ67" s="68"/>
      <c r="QK67" s="68"/>
      <c r="QL67" s="68"/>
      <c r="QM67" s="68"/>
      <c r="QN67" s="68"/>
      <c r="QO67" s="68"/>
      <c r="QP67" s="68"/>
      <c r="QQ67" s="68"/>
      <c r="QR67" s="68"/>
      <c r="QS67" s="68"/>
      <c r="QT67" s="68"/>
      <c r="QU67" s="68"/>
      <c r="QV67" s="68"/>
      <c r="QW67" s="68"/>
      <c r="QX67" s="68"/>
      <c r="QY67" s="68"/>
      <c r="QZ67" s="68"/>
      <c r="RA67" s="68"/>
      <c r="RB67" s="68"/>
      <c r="RC67" s="68"/>
      <c r="RD67" s="68"/>
      <c r="RE67" s="68"/>
      <c r="RF67" s="68"/>
      <c r="RG67" s="68"/>
      <c r="RH67" s="68"/>
      <c r="RI67" s="68"/>
      <c r="RJ67" s="68"/>
      <c r="RK67" s="68"/>
      <c r="RL67" s="68"/>
      <c r="RM67" s="68"/>
      <c r="RN67" s="68"/>
      <c r="RO67" s="68"/>
      <c r="RP67" s="68"/>
      <c r="RQ67" s="68"/>
      <c r="RR67" s="68"/>
      <c r="RS67" s="68"/>
      <c r="RT67" s="68"/>
      <c r="RU67" s="68"/>
      <c r="RV67" s="68"/>
      <c r="RW67" s="68"/>
      <c r="RX67" s="68"/>
      <c r="RY67" s="68"/>
      <c r="RZ67" s="68"/>
      <c r="SA67" s="68"/>
      <c r="SB67" s="68"/>
      <c r="SC67" s="68"/>
      <c r="SD67" s="68"/>
      <c r="SE67" s="68"/>
      <c r="SF67" s="68"/>
      <c r="SG67" s="68"/>
      <c r="SH67" s="68"/>
      <c r="SI67" s="68"/>
      <c r="SJ67" s="68"/>
      <c r="SK67" s="68"/>
      <c r="SL67" s="68"/>
      <c r="SM67" s="68"/>
      <c r="SN67" s="68"/>
      <c r="SO67" s="68"/>
      <c r="SP67" s="68"/>
      <c r="SQ67" s="68"/>
      <c r="SR67" s="68"/>
      <c r="SS67" s="68"/>
      <c r="ST67" s="68"/>
      <c r="SU67" s="68"/>
      <c r="SV67" s="68"/>
      <c r="SW67" s="68"/>
      <c r="SX67" s="68"/>
      <c r="SY67" s="68"/>
      <c r="SZ67" s="68"/>
      <c r="TA67" s="68"/>
      <c r="TB67" s="68"/>
      <c r="TC67" s="68"/>
      <c r="TD67" s="68"/>
      <c r="TE67" s="68"/>
      <c r="TF67" s="68"/>
      <c r="TG67" s="68"/>
      <c r="TH67" s="68"/>
      <c r="TI67" s="68"/>
      <c r="TJ67" s="68"/>
      <c r="TK67" s="68"/>
      <c r="TL67" s="68"/>
      <c r="TM67" s="68"/>
      <c r="TN67" s="68"/>
      <c r="TO67" s="68"/>
      <c r="TP67" s="68"/>
      <c r="TQ67" s="68"/>
      <c r="TR67" s="68"/>
      <c r="TS67" s="68"/>
      <c r="TT67" s="68"/>
      <c r="TU67" s="68"/>
      <c r="TV67" s="68"/>
      <c r="TW67" s="68"/>
      <c r="TX67" s="68"/>
      <c r="TY67" s="68"/>
      <c r="TZ67" s="68"/>
      <c r="UA67" s="68"/>
      <c r="UB67" s="68"/>
      <c r="UC67" s="68"/>
      <c r="UD67" s="68"/>
      <c r="UE67" s="68"/>
      <c r="UF67" s="68"/>
      <c r="UG67" s="68"/>
      <c r="UH67" s="68"/>
      <c r="UI67" s="68"/>
      <c r="UJ67" s="68"/>
      <c r="UK67" s="68"/>
      <c r="UL67" s="68"/>
      <c r="UM67" s="68"/>
      <c r="UN67" s="68"/>
      <c r="UO67" s="68"/>
      <c r="UP67" s="68"/>
      <c r="UQ67" s="68"/>
      <c r="UR67" s="68"/>
      <c r="US67" s="68"/>
      <c r="UT67" s="68"/>
      <c r="UU67" s="68"/>
      <c r="UV67" s="68"/>
      <c r="UW67" s="68"/>
      <c r="UX67" s="68"/>
      <c r="UY67" s="68"/>
      <c r="UZ67" s="68"/>
      <c r="VA67" s="68"/>
      <c r="VB67" s="68"/>
      <c r="VC67" s="68"/>
      <c r="VD67" s="68"/>
      <c r="VE67" s="68"/>
      <c r="VF67" s="68"/>
      <c r="VG67" s="68"/>
      <c r="VH67" s="68"/>
      <c r="VI67" s="68"/>
      <c r="VJ67" s="68"/>
      <c r="VK67" s="68"/>
      <c r="VL67" s="68"/>
      <c r="VM67" s="68"/>
      <c r="VN67" s="68"/>
      <c r="VO67" s="68"/>
      <c r="VP67" s="68"/>
      <c r="VQ67" s="68"/>
      <c r="VR67" s="68"/>
      <c r="VS67" s="68"/>
      <c r="VT67" s="68"/>
      <c r="VU67" s="68"/>
      <c r="VV67" s="68"/>
      <c r="VW67" s="68"/>
      <c r="VX67" s="68"/>
      <c r="VY67" s="68"/>
      <c r="WA67" s="68"/>
      <c r="WB67" s="68"/>
      <c r="WC67" s="68"/>
      <c r="WD67" s="68"/>
      <c r="WE67" s="68"/>
      <c r="WF67" s="68"/>
      <c r="WG67" s="68"/>
      <c r="WH67" s="68"/>
      <c r="WI67" s="84"/>
    </row>
    <row r="68" spans="1:613" x14ac:dyDescent="0.25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  <c r="IW68" s="68"/>
      <c r="IX68" s="68"/>
      <c r="IY68" s="68"/>
      <c r="IZ68" s="68"/>
      <c r="JA68" s="68"/>
      <c r="JB68" s="68"/>
      <c r="JC68" s="68"/>
      <c r="JD68" s="68"/>
      <c r="JE68" s="68"/>
      <c r="JF68" s="68"/>
      <c r="JG68" s="68"/>
      <c r="JH68" s="68"/>
      <c r="JI68" s="68"/>
      <c r="JJ68" s="68"/>
      <c r="JK68" s="68"/>
      <c r="JL68" s="68"/>
      <c r="JM68" s="68"/>
      <c r="JN68" s="68"/>
      <c r="JO68" s="68"/>
      <c r="JP68" s="68"/>
      <c r="JQ68" s="68"/>
      <c r="JR68" s="68"/>
      <c r="JS68" s="68"/>
      <c r="JT68" s="68"/>
      <c r="JU68" s="68"/>
      <c r="JV68" s="68"/>
      <c r="JW68" s="68"/>
      <c r="JX68" s="68"/>
      <c r="JY68" s="68"/>
      <c r="JZ68" s="68"/>
      <c r="KA68" s="68"/>
      <c r="KB68" s="68"/>
      <c r="KC68" s="68"/>
      <c r="KD68" s="68"/>
      <c r="KE68" s="68"/>
      <c r="KF68" s="68"/>
      <c r="KG68" s="68"/>
      <c r="KH68" s="68"/>
      <c r="KI68" s="68"/>
      <c r="KJ68" s="68"/>
      <c r="KK68" s="68"/>
      <c r="KL68" s="68"/>
      <c r="KM68" s="68"/>
      <c r="KN68" s="68"/>
      <c r="KO68" s="68"/>
      <c r="KP68" s="68"/>
      <c r="KQ68" s="68"/>
      <c r="KR68" s="68"/>
      <c r="KS68" s="68"/>
      <c r="KT68" s="68"/>
      <c r="KU68" s="68"/>
      <c r="KV68" s="68"/>
      <c r="KW68" s="68"/>
      <c r="KX68" s="68"/>
      <c r="KY68" s="68"/>
      <c r="KZ68" s="68"/>
      <c r="LA68" s="68"/>
      <c r="LB68" s="68"/>
      <c r="LC68" s="68"/>
      <c r="LD68" s="68"/>
      <c r="LE68" s="68"/>
      <c r="LF68" s="68"/>
      <c r="LG68" s="68"/>
      <c r="LH68" s="68"/>
      <c r="LI68" s="68"/>
      <c r="LJ68" s="68"/>
      <c r="LK68" s="68"/>
      <c r="LL68" s="68"/>
      <c r="LM68" s="68"/>
      <c r="LN68" s="68"/>
      <c r="LO68" s="68"/>
      <c r="LP68" s="68"/>
      <c r="LQ68" s="68"/>
      <c r="LR68" s="68"/>
      <c r="LS68" s="68"/>
      <c r="LT68" s="68"/>
      <c r="LU68" s="68"/>
      <c r="LV68" s="68"/>
      <c r="LW68" s="68"/>
      <c r="LX68" s="68"/>
      <c r="LY68" s="68"/>
      <c r="LZ68" s="68"/>
      <c r="MA68" s="68"/>
      <c r="MB68" s="68"/>
      <c r="MC68" s="68"/>
      <c r="MD68" s="68"/>
      <c r="ME68" s="68"/>
      <c r="MF68" s="68"/>
      <c r="MG68" s="68"/>
      <c r="MH68" s="68"/>
      <c r="MI68" s="68"/>
      <c r="MJ68" s="68"/>
      <c r="MK68" s="68"/>
      <c r="ML68" s="68"/>
      <c r="MM68" s="68"/>
      <c r="MN68" s="68"/>
      <c r="MO68" s="68"/>
      <c r="MP68" s="68"/>
      <c r="MQ68" s="68"/>
      <c r="MR68" s="68"/>
      <c r="MS68" s="68"/>
      <c r="MT68" s="68"/>
      <c r="MU68" s="68"/>
      <c r="MV68" s="68"/>
      <c r="MW68" s="68"/>
      <c r="MX68" s="68"/>
      <c r="MY68" s="68"/>
      <c r="MZ68" s="68"/>
      <c r="NA68" s="68"/>
      <c r="NB68" s="68"/>
      <c r="NC68" s="68"/>
      <c r="ND68" s="68"/>
      <c r="NE68" s="68"/>
      <c r="NF68" s="68"/>
      <c r="NG68" s="68"/>
      <c r="NH68" s="68"/>
      <c r="NI68" s="68"/>
      <c r="NJ68" s="68"/>
      <c r="NK68" s="68"/>
      <c r="NL68" s="68"/>
      <c r="NM68" s="68"/>
      <c r="NN68" s="68"/>
      <c r="NO68" s="68"/>
      <c r="NP68" s="68"/>
      <c r="NQ68" s="68"/>
      <c r="NR68" s="68"/>
      <c r="NS68" s="68"/>
      <c r="NT68" s="68"/>
      <c r="NU68" s="68"/>
      <c r="NV68" s="68"/>
      <c r="NW68" s="68"/>
      <c r="NX68" s="68"/>
      <c r="NY68" s="68"/>
      <c r="NZ68" s="68"/>
      <c r="OA68" s="68"/>
      <c r="OB68" s="68"/>
      <c r="OC68" s="68"/>
      <c r="OD68" s="68"/>
      <c r="OE68" s="68"/>
      <c r="OF68" s="68"/>
      <c r="OG68" s="68"/>
      <c r="OH68" s="68"/>
      <c r="OI68" s="68"/>
      <c r="OJ68" s="68"/>
      <c r="OK68" s="68"/>
      <c r="OL68" s="68"/>
      <c r="OM68" s="68"/>
      <c r="ON68" s="68"/>
      <c r="OO68" s="68"/>
      <c r="OP68" s="68"/>
      <c r="OQ68" s="68"/>
      <c r="OR68" s="68"/>
      <c r="OS68" s="68"/>
      <c r="OT68" s="68"/>
      <c r="OU68" s="68"/>
      <c r="OV68" s="68"/>
      <c r="OW68" s="68"/>
      <c r="OX68" s="68"/>
      <c r="OY68" s="68"/>
      <c r="OZ68" s="68"/>
      <c r="PA68" s="68"/>
      <c r="PB68" s="68"/>
      <c r="PC68" s="68"/>
      <c r="PD68" s="68"/>
      <c r="PE68" s="68"/>
      <c r="PF68" s="68"/>
      <c r="PG68" s="68"/>
      <c r="PH68" s="68"/>
      <c r="PI68" s="68"/>
      <c r="PJ68" s="68"/>
      <c r="PK68" s="68"/>
      <c r="PL68" s="68"/>
      <c r="PM68" s="68"/>
      <c r="PN68" s="68"/>
      <c r="PO68" s="68"/>
      <c r="PP68" s="68"/>
      <c r="PQ68" s="68"/>
      <c r="PR68" s="68"/>
      <c r="PS68" s="68"/>
      <c r="PT68" s="68"/>
      <c r="PU68" s="68"/>
      <c r="PV68" s="68"/>
      <c r="PW68" s="68"/>
      <c r="PX68" s="68"/>
      <c r="PY68" s="68"/>
      <c r="PZ68" s="68"/>
      <c r="QA68" s="68"/>
      <c r="QB68" s="68"/>
      <c r="QC68" s="68"/>
      <c r="QD68" s="68"/>
      <c r="QE68" s="68"/>
      <c r="QF68" s="68"/>
      <c r="QG68" s="68"/>
      <c r="QH68" s="68"/>
      <c r="QI68" s="68"/>
      <c r="QJ68" s="68"/>
      <c r="QK68" s="68"/>
      <c r="QL68" s="68"/>
      <c r="QM68" s="68"/>
      <c r="QN68" s="68"/>
      <c r="QO68" s="68"/>
      <c r="QP68" s="68"/>
      <c r="QQ68" s="68"/>
      <c r="QR68" s="68"/>
      <c r="QS68" s="68"/>
      <c r="QT68" s="68"/>
      <c r="QU68" s="68"/>
      <c r="QV68" s="68"/>
      <c r="QW68" s="68"/>
      <c r="QX68" s="68"/>
      <c r="QY68" s="68"/>
      <c r="QZ68" s="68"/>
      <c r="RA68" s="68"/>
      <c r="RB68" s="68"/>
      <c r="RC68" s="68"/>
      <c r="RD68" s="68"/>
      <c r="RE68" s="68"/>
      <c r="RF68" s="68"/>
      <c r="RG68" s="68"/>
      <c r="RH68" s="68"/>
      <c r="RI68" s="68"/>
      <c r="RJ68" s="68"/>
      <c r="RK68" s="68"/>
      <c r="RL68" s="68"/>
      <c r="RM68" s="68"/>
      <c r="RN68" s="68"/>
      <c r="RO68" s="68"/>
      <c r="RP68" s="68"/>
      <c r="RQ68" s="68"/>
      <c r="RR68" s="68"/>
      <c r="RS68" s="68"/>
      <c r="RT68" s="68"/>
      <c r="RU68" s="68"/>
      <c r="RV68" s="68"/>
      <c r="RW68" s="68"/>
      <c r="RX68" s="68"/>
      <c r="RY68" s="68"/>
      <c r="RZ68" s="68"/>
      <c r="SA68" s="68"/>
      <c r="SB68" s="68"/>
      <c r="SC68" s="68"/>
      <c r="SD68" s="68"/>
      <c r="SE68" s="68"/>
      <c r="SF68" s="68"/>
      <c r="SG68" s="68"/>
      <c r="SH68" s="68"/>
      <c r="SI68" s="68"/>
      <c r="SJ68" s="68"/>
      <c r="SK68" s="68"/>
      <c r="SL68" s="68"/>
      <c r="SM68" s="68"/>
      <c r="SN68" s="68"/>
      <c r="SO68" s="68"/>
      <c r="SP68" s="68"/>
      <c r="SQ68" s="68"/>
      <c r="SR68" s="68"/>
      <c r="SS68" s="68"/>
      <c r="ST68" s="68"/>
      <c r="SU68" s="68"/>
      <c r="SV68" s="68"/>
      <c r="SW68" s="68"/>
      <c r="SX68" s="68"/>
      <c r="SY68" s="68"/>
      <c r="SZ68" s="68"/>
      <c r="TA68" s="68"/>
      <c r="TB68" s="68"/>
      <c r="TC68" s="68"/>
      <c r="TD68" s="68"/>
      <c r="TE68" s="68"/>
      <c r="TF68" s="68"/>
      <c r="TG68" s="68"/>
      <c r="TH68" s="68"/>
      <c r="TI68" s="68"/>
      <c r="TJ68" s="68"/>
      <c r="TK68" s="68"/>
      <c r="TL68" s="68"/>
      <c r="TM68" s="68"/>
      <c r="TN68" s="68"/>
      <c r="TO68" s="68"/>
      <c r="TP68" s="68"/>
      <c r="TQ68" s="68"/>
      <c r="TR68" s="68"/>
      <c r="TS68" s="68"/>
      <c r="TT68" s="68"/>
      <c r="TU68" s="68"/>
      <c r="TV68" s="68"/>
      <c r="TW68" s="68"/>
      <c r="TX68" s="68"/>
      <c r="TY68" s="68"/>
      <c r="TZ68" s="68"/>
      <c r="UA68" s="68"/>
      <c r="UB68" s="68"/>
      <c r="UC68" s="68"/>
      <c r="UD68" s="68"/>
      <c r="UE68" s="68"/>
      <c r="UF68" s="68"/>
      <c r="UG68" s="68"/>
      <c r="UH68" s="68"/>
      <c r="UI68" s="68"/>
      <c r="UJ68" s="68"/>
      <c r="UK68" s="68"/>
      <c r="UL68" s="68"/>
      <c r="UM68" s="68"/>
      <c r="UN68" s="68"/>
      <c r="UO68" s="68"/>
      <c r="UP68" s="68"/>
      <c r="UQ68" s="68"/>
      <c r="UR68" s="68"/>
      <c r="US68" s="68"/>
      <c r="UT68" s="68"/>
      <c r="UU68" s="68"/>
      <c r="UV68" s="68"/>
      <c r="UW68" s="68"/>
      <c r="UX68" s="68"/>
      <c r="UY68" s="68"/>
      <c r="UZ68" s="68"/>
      <c r="VA68" s="68"/>
      <c r="VB68" s="68"/>
      <c r="VC68" s="68"/>
      <c r="VD68" s="68"/>
      <c r="VE68" s="68"/>
      <c r="VF68" s="68"/>
      <c r="VG68" s="68"/>
      <c r="VH68" s="68"/>
      <c r="VI68" s="68"/>
      <c r="VJ68" s="68"/>
      <c r="VK68" s="68"/>
      <c r="VL68" s="68"/>
      <c r="VM68" s="68"/>
      <c r="VN68" s="68"/>
      <c r="VO68" s="68"/>
      <c r="VP68" s="68"/>
      <c r="VQ68" s="68"/>
      <c r="VR68" s="68"/>
      <c r="VS68" s="68"/>
      <c r="VT68" s="68"/>
      <c r="VU68" s="68"/>
      <c r="VV68" s="68"/>
      <c r="VW68" s="68"/>
      <c r="VX68" s="68"/>
      <c r="VY68" s="68"/>
      <c r="WA68" s="68"/>
      <c r="WB68" s="68"/>
      <c r="WC68" s="68"/>
      <c r="WD68" s="68"/>
      <c r="WE68" s="68"/>
      <c r="WF68" s="68"/>
      <c r="WG68" s="68"/>
      <c r="WH68" s="68"/>
      <c r="WI68" s="84"/>
    </row>
    <row r="69" spans="1:613" x14ac:dyDescent="0.2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  <c r="IW69" s="68"/>
      <c r="IX69" s="68"/>
      <c r="IY69" s="68"/>
      <c r="IZ69" s="68"/>
      <c r="JA69" s="68"/>
      <c r="JB69" s="68"/>
      <c r="JC69" s="68"/>
      <c r="JD69" s="68"/>
      <c r="JE69" s="68"/>
      <c r="JF69" s="68"/>
      <c r="JG69" s="68"/>
      <c r="JH69" s="68"/>
      <c r="JI69" s="68"/>
      <c r="JJ69" s="68"/>
      <c r="JK69" s="68"/>
      <c r="JL69" s="68"/>
      <c r="JM69" s="68"/>
      <c r="JN69" s="68"/>
      <c r="JO69" s="68"/>
      <c r="JP69" s="68"/>
      <c r="JQ69" s="68"/>
      <c r="JR69" s="68"/>
      <c r="JS69" s="68"/>
      <c r="JT69" s="68"/>
      <c r="JU69" s="68"/>
      <c r="JV69" s="68"/>
      <c r="JW69" s="68"/>
      <c r="JX69" s="68"/>
      <c r="JY69" s="68"/>
      <c r="JZ69" s="68"/>
      <c r="KA69" s="68"/>
      <c r="KB69" s="68"/>
      <c r="KC69" s="68"/>
      <c r="KD69" s="68"/>
      <c r="KE69" s="68"/>
      <c r="KF69" s="68"/>
      <c r="KG69" s="68"/>
      <c r="KH69" s="68"/>
      <c r="KI69" s="68"/>
      <c r="KJ69" s="68"/>
      <c r="KK69" s="68"/>
      <c r="KL69" s="68"/>
      <c r="KM69" s="68"/>
      <c r="KN69" s="68"/>
      <c r="KO69" s="68"/>
      <c r="KP69" s="68"/>
      <c r="KQ69" s="68"/>
      <c r="KR69" s="68"/>
      <c r="KS69" s="68"/>
      <c r="KT69" s="68"/>
      <c r="KU69" s="68"/>
      <c r="KV69" s="68"/>
      <c r="KW69" s="68"/>
      <c r="KX69" s="68"/>
      <c r="KY69" s="68"/>
      <c r="KZ69" s="68"/>
      <c r="LA69" s="68"/>
      <c r="LB69" s="68"/>
      <c r="LC69" s="68"/>
      <c r="LD69" s="68"/>
      <c r="LE69" s="68"/>
      <c r="LF69" s="68"/>
      <c r="LG69" s="68"/>
      <c r="LH69" s="68"/>
      <c r="LI69" s="68"/>
      <c r="LJ69" s="68"/>
      <c r="LK69" s="68"/>
      <c r="LL69" s="68"/>
      <c r="LM69" s="68"/>
      <c r="LN69" s="68"/>
      <c r="LO69" s="68"/>
      <c r="LP69" s="68"/>
      <c r="LQ69" s="68"/>
      <c r="LR69" s="68"/>
      <c r="LS69" s="68"/>
      <c r="LT69" s="68"/>
      <c r="LU69" s="68"/>
      <c r="LV69" s="68"/>
      <c r="LW69" s="68"/>
      <c r="LX69" s="68"/>
      <c r="LY69" s="68"/>
      <c r="LZ69" s="68"/>
      <c r="MA69" s="68"/>
      <c r="MB69" s="68"/>
      <c r="MC69" s="68"/>
      <c r="MD69" s="68"/>
      <c r="ME69" s="68"/>
      <c r="MF69" s="68"/>
      <c r="MG69" s="68"/>
      <c r="MH69" s="68"/>
      <c r="MI69" s="68"/>
      <c r="MJ69" s="68"/>
      <c r="MK69" s="68"/>
      <c r="ML69" s="68"/>
      <c r="MM69" s="68"/>
      <c r="MN69" s="68"/>
      <c r="MO69" s="68"/>
      <c r="MP69" s="68"/>
      <c r="MQ69" s="68"/>
      <c r="MR69" s="68"/>
      <c r="MS69" s="68"/>
      <c r="MT69" s="68"/>
      <c r="MU69" s="68"/>
      <c r="MV69" s="68"/>
      <c r="MW69" s="68"/>
      <c r="MX69" s="68"/>
      <c r="MY69" s="68"/>
      <c r="MZ69" s="68"/>
      <c r="NA69" s="68"/>
      <c r="NB69" s="68"/>
      <c r="NC69" s="68"/>
      <c r="ND69" s="68"/>
      <c r="NE69" s="68"/>
      <c r="NF69" s="68"/>
      <c r="NG69" s="68"/>
      <c r="NH69" s="68"/>
      <c r="NI69" s="68"/>
      <c r="NJ69" s="68"/>
      <c r="NK69" s="68"/>
      <c r="NL69" s="68"/>
      <c r="NM69" s="68"/>
      <c r="NN69" s="68"/>
      <c r="NO69" s="68"/>
      <c r="NP69" s="68"/>
      <c r="NQ69" s="68"/>
      <c r="NR69" s="68"/>
      <c r="NS69" s="68"/>
      <c r="NT69" s="68"/>
      <c r="NU69" s="68"/>
      <c r="NV69" s="68"/>
      <c r="NW69" s="68"/>
      <c r="NX69" s="68"/>
      <c r="NY69" s="68"/>
      <c r="NZ69" s="68"/>
      <c r="OA69" s="68"/>
      <c r="OB69" s="68"/>
      <c r="OC69" s="68"/>
      <c r="OD69" s="68"/>
      <c r="OE69" s="68"/>
      <c r="OF69" s="68"/>
      <c r="OG69" s="68"/>
      <c r="OH69" s="68"/>
      <c r="OI69" s="68"/>
      <c r="OJ69" s="68"/>
      <c r="OK69" s="68"/>
      <c r="OL69" s="68"/>
      <c r="OM69" s="68"/>
      <c r="ON69" s="68"/>
      <c r="OO69" s="68"/>
      <c r="OP69" s="68"/>
      <c r="OQ69" s="68"/>
      <c r="OR69" s="68"/>
      <c r="OS69" s="68"/>
      <c r="OT69" s="68"/>
      <c r="OU69" s="68"/>
      <c r="OV69" s="68"/>
      <c r="OW69" s="68"/>
      <c r="OX69" s="68"/>
      <c r="OY69" s="68"/>
      <c r="OZ69" s="68"/>
      <c r="PA69" s="68"/>
      <c r="PB69" s="68"/>
      <c r="PC69" s="68"/>
      <c r="PD69" s="68"/>
      <c r="PE69" s="68"/>
      <c r="PF69" s="68"/>
      <c r="PG69" s="68"/>
      <c r="PH69" s="68"/>
      <c r="PI69" s="68"/>
      <c r="PJ69" s="68"/>
      <c r="PK69" s="68"/>
      <c r="PL69" s="68"/>
      <c r="PM69" s="68"/>
      <c r="PN69" s="68"/>
      <c r="PO69" s="68"/>
      <c r="PP69" s="68"/>
      <c r="PQ69" s="68"/>
      <c r="PR69" s="68"/>
      <c r="PS69" s="68"/>
      <c r="PT69" s="68"/>
      <c r="PU69" s="68"/>
      <c r="PV69" s="68"/>
      <c r="PW69" s="68"/>
      <c r="PX69" s="68"/>
      <c r="PY69" s="68"/>
      <c r="PZ69" s="68"/>
      <c r="QA69" s="68"/>
      <c r="QB69" s="68"/>
      <c r="QC69" s="68"/>
      <c r="QD69" s="68"/>
      <c r="QE69" s="68"/>
      <c r="QF69" s="68"/>
      <c r="QG69" s="68"/>
      <c r="QH69" s="68"/>
      <c r="QI69" s="68"/>
      <c r="QJ69" s="68"/>
      <c r="QK69" s="68"/>
      <c r="QL69" s="68"/>
      <c r="QM69" s="68"/>
      <c r="QN69" s="68"/>
      <c r="QO69" s="68"/>
      <c r="QP69" s="68"/>
      <c r="QQ69" s="68"/>
      <c r="QR69" s="68"/>
      <c r="QS69" s="68"/>
      <c r="QT69" s="68"/>
      <c r="QU69" s="68"/>
      <c r="QV69" s="68"/>
      <c r="QW69" s="68"/>
      <c r="QX69" s="68"/>
      <c r="QY69" s="68"/>
      <c r="QZ69" s="68"/>
      <c r="RA69" s="68"/>
      <c r="RB69" s="68"/>
      <c r="RC69" s="68"/>
      <c r="RD69" s="68"/>
      <c r="RE69" s="68"/>
      <c r="RF69" s="68"/>
      <c r="RG69" s="68"/>
      <c r="RH69" s="68"/>
      <c r="RI69" s="68"/>
      <c r="RJ69" s="68"/>
      <c r="RK69" s="68"/>
      <c r="RL69" s="68"/>
      <c r="RM69" s="68"/>
      <c r="RN69" s="68"/>
      <c r="RO69" s="68"/>
      <c r="RP69" s="68"/>
      <c r="RQ69" s="68"/>
      <c r="RR69" s="68"/>
      <c r="RS69" s="68"/>
      <c r="RT69" s="68"/>
      <c r="RU69" s="68"/>
      <c r="RV69" s="68"/>
      <c r="RW69" s="68"/>
      <c r="RX69" s="68"/>
      <c r="RY69" s="68"/>
      <c r="RZ69" s="68"/>
      <c r="SA69" s="68"/>
      <c r="SB69" s="68"/>
      <c r="SC69" s="68"/>
      <c r="SD69" s="68"/>
      <c r="SE69" s="68"/>
      <c r="SF69" s="68"/>
      <c r="SG69" s="68"/>
      <c r="SH69" s="68"/>
      <c r="SI69" s="68"/>
      <c r="SJ69" s="68"/>
      <c r="SK69" s="68"/>
      <c r="SL69" s="68"/>
      <c r="SM69" s="68"/>
      <c r="SN69" s="68"/>
      <c r="SO69" s="68"/>
      <c r="SP69" s="68"/>
      <c r="SQ69" s="68"/>
      <c r="SR69" s="68"/>
      <c r="SS69" s="68"/>
      <c r="ST69" s="68"/>
      <c r="SU69" s="68"/>
      <c r="SV69" s="68"/>
      <c r="SW69" s="68"/>
      <c r="SX69" s="68"/>
      <c r="SY69" s="68"/>
      <c r="SZ69" s="68"/>
      <c r="TA69" s="68"/>
      <c r="TB69" s="68"/>
      <c r="TC69" s="68"/>
      <c r="TD69" s="68"/>
      <c r="TE69" s="68"/>
      <c r="TF69" s="68"/>
      <c r="TG69" s="68"/>
      <c r="TH69" s="68"/>
      <c r="TI69" s="68"/>
      <c r="TJ69" s="68"/>
      <c r="TK69" s="68"/>
      <c r="TL69" s="68"/>
      <c r="TM69" s="68"/>
      <c r="TN69" s="68"/>
      <c r="TO69" s="68"/>
      <c r="TP69" s="68"/>
      <c r="TQ69" s="68"/>
      <c r="TR69" s="68"/>
      <c r="TS69" s="68"/>
      <c r="TT69" s="68"/>
      <c r="TU69" s="68"/>
      <c r="TV69" s="68"/>
      <c r="TW69" s="68"/>
      <c r="TX69" s="68"/>
      <c r="TY69" s="68"/>
      <c r="TZ69" s="68"/>
      <c r="UA69" s="68"/>
      <c r="UB69" s="68"/>
      <c r="UC69" s="68"/>
      <c r="UD69" s="68"/>
      <c r="UE69" s="68"/>
      <c r="UF69" s="68"/>
      <c r="UG69" s="68"/>
      <c r="UH69" s="68"/>
      <c r="UI69" s="68"/>
      <c r="UJ69" s="68"/>
      <c r="UK69" s="68"/>
      <c r="UL69" s="68"/>
      <c r="UM69" s="68"/>
      <c r="UN69" s="68"/>
      <c r="UO69" s="68"/>
      <c r="UP69" s="68"/>
      <c r="UQ69" s="68"/>
      <c r="UR69" s="68"/>
      <c r="US69" s="68"/>
      <c r="UT69" s="68"/>
      <c r="UU69" s="68"/>
      <c r="UV69" s="68"/>
      <c r="UW69" s="68"/>
      <c r="UX69" s="68"/>
      <c r="UY69" s="68"/>
      <c r="UZ69" s="68"/>
      <c r="VA69" s="68"/>
      <c r="VB69" s="68"/>
      <c r="VC69" s="68"/>
      <c r="VD69" s="68"/>
      <c r="VE69" s="68"/>
      <c r="VF69" s="68"/>
      <c r="VG69" s="68"/>
      <c r="VH69" s="68"/>
      <c r="VI69" s="68"/>
      <c r="VJ69" s="68"/>
      <c r="VK69" s="68"/>
      <c r="VL69" s="68"/>
      <c r="VM69" s="68"/>
      <c r="VN69" s="68"/>
      <c r="VO69" s="68"/>
      <c r="VP69" s="68"/>
      <c r="VQ69" s="68"/>
      <c r="VR69" s="68"/>
      <c r="VS69" s="68"/>
      <c r="VT69" s="68"/>
      <c r="VU69" s="68"/>
      <c r="VV69" s="68"/>
      <c r="VW69" s="68"/>
      <c r="VX69" s="68"/>
      <c r="VY69" s="68"/>
      <c r="WA69" s="68"/>
      <c r="WB69" s="68"/>
      <c r="WC69" s="68"/>
      <c r="WD69" s="68"/>
      <c r="WE69" s="68"/>
      <c r="WF69" s="68"/>
      <c r="WG69" s="68"/>
      <c r="WH69" s="68"/>
      <c r="WI69" s="84"/>
      <c r="WN69" s="2" t="s">
        <v>4945</v>
      </c>
      <c r="WO69" s="12">
        <f>SUM(WI2:WI72)</f>
        <v>205</v>
      </c>
    </row>
    <row r="70" spans="1:613" x14ac:dyDescent="0.25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68"/>
      <c r="JM70" s="68"/>
      <c r="JN70" s="68"/>
      <c r="JO70" s="68"/>
      <c r="JP70" s="68"/>
      <c r="JQ70" s="68"/>
      <c r="JR70" s="68"/>
      <c r="JS70" s="68"/>
      <c r="JT70" s="68"/>
      <c r="JU70" s="68"/>
      <c r="JV70" s="68"/>
      <c r="JW70" s="68"/>
      <c r="JX70" s="68"/>
      <c r="JY70" s="68"/>
      <c r="JZ70" s="68"/>
      <c r="KA70" s="68"/>
      <c r="KB70" s="68"/>
      <c r="KC70" s="68"/>
      <c r="KD70" s="68"/>
      <c r="KE70" s="68"/>
      <c r="KF70" s="68"/>
      <c r="KG70" s="68"/>
      <c r="KH70" s="68"/>
      <c r="KI70" s="68"/>
      <c r="KJ70" s="68"/>
      <c r="KK70" s="68"/>
      <c r="KL70" s="68"/>
      <c r="KM70" s="68"/>
      <c r="KN70" s="68"/>
      <c r="KO70" s="68"/>
      <c r="KP70" s="68"/>
      <c r="KQ70" s="68"/>
      <c r="KR70" s="68"/>
      <c r="KS70" s="68"/>
      <c r="KT70" s="68"/>
      <c r="KU70" s="68"/>
      <c r="KV70" s="68"/>
      <c r="KW70" s="68"/>
      <c r="KX70" s="68"/>
      <c r="KY70" s="68"/>
      <c r="KZ70" s="68"/>
      <c r="LA70" s="68"/>
      <c r="LB70" s="68"/>
      <c r="LC70" s="68"/>
      <c r="LD70" s="68"/>
      <c r="LE70" s="68"/>
      <c r="LF70" s="68"/>
      <c r="LG70" s="68"/>
      <c r="LH70" s="68"/>
      <c r="LI70" s="68"/>
      <c r="LJ70" s="68"/>
      <c r="LK70" s="68"/>
      <c r="LL70" s="68"/>
      <c r="LM70" s="68"/>
      <c r="LN70" s="68"/>
      <c r="LO70" s="68"/>
      <c r="LP70" s="68"/>
      <c r="LQ70" s="68"/>
      <c r="LR70" s="68"/>
      <c r="LS70" s="68"/>
      <c r="LT70" s="68"/>
      <c r="LU70" s="68"/>
      <c r="LV70" s="68"/>
      <c r="LW70" s="68"/>
      <c r="LX70" s="68"/>
      <c r="LY70" s="68"/>
      <c r="LZ70" s="68"/>
      <c r="MA70" s="68"/>
      <c r="MB70" s="68"/>
      <c r="MC70" s="68"/>
      <c r="MD70" s="68"/>
      <c r="ME70" s="68"/>
      <c r="MF70" s="68"/>
      <c r="MG70" s="68"/>
      <c r="MH70" s="68"/>
      <c r="MI70" s="68"/>
      <c r="MJ70" s="68"/>
      <c r="MK70" s="68"/>
      <c r="ML70" s="68"/>
      <c r="MM70" s="68"/>
      <c r="MN70" s="68"/>
      <c r="MO70" s="68"/>
      <c r="MP70" s="68"/>
      <c r="MQ70" s="68"/>
      <c r="MR70" s="68"/>
      <c r="MS70" s="68"/>
      <c r="MT70" s="68"/>
      <c r="MU70" s="68"/>
      <c r="MV70" s="68"/>
      <c r="MW70" s="68"/>
      <c r="MX70" s="68"/>
      <c r="MY70" s="68"/>
      <c r="MZ70" s="68"/>
      <c r="NA70" s="68"/>
      <c r="NB70" s="68"/>
      <c r="NC70" s="68"/>
      <c r="ND70" s="68"/>
      <c r="NE70" s="68"/>
      <c r="NF70" s="68"/>
      <c r="NG70" s="68"/>
      <c r="NH70" s="68"/>
      <c r="NI70" s="68"/>
      <c r="NJ70" s="68"/>
      <c r="NK70" s="68"/>
      <c r="NL70" s="68"/>
      <c r="NM70" s="68"/>
      <c r="NN70" s="68"/>
      <c r="NO70" s="68"/>
      <c r="NP70" s="68"/>
      <c r="NQ70" s="68"/>
      <c r="NR70" s="68"/>
      <c r="NS70" s="68"/>
      <c r="NT70" s="68"/>
      <c r="NU70" s="68"/>
      <c r="NV70" s="68"/>
      <c r="NW70" s="68"/>
      <c r="NX70" s="68"/>
      <c r="NY70" s="68"/>
      <c r="NZ70" s="68"/>
      <c r="OA70" s="68"/>
      <c r="OB70" s="68"/>
      <c r="OC70" s="68"/>
      <c r="OD70" s="68"/>
      <c r="OE70" s="68"/>
      <c r="OF70" s="68"/>
      <c r="OG70" s="68"/>
      <c r="OH70" s="68"/>
      <c r="OI70" s="68"/>
      <c r="OJ70" s="68"/>
      <c r="OK70" s="68"/>
      <c r="OL70" s="68"/>
      <c r="OM70" s="68"/>
      <c r="ON70" s="68"/>
      <c r="OO70" s="68"/>
      <c r="OP70" s="68"/>
      <c r="OQ70" s="68"/>
      <c r="OR70" s="68"/>
      <c r="OS70" s="68"/>
      <c r="OT70" s="68"/>
      <c r="OU70" s="68"/>
      <c r="OV70" s="68"/>
      <c r="OW70" s="68"/>
      <c r="OX70" s="68"/>
      <c r="OY70" s="68"/>
      <c r="OZ70" s="68"/>
      <c r="PA70" s="68"/>
      <c r="PB70" s="68"/>
      <c r="PC70" s="68"/>
      <c r="PD70" s="68"/>
      <c r="PE70" s="68"/>
      <c r="PF70" s="68"/>
      <c r="PG70" s="68"/>
      <c r="PH70" s="68"/>
      <c r="PI70" s="68"/>
      <c r="PJ70" s="68"/>
      <c r="PK70" s="68"/>
      <c r="PL70" s="68"/>
      <c r="PM70" s="68"/>
      <c r="PN70" s="68"/>
      <c r="PO70" s="68"/>
      <c r="PP70" s="68"/>
      <c r="PQ70" s="68"/>
      <c r="PR70" s="68"/>
      <c r="PS70" s="68"/>
      <c r="PT70" s="68"/>
      <c r="PU70" s="68"/>
      <c r="PV70" s="68"/>
      <c r="PW70" s="68"/>
      <c r="PX70" s="68"/>
      <c r="PY70" s="68"/>
      <c r="PZ70" s="68"/>
      <c r="QA70" s="68"/>
      <c r="QB70" s="68"/>
      <c r="QC70" s="68"/>
      <c r="QD70" s="68"/>
      <c r="QE70" s="68"/>
      <c r="QF70" s="68"/>
      <c r="QG70" s="68"/>
      <c r="QH70" s="68"/>
      <c r="QI70" s="68"/>
      <c r="QJ70" s="68"/>
      <c r="QK70" s="68"/>
      <c r="QL70" s="68"/>
      <c r="QM70" s="68"/>
      <c r="QN70" s="68"/>
      <c r="QO70" s="68"/>
      <c r="QP70" s="68"/>
      <c r="QQ70" s="68"/>
      <c r="QR70" s="68"/>
      <c r="QS70" s="68"/>
      <c r="QT70" s="68"/>
      <c r="QU70" s="68"/>
      <c r="QV70" s="68"/>
      <c r="QW70" s="68"/>
      <c r="QX70" s="68"/>
      <c r="QY70" s="68"/>
      <c r="QZ70" s="68"/>
      <c r="RA70" s="68"/>
      <c r="RB70" s="68"/>
      <c r="RC70" s="68"/>
      <c r="RD70" s="68"/>
      <c r="RE70" s="68"/>
      <c r="RF70" s="68"/>
      <c r="RG70" s="68"/>
      <c r="RH70" s="68"/>
      <c r="RI70" s="68"/>
      <c r="RJ70" s="68"/>
      <c r="RK70" s="68"/>
      <c r="RL70" s="68"/>
      <c r="RM70" s="68"/>
      <c r="RN70" s="68"/>
      <c r="RO70" s="68"/>
      <c r="RP70" s="68"/>
      <c r="RQ70" s="68"/>
      <c r="RR70" s="68"/>
      <c r="RS70" s="68"/>
      <c r="RT70" s="68"/>
      <c r="RU70" s="68"/>
      <c r="RV70" s="68"/>
      <c r="RW70" s="68"/>
      <c r="RX70" s="68"/>
      <c r="RY70" s="68"/>
      <c r="RZ70" s="68"/>
      <c r="SA70" s="68"/>
      <c r="SB70" s="68"/>
      <c r="SC70" s="68"/>
      <c r="SD70" s="68"/>
      <c r="SE70" s="68"/>
      <c r="SF70" s="68"/>
      <c r="SG70" s="68"/>
      <c r="SH70" s="68"/>
      <c r="SI70" s="68"/>
      <c r="SJ70" s="68"/>
      <c r="SK70" s="68"/>
      <c r="SL70" s="68"/>
      <c r="SM70" s="68"/>
      <c r="SN70" s="68"/>
      <c r="SO70" s="68"/>
      <c r="SP70" s="68"/>
      <c r="SQ70" s="68"/>
      <c r="SR70" s="68"/>
      <c r="SS70" s="68"/>
      <c r="ST70" s="68"/>
      <c r="SU70" s="68"/>
      <c r="SV70" s="68"/>
      <c r="SW70" s="68"/>
      <c r="SX70" s="68"/>
      <c r="SY70" s="68"/>
      <c r="SZ70" s="68"/>
      <c r="TA70" s="68"/>
      <c r="TB70" s="68"/>
      <c r="TC70" s="68"/>
      <c r="TD70" s="68"/>
      <c r="TE70" s="68"/>
      <c r="TF70" s="68"/>
      <c r="TG70" s="68"/>
      <c r="TH70" s="68"/>
      <c r="TI70" s="68"/>
      <c r="TJ70" s="68"/>
      <c r="TK70" s="68"/>
      <c r="TL70" s="68"/>
      <c r="TM70" s="68"/>
      <c r="TN70" s="68"/>
      <c r="TO70" s="68"/>
      <c r="TP70" s="68"/>
      <c r="TQ70" s="68"/>
      <c r="TR70" s="68"/>
      <c r="TS70" s="68"/>
      <c r="TT70" s="68"/>
      <c r="TU70" s="68"/>
      <c r="TV70" s="68"/>
      <c r="TW70" s="68"/>
      <c r="TX70" s="68"/>
      <c r="TY70" s="68"/>
      <c r="TZ70" s="68"/>
      <c r="UA70" s="68"/>
      <c r="UB70" s="68"/>
      <c r="UC70" s="68"/>
      <c r="UD70" s="68"/>
      <c r="UE70" s="68"/>
      <c r="UF70" s="68"/>
      <c r="UG70" s="68"/>
      <c r="UH70" s="68"/>
      <c r="UI70" s="68"/>
      <c r="UJ70" s="68"/>
      <c r="UK70" s="68"/>
      <c r="UL70" s="68"/>
      <c r="UM70" s="68"/>
      <c r="UN70" s="68"/>
      <c r="UO70" s="68"/>
      <c r="UP70" s="68"/>
      <c r="UQ70" s="68"/>
      <c r="UR70" s="68"/>
      <c r="US70" s="68"/>
      <c r="UT70" s="68"/>
      <c r="UU70" s="68"/>
      <c r="UV70" s="68"/>
      <c r="UW70" s="68"/>
      <c r="UX70" s="68"/>
      <c r="UY70" s="68"/>
      <c r="UZ70" s="68"/>
      <c r="VA70" s="68"/>
      <c r="VB70" s="68"/>
      <c r="VC70" s="68"/>
      <c r="VD70" s="68"/>
      <c r="VE70" s="68"/>
      <c r="VF70" s="68"/>
      <c r="VG70" s="68"/>
      <c r="VH70" s="68"/>
      <c r="VI70" s="68"/>
      <c r="VJ70" s="68"/>
      <c r="VK70" s="68"/>
      <c r="VL70" s="68"/>
      <c r="VM70" s="68"/>
      <c r="VN70" s="68"/>
      <c r="VO70" s="68"/>
      <c r="VP70" s="68"/>
      <c r="VQ70" s="68"/>
      <c r="VR70" s="68"/>
      <c r="VS70" s="68"/>
      <c r="VT70" s="68"/>
      <c r="VU70" s="68"/>
      <c r="VV70" s="68"/>
      <c r="VW70" s="68"/>
      <c r="VX70" s="68"/>
      <c r="VY70" s="68"/>
      <c r="WA70" s="68"/>
      <c r="WB70" s="68"/>
      <c r="WC70" s="68"/>
      <c r="WD70" s="68"/>
      <c r="WE70" s="68"/>
      <c r="WF70" s="68"/>
      <c r="WG70" s="68"/>
      <c r="WH70" s="68"/>
      <c r="WI70" s="84"/>
      <c r="WN70" s="2" t="s">
        <v>5395</v>
      </c>
      <c r="WO70" s="14">
        <f>WO69/VU84</f>
        <v>3.360655737704918</v>
      </c>
    </row>
    <row r="71" spans="1:613" x14ac:dyDescent="0.25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68"/>
      <c r="JM71" s="68"/>
      <c r="JN71" s="68"/>
      <c r="JO71" s="68"/>
      <c r="JP71" s="68"/>
      <c r="JQ71" s="68"/>
      <c r="JR71" s="68"/>
      <c r="JS71" s="68"/>
      <c r="JT71" s="68"/>
      <c r="JU71" s="68"/>
      <c r="JV71" s="68"/>
      <c r="JW71" s="68"/>
      <c r="JX71" s="68"/>
      <c r="JY71" s="68"/>
      <c r="JZ71" s="68"/>
      <c r="KA71" s="68"/>
      <c r="KB71" s="68"/>
      <c r="KC71" s="68"/>
      <c r="KD71" s="68"/>
      <c r="KE71" s="68"/>
      <c r="KF71" s="68"/>
      <c r="KG71" s="68"/>
      <c r="KH71" s="68"/>
      <c r="KI71" s="68"/>
      <c r="KJ71" s="68"/>
      <c r="KK71" s="68"/>
      <c r="KL71" s="68"/>
      <c r="KM71" s="68"/>
      <c r="KN71" s="68"/>
      <c r="KO71" s="68"/>
      <c r="KP71" s="68"/>
      <c r="KQ71" s="68"/>
      <c r="KR71" s="68"/>
      <c r="KS71" s="68"/>
      <c r="KT71" s="68"/>
      <c r="KU71" s="68"/>
      <c r="KV71" s="68"/>
      <c r="KW71" s="68"/>
      <c r="KX71" s="68"/>
      <c r="KY71" s="68"/>
      <c r="KZ71" s="68"/>
      <c r="LA71" s="68"/>
      <c r="LB71" s="68"/>
      <c r="LC71" s="68"/>
      <c r="LD71" s="68"/>
      <c r="LE71" s="68"/>
      <c r="LF71" s="68"/>
      <c r="LG71" s="68"/>
      <c r="LH71" s="68"/>
      <c r="LI71" s="68"/>
      <c r="LJ71" s="68"/>
      <c r="LK71" s="68"/>
      <c r="LL71" s="68"/>
      <c r="LM71" s="68"/>
      <c r="LN71" s="68"/>
      <c r="LO71" s="68"/>
      <c r="LP71" s="68"/>
      <c r="LQ71" s="68"/>
      <c r="LR71" s="68"/>
      <c r="LS71" s="68"/>
      <c r="LT71" s="68"/>
      <c r="LU71" s="68"/>
      <c r="LV71" s="68"/>
      <c r="LW71" s="68"/>
      <c r="LX71" s="68"/>
      <c r="LY71" s="68"/>
      <c r="LZ71" s="68"/>
      <c r="MA71" s="68"/>
      <c r="MB71" s="68"/>
      <c r="MC71" s="68"/>
      <c r="MD71" s="68"/>
      <c r="ME71" s="68"/>
      <c r="MF71" s="68"/>
      <c r="MG71" s="68"/>
      <c r="MH71" s="68"/>
      <c r="MI71" s="68"/>
      <c r="MJ71" s="68"/>
      <c r="MK71" s="68"/>
      <c r="ML71" s="68"/>
      <c r="MM71" s="68"/>
      <c r="MN71" s="68"/>
      <c r="MO71" s="68"/>
      <c r="MP71" s="68"/>
      <c r="MQ71" s="68"/>
      <c r="MR71" s="68"/>
      <c r="MS71" s="68"/>
      <c r="MT71" s="68"/>
      <c r="MU71" s="68"/>
      <c r="MV71" s="68"/>
      <c r="MW71" s="68"/>
      <c r="MX71" s="68"/>
      <c r="MY71" s="68"/>
      <c r="MZ71" s="68"/>
      <c r="NA71" s="68"/>
      <c r="NB71" s="68"/>
      <c r="NC71" s="68"/>
      <c r="ND71" s="68"/>
      <c r="NE71" s="68"/>
      <c r="NF71" s="68"/>
      <c r="NG71" s="68"/>
      <c r="NH71" s="68"/>
      <c r="NI71" s="68"/>
      <c r="NJ71" s="68"/>
      <c r="NK71" s="68"/>
      <c r="NL71" s="68"/>
      <c r="NM71" s="68"/>
      <c r="NN71" s="68"/>
      <c r="NO71" s="68"/>
      <c r="NP71" s="68"/>
      <c r="NQ71" s="68"/>
      <c r="NR71" s="68"/>
      <c r="NS71" s="68"/>
      <c r="NT71" s="68"/>
      <c r="NU71" s="68"/>
      <c r="NV71" s="68"/>
      <c r="NW71" s="68"/>
      <c r="NX71" s="68"/>
      <c r="NY71" s="68"/>
      <c r="NZ71" s="68"/>
      <c r="OA71" s="68"/>
      <c r="OB71" s="68"/>
      <c r="OC71" s="68"/>
      <c r="OD71" s="68"/>
      <c r="OE71" s="68"/>
      <c r="OF71" s="68"/>
      <c r="OG71" s="68"/>
      <c r="OH71" s="68"/>
      <c r="OI71" s="68"/>
      <c r="OJ71" s="68"/>
      <c r="OK71" s="68"/>
      <c r="OL71" s="68"/>
      <c r="OM71" s="68"/>
      <c r="ON71" s="68"/>
      <c r="OO71" s="68"/>
      <c r="OP71" s="68"/>
      <c r="OQ71" s="68"/>
      <c r="OR71" s="68"/>
      <c r="OS71" s="68"/>
      <c r="OT71" s="68"/>
      <c r="OU71" s="68"/>
      <c r="OV71" s="68"/>
      <c r="OW71" s="68"/>
      <c r="OX71" s="68"/>
      <c r="OY71" s="68"/>
      <c r="OZ71" s="68"/>
      <c r="PA71" s="68"/>
      <c r="PB71" s="68"/>
      <c r="PC71" s="68"/>
      <c r="PD71" s="68"/>
      <c r="PE71" s="68"/>
      <c r="PF71" s="68"/>
      <c r="PG71" s="68"/>
      <c r="PH71" s="68"/>
      <c r="PI71" s="68"/>
      <c r="PJ71" s="68"/>
      <c r="PK71" s="68"/>
      <c r="PL71" s="68"/>
      <c r="PM71" s="68"/>
      <c r="PN71" s="68"/>
      <c r="PO71" s="68"/>
      <c r="PP71" s="68"/>
      <c r="PQ71" s="68"/>
      <c r="PR71" s="68"/>
      <c r="PS71" s="68"/>
      <c r="PT71" s="68"/>
      <c r="PU71" s="68"/>
      <c r="PV71" s="68"/>
      <c r="PW71" s="68"/>
      <c r="PX71" s="68"/>
      <c r="PY71" s="68"/>
      <c r="PZ71" s="68"/>
      <c r="QA71" s="68"/>
      <c r="QB71" s="68"/>
      <c r="QC71" s="68"/>
      <c r="QD71" s="68"/>
      <c r="QE71" s="68"/>
      <c r="QF71" s="68"/>
      <c r="QG71" s="68"/>
      <c r="QH71" s="68"/>
      <c r="QI71" s="68"/>
      <c r="QJ71" s="68"/>
      <c r="QK71" s="68"/>
      <c r="QL71" s="68"/>
      <c r="QM71" s="68"/>
      <c r="QN71" s="68"/>
      <c r="QO71" s="68"/>
      <c r="QP71" s="68"/>
      <c r="QQ71" s="68"/>
      <c r="QR71" s="68"/>
      <c r="QS71" s="68"/>
      <c r="QT71" s="68"/>
      <c r="QU71" s="68"/>
      <c r="QV71" s="68"/>
      <c r="QW71" s="68"/>
      <c r="QX71" s="68"/>
      <c r="QY71" s="68"/>
      <c r="QZ71" s="68"/>
      <c r="RA71" s="68"/>
      <c r="RB71" s="68"/>
      <c r="RC71" s="68"/>
      <c r="RD71" s="68"/>
      <c r="RE71" s="68"/>
      <c r="RF71" s="68"/>
      <c r="RG71" s="68"/>
      <c r="RH71" s="68"/>
      <c r="RI71" s="68"/>
      <c r="RJ71" s="68"/>
      <c r="RK71" s="68"/>
      <c r="RL71" s="68"/>
      <c r="RM71" s="68"/>
      <c r="RN71" s="68"/>
      <c r="RO71" s="68"/>
      <c r="RP71" s="68"/>
      <c r="RQ71" s="68"/>
      <c r="RR71" s="68"/>
      <c r="RS71" s="68"/>
      <c r="RT71" s="68"/>
      <c r="RU71" s="68"/>
      <c r="RV71" s="68"/>
      <c r="RW71" s="68"/>
      <c r="RX71" s="68"/>
      <c r="RY71" s="68"/>
      <c r="RZ71" s="68"/>
      <c r="SA71" s="68"/>
      <c r="SB71" s="68"/>
      <c r="SC71" s="68"/>
      <c r="SD71" s="68"/>
      <c r="SE71" s="68"/>
      <c r="SF71" s="68"/>
      <c r="SG71" s="68"/>
      <c r="SH71" s="68"/>
      <c r="SI71" s="68"/>
      <c r="SJ71" s="68"/>
      <c r="SK71" s="68"/>
      <c r="SL71" s="68"/>
      <c r="SM71" s="68"/>
      <c r="SN71" s="68"/>
      <c r="SO71" s="68"/>
      <c r="SP71" s="68"/>
      <c r="SQ71" s="68"/>
      <c r="SR71" s="68"/>
      <c r="SS71" s="68"/>
      <c r="ST71" s="68"/>
      <c r="SU71" s="68"/>
      <c r="SV71" s="68"/>
      <c r="SW71" s="68"/>
      <c r="SX71" s="68"/>
      <c r="SY71" s="68"/>
      <c r="SZ71" s="68"/>
      <c r="TA71" s="68"/>
      <c r="TB71" s="68"/>
      <c r="TC71" s="68"/>
      <c r="TD71" s="68"/>
      <c r="TE71" s="68"/>
      <c r="TF71" s="68"/>
      <c r="TG71" s="68"/>
      <c r="TH71" s="68"/>
      <c r="TI71" s="68"/>
      <c r="TJ71" s="68"/>
      <c r="TK71" s="68"/>
      <c r="TL71" s="68"/>
      <c r="TM71" s="68"/>
      <c r="TN71" s="68"/>
      <c r="TO71" s="68"/>
      <c r="TP71" s="68"/>
      <c r="TQ71" s="68"/>
      <c r="TR71" s="68"/>
      <c r="TS71" s="68"/>
      <c r="TT71" s="68"/>
      <c r="TU71" s="68"/>
      <c r="TV71" s="68"/>
      <c r="TW71" s="68"/>
      <c r="TX71" s="68"/>
      <c r="TY71" s="68"/>
      <c r="TZ71" s="68"/>
      <c r="UA71" s="68"/>
      <c r="UB71" s="68"/>
      <c r="UC71" s="68"/>
      <c r="UD71" s="68"/>
      <c r="UE71" s="68"/>
      <c r="UF71" s="68"/>
      <c r="UG71" s="68"/>
      <c r="UH71" s="68"/>
      <c r="UI71" s="68"/>
      <c r="UJ71" s="68"/>
      <c r="UK71" s="68"/>
      <c r="UL71" s="68"/>
      <c r="UM71" s="68"/>
      <c r="UN71" s="68"/>
      <c r="UO71" s="68"/>
      <c r="UP71" s="68"/>
      <c r="UQ71" s="68"/>
      <c r="UR71" s="68"/>
      <c r="US71" s="68"/>
      <c r="UT71" s="68"/>
      <c r="UU71" s="68"/>
      <c r="UV71" s="68"/>
      <c r="UW71" s="68"/>
      <c r="UX71" s="68"/>
      <c r="UY71" s="68"/>
      <c r="UZ71" s="68"/>
      <c r="VA71" s="68"/>
      <c r="VB71" s="68"/>
      <c r="VC71" s="68"/>
      <c r="VD71" s="68"/>
      <c r="VE71" s="68"/>
      <c r="VF71" s="68"/>
      <c r="VG71" s="68"/>
      <c r="VH71" s="68"/>
      <c r="VI71" s="68"/>
      <c r="VJ71" s="68"/>
      <c r="VK71" s="68"/>
      <c r="VL71" s="68"/>
      <c r="VM71" s="68"/>
      <c r="VN71" s="68"/>
      <c r="VO71" s="68"/>
      <c r="VP71" s="68"/>
      <c r="VQ71" s="68"/>
      <c r="VR71" s="68"/>
      <c r="VS71" s="68"/>
      <c r="VT71" s="68"/>
      <c r="VU71" s="68"/>
      <c r="VV71" s="68"/>
      <c r="VW71" s="68"/>
      <c r="VX71" s="68"/>
      <c r="VY71" s="68"/>
      <c r="WA71" s="68"/>
      <c r="WB71" s="68"/>
      <c r="WC71" s="68"/>
      <c r="WD71" s="68"/>
      <c r="WE71" s="68"/>
      <c r="WF71" s="68"/>
      <c r="WG71" s="68"/>
      <c r="WH71" s="68"/>
      <c r="WI71" s="84"/>
      <c r="WN71" s="2" t="s">
        <v>5401</v>
      </c>
      <c r="WO71" s="12">
        <f>MAX(WI2:WI72)</f>
        <v>5</v>
      </c>
    </row>
    <row r="72" spans="1:613" x14ac:dyDescent="0.2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68"/>
      <c r="LB72" s="68"/>
      <c r="LC72" s="68"/>
      <c r="LD72" s="68"/>
      <c r="LE72" s="68"/>
      <c r="LF72" s="68"/>
      <c r="LG72" s="68"/>
      <c r="LH72" s="68"/>
      <c r="LI72" s="68"/>
      <c r="LJ72" s="68"/>
      <c r="LK72" s="68"/>
      <c r="LL72" s="68"/>
      <c r="LM72" s="68"/>
      <c r="LN72" s="68"/>
      <c r="LO72" s="68"/>
      <c r="LP72" s="68"/>
      <c r="LQ72" s="68"/>
      <c r="LR72" s="68"/>
      <c r="LS72" s="68"/>
      <c r="LT72" s="68"/>
      <c r="LU72" s="68"/>
      <c r="LV72" s="68"/>
      <c r="LW72" s="68"/>
      <c r="LX72" s="68"/>
      <c r="LY72" s="68"/>
      <c r="LZ72" s="68"/>
      <c r="MA72" s="68"/>
      <c r="MB72" s="68"/>
      <c r="MC72" s="68"/>
      <c r="MD72" s="68"/>
      <c r="ME72" s="68"/>
      <c r="MF72" s="68"/>
      <c r="MG72" s="68"/>
      <c r="MH72" s="68"/>
      <c r="MI72" s="68"/>
      <c r="MJ72" s="68"/>
      <c r="MK72" s="68"/>
      <c r="ML72" s="68"/>
      <c r="MM72" s="68"/>
      <c r="MN72" s="68"/>
      <c r="MO72" s="68"/>
      <c r="MP72" s="68"/>
      <c r="MQ72" s="68"/>
      <c r="MR72" s="68"/>
      <c r="MS72" s="68"/>
      <c r="MT72" s="68"/>
      <c r="MU72" s="68"/>
      <c r="MV72" s="68"/>
      <c r="MW72" s="68"/>
      <c r="MX72" s="68"/>
      <c r="MY72" s="68"/>
      <c r="MZ72" s="68"/>
      <c r="NA72" s="68"/>
      <c r="NB72" s="68"/>
      <c r="NC72" s="68"/>
      <c r="ND72" s="68"/>
      <c r="NE72" s="68"/>
      <c r="NF72" s="68"/>
      <c r="NG72" s="68"/>
      <c r="NH72" s="68"/>
      <c r="NI72" s="68"/>
      <c r="NJ72" s="68"/>
      <c r="NK72" s="68"/>
      <c r="NL72" s="68"/>
      <c r="NM72" s="68"/>
      <c r="NN72" s="68"/>
      <c r="NO72" s="68"/>
      <c r="NP72" s="68"/>
      <c r="NQ72" s="68"/>
      <c r="NR72" s="68"/>
      <c r="NS72" s="68"/>
      <c r="NT72" s="68"/>
      <c r="NU72" s="68"/>
      <c r="NV72" s="68"/>
      <c r="NW72" s="68"/>
      <c r="NX72" s="68"/>
      <c r="NY72" s="68"/>
      <c r="NZ72" s="68"/>
      <c r="OA72" s="68"/>
      <c r="OB72" s="68"/>
      <c r="OC72" s="68"/>
      <c r="OD72" s="68"/>
      <c r="OE72" s="68"/>
      <c r="OF72" s="68"/>
      <c r="OG72" s="68"/>
      <c r="OH72" s="68"/>
      <c r="OI72" s="68"/>
      <c r="OJ72" s="68"/>
      <c r="OK72" s="68"/>
      <c r="OL72" s="68"/>
      <c r="OM72" s="68"/>
      <c r="ON72" s="68"/>
      <c r="OO72" s="68"/>
      <c r="OP72" s="68"/>
      <c r="OQ72" s="68"/>
      <c r="OR72" s="68"/>
      <c r="OS72" s="68"/>
      <c r="OT72" s="68"/>
      <c r="OU72" s="68"/>
      <c r="OV72" s="68"/>
      <c r="OW72" s="68"/>
      <c r="OX72" s="68"/>
      <c r="OY72" s="68"/>
      <c r="OZ72" s="68"/>
      <c r="PA72" s="68"/>
      <c r="PB72" s="68"/>
      <c r="PC72" s="68"/>
      <c r="PD72" s="68"/>
      <c r="PE72" s="68"/>
      <c r="PF72" s="68"/>
      <c r="PG72" s="68"/>
      <c r="PH72" s="68"/>
      <c r="PI72" s="68"/>
      <c r="PJ72" s="68"/>
      <c r="PK72" s="68"/>
      <c r="PL72" s="68"/>
      <c r="PM72" s="68"/>
      <c r="PN72" s="68"/>
      <c r="PO72" s="68"/>
      <c r="PP72" s="68"/>
      <c r="PQ72" s="68"/>
      <c r="PR72" s="68"/>
      <c r="PS72" s="68"/>
      <c r="PT72" s="68"/>
      <c r="PU72" s="68"/>
      <c r="PV72" s="68"/>
      <c r="PW72" s="68"/>
      <c r="PX72" s="68"/>
      <c r="PY72" s="68"/>
      <c r="PZ72" s="68"/>
      <c r="QA72" s="68"/>
      <c r="QB72" s="68"/>
      <c r="QC72" s="68"/>
      <c r="QD72" s="68"/>
      <c r="QE72" s="68"/>
      <c r="QF72" s="68"/>
      <c r="QG72" s="68"/>
      <c r="QH72" s="68"/>
      <c r="QI72" s="68"/>
      <c r="QJ72" s="68"/>
      <c r="QK72" s="68"/>
      <c r="QL72" s="68"/>
      <c r="QM72" s="68"/>
      <c r="QN72" s="68"/>
      <c r="QO72" s="68"/>
      <c r="QP72" s="68"/>
      <c r="QQ72" s="68"/>
      <c r="QR72" s="68"/>
      <c r="QS72" s="68"/>
      <c r="QT72" s="68"/>
      <c r="QU72" s="68"/>
      <c r="QV72" s="68"/>
      <c r="QW72" s="68"/>
      <c r="QX72" s="68"/>
      <c r="QY72" s="68"/>
      <c r="QZ72" s="68"/>
      <c r="RA72" s="68"/>
      <c r="RB72" s="68"/>
      <c r="RC72" s="68"/>
      <c r="RD72" s="68"/>
      <c r="RE72" s="68"/>
      <c r="RF72" s="68"/>
      <c r="RG72" s="68"/>
      <c r="RH72" s="68"/>
      <c r="RI72" s="68"/>
      <c r="RJ72" s="68"/>
      <c r="RK72" s="68"/>
      <c r="RL72" s="68"/>
      <c r="RM72" s="68"/>
      <c r="RN72" s="68"/>
      <c r="RO72" s="68"/>
      <c r="RP72" s="68"/>
      <c r="RQ72" s="68"/>
      <c r="RR72" s="68"/>
      <c r="RS72" s="68"/>
      <c r="RT72" s="68"/>
      <c r="RU72" s="68"/>
      <c r="RV72" s="68"/>
      <c r="RW72" s="68"/>
      <c r="RX72" s="68"/>
      <c r="RY72" s="68"/>
      <c r="RZ72" s="68"/>
      <c r="SA72" s="68"/>
      <c r="SB72" s="68"/>
      <c r="SC72" s="68"/>
      <c r="SD72" s="68"/>
      <c r="SE72" s="68"/>
      <c r="SF72" s="68"/>
      <c r="SG72" s="68"/>
      <c r="SH72" s="68"/>
      <c r="SI72" s="68"/>
      <c r="SJ72" s="68"/>
      <c r="SK72" s="68"/>
      <c r="SL72" s="68"/>
      <c r="SM72" s="68"/>
      <c r="SN72" s="68"/>
      <c r="SO72" s="68"/>
      <c r="SP72" s="68"/>
      <c r="SQ72" s="68"/>
      <c r="SR72" s="68"/>
      <c r="SS72" s="68"/>
      <c r="ST72" s="68"/>
      <c r="SU72" s="68"/>
      <c r="SV72" s="68"/>
      <c r="SW72" s="68"/>
      <c r="SX72" s="68"/>
      <c r="SY72" s="68"/>
      <c r="SZ72" s="68"/>
      <c r="TA72" s="68"/>
      <c r="TB72" s="68"/>
      <c r="TC72" s="68"/>
      <c r="TD72" s="68"/>
      <c r="TE72" s="68"/>
      <c r="TF72" s="68"/>
      <c r="TG72" s="68"/>
      <c r="TH72" s="68"/>
      <c r="TI72" s="68"/>
      <c r="TJ72" s="68"/>
      <c r="TK72" s="68"/>
      <c r="TL72" s="68"/>
      <c r="TM72" s="68"/>
      <c r="TN72" s="68"/>
      <c r="TO72" s="68"/>
      <c r="TP72" s="68"/>
      <c r="TQ72" s="68"/>
      <c r="TR72" s="68"/>
      <c r="TS72" s="68"/>
      <c r="TT72" s="68"/>
      <c r="TU72" s="68"/>
      <c r="TV72" s="68"/>
      <c r="TW72" s="68"/>
      <c r="TX72" s="68"/>
      <c r="TY72" s="68"/>
      <c r="TZ72" s="68"/>
      <c r="UA72" s="68"/>
      <c r="UB72" s="68"/>
      <c r="UC72" s="68"/>
      <c r="UD72" s="68"/>
      <c r="UE72" s="68"/>
      <c r="UF72" s="68"/>
      <c r="UG72" s="68"/>
      <c r="UH72" s="68"/>
      <c r="UI72" s="68"/>
      <c r="UJ72" s="68"/>
      <c r="UK72" s="68"/>
      <c r="UL72" s="68"/>
      <c r="UM72" s="68"/>
      <c r="UN72" s="68"/>
      <c r="UO72" s="68"/>
      <c r="UP72" s="68"/>
      <c r="UQ72" s="68"/>
      <c r="UR72" s="68"/>
      <c r="US72" s="68"/>
      <c r="UT72" s="68"/>
      <c r="UU72" s="68"/>
      <c r="UV72" s="68"/>
      <c r="UW72" s="68"/>
      <c r="UX72" s="68"/>
      <c r="UY72" s="68"/>
      <c r="UZ72" s="68"/>
      <c r="VA72" s="68"/>
      <c r="VB72" s="68"/>
      <c r="VC72" s="68"/>
      <c r="VD72" s="68"/>
      <c r="VE72" s="68"/>
      <c r="VF72" s="68"/>
      <c r="VG72" s="68"/>
      <c r="VH72" s="68"/>
      <c r="VI72" s="68"/>
      <c r="VJ72" s="68"/>
      <c r="VK72" s="68"/>
      <c r="VL72" s="68"/>
      <c r="VM72" s="68"/>
      <c r="VN72" s="68"/>
      <c r="VO72" s="68"/>
      <c r="VP72" s="68"/>
      <c r="VQ72" s="68"/>
      <c r="VR72" s="68"/>
      <c r="VS72" s="68"/>
      <c r="VT72" s="68"/>
      <c r="VU72" s="68"/>
      <c r="VV72" s="68"/>
      <c r="VW72" s="68"/>
      <c r="VX72" s="68"/>
      <c r="VY72" s="68"/>
      <c r="WA72" s="68"/>
      <c r="WB72" s="68"/>
      <c r="WC72" s="68"/>
      <c r="WD72" s="68"/>
      <c r="WE72" s="68"/>
      <c r="WF72" s="68"/>
      <c r="WG72" s="68"/>
      <c r="WH72" s="68"/>
      <c r="WI72" s="84"/>
      <c r="WN72" s="2" t="s">
        <v>5402</v>
      </c>
      <c r="WO72" s="12">
        <f>MIN(WI2:WI72)</f>
        <v>1</v>
      </c>
    </row>
    <row r="74" spans="1:613" x14ac:dyDescent="0.25">
      <c r="OU74" s="17">
        <v>1</v>
      </c>
      <c r="OV74"/>
      <c r="OW74"/>
      <c r="OX74" t="s">
        <v>5396</v>
      </c>
      <c r="OY74" s="12">
        <f>Elderly_Q</f>
        <v>1</v>
      </c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 s="12">
        <v>0.97</v>
      </c>
      <c r="VQ74" s="346"/>
      <c r="VR74" s="346"/>
      <c r="VS74" s="1" t="s">
        <v>2638</v>
      </c>
      <c r="VT74" s="1" t="s">
        <v>2639</v>
      </c>
      <c r="VU74" s="86"/>
      <c r="VV74" s="449" t="s">
        <v>5382</v>
      </c>
      <c r="VW74" s="448"/>
      <c r="VX74"/>
      <c r="VY74" s="440" t="s">
        <v>5383</v>
      </c>
      <c r="VZ74" s="441"/>
      <c r="WA74" s="441"/>
      <c r="WB74" s="441"/>
      <c r="WC74" s="442"/>
      <c r="WE74" s="25" t="s">
        <v>2639</v>
      </c>
      <c r="WF74" s="25" t="s">
        <v>2638</v>
      </c>
      <c r="WG74" s="440" t="s">
        <v>5394</v>
      </c>
      <c r="WH74" s="441"/>
      <c r="WI74" s="441"/>
      <c r="WJ74" s="441"/>
      <c r="WK74" s="442"/>
    </row>
    <row r="75" spans="1:613" x14ac:dyDescent="0.25">
      <c r="OU75" s="17">
        <v>1.1499999999999999</v>
      </c>
      <c r="OX75" t="s">
        <v>2627</v>
      </c>
      <c r="OY75" s="17">
        <f>Boost_Q</f>
        <v>1.1100000000000001</v>
      </c>
      <c r="VI75" s="17">
        <v>1.1499999999999999</v>
      </c>
      <c r="VQ75" s="371" t="s">
        <v>2617</v>
      </c>
      <c r="VR75" s="371" t="s">
        <v>2618</v>
      </c>
      <c r="VS75" s="371" t="s">
        <v>2630</v>
      </c>
      <c r="VT75" s="371" t="s">
        <v>2630</v>
      </c>
      <c r="VU75" s="347" t="s">
        <v>4945</v>
      </c>
      <c r="VV75" s="371" t="s">
        <v>381</v>
      </c>
      <c r="VW75" s="371" t="s">
        <v>2629</v>
      </c>
      <c r="VX75" s="27"/>
      <c r="VY75" s="39">
        <v>1</v>
      </c>
      <c r="VZ75" s="39">
        <v>2</v>
      </c>
      <c r="WA75" s="39">
        <v>3</v>
      </c>
      <c r="WB75" s="39">
        <v>4</v>
      </c>
      <c r="WC75" s="39">
        <v>5</v>
      </c>
      <c r="WD75" s="39" t="s">
        <v>4945</v>
      </c>
      <c r="WE75" s="39" t="s">
        <v>4946</v>
      </c>
      <c r="WF75" s="39" t="s">
        <v>4946</v>
      </c>
      <c r="WG75" s="39">
        <v>1</v>
      </c>
      <c r="WH75" s="39">
        <v>2</v>
      </c>
      <c r="WI75" s="39">
        <v>3</v>
      </c>
      <c r="WJ75" s="39">
        <v>4</v>
      </c>
      <c r="WK75" s="39">
        <v>5</v>
      </c>
      <c r="WL75" s="39" t="s">
        <v>4945</v>
      </c>
    </row>
    <row r="76" spans="1:613" x14ac:dyDescent="0.25">
      <c r="OU76" s="17">
        <v>0.88</v>
      </c>
      <c r="OX76" s="13" t="s">
        <v>2617</v>
      </c>
      <c r="OY76" s="17">
        <f>Broward_Q</f>
        <v>0.88</v>
      </c>
      <c r="VI76" s="17">
        <v>0.88</v>
      </c>
      <c r="VQ76" s="351">
        <f t="shared" ref="VQ76:VQ83" si="36">COUNTIFS($VX$2:$VX$72,$VX76,$VR$2:$VR$72,"&lt;1")</f>
        <v>0</v>
      </c>
      <c r="VR76" s="351">
        <f t="shared" ref="VR76:VR83" si="37">COUNTIFS($VX$2:$VX$72,$VX76,$VS$2:$VS$72,"&lt;1")</f>
        <v>5</v>
      </c>
      <c r="VS76" s="372">
        <v>0.5714285714285714</v>
      </c>
      <c r="VT76" s="372">
        <f t="shared" ref="VT76" si="38">IF(VU76=0,0,VV76/VU76)</f>
        <v>0.7142857142857143</v>
      </c>
      <c r="VU76" s="352">
        <f>VV76+VW76</f>
        <v>14</v>
      </c>
      <c r="VV76" s="352">
        <f t="shared" ref="VV76:VW83" si="39">COUNTIFS($VX$2:$VX$72,$VX76,$VW$2:$VW$72,VV$75)</f>
        <v>10</v>
      </c>
      <c r="VW76" s="352">
        <f t="shared" si="39"/>
        <v>4</v>
      </c>
      <c r="VX76" s="31" t="s">
        <v>4947</v>
      </c>
      <c r="VY76" s="23">
        <f t="shared" ref="VY76:WC83" si="40">COUNTIFS($VX$2:$VX$72,$VX76,$VY$2:$VY$72,VY$75)</f>
        <v>1</v>
      </c>
      <c r="VZ76" s="23">
        <f t="shared" si="40"/>
        <v>1</v>
      </c>
      <c r="WA76" s="23">
        <f t="shared" si="40"/>
        <v>4</v>
      </c>
      <c r="WB76" s="23">
        <f t="shared" si="40"/>
        <v>1</v>
      </c>
      <c r="WC76" s="23">
        <f t="shared" si="40"/>
        <v>7</v>
      </c>
      <c r="WD76" s="23">
        <f t="shared" ref="WD76" si="41">SUM(VY76:WC76)</f>
        <v>14</v>
      </c>
      <c r="WE76" s="17">
        <f t="shared" ref="WE76:WE77" si="42">IF(WD76=0,0,SUMPRODUCT($VY$75:$WC$75,VY76:WC76)/WD76)</f>
        <v>3.8571428571428572</v>
      </c>
      <c r="WF76" s="17">
        <v>4</v>
      </c>
      <c r="WG76" s="23">
        <v>0</v>
      </c>
      <c r="WH76" s="23">
        <v>2</v>
      </c>
      <c r="WI76" s="23">
        <v>3</v>
      </c>
      <c r="WJ76" s="23">
        <v>2</v>
      </c>
      <c r="WK76" s="23">
        <v>7</v>
      </c>
      <c r="WL76" s="23">
        <v>14</v>
      </c>
    </row>
    <row r="77" spans="1:613" x14ac:dyDescent="0.25">
      <c r="OU77" s="17">
        <v>0.93</v>
      </c>
      <c r="OX77" s="13" t="s">
        <v>2618</v>
      </c>
      <c r="OY77" s="17">
        <f>PHA_Q</f>
        <v>0.87</v>
      </c>
      <c r="VI77" s="17">
        <v>0.93</v>
      </c>
      <c r="VQ77" s="351">
        <f t="shared" si="36"/>
        <v>0</v>
      </c>
      <c r="VR77" s="351">
        <f t="shared" si="37"/>
        <v>5</v>
      </c>
      <c r="VS77" s="372">
        <v>0.5</v>
      </c>
      <c r="VT77" s="372">
        <f>IF(VU77=0,0,VV77/VU77)</f>
        <v>0.8</v>
      </c>
      <c r="VU77" s="352">
        <f t="shared" ref="VU77:VU80" si="43">VV77+VW77</f>
        <v>10</v>
      </c>
      <c r="VV77" s="352">
        <f t="shared" si="39"/>
        <v>8</v>
      </c>
      <c r="VW77" s="352">
        <f t="shared" si="39"/>
        <v>2</v>
      </c>
      <c r="VX77" s="31" t="s">
        <v>4948</v>
      </c>
      <c r="VY77" s="23">
        <f t="shared" si="40"/>
        <v>0</v>
      </c>
      <c r="VZ77" s="23">
        <f t="shared" si="40"/>
        <v>3</v>
      </c>
      <c r="WA77" s="23">
        <f t="shared" si="40"/>
        <v>1</v>
      </c>
      <c r="WB77" s="23">
        <f t="shared" si="40"/>
        <v>1</v>
      </c>
      <c r="WC77" s="23">
        <f t="shared" si="40"/>
        <v>5</v>
      </c>
      <c r="WD77" s="23">
        <f>SUM(VY77:WC77)</f>
        <v>10</v>
      </c>
      <c r="WE77" s="17">
        <f t="shared" si="42"/>
        <v>3.8</v>
      </c>
      <c r="WF77" s="17">
        <v>3.9</v>
      </c>
      <c r="WG77" s="23">
        <v>0</v>
      </c>
      <c r="WH77" s="23">
        <v>2</v>
      </c>
      <c r="WI77" s="23">
        <v>2</v>
      </c>
      <c r="WJ77" s="23">
        <v>1</v>
      </c>
      <c r="WK77" s="23">
        <v>5</v>
      </c>
      <c r="WL77" s="23">
        <v>10</v>
      </c>
    </row>
    <row r="78" spans="1:613" x14ac:dyDescent="0.25">
      <c r="OU78" s="17">
        <v>0.92</v>
      </c>
      <c r="OX78" s="13" t="s">
        <v>2622</v>
      </c>
      <c r="OY78" s="17">
        <f>NC_GA_Q</f>
        <v>0.89</v>
      </c>
      <c r="VI78" s="17">
        <v>0.95</v>
      </c>
      <c r="VQ78" s="351">
        <f t="shared" si="36"/>
        <v>1</v>
      </c>
      <c r="VR78" s="351">
        <f t="shared" si="37"/>
        <v>3</v>
      </c>
      <c r="VS78" s="372">
        <v>1</v>
      </c>
      <c r="VT78" s="372">
        <f t="shared" ref="VT78:VT84" si="44">IF(VU78=0,0,VV78/VU78)</f>
        <v>0.8666666666666667</v>
      </c>
      <c r="VU78" s="352">
        <f t="shared" si="43"/>
        <v>15</v>
      </c>
      <c r="VV78" s="352">
        <f t="shared" si="39"/>
        <v>13</v>
      </c>
      <c r="VW78" s="352">
        <f t="shared" si="39"/>
        <v>2</v>
      </c>
      <c r="VX78" s="31" t="s">
        <v>4949</v>
      </c>
      <c r="VY78" s="23">
        <f t="shared" si="40"/>
        <v>2</v>
      </c>
      <c r="VZ78" s="23">
        <f t="shared" si="40"/>
        <v>1</v>
      </c>
      <c r="WA78" s="23">
        <f t="shared" si="40"/>
        <v>6</v>
      </c>
      <c r="WB78" s="23">
        <f t="shared" si="40"/>
        <v>4</v>
      </c>
      <c r="WC78" s="23">
        <f t="shared" si="40"/>
        <v>2</v>
      </c>
      <c r="WD78" s="23">
        <f t="shared" ref="WD78:WD80" si="45">SUM(VY78:WC78)</f>
        <v>15</v>
      </c>
      <c r="WE78" s="17">
        <f>IF(WD78=0,0,SUMPRODUCT($VY$75:$WC$75,VY78:WC78)/WD78)</f>
        <v>3.2</v>
      </c>
      <c r="WF78" s="17">
        <v>3.1333333333333333</v>
      </c>
      <c r="WG78" s="23">
        <v>2</v>
      </c>
      <c r="WH78" s="23">
        <v>2</v>
      </c>
      <c r="WI78" s="23">
        <v>5</v>
      </c>
      <c r="WJ78" s="23">
        <v>4</v>
      </c>
      <c r="WK78" s="23">
        <v>2</v>
      </c>
      <c r="WL78" s="23">
        <v>15</v>
      </c>
    </row>
    <row r="79" spans="1:613" x14ac:dyDescent="0.25">
      <c r="OU79" s="17">
        <v>0.85</v>
      </c>
      <c r="OX79" s="13" t="s">
        <v>2623</v>
      </c>
      <c r="OY79" s="17">
        <f>NC_MR_Q</f>
        <v>0.88</v>
      </c>
      <c r="VI79" s="17">
        <v>0.93</v>
      </c>
      <c r="VQ79" s="351">
        <f t="shared" si="36"/>
        <v>0</v>
      </c>
      <c r="VR79" s="351">
        <f t="shared" si="37"/>
        <v>0</v>
      </c>
      <c r="VS79" s="372">
        <v>0.8571428571428571</v>
      </c>
      <c r="VT79" s="372">
        <f t="shared" si="44"/>
        <v>0.8571428571428571</v>
      </c>
      <c r="VU79" s="352">
        <f t="shared" si="43"/>
        <v>7</v>
      </c>
      <c r="VV79" s="352">
        <f t="shared" si="39"/>
        <v>6</v>
      </c>
      <c r="VW79" s="352">
        <f t="shared" si="39"/>
        <v>1</v>
      </c>
      <c r="VX79" s="197" t="s">
        <v>4950</v>
      </c>
      <c r="VY79" s="23">
        <f t="shared" si="40"/>
        <v>0</v>
      </c>
      <c r="VZ79" s="23">
        <f t="shared" si="40"/>
        <v>4</v>
      </c>
      <c r="WA79" s="23">
        <f t="shared" si="40"/>
        <v>1</v>
      </c>
      <c r="WB79" s="23">
        <f t="shared" si="40"/>
        <v>1</v>
      </c>
      <c r="WC79" s="23">
        <f t="shared" si="40"/>
        <v>1</v>
      </c>
      <c r="WD79" s="23">
        <f t="shared" si="45"/>
        <v>7</v>
      </c>
      <c r="WE79" s="17">
        <f t="shared" ref="WE79:WE80" si="46">IF(WD79=0,0,SUMPRODUCT($VY$75:$WC$75,VY79:WC79)/WD79)</f>
        <v>2.8571428571428572</v>
      </c>
      <c r="WF79" s="17">
        <v>3</v>
      </c>
      <c r="WG79" s="23">
        <v>0</v>
      </c>
      <c r="WH79" s="23">
        <v>4</v>
      </c>
      <c r="WI79" s="23">
        <v>1</v>
      </c>
      <c r="WJ79" s="23">
        <v>0</v>
      </c>
      <c r="WK79" s="23">
        <v>2</v>
      </c>
      <c r="WL79" s="23">
        <v>7</v>
      </c>
    </row>
    <row r="80" spans="1:613" x14ac:dyDescent="0.25">
      <c r="OU80" s="17">
        <v>0.82</v>
      </c>
      <c r="OX80" s="13" t="s">
        <v>2621</v>
      </c>
      <c r="OY80" s="17">
        <f>NC_HR_Q</f>
        <v>0.87</v>
      </c>
      <c r="VI80" s="17">
        <v>0.91</v>
      </c>
      <c r="VQ80" s="351">
        <f t="shared" si="36"/>
        <v>0</v>
      </c>
      <c r="VR80" s="351">
        <f t="shared" si="37"/>
        <v>3</v>
      </c>
      <c r="VS80" s="372">
        <v>1</v>
      </c>
      <c r="VT80" s="372">
        <f t="shared" si="44"/>
        <v>0.8</v>
      </c>
      <c r="VU80" s="352">
        <f t="shared" si="43"/>
        <v>15</v>
      </c>
      <c r="VV80" s="352">
        <f t="shared" si="39"/>
        <v>12</v>
      </c>
      <c r="VW80" s="352">
        <f t="shared" si="39"/>
        <v>3</v>
      </c>
      <c r="VX80" s="31" t="s">
        <v>4951</v>
      </c>
      <c r="VY80" s="23">
        <f t="shared" si="40"/>
        <v>4</v>
      </c>
      <c r="VZ80" s="23">
        <f t="shared" si="40"/>
        <v>3</v>
      </c>
      <c r="WA80" s="23">
        <f t="shared" si="40"/>
        <v>0</v>
      </c>
      <c r="WB80" s="23">
        <f t="shared" si="40"/>
        <v>5</v>
      </c>
      <c r="WC80" s="23">
        <f t="shared" si="40"/>
        <v>3</v>
      </c>
      <c r="WD80" s="23">
        <f t="shared" si="45"/>
        <v>15</v>
      </c>
      <c r="WE80" s="17">
        <f t="shared" si="46"/>
        <v>3</v>
      </c>
      <c r="WF80" s="17">
        <v>2.8</v>
      </c>
      <c r="WG80" s="23">
        <v>5</v>
      </c>
      <c r="WH80" s="23">
        <v>2</v>
      </c>
      <c r="WI80" s="23">
        <v>1</v>
      </c>
      <c r="WJ80" s="23">
        <v>5</v>
      </c>
      <c r="WK80" s="23">
        <v>2</v>
      </c>
      <c r="WL80" s="23">
        <v>15</v>
      </c>
    </row>
    <row r="81" spans="411:610" x14ac:dyDescent="0.25">
      <c r="OU81" s="17">
        <v>1</v>
      </c>
      <c r="OX81" s="13" t="s">
        <v>2624</v>
      </c>
      <c r="OY81" s="17" t="e">
        <f>NC_SF_Q</f>
        <v>#REF!</v>
      </c>
      <c r="VI81" s="17">
        <v>1</v>
      </c>
      <c r="VQ81" s="373">
        <f t="shared" si="36"/>
        <v>0</v>
      </c>
      <c r="VR81" s="373">
        <f t="shared" si="37"/>
        <v>0</v>
      </c>
      <c r="VS81" s="372">
        <v>0</v>
      </c>
      <c r="VT81" s="372">
        <f t="shared" si="44"/>
        <v>0</v>
      </c>
      <c r="VU81" s="352">
        <f t="shared" ref="VU81" si="47">VV81+VW81</f>
        <v>0</v>
      </c>
      <c r="VV81" s="352">
        <f t="shared" si="39"/>
        <v>0</v>
      </c>
      <c r="VW81" s="352">
        <f t="shared" si="39"/>
        <v>0</v>
      </c>
      <c r="VX81" s="31" t="s">
        <v>5380</v>
      </c>
      <c r="VY81" s="74">
        <f t="shared" si="40"/>
        <v>0</v>
      </c>
      <c r="VZ81" s="74">
        <f t="shared" si="40"/>
        <v>0</v>
      </c>
      <c r="WA81" s="74">
        <f t="shared" si="40"/>
        <v>0</v>
      </c>
      <c r="WB81" s="74">
        <f t="shared" si="40"/>
        <v>0</v>
      </c>
      <c r="WC81" s="74">
        <f t="shared" si="40"/>
        <v>0</v>
      </c>
      <c r="WD81" s="74">
        <f t="shared" ref="WD81" si="48">SUM(VY81:WC81)</f>
        <v>0</v>
      </c>
      <c r="WE81" s="75">
        <f t="shared" ref="WE81" si="49">IF(WD81=0,0,SUMPRODUCT($VY$75:$WC$75,VY81:WC81)/WD81)</f>
        <v>0</v>
      </c>
      <c r="WF81" s="75">
        <v>0</v>
      </c>
      <c r="WG81" s="74">
        <v>0</v>
      </c>
      <c r="WH81" s="74">
        <v>0</v>
      </c>
      <c r="WI81" s="74">
        <v>0</v>
      </c>
      <c r="WJ81" s="74">
        <v>0</v>
      </c>
      <c r="WK81" s="74">
        <v>0</v>
      </c>
      <c r="WL81" s="74">
        <v>0</v>
      </c>
    </row>
    <row r="82" spans="411:610" x14ac:dyDescent="0.25">
      <c r="OU82" s="17">
        <v>1</v>
      </c>
      <c r="OX82" s="13" t="s">
        <v>2625</v>
      </c>
      <c r="OY82" s="17">
        <f>NC_OT_Q</f>
        <v>1</v>
      </c>
      <c r="VI82" s="17">
        <v>1</v>
      </c>
      <c r="VQ82" s="351">
        <f t="shared" si="36"/>
        <v>0</v>
      </c>
      <c r="VR82" s="351">
        <f t="shared" si="37"/>
        <v>0</v>
      </c>
      <c r="VS82" s="374">
        <v>0</v>
      </c>
      <c r="VT82" s="372">
        <f t="shared" si="44"/>
        <v>0</v>
      </c>
      <c r="VU82" s="375">
        <f>VV82+VW82</f>
        <v>0</v>
      </c>
      <c r="VV82" s="375">
        <f t="shared" si="39"/>
        <v>0</v>
      </c>
      <c r="VW82" s="375">
        <f t="shared" si="39"/>
        <v>0</v>
      </c>
      <c r="VX82" s="40" t="s">
        <v>4952</v>
      </c>
      <c r="VY82" s="23">
        <f t="shared" si="40"/>
        <v>0</v>
      </c>
      <c r="VZ82" s="23">
        <f t="shared" si="40"/>
        <v>0</v>
      </c>
      <c r="WA82" s="23">
        <f t="shared" si="40"/>
        <v>0</v>
      </c>
      <c r="WB82" s="23">
        <f t="shared" si="40"/>
        <v>0</v>
      </c>
      <c r="WC82" s="23">
        <f t="shared" si="40"/>
        <v>0</v>
      </c>
      <c r="WD82" s="23">
        <f>SUM(VY82:WC82)</f>
        <v>0</v>
      </c>
      <c r="WE82" s="17">
        <f>IF(WD82=0,0,SUMPRODUCT($VY$75:$WC$75,VY82:WC82)/WD82)</f>
        <v>0</v>
      </c>
      <c r="WF82" s="17">
        <v>0</v>
      </c>
      <c r="WG82" s="23">
        <v>0</v>
      </c>
      <c r="WH82" s="23">
        <v>0</v>
      </c>
      <c r="WI82" s="23">
        <v>0</v>
      </c>
      <c r="WJ82" s="23">
        <v>0</v>
      </c>
      <c r="WK82" s="23">
        <v>0</v>
      </c>
      <c r="WL82" s="23">
        <v>0</v>
      </c>
    </row>
    <row r="83" spans="411:610" x14ac:dyDescent="0.25">
      <c r="OU83" s="17">
        <v>0.87</v>
      </c>
      <c r="OX83" s="13" t="s">
        <v>2628</v>
      </c>
      <c r="OY83" s="17">
        <f>ESSC_Q</f>
        <v>0.96</v>
      </c>
      <c r="VI83" s="17">
        <v>0.88</v>
      </c>
      <c r="VQ83" s="351">
        <f t="shared" si="36"/>
        <v>0</v>
      </c>
      <c r="VR83" s="351">
        <f t="shared" si="37"/>
        <v>0</v>
      </c>
      <c r="VS83" s="376">
        <v>0</v>
      </c>
      <c r="VT83" s="376">
        <f t="shared" si="44"/>
        <v>0</v>
      </c>
      <c r="VU83" s="356">
        <f>VV83+VW83</f>
        <v>0</v>
      </c>
      <c r="VV83" s="356">
        <f t="shared" si="39"/>
        <v>0</v>
      </c>
      <c r="VW83" s="356">
        <f t="shared" si="39"/>
        <v>0</v>
      </c>
      <c r="VX83" s="43" t="s">
        <v>4953</v>
      </c>
      <c r="VY83" s="23">
        <f t="shared" si="40"/>
        <v>0</v>
      </c>
      <c r="VZ83" s="23">
        <f t="shared" si="40"/>
        <v>0</v>
      </c>
      <c r="WA83" s="23">
        <f t="shared" si="40"/>
        <v>0</v>
      </c>
      <c r="WB83" s="23">
        <f t="shared" si="40"/>
        <v>0</v>
      </c>
      <c r="WC83" s="23">
        <f t="shared" si="40"/>
        <v>0</v>
      </c>
      <c r="WD83" s="23">
        <f>SUM(VY83:WC83)</f>
        <v>0</v>
      </c>
      <c r="WE83" s="17">
        <f>IF(WD83=0,0,SUMPRODUCT($VY$75:$WC$75,VY83:WC83)/WD83)</f>
        <v>0</v>
      </c>
      <c r="WF83" s="17">
        <v>0</v>
      </c>
      <c r="WG83" s="23">
        <v>0</v>
      </c>
      <c r="WH83" s="23">
        <v>0</v>
      </c>
      <c r="WI83" s="23">
        <v>0</v>
      </c>
      <c r="WJ83" s="23">
        <v>0</v>
      </c>
      <c r="WK83" s="23">
        <v>0</v>
      </c>
      <c r="WL83" s="23">
        <v>0</v>
      </c>
    </row>
    <row r="84" spans="411:610" x14ac:dyDescent="0.25">
      <c r="VQ84" s="377">
        <f t="shared" ref="VQ84:VR84" si="50">SUM(VQ76:VQ83)</f>
        <v>1</v>
      </c>
      <c r="VR84" s="377">
        <f t="shared" si="50"/>
        <v>16</v>
      </c>
      <c r="VS84" s="372">
        <v>0.80327868852459017</v>
      </c>
      <c r="VT84" s="372">
        <f t="shared" si="44"/>
        <v>0.80327868852459017</v>
      </c>
      <c r="VU84" s="352">
        <f>SUM(VU76:VU83)</f>
        <v>61</v>
      </c>
      <c r="VV84" s="352">
        <f>SUM(VV76:VV83)</f>
        <v>49</v>
      </c>
      <c r="VW84" s="352">
        <f>SUM(VW76:VW83)</f>
        <v>12</v>
      </c>
      <c r="VX84" s="31" t="s">
        <v>2633</v>
      </c>
      <c r="VY84" s="44">
        <f>SUM(VY76:VY83)</f>
        <v>7</v>
      </c>
      <c r="VZ84" s="44">
        <f>SUM(VZ76:VZ83)</f>
        <v>12</v>
      </c>
      <c r="WA84" s="44">
        <f>SUM(WA76:WA83)</f>
        <v>12</v>
      </c>
      <c r="WB84" s="44">
        <f>SUM(WB76:WB83)</f>
        <v>12</v>
      </c>
      <c r="WC84" s="44">
        <f>SUM(WC76:WC83)</f>
        <v>18</v>
      </c>
      <c r="WD84" s="44">
        <f>SUM(VY84:WC84)</f>
        <v>61</v>
      </c>
      <c r="WE84" s="45">
        <f>IF(WD84=0,0,SUMPRODUCT($VY$75:$WC$75,VY84:WC84)/WD84)</f>
        <v>3.360655737704918</v>
      </c>
      <c r="WF84" s="45">
        <v>3.360655737704918</v>
      </c>
      <c r="WG84" s="64">
        <v>7</v>
      </c>
      <c r="WH84" s="64">
        <v>12</v>
      </c>
      <c r="WI84" s="64">
        <v>12</v>
      </c>
      <c r="WJ84" s="64">
        <v>12</v>
      </c>
      <c r="WK84" s="64">
        <v>18</v>
      </c>
      <c r="WL84" s="44">
        <v>61</v>
      </c>
    </row>
    <row r="85" spans="411:610" x14ac:dyDescent="0.25">
      <c r="VQ85" s="359"/>
      <c r="VR85" s="359"/>
      <c r="VS85" s="364"/>
      <c r="VT85" s="364"/>
      <c r="VU85" s="364"/>
      <c r="VV85" s="364"/>
      <c r="VW85" s="364"/>
      <c r="VX85" s="46"/>
      <c r="WE85" s="8"/>
      <c r="WF85" s="8"/>
    </row>
    <row r="86" spans="411:610" x14ac:dyDescent="0.25">
      <c r="VQ86" s="352">
        <f>VQ76+VQ77</f>
        <v>0</v>
      </c>
      <c r="VR86" s="352">
        <f>VR76+VR77</f>
        <v>10</v>
      </c>
      <c r="VS86" s="372">
        <v>0.54166666666666663</v>
      </c>
      <c r="VT86" s="372">
        <f t="shared" ref="VT86:VT90" si="51">IF(VU86=0,0,VV86/VU86)</f>
        <v>0.75</v>
      </c>
      <c r="VU86" s="352">
        <f>VV86+VW86</f>
        <v>24</v>
      </c>
      <c r="VV86" s="352">
        <f>VV76+VV77</f>
        <v>18</v>
      </c>
      <c r="VW86" s="352">
        <f>VW76+VW77</f>
        <v>6</v>
      </c>
      <c r="VX86" s="31" t="s">
        <v>4954</v>
      </c>
      <c r="VY86" s="23">
        <f>VY76+VY77</f>
        <v>1</v>
      </c>
      <c r="VZ86" s="23">
        <f t="shared" ref="VZ86:WC86" si="52">VZ76+VZ77</f>
        <v>4</v>
      </c>
      <c r="WA86" s="23">
        <f t="shared" si="52"/>
        <v>5</v>
      </c>
      <c r="WB86" s="23">
        <f t="shared" si="52"/>
        <v>2</v>
      </c>
      <c r="WC86" s="23">
        <f t="shared" si="52"/>
        <v>12</v>
      </c>
      <c r="WD86" s="23">
        <f>SUM(VY86:WC86)</f>
        <v>24</v>
      </c>
      <c r="WE86" s="17">
        <f>IF(WD86=0,0,SUMPRODUCT($VY$75:$WC$75,VY86:WC86)/WD86)</f>
        <v>3.8333333333333335</v>
      </c>
      <c r="WF86" s="17">
        <v>3.9583333333333335</v>
      </c>
      <c r="WG86" s="23">
        <v>0</v>
      </c>
      <c r="WH86" s="23">
        <v>4</v>
      </c>
      <c r="WI86" s="23">
        <v>5</v>
      </c>
      <c r="WJ86" s="23">
        <v>3</v>
      </c>
      <c r="WK86" s="23">
        <v>12</v>
      </c>
      <c r="WL86" s="23">
        <v>24</v>
      </c>
    </row>
    <row r="87" spans="411:610" x14ac:dyDescent="0.25">
      <c r="VQ87" s="352">
        <f>VQ78+VQ79</f>
        <v>1</v>
      </c>
      <c r="VR87" s="352">
        <f>VR78+VR79</f>
        <v>3</v>
      </c>
      <c r="VS87" s="372">
        <v>0.95454545454545459</v>
      </c>
      <c r="VT87" s="372">
        <f t="shared" si="51"/>
        <v>0.86363636363636365</v>
      </c>
      <c r="VU87" s="352">
        <f>VV87+VW87</f>
        <v>22</v>
      </c>
      <c r="VV87" s="352">
        <f>VV78+VV79</f>
        <v>19</v>
      </c>
      <c r="VW87" s="352">
        <f>VW78+VW79</f>
        <v>3</v>
      </c>
      <c r="VX87" s="31" t="s">
        <v>4955</v>
      </c>
      <c r="VY87" s="23">
        <f>VY78+VY79</f>
        <v>2</v>
      </c>
      <c r="VZ87" s="23">
        <f t="shared" ref="VZ87:WC87" si="53">VZ78+VZ79</f>
        <v>5</v>
      </c>
      <c r="WA87" s="23">
        <f t="shared" si="53"/>
        <v>7</v>
      </c>
      <c r="WB87" s="23">
        <f t="shared" si="53"/>
        <v>5</v>
      </c>
      <c r="WC87" s="23">
        <f t="shared" si="53"/>
        <v>3</v>
      </c>
      <c r="WD87" s="23">
        <f>SUM(VY87:WC87)</f>
        <v>22</v>
      </c>
      <c r="WE87" s="17">
        <f>IF(WD87=0,0,SUMPRODUCT($VY$75:$WC$75,VY87:WC87)/WD87)</f>
        <v>3.0909090909090908</v>
      </c>
      <c r="WF87" s="17">
        <v>3.0909090909090908</v>
      </c>
      <c r="WG87" s="23">
        <v>2</v>
      </c>
      <c r="WH87" s="23">
        <v>6</v>
      </c>
      <c r="WI87" s="23">
        <v>6</v>
      </c>
      <c r="WJ87" s="23">
        <v>4</v>
      </c>
      <c r="WK87" s="23">
        <v>4</v>
      </c>
      <c r="WL87" s="23">
        <v>22</v>
      </c>
    </row>
    <row r="88" spans="411:610" x14ac:dyDescent="0.25">
      <c r="VQ88" s="362">
        <f>VQ80</f>
        <v>0</v>
      </c>
      <c r="VR88" s="362">
        <f>VR80</f>
        <v>3</v>
      </c>
      <c r="VS88" s="378">
        <v>1</v>
      </c>
      <c r="VT88" s="372">
        <f t="shared" si="51"/>
        <v>0.8</v>
      </c>
      <c r="VU88" s="362">
        <f>VV88+VW88</f>
        <v>15</v>
      </c>
      <c r="VV88" s="362">
        <f>VV80</f>
        <v>12</v>
      </c>
      <c r="VW88" s="362">
        <f>VW80</f>
        <v>3</v>
      </c>
      <c r="VX88" s="69" t="s">
        <v>4956</v>
      </c>
      <c r="VY88" s="80">
        <f>VY80</f>
        <v>4</v>
      </c>
      <c r="VZ88" s="80">
        <f t="shared" ref="VZ88:WC89" si="54">VZ80</f>
        <v>3</v>
      </c>
      <c r="WA88" s="80">
        <f t="shared" si="54"/>
        <v>0</v>
      </c>
      <c r="WB88" s="80">
        <f t="shared" si="54"/>
        <v>5</v>
      </c>
      <c r="WC88" s="80">
        <f t="shared" si="54"/>
        <v>3</v>
      </c>
      <c r="WD88" s="23">
        <f>SUM(VY88:WC88)</f>
        <v>15</v>
      </c>
      <c r="WE88" s="17">
        <f>IF(WD88=0,0,SUMPRODUCT($VY$75:$WC$75,VY88:WC88)/WD88)</f>
        <v>3</v>
      </c>
      <c r="WF88" s="17">
        <v>2.8</v>
      </c>
      <c r="WG88" s="80">
        <v>5</v>
      </c>
      <c r="WH88" s="80">
        <v>2</v>
      </c>
      <c r="WI88" s="80">
        <v>1</v>
      </c>
      <c r="WJ88" s="80">
        <v>5</v>
      </c>
      <c r="WK88" s="80">
        <v>2</v>
      </c>
      <c r="WL88" s="23">
        <v>15</v>
      </c>
    </row>
    <row r="89" spans="411:610" x14ac:dyDescent="0.25">
      <c r="VQ89" s="356">
        <f t="shared" ref="VQ89:VR89" si="55">VQ81</f>
        <v>0</v>
      </c>
      <c r="VR89" s="354">
        <f t="shared" si="55"/>
        <v>0</v>
      </c>
      <c r="VS89" s="376">
        <v>0</v>
      </c>
      <c r="VT89" s="376">
        <f t="shared" si="51"/>
        <v>0</v>
      </c>
      <c r="VU89" s="356">
        <f>VU81</f>
        <v>0</v>
      </c>
      <c r="VV89" s="356">
        <f t="shared" ref="VV89:VW89" si="56">VV81</f>
        <v>0</v>
      </c>
      <c r="VW89" s="356">
        <f t="shared" si="56"/>
        <v>0</v>
      </c>
      <c r="VX89" s="43" t="s">
        <v>5407</v>
      </c>
      <c r="VY89" s="24">
        <f t="shared" ref="VY89" si="57">VY81</f>
        <v>0</v>
      </c>
      <c r="VZ89" s="24">
        <f t="shared" si="54"/>
        <v>0</v>
      </c>
      <c r="WA89" s="24">
        <f t="shared" si="54"/>
        <v>0</v>
      </c>
      <c r="WB89" s="24">
        <f t="shared" si="54"/>
        <v>0</v>
      </c>
      <c r="WC89" s="24">
        <f t="shared" si="54"/>
        <v>0</v>
      </c>
      <c r="WD89" s="41">
        <f>SUM(VY89:WC89)</f>
        <v>0</v>
      </c>
      <c r="WE89" s="28">
        <f>IF(WD89=0,0,SUMPRODUCT($VY$75:$WC$75,VY89:WC89)/WD89)</f>
        <v>0</v>
      </c>
      <c r="WF89" s="28">
        <v>0</v>
      </c>
      <c r="WG89" s="24">
        <v>0</v>
      </c>
      <c r="WH89" s="24">
        <v>0</v>
      </c>
      <c r="WI89" s="24">
        <v>0</v>
      </c>
      <c r="WJ89" s="24">
        <v>0</v>
      </c>
      <c r="WK89" s="24">
        <v>0</v>
      </c>
      <c r="WL89" s="41">
        <v>0</v>
      </c>
    </row>
    <row r="90" spans="411:610" x14ac:dyDescent="0.25">
      <c r="VQ90" s="352">
        <f>VQ82+VQ83</f>
        <v>0</v>
      </c>
      <c r="VR90" s="362">
        <f>VR82+VR83</f>
        <v>0</v>
      </c>
      <c r="VS90" s="372">
        <v>0</v>
      </c>
      <c r="VT90" s="372">
        <f t="shared" si="51"/>
        <v>0</v>
      </c>
      <c r="VU90" s="352">
        <f>VV90+VW90</f>
        <v>0</v>
      </c>
      <c r="VV90" s="352">
        <f>VV82+VV83</f>
        <v>0</v>
      </c>
      <c r="VW90" s="352">
        <f>VW82+VW83</f>
        <v>0</v>
      </c>
      <c r="VX90" s="31" t="s">
        <v>4957</v>
      </c>
      <c r="VY90" s="76">
        <f>VY82+VY83</f>
        <v>0</v>
      </c>
      <c r="VZ90" s="76">
        <f t="shared" ref="VZ90:WC90" si="58">VZ82+VZ83</f>
        <v>0</v>
      </c>
      <c r="WA90" s="76">
        <f t="shared" si="58"/>
        <v>0</v>
      </c>
      <c r="WB90" s="76">
        <f t="shared" si="58"/>
        <v>0</v>
      </c>
      <c r="WC90" s="76">
        <f t="shared" si="58"/>
        <v>0</v>
      </c>
      <c r="WD90" s="76">
        <f>SUM(VY90:WC90)</f>
        <v>0</v>
      </c>
      <c r="WE90" s="77">
        <f>IF(WD90=0,0,SUMPRODUCT($VY$75:$WC$75,VY90:WC90)/WD90)</f>
        <v>0</v>
      </c>
      <c r="WF90" s="77">
        <v>0</v>
      </c>
      <c r="WG90" s="76">
        <v>0</v>
      </c>
      <c r="WH90" s="76">
        <v>0</v>
      </c>
      <c r="WI90" s="76">
        <v>0</v>
      </c>
      <c r="WJ90" s="76">
        <v>0</v>
      </c>
      <c r="WK90" s="76">
        <v>0</v>
      </c>
      <c r="WL90" s="76">
        <v>0</v>
      </c>
    </row>
    <row r="91" spans="411:610" x14ac:dyDescent="0.25">
      <c r="VQ91" s="364"/>
      <c r="VR91" s="363"/>
      <c r="VS91" s="364"/>
      <c r="VT91" s="364"/>
      <c r="VU91" s="364"/>
      <c r="VV91" s="364"/>
      <c r="VW91" s="364"/>
      <c r="VX91" s="46"/>
      <c r="WE91" s="8"/>
      <c r="WF91" s="8"/>
    </row>
    <row r="92" spans="411:610" x14ac:dyDescent="0.25">
      <c r="VQ92" s="352">
        <f t="shared" ref="VQ92:VR92" si="59">VQ76+VQ78+VQ80</f>
        <v>1</v>
      </c>
      <c r="VR92" s="352">
        <f t="shared" si="59"/>
        <v>11</v>
      </c>
      <c r="VS92" s="372">
        <v>0.86363636363636365</v>
      </c>
      <c r="VT92" s="372">
        <f t="shared" ref="VT92:VT93" si="60">IF(VU92=0,0,VV92/VU92)</f>
        <v>0.79545454545454541</v>
      </c>
      <c r="VU92" s="352">
        <f>VV92+VW92</f>
        <v>44</v>
      </c>
      <c r="VV92" s="352">
        <f>VV76+VV78+VV80</f>
        <v>35</v>
      </c>
      <c r="VW92" s="352">
        <f>VW76+VW78+VW80</f>
        <v>9</v>
      </c>
      <c r="VX92" s="31" t="s">
        <v>4958</v>
      </c>
      <c r="VY92" s="23">
        <f>VY76+VY78+VY80+VY81</f>
        <v>7</v>
      </c>
      <c r="VZ92" s="23">
        <f>VZ76+VZ78+VZ80+VZ81</f>
        <v>5</v>
      </c>
      <c r="WA92" s="23">
        <f>WA76+WA78+WA80+WA81</f>
        <v>10</v>
      </c>
      <c r="WB92" s="23">
        <f>WB76+WB78+WB80+WB81</f>
        <v>10</v>
      </c>
      <c r="WC92" s="23">
        <f>WC76+WC78+WC80+WC81</f>
        <v>12</v>
      </c>
      <c r="WD92" s="23">
        <f>SUM(VY92:WC92)</f>
        <v>44</v>
      </c>
      <c r="WE92" s="17">
        <f>IF(WD92=0,0,SUMPRODUCT($VY$75:$WC$75,VY92:WC92)/WD92)</f>
        <v>3.3409090909090908</v>
      </c>
      <c r="WF92" s="17">
        <v>3.2954545454545454</v>
      </c>
      <c r="WG92" s="23">
        <v>7</v>
      </c>
      <c r="WH92" s="23">
        <v>6</v>
      </c>
      <c r="WI92" s="23">
        <v>9</v>
      </c>
      <c r="WJ92" s="23">
        <v>11</v>
      </c>
      <c r="WK92" s="23">
        <v>11</v>
      </c>
      <c r="WL92" s="23">
        <v>44</v>
      </c>
    </row>
    <row r="93" spans="411:610" x14ac:dyDescent="0.25">
      <c r="VQ93" s="352">
        <f t="shared" ref="VQ93:VR93" si="61">VQ77+VQ79</f>
        <v>0</v>
      </c>
      <c r="VR93" s="352">
        <f t="shared" si="61"/>
        <v>5</v>
      </c>
      <c r="VS93" s="372">
        <v>0.6470588235294118</v>
      </c>
      <c r="VT93" s="372">
        <f t="shared" si="60"/>
        <v>0.82352941176470584</v>
      </c>
      <c r="VU93" s="352">
        <f>VV93+VW93</f>
        <v>17</v>
      </c>
      <c r="VV93" s="352">
        <f>VV77+VV79</f>
        <v>14</v>
      </c>
      <c r="VW93" s="352">
        <f>VW77+VW79</f>
        <v>3</v>
      </c>
      <c r="VX93" s="31" t="s">
        <v>4959</v>
      </c>
      <c r="VY93" s="23">
        <f>VY77+VY79</f>
        <v>0</v>
      </c>
      <c r="VZ93" s="23">
        <f>VZ77+VZ79</f>
        <v>7</v>
      </c>
      <c r="WA93" s="23">
        <f>WA77+WA79</f>
        <v>2</v>
      </c>
      <c r="WB93" s="23">
        <f>WB77+WB79</f>
        <v>2</v>
      </c>
      <c r="WC93" s="23">
        <f>WC77+WC79</f>
        <v>6</v>
      </c>
      <c r="WD93" s="23">
        <f>SUM(VY93:WC93)</f>
        <v>17</v>
      </c>
      <c r="WE93" s="17">
        <f>IF(WD93=0,0,SUMPRODUCT($VY$75:$WC$75,VY93:WC93)/WD93)</f>
        <v>3.4117647058823528</v>
      </c>
      <c r="WF93" s="17">
        <v>3.5294117647058822</v>
      </c>
      <c r="WG93" s="23">
        <v>0</v>
      </c>
      <c r="WH93" s="23">
        <v>6</v>
      </c>
      <c r="WI93" s="23">
        <v>3</v>
      </c>
      <c r="WJ93" s="23">
        <v>1</v>
      </c>
      <c r="WK93" s="23">
        <v>7</v>
      </c>
      <c r="WL93" s="23">
        <v>17</v>
      </c>
    </row>
    <row r="94" spans="411:610" x14ac:dyDescent="0.25">
      <c r="VQ94" s="351">
        <f>VQ82+VQ83</f>
        <v>0</v>
      </c>
      <c r="VR94" s="351">
        <f>VR82+VR83</f>
        <v>0</v>
      </c>
      <c r="VS94" s="372">
        <v>0</v>
      </c>
      <c r="VT94" s="379">
        <f t="shared" ref="VT94" si="62">IFERROR(VV94/VU94,0)</f>
        <v>0</v>
      </c>
      <c r="VU94" s="351">
        <f>VU82+VU83</f>
        <v>0</v>
      </c>
      <c r="VV94" s="351">
        <f>VV82+VV83</f>
        <v>0</v>
      </c>
      <c r="VW94" s="351">
        <f>VW82+VW83</f>
        <v>0</v>
      </c>
      <c r="VX94" s="31" t="s">
        <v>5384</v>
      </c>
      <c r="VY94" s="12">
        <f>VY82+VY83</f>
        <v>0</v>
      </c>
      <c r="VZ94" s="12">
        <f>VZ82+VZ83</f>
        <v>0</v>
      </c>
      <c r="WA94" s="12">
        <f>WA82+WA83</f>
        <v>0</v>
      </c>
      <c r="WB94" s="12">
        <f>WB82+WB83</f>
        <v>0</v>
      </c>
      <c r="WC94" s="12">
        <f>WC82+WC83</f>
        <v>0</v>
      </c>
      <c r="WD94" s="23">
        <f t="shared" ref="WD94" si="63">SUM(VY94:WC94)</f>
        <v>0</v>
      </c>
      <c r="WE94" s="17">
        <f t="shared" ref="WE94" si="64">IF(WD94=0,0,SUMPRODUCT($VY$75:$WC$75,VY94:WC94)/WD94)</f>
        <v>0</v>
      </c>
      <c r="WF94" s="17">
        <v>0</v>
      </c>
      <c r="WG94" s="12">
        <v>0</v>
      </c>
      <c r="WH94" s="12">
        <v>0</v>
      </c>
      <c r="WI94" s="12">
        <v>0</v>
      </c>
      <c r="WJ94" s="12">
        <v>0</v>
      </c>
      <c r="WK94" s="12">
        <v>0</v>
      </c>
      <c r="WL94" s="23">
        <v>0</v>
      </c>
    </row>
    <row r="95" spans="411:610" x14ac:dyDescent="0.25">
      <c r="VS95" s="364"/>
      <c r="VT95" s="364"/>
      <c r="VU95" s="364"/>
      <c r="VV95" s="364"/>
      <c r="VW95" s="364"/>
      <c r="VX95" s="31"/>
      <c r="WE95" s="8"/>
      <c r="WF95" s="8"/>
    </row>
    <row r="96" spans="411:610" x14ac:dyDescent="0.25">
      <c r="VS96" s="372">
        <v>0.8125</v>
      </c>
      <c r="VT96" s="372">
        <f t="shared" ref="VT96:VT97" si="65">IF(VU96=0,0,VV96/VU96)</f>
        <v>1</v>
      </c>
      <c r="VU96" s="352">
        <f>VV96+VW96</f>
        <v>16</v>
      </c>
      <c r="VV96" s="352">
        <f>COUNTIFS($VW$2:$VW$72,VV$75,$VS$2:$VS$72,"&lt;1")</f>
        <v>16</v>
      </c>
      <c r="VW96" s="352">
        <f>COUNTIFS($VW$2:$VW$72,VW$75,$VS$2:$VS$72,"&lt;1")</f>
        <v>0</v>
      </c>
      <c r="VX96" s="31" t="s">
        <v>2631</v>
      </c>
      <c r="VY96" s="23">
        <f>COUNTIFS($VY$2:$VY$72,VY$75,$VS$2:$VS$72,"&lt;1")</f>
        <v>1</v>
      </c>
      <c r="VZ96" s="23">
        <f>COUNTIFS($VY$2:$VY$72,VZ$75,$VS$2:$VS$72,"&lt;1")</f>
        <v>2</v>
      </c>
      <c r="WA96" s="23">
        <f>COUNTIFS($VY$2:$VY$72,WA$75,$VS$2:$VS$72,"&lt;1")</f>
        <v>6</v>
      </c>
      <c r="WB96" s="23">
        <f>COUNTIFS($VY$2:$VY$72,WB$75,$VS$2:$VS$72,"&lt;1")</f>
        <v>4</v>
      </c>
      <c r="WC96" s="23">
        <f>COUNTIFS($VY$2:$VY$72,WC$75,$VS$2:$VS$72,"&lt;1")</f>
        <v>3</v>
      </c>
      <c r="WD96" s="23">
        <f>SUM(VY96:WC96)</f>
        <v>16</v>
      </c>
      <c r="WE96" s="17">
        <f>IF(WD96=0,0,SUMPRODUCT($VY$75:$WC$75,VY96:WC96)/WD96)</f>
        <v>3.375</v>
      </c>
      <c r="WF96" s="17">
        <v>3.5</v>
      </c>
      <c r="WG96" s="23">
        <v>1</v>
      </c>
      <c r="WH96" s="23">
        <v>1</v>
      </c>
      <c r="WI96" s="23">
        <v>6</v>
      </c>
      <c r="WJ96" s="23">
        <v>5</v>
      </c>
      <c r="WK96" s="23">
        <v>3</v>
      </c>
      <c r="WL96" s="23">
        <v>16</v>
      </c>
    </row>
    <row r="97" spans="591:610" x14ac:dyDescent="0.25">
      <c r="VS97" s="372">
        <v>0.8</v>
      </c>
      <c r="VT97" s="372">
        <f t="shared" si="65"/>
        <v>0.73333333333333328</v>
      </c>
      <c r="VU97" s="352">
        <f>VV97+VW97</f>
        <v>45</v>
      </c>
      <c r="VV97" s="352">
        <f>COUNTIFS($VW$2:$VW$72,VV$75,$VS$2:$VS$72,"=1")</f>
        <v>33</v>
      </c>
      <c r="VW97" s="352">
        <f>COUNTIFS($VW$2:$VW$72,VW$75,$VS$2:$VS$72,"=1")</f>
        <v>12</v>
      </c>
      <c r="VX97" s="31" t="s">
        <v>2632</v>
      </c>
      <c r="VY97" s="23">
        <f>COUNTIFS($VY$2:$VY$72,VY$75,$VS$2:$VS$72,"=1")</f>
        <v>6</v>
      </c>
      <c r="VZ97" s="23">
        <f>COUNTIFS($VY$2:$VY$72,VZ$75,$VS$2:$VS$72,"=1")</f>
        <v>10</v>
      </c>
      <c r="WA97" s="23">
        <f>COUNTIFS($VY$2:$VY$72,WA$75,$VS$2:$VS$72,"=1")</f>
        <v>6</v>
      </c>
      <c r="WB97" s="23">
        <f>COUNTIFS($VY$2:$VY$72,WB$75,$VS$2:$VS$72,"=1")</f>
        <v>8</v>
      </c>
      <c r="WC97" s="23">
        <f>COUNTIFS($VY$2:$VY$72,WC$75,$VS$2:$VS$72,"=1")</f>
        <v>15</v>
      </c>
      <c r="WD97" s="23">
        <f>SUM(VY97:WC97)</f>
        <v>45</v>
      </c>
      <c r="WE97" s="17">
        <f>IF(WD97=0,0,SUMPRODUCT($VY$75:$WC$75,VY97:WC97)/WD97)</f>
        <v>3.3555555555555556</v>
      </c>
      <c r="WF97" s="17">
        <v>3.3111111111111109</v>
      </c>
      <c r="WG97" s="23">
        <v>6</v>
      </c>
      <c r="WH97" s="23">
        <v>11</v>
      </c>
      <c r="WI97" s="23">
        <v>6</v>
      </c>
      <c r="WJ97" s="23">
        <v>7</v>
      </c>
      <c r="WK97" s="23">
        <v>15</v>
      </c>
      <c r="WL97" s="23">
        <v>45</v>
      </c>
    </row>
    <row r="98" spans="591:610" x14ac:dyDescent="0.25">
      <c r="VS98" s="364"/>
      <c r="VT98" s="364"/>
      <c r="VU98" s="364"/>
      <c r="VV98" s="364"/>
      <c r="VW98" s="364"/>
      <c r="VX98" s="46"/>
      <c r="WE98" s="8"/>
      <c r="WF98" s="8"/>
    </row>
    <row r="99" spans="591:610" x14ac:dyDescent="0.25">
      <c r="VS99" s="372">
        <v>1</v>
      </c>
      <c r="VT99" s="372">
        <f t="shared" ref="VT99:VT100" si="66">IF(VU99=0,0,VV99/VU99)</f>
        <v>1</v>
      </c>
      <c r="VU99" s="352">
        <f>VV99+VW99</f>
        <v>1</v>
      </c>
      <c r="VV99" s="352">
        <f>COUNTIFS($VW$2:$VW$72,VV$75,$VR$2:$VR$72,"&lt;1")</f>
        <v>1</v>
      </c>
      <c r="VW99" s="352">
        <f>COUNTIFS($VW$2:$VW$72,VW$75,$VR$2:$VR$72,"&lt;1")</f>
        <v>0</v>
      </c>
      <c r="VX99" s="31" t="s">
        <v>2617</v>
      </c>
      <c r="VY99" s="23">
        <f>COUNTIFS($VY$2:$VY$72,VY$75,$VR$2:$VR$72,"&lt;1")</f>
        <v>0</v>
      </c>
      <c r="VZ99" s="23">
        <f>COUNTIFS($VY$2:$VY$72,VZ$75,$VR$2:$VR$72,"&lt;1")</f>
        <v>1</v>
      </c>
      <c r="WA99" s="23">
        <f>COUNTIFS($VY$2:$VY$72,WA$75,$VR$2:$VR$72,"&lt;1")</f>
        <v>0</v>
      </c>
      <c r="WB99" s="23">
        <f>COUNTIFS($VY$2:$VY$72,WB$75,$VR$2:$VR$72,"&lt;1")</f>
        <v>0</v>
      </c>
      <c r="WC99" s="23">
        <f>COUNTIFS($VY$2:$VY$72,WC$75,$VR$2:$VR$72,"&lt;1")</f>
        <v>0</v>
      </c>
      <c r="WD99" s="23">
        <f>SUM(VY99:WC99)</f>
        <v>1</v>
      </c>
      <c r="WE99" s="17">
        <f>IF(WD99=0,0,SUMPRODUCT($VY$75:$WC$75,VY99:WC99)/WD99)</f>
        <v>2</v>
      </c>
      <c r="WF99" s="17">
        <v>2</v>
      </c>
      <c r="WG99" s="23">
        <v>0</v>
      </c>
      <c r="WH99" s="23">
        <v>1</v>
      </c>
      <c r="WI99" s="23">
        <v>0</v>
      </c>
      <c r="WJ99" s="23">
        <v>0</v>
      </c>
      <c r="WK99" s="23">
        <v>0</v>
      </c>
      <c r="WL99" s="23">
        <v>1</v>
      </c>
    </row>
    <row r="100" spans="591:610" x14ac:dyDescent="0.25">
      <c r="VS100" s="372">
        <v>0.8</v>
      </c>
      <c r="VT100" s="372">
        <f t="shared" si="66"/>
        <v>0.8</v>
      </c>
      <c r="VU100" s="352">
        <f>VV100+VW100</f>
        <v>60</v>
      </c>
      <c r="VV100" s="352">
        <f>COUNTIFS($VW$2:$VW$72,VV$75,$VR$2:$VR$72,"=1")</f>
        <v>48</v>
      </c>
      <c r="VW100" s="352">
        <f>COUNTIFS($VW$2:$VW$72,VW$75,$VR$2:$VR$72,"=1")</f>
        <v>12</v>
      </c>
      <c r="VX100" s="31" t="s">
        <v>3291</v>
      </c>
      <c r="VY100" s="23">
        <f>COUNTIFS($VY$2:$VY$72,VY$75,$VR$2:$VR$72,"=1")</f>
        <v>7</v>
      </c>
      <c r="VZ100" s="23">
        <f>COUNTIFS($VY$2:$VY$72,VZ$75,$VR$2:$VR$72,"=1")</f>
        <v>11</v>
      </c>
      <c r="WA100" s="23">
        <f>COUNTIFS($VY$2:$VY$72,WA$75,$VR$2:$VR$72,"=1")</f>
        <v>12</v>
      </c>
      <c r="WB100" s="23">
        <f>COUNTIFS($VY$2:$VY$72,WB$75,$VR$2:$VR$72,"=1")</f>
        <v>12</v>
      </c>
      <c r="WC100" s="23">
        <f>COUNTIFS($VY$2:$VY$72,WC$75,$VR$2:$VR$72,"=1")</f>
        <v>18</v>
      </c>
      <c r="WD100" s="23">
        <f>SUM(VY100:WC100)</f>
        <v>60</v>
      </c>
      <c r="WE100" s="17">
        <f>IF(WD100=0,0,SUMPRODUCT($VY$75:$WC$75,VY100:WC100)/WD100)</f>
        <v>3.3833333333333333</v>
      </c>
      <c r="WF100" s="17">
        <v>3.3833333333333333</v>
      </c>
      <c r="WG100" s="23">
        <v>7</v>
      </c>
      <c r="WH100" s="23">
        <v>11</v>
      </c>
      <c r="WI100" s="23">
        <v>12</v>
      </c>
      <c r="WJ100" s="23">
        <v>12</v>
      </c>
      <c r="WK100" s="23">
        <v>18</v>
      </c>
      <c r="WL100" s="23">
        <v>60</v>
      </c>
    </row>
    <row r="101" spans="591:610" x14ac:dyDescent="0.25">
      <c r="VS101" s="364"/>
      <c r="VT101" s="364"/>
      <c r="VU101" s="364"/>
      <c r="VV101" s="364"/>
      <c r="VW101" s="364"/>
      <c r="VX101" s="31"/>
      <c r="WE101" s="8"/>
      <c r="WF101" s="8"/>
    </row>
    <row r="102" spans="591:610" x14ac:dyDescent="0.25">
      <c r="VS102" s="372">
        <v>0.78181818181818186</v>
      </c>
      <c r="VT102" s="372">
        <f t="shared" ref="VT102:VT103" si="67">IF(VU102=0,0,VV102/VU102)</f>
        <v>0.78181818181818186</v>
      </c>
      <c r="VU102" s="352">
        <f>VV102+VW102</f>
        <v>55</v>
      </c>
      <c r="VV102" s="352">
        <f>COUNTIFS($VW$2:$VW$72,VV$75,$VQ$2:$VQ$72,"&gt;1")</f>
        <v>43</v>
      </c>
      <c r="VW102" s="352">
        <f>COUNTIFS($VW$2:$VW$72,VW$75,$VQ$2:$VQ$72,"&gt;1")</f>
        <v>12</v>
      </c>
      <c r="VX102" s="31" t="s">
        <v>4960</v>
      </c>
      <c r="VY102" s="23">
        <f>COUNTIFS($VY$2:$VY$72,VY$75,$VQ$2:$VQ$72,"&gt;1")</f>
        <v>6</v>
      </c>
      <c r="VZ102" s="23">
        <f>COUNTIFS($VY$2:$VY$72,VZ$75,$VQ$2:$VQ$72,"&gt;1")</f>
        <v>10</v>
      </c>
      <c r="WA102" s="23">
        <f>COUNTIFS($VY$2:$VY$72,WA$75,$VQ$2:$VQ$72,"&gt;1")</f>
        <v>9</v>
      </c>
      <c r="WB102" s="23">
        <f>COUNTIFS($VY$2:$VY$72,WB$75,$VQ$2:$VQ$72,"&gt;1")</f>
        <v>12</v>
      </c>
      <c r="WC102" s="23">
        <f>COUNTIFS($VY$2:$VY$72,WC$75,$VQ$2:$VQ$72,"&gt;1")</f>
        <v>18</v>
      </c>
      <c r="WD102" s="23">
        <f>SUM(VY102:WC102)</f>
        <v>55</v>
      </c>
      <c r="WE102" s="17">
        <f>IF(WD102=0,0,SUMPRODUCT($VY$75:$WC$75,VY102:WC102)/WD102)</f>
        <v>3.4727272727272727</v>
      </c>
      <c r="WF102" s="17">
        <v>3.4727272727272727</v>
      </c>
      <c r="WG102" s="23">
        <v>6</v>
      </c>
      <c r="WH102" s="23">
        <v>9</v>
      </c>
      <c r="WI102" s="23">
        <v>11</v>
      </c>
      <c r="WJ102" s="23">
        <v>11</v>
      </c>
      <c r="WK102" s="23">
        <v>18</v>
      </c>
      <c r="WL102" s="23">
        <v>55</v>
      </c>
    </row>
    <row r="103" spans="591:610" x14ac:dyDescent="0.25">
      <c r="VS103" s="372">
        <v>1</v>
      </c>
      <c r="VT103" s="372">
        <f t="shared" si="67"/>
        <v>1</v>
      </c>
      <c r="VU103" s="352">
        <f>VV103+VW103</f>
        <v>6</v>
      </c>
      <c r="VV103" s="352">
        <f>COUNTIFS($VW$2:$VW$72,VV$75,$VQ$2:$VQ$72,"=1")</f>
        <v>6</v>
      </c>
      <c r="VW103" s="352">
        <f>COUNTIFS($VW$2:$VW$72,VW$75,$VQ$2:$VQ$72,"=1")</f>
        <v>0</v>
      </c>
      <c r="VX103" s="31" t="s">
        <v>4961</v>
      </c>
      <c r="VY103" s="23">
        <f>COUNTIFS($VY$2:$VY$72,VY$75,$VQ$2:$VQ$72,"=1")</f>
        <v>1</v>
      </c>
      <c r="VZ103" s="23">
        <f>COUNTIFS($VY$2:$VY$72,VZ$75,$VQ$2:$VQ$72,"=1")</f>
        <v>2</v>
      </c>
      <c r="WA103" s="23">
        <f>COUNTIFS($VY$2:$VY$72,WA$75,$VQ$2:$VQ$72,"=1")</f>
        <v>3</v>
      </c>
      <c r="WB103" s="23">
        <f>COUNTIFS($VY$2:$VY$72,WB$75,$VQ$2:$VQ$72,"=1")</f>
        <v>0</v>
      </c>
      <c r="WC103" s="23">
        <f>COUNTIFS($VY$2:$VY$72,WC$75,$VQ$2:$VQ$72,"=1")</f>
        <v>0</v>
      </c>
      <c r="WD103" s="23">
        <f>SUM(VY103:WC103)</f>
        <v>6</v>
      </c>
      <c r="WE103" s="17">
        <f>IF(WD103=0,0,SUMPRODUCT($VY$75:$WC$75,VY103:WC103)/WD103)</f>
        <v>2.3333333333333335</v>
      </c>
      <c r="WF103" s="17">
        <v>2.3333333333333335</v>
      </c>
      <c r="WG103" s="23">
        <v>1</v>
      </c>
      <c r="WH103" s="23">
        <v>3</v>
      </c>
      <c r="WI103" s="23">
        <v>1</v>
      </c>
      <c r="WJ103" s="23">
        <v>1</v>
      </c>
      <c r="WK103" s="23">
        <v>0</v>
      </c>
      <c r="WL103" s="23">
        <v>6</v>
      </c>
    </row>
    <row r="104" spans="591:610" x14ac:dyDescent="0.25">
      <c r="VS104" s="364"/>
      <c r="VT104" s="364"/>
      <c r="VU104" s="364"/>
      <c r="VV104" s="364"/>
      <c r="VW104" s="364"/>
      <c r="VX104" s="31"/>
      <c r="WE104" s="8"/>
      <c r="WF104" s="8"/>
    </row>
    <row r="105" spans="591:610" x14ac:dyDescent="0.25">
      <c r="VS105" s="372">
        <v>0.8</v>
      </c>
      <c r="VT105" s="372">
        <f t="shared" ref="VT105:VT106" si="68">IF(VU105=0,0,VV105/VU105)</f>
        <v>0.8571428571428571</v>
      </c>
      <c r="VU105" s="352">
        <f>VV105+VW105</f>
        <v>35</v>
      </c>
      <c r="VV105" s="352">
        <f>COUNTIFS($VW$2:$VW$72,VV$75,$BW$2:$BW$72,$VX105)</f>
        <v>30</v>
      </c>
      <c r="VW105" s="352">
        <f>COUNTIFS($VW$2:$VW$72,VW$75,$BW$2:$BW$72,$VX105)</f>
        <v>5</v>
      </c>
      <c r="VX105" s="31" t="s">
        <v>18</v>
      </c>
      <c r="VY105" s="23">
        <f t="shared" ref="VY105:WC106" si="69">COUNTIFS($VY$2:$VY$72,VY$75,$BW$2:$BW$72,$VX105)</f>
        <v>6</v>
      </c>
      <c r="VZ105" s="23">
        <f t="shared" si="69"/>
        <v>11</v>
      </c>
      <c r="WA105" s="23">
        <f t="shared" si="69"/>
        <v>7</v>
      </c>
      <c r="WB105" s="23">
        <f t="shared" si="69"/>
        <v>3</v>
      </c>
      <c r="WC105" s="23">
        <f t="shared" si="69"/>
        <v>8</v>
      </c>
      <c r="WD105" s="23">
        <f>SUM(VY105:WC105)</f>
        <v>35</v>
      </c>
      <c r="WE105" s="17">
        <f>IF(WD105=0,0,SUMPRODUCT($VY$75:$WC$75,VY105:WC105)/WD105)</f>
        <v>2.8857142857142857</v>
      </c>
      <c r="WF105" s="17">
        <v>2.9714285714285715</v>
      </c>
      <c r="WG105" s="23">
        <v>5</v>
      </c>
      <c r="WH105" s="23">
        <v>11</v>
      </c>
      <c r="WI105" s="23">
        <v>7</v>
      </c>
      <c r="WJ105" s="23">
        <v>4</v>
      </c>
      <c r="WK105" s="23">
        <v>8</v>
      </c>
      <c r="WL105" s="23">
        <v>35</v>
      </c>
    </row>
    <row r="106" spans="591:610" x14ac:dyDescent="0.25">
      <c r="VS106" s="372">
        <v>0.80769230769230771</v>
      </c>
      <c r="VT106" s="372">
        <f t="shared" si="68"/>
        <v>0.73076923076923073</v>
      </c>
      <c r="VU106" s="352">
        <f>VV106+VW106</f>
        <v>26</v>
      </c>
      <c r="VV106" s="352">
        <f>COUNTIFS($VW$2:$VW$72,VV$75,$BW$2:$BW$72,$VX106)</f>
        <v>19</v>
      </c>
      <c r="VW106" s="352">
        <f>COUNTIFS($VW$2:$VW$72,VW$75,$BW$2:$BW$72,$VX106)</f>
        <v>7</v>
      </c>
      <c r="VX106" s="31" t="s">
        <v>126</v>
      </c>
      <c r="VY106" s="23">
        <f t="shared" si="69"/>
        <v>1</v>
      </c>
      <c r="VZ106" s="23">
        <f t="shared" si="69"/>
        <v>1</v>
      </c>
      <c r="WA106" s="23">
        <f t="shared" si="69"/>
        <v>5</v>
      </c>
      <c r="WB106" s="23">
        <f t="shared" si="69"/>
        <v>9</v>
      </c>
      <c r="WC106" s="23">
        <f t="shared" si="69"/>
        <v>10</v>
      </c>
      <c r="WD106" s="23">
        <f>SUM(VY106:WC106)</f>
        <v>26</v>
      </c>
      <c r="WE106" s="17">
        <f>IF(WD106=0,0,SUMPRODUCT($VY$75:$WC$75,VY106:WC106)/WD106)</f>
        <v>4</v>
      </c>
      <c r="WF106" s="17">
        <v>3.8846153846153846</v>
      </c>
      <c r="WG106" s="23">
        <v>2</v>
      </c>
      <c r="WH106" s="23">
        <v>1</v>
      </c>
      <c r="WI106" s="23">
        <v>5</v>
      </c>
      <c r="WJ106" s="23">
        <v>8</v>
      </c>
      <c r="WK106" s="23">
        <v>10</v>
      </c>
      <c r="WL106" s="23">
        <v>26</v>
      </c>
    </row>
    <row r="107" spans="591:610" x14ac:dyDescent="0.25">
      <c r="VS107" s="364"/>
      <c r="VT107" s="364"/>
      <c r="VU107" s="364"/>
      <c r="VV107" s="364"/>
      <c r="VW107" s="364"/>
      <c r="VX107" s="31"/>
      <c r="WE107" s="8"/>
      <c r="WF107" s="8"/>
    </row>
    <row r="108" spans="591:610" x14ac:dyDescent="0.25">
      <c r="VS108" s="379">
        <v>0.2857142857142857</v>
      </c>
      <c r="VT108" s="379">
        <f t="shared" ref="VT108:VT114" si="70">IFERROR(VV108/VU108,0)</f>
        <v>0.7142857142857143</v>
      </c>
      <c r="VU108" s="351">
        <f>COUNTIF($VN$2:$VN$72,$VX108)</f>
        <v>7</v>
      </c>
      <c r="VV108" s="351">
        <f>COUNTIFS($VN$2:$VN$72,$VX108,$VW$2:$VW$72,VV$75)</f>
        <v>5</v>
      </c>
      <c r="VW108" s="351">
        <f t="shared" ref="VW108:VW114" si="71">COUNTIFS($VN$2:$VN$72,$VX108,$VW$2:$VW$72,VW$75)</f>
        <v>2</v>
      </c>
      <c r="VX108" s="31" t="s">
        <v>5411</v>
      </c>
      <c r="VY108" s="23">
        <f>COUNTIFS($VN$2:$VN$72,$VX108,$VY$2:$VY$72,VY$75)</f>
        <v>0</v>
      </c>
      <c r="VZ108" s="23">
        <f>COUNTIFS($VN$2:$VN$72,$VX108,$VY$2:$VY$72,VZ$75)</f>
        <v>0</v>
      </c>
      <c r="WA108" s="23">
        <f>COUNTIFS($VN$2:$VN$72,$VX108,$VY$2:$VY$72,WA$75)</f>
        <v>1</v>
      </c>
      <c r="WB108" s="23">
        <f>COUNTIFS($VN$2:$VN$72,$VX108,$VY$2:$VY$72,WB$75)</f>
        <v>1</v>
      </c>
      <c r="WC108" s="23">
        <f>COUNTIFS($VN$2:$VN$72,$VX108,$VY$2:$VY$72,WC$75)</f>
        <v>5</v>
      </c>
      <c r="WD108" s="23">
        <f t="shared" ref="WD108:WD114" si="72">SUM(VY108:WC108)</f>
        <v>7</v>
      </c>
      <c r="WE108" s="17">
        <f t="shared" ref="WE108:WE114" si="73">IF(WD108=0,0,SUMPRODUCT($VY$75:$WC$75,VY108:WC108)/WD108)</f>
        <v>4.5714285714285712</v>
      </c>
      <c r="WF108" s="17">
        <v>4.5714285714285712</v>
      </c>
      <c r="WG108" s="23">
        <v>0</v>
      </c>
      <c r="WH108" s="23">
        <v>0</v>
      </c>
      <c r="WI108" s="23">
        <v>1</v>
      </c>
      <c r="WJ108" s="23">
        <v>1</v>
      </c>
      <c r="WK108" s="23">
        <v>5</v>
      </c>
      <c r="WL108" s="23">
        <v>7</v>
      </c>
    </row>
    <row r="109" spans="591:610" x14ac:dyDescent="0.25">
      <c r="VS109" s="379">
        <v>0.6470588235294118</v>
      </c>
      <c r="VT109" s="379">
        <f t="shared" si="70"/>
        <v>0.76470588235294112</v>
      </c>
      <c r="VU109" s="351">
        <f t="shared" ref="VU109:VU113" si="74">COUNTIF($VN$2:$VN$72,$VX109)</f>
        <v>17</v>
      </c>
      <c r="VV109" s="351">
        <f t="shared" ref="VV109:VV114" si="75">COUNTIFS($VN$2:$VN$72,$VX109,$VW$2:$VW$72,VV$75)</f>
        <v>13</v>
      </c>
      <c r="VW109" s="351">
        <f t="shared" si="71"/>
        <v>4</v>
      </c>
      <c r="VX109" s="31" t="s">
        <v>5409</v>
      </c>
      <c r="VY109" s="23">
        <f t="shared" ref="VY109:VY114" si="76">COUNTIFS($VN$2:$VN$72,$VX109,$VY$2:$VY$72,VY$75)</f>
        <v>1</v>
      </c>
      <c r="VZ109" s="23">
        <f t="shared" ref="VZ109:WC114" si="77">COUNTIFS($VN$2:$VN$72,$VX109,$VY$2:$VY$72,VZ$75)</f>
        <v>4</v>
      </c>
      <c r="WA109" s="23">
        <f t="shared" si="77"/>
        <v>4</v>
      </c>
      <c r="WB109" s="23">
        <f t="shared" si="77"/>
        <v>1</v>
      </c>
      <c r="WC109" s="23">
        <f t="shared" si="77"/>
        <v>7</v>
      </c>
      <c r="WD109" s="23">
        <f t="shared" si="72"/>
        <v>17</v>
      </c>
      <c r="WE109" s="17">
        <f t="shared" si="73"/>
        <v>3.5294117647058822</v>
      </c>
      <c r="WF109" s="17">
        <v>3.7058823529411766</v>
      </c>
      <c r="WG109" s="23">
        <v>0</v>
      </c>
      <c r="WH109" s="23">
        <v>4</v>
      </c>
      <c r="WI109" s="23">
        <v>4</v>
      </c>
      <c r="WJ109" s="23">
        <v>2</v>
      </c>
      <c r="WK109" s="23">
        <v>7</v>
      </c>
      <c r="WL109" s="23">
        <v>17</v>
      </c>
    </row>
    <row r="110" spans="591:610" x14ac:dyDescent="0.25">
      <c r="VS110" s="379">
        <v>1</v>
      </c>
      <c r="VT110" s="379">
        <f t="shared" si="70"/>
        <v>0.81818181818181823</v>
      </c>
      <c r="VU110" s="351">
        <f t="shared" si="74"/>
        <v>11</v>
      </c>
      <c r="VV110" s="351">
        <f t="shared" si="75"/>
        <v>9</v>
      </c>
      <c r="VW110" s="351">
        <f t="shared" si="71"/>
        <v>2</v>
      </c>
      <c r="VX110" s="31" t="s">
        <v>5408</v>
      </c>
      <c r="VY110" s="23">
        <f t="shared" si="76"/>
        <v>1</v>
      </c>
      <c r="VZ110" s="23">
        <f t="shared" si="77"/>
        <v>0</v>
      </c>
      <c r="WA110" s="23">
        <f t="shared" si="77"/>
        <v>4</v>
      </c>
      <c r="WB110" s="23">
        <f t="shared" si="77"/>
        <v>4</v>
      </c>
      <c r="WC110" s="23">
        <f t="shared" si="77"/>
        <v>2</v>
      </c>
      <c r="WD110" s="23">
        <f t="shared" si="72"/>
        <v>11</v>
      </c>
      <c r="WE110" s="17">
        <f t="shared" si="73"/>
        <v>3.5454545454545454</v>
      </c>
      <c r="WF110" s="17">
        <v>3.5454545454545454</v>
      </c>
      <c r="WG110" s="23">
        <v>1</v>
      </c>
      <c r="WH110" s="23">
        <v>1</v>
      </c>
      <c r="WI110" s="23">
        <v>3</v>
      </c>
      <c r="WJ110" s="23">
        <v>3</v>
      </c>
      <c r="WK110" s="23">
        <v>3</v>
      </c>
      <c r="WL110" s="23">
        <v>11</v>
      </c>
    </row>
    <row r="111" spans="591:610" x14ac:dyDescent="0.25">
      <c r="VS111" s="379">
        <v>0.90909090909090906</v>
      </c>
      <c r="VT111" s="379">
        <f t="shared" si="70"/>
        <v>0.90909090909090906</v>
      </c>
      <c r="VU111" s="351">
        <f t="shared" si="74"/>
        <v>11</v>
      </c>
      <c r="VV111" s="351">
        <f t="shared" si="75"/>
        <v>10</v>
      </c>
      <c r="VW111" s="351">
        <f t="shared" si="71"/>
        <v>1</v>
      </c>
      <c r="VX111" s="31" t="s">
        <v>5410</v>
      </c>
      <c r="VY111" s="23">
        <f t="shared" si="76"/>
        <v>1</v>
      </c>
      <c r="VZ111" s="23">
        <f t="shared" si="77"/>
        <v>5</v>
      </c>
      <c r="WA111" s="23">
        <f t="shared" si="77"/>
        <v>3</v>
      </c>
      <c r="WB111" s="23">
        <f t="shared" si="77"/>
        <v>1</v>
      </c>
      <c r="WC111" s="23">
        <f t="shared" si="77"/>
        <v>1</v>
      </c>
      <c r="WD111" s="23">
        <f t="shared" si="72"/>
        <v>11</v>
      </c>
      <c r="WE111" s="17">
        <f t="shared" si="73"/>
        <v>2.6363636363636362</v>
      </c>
      <c r="WF111" s="17">
        <v>2.6363636363636362</v>
      </c>
      <c r="WG111" s="23">
        <v>1</v>
      </c>
      <c r="WH111" s="23">
        <v>5</v>
      </c>
      <c r="WI111" s="23">
        <v>3</v>
      </c>
      <c r="WJ111" s="23">
        <v>1</v>
      </c>
      <c r="WK111" s="23">
        <v>1</v>
      </c>
      <c r="WL111" s="23">
        <v>11</v>
      </c>
    </row>
    <row r="112" spans="591:610" x14ac:dyDescent="0.25">
      <c r="VS112" s="379">
        <v>1</v>
      </c>
      <c r="VT112" s="379">
        <f t="shared" ref="VT112:VT113" si="78">IFERROR(VV112/VU112,0)</f>
        <v>0.625</v>
      </c>
      <c r="VU112" s="351">
        <f t="shared" si="74"/>
        <v>8</v>
      </c>
      <c r="VV112" s="351">
        <f t="shared" si="75"/>
        <v>5</v>
      </c>
      <c r="VW112" s="351">
        <f t="shared" si="71"/>
        <v>3</v>
      </c>
      <c r="VX112" s="31" t="s">
        <v>5413</v>
      </c>
      <c r="VY112" s="23">
        <f t="shared" si="76"/>
        <v>0</v>
      </c>
      <c r="VZ112" s="23">
        <f t="shared" si="77"/>
        <v>1</v>
      </c>
      <c r="WA112" s="23">
        <f t="shared" si="77"/>
        <v>0</v>
      </c>
      <c r="WB112" s="23">
        <f t="shared" si="77"/>
        <v>4</v>
      </c>
      <c r="WC112" s="23">
        <f t="shared" si="77"/>
        <v>3</v>
      </c>
      <c r="WD112" s="23">
        <f t="shared" si="72"/>
        <v>8</v>
      </c>
      <c r="WE112" s="17">
        <f t="shared" si="73"/>
        <v>4.125</v>
      </c>
      <c r="WF112" s="17">
        <v>3.75</v>
      </c>
      <c r="WG112" s="23">
        <v>1</v>
      </c>
      <c r="WH112" s="23">
        <v>0</v>
      </c>
      <c r="WI112" s="23">
        <v>1</v>
      </c>
      <c r="WJ112" s="23">
        <v>4</v>
      </c>
      <c r="WK112" s="23">
        <v>2</v>
      </c>
      <c r="WL112" s="23">
        <v>8</v>
      </c>
    </row>
    <row r="113" spans="591:610" x14ac:dyDescent="0.25">
      <c r="VS113" s="379">
        <v>1</v>
      </c>
      <c r="VT113" s="379">
        <f t="shared" si="78"/>
        <v>1</v>
      </c>
      <c r="VU113" s="351">
        <f t="shared" si="74"/>
        <v>7</v>
      </c>
      <c r="VV113" s="351">
        <f t="shared" si="75"/>
        <v>7</v>
      </c>
      <c r="VW113" s="351">
        <f t="shared" si="71"/>
        <v>0</v>
      </c>
      <c r="VX113" s="31" t="s">
        <v>5414</v>
      </c>
      <c r="VY113" s="23">
        <f t="shared" si="76"/>
        <v>4</v>
      </c>
      <c r="VZ113" s="23">
        <f t="shared" si="77"/>
        <v>2</v>
      </c>
      <c r="WA113" s="23">
        <f t="shared" si="77"/>
        <v>0</v>
      </c>
      <c r="WB113" s="23">
        <f t="shared" si="77"/>
        <v>1</v>
      </c>
      <c r="WC113" s="23">
        <f t="shared" si="77"/>
        <v>0</v>
      </c>
      <c r="WD113" s="23">
        <f t="shared" si="72"/>
        <v>7</v>
      </c>
      <c r="WE113" s="17">
        <f t="shared" si="73"/>
        <v>1.7142857142857142</v>
      </c>
      <c r="WF113" s="17">
        <v>1.7142857142857142</v>
      </c>
      <c r="WG113" s="23">
        <v>4</v>
      </c>
      <c r="WH113" s="23">
        <v>2</v>
      </c>
      <c r="WI113" s="23">
        <v>0</v>
      </c>
      <c r="WJ113" s="23">
        <v>1</v>
      </c>
      <c r="WK113" s="23">
        <v>0</v>
      </c>
      <c r="WL113" s="23">
        <v>7</v>
      </c>
    </row>
    <row r="114" spans="591:610" x14ac:dyDescent="0.25">
      <c r="VS114" s="379">
        <v>0</v>
      </c>
      <c r="VT114" s="379">
        <f t="shared" si="70"/>
        <v>0</v>
      </c>
      <c r="VU114" s="351">
        <f>COUNTIF($VN$2:$VN$72,$VX114)</f>
        <v>0</v>
      </c>
      <c r="VV114" s="351">
        <f t="shared" si="75"/>
        <v>0</v>
      </c>
      <c r="VW114" s="351">
        <f t="shared" si="71"/>
        <v>0</v>
      </c>
      <c r="VX114" s="31" t="s">
        <v>5412</v>
      </c>
      <c r="VY114" s="23">
        <f t="shared" si="76"/>
        <v>0</v>
      </c>
      <c r="VZ114" s="23">
        <f t="shared" si="77"/>
        <v>0</v>
      </c>
      <c r="WA114" s="23">
        <f t="shared" si="77"/>
        <v>0</v>
      </c>
      <c r="WB114" s="23">
        <f t="shared" si="77"/>
        <v>0</v>
      </c>
      <c r="WC114" s="23">
        <f t="shared" si="77"/>
        <v>0</v>
      </c>
      <c r="WD114" s="23">
        <f t="shared" si="72"/>
        <v>0</v>
      </c>
      <c r="WE114" s="17">
        <f t="shared" si="73"/>
        <v>0</v>
      </c>
      <c r="WF114" s="17">
        <v>0</v>
      </c>
      <c r="WG114" s="23">
        <v>0</v>
      </c>
      <c r="WH114" s="23">
        <v>0</v>
      </c>
      <c r="WI114" s="23">
        <v>0</v>
      </c>
      <c r="WJ114" s="23">
        <v>0</v>
      </c>
      <c r="WK114" s="23">
        <v>0</v>
      </c>
      <c r="WL114" s="23">
        <v>0</v>
      </c>
    </row>
    <row r="115" spans="591:610" x14ac:dyDescent="0.25">
      <c r="VS115" s="364"/>
      <c r="VT115" s="364"/>
      <c r="VU115" s="364"/>
      <c r="VV115" s="364"/>
      <c r="VW115" s="364"/>
      <c r="VX115" s="31"/>
      <c r="WE115" s="8"/>
      <c r="WF115" s="8"/>
    </row>
    <row r="116" spans="591:610" x14ac:dyDescent="0.25">
      <c r="VS116" s="379">
        <v>0.25</v>
      </c>
      <c r="VT116" s="379">
        <f t="shared" ref="VT116:VT126" si="79">IFERROR(VV116/VU116,0)</f>
        <v>0.5</v>
      </c>
      <c r="VU116" s="351">
        <f t="shared" ref="VU116:VU126" si="80">COUNTIF($VO$2:$VO$72,$VX116)</f>
        <v>4</v>
      </c>
      <c r="VV116" s="351">
        <f t="shared" ref="VV116:VW126" si="81">COUNTIFS($VO$2:$VO$72,$VX116,$VW$2:$VW$72,VV$75)</f>
        <v>2</v>
      </c>
      <c r="VW116" s="351">
        <f t="shared" si="81"/>
        <v>2</v>
      </c>
      <c r="VX116" s="31" t="s">
        <v>5432</v>
      </c>
      <c r="VY116" s="23">
        <f>COUNTIFS($VO$2:$VO$72,$VX116,$VY$2:$VY$72,VY$75)</f>
        <v>0</v>
      </c>
      <c r="VZ116" s="23">
        <f>COUNTIFS($VO$2:$VO$72,$VX116,$VY$2:$VY$72,VZ$75)</f>
        <v>0</v>
      </c>
      <c r="WA116" s="23">
        <f>COUNTIFS($VO$2:$VO$72,$VX116,$VY$2:$VY$72,WA$75)</f>
        <v>1</v>
      </c>
      <c r="WB116" s="23">
        <f>COUNTIFS($VO$2:$VO$72,$VX116,$VY$2:$VY$72,WB$75)</f>
        <v>0</v>
      </c>
      <c r="WC116" s="23">
        <f>COUNTIFS($VO$2:$VO$72,$VX116,$VY$2:$VY$72,WC$75)</f>
        <v>3</v>
      </c>
      <c r="WD116" s="23">
        <f t="shared" ref="WD116:WD126" si="82">SUM(VY116:WC116)</f>
        <v>4</v>
      </c>
      <c r="WE116" s="17">
        <f t="shared" ref="WE116:WE126" si="83">IF(WD116=0,0,SUMPRODUCT($VY$75:$WC$75,VY116:WC116)/WD116)</f>
        <v>4.5</v>
      </c>
      <c r="WF116" s="17">
        <v>4.5</v>
      </c>
      <c r="WG116" s="23">
        <v>0</v>
      </c>
      <c r="WH116" s="23">
        <v>0</v>
      </c>
      <c r="WI116" s="23">
        <v>1</v>
      </c>
      <c r="WJ116" s="23">
        <v>0</v>
      </c>
      <c r="WK116" s="23">
        <v>3</v>
      </c>
      <c r="WL116" s="23">
        <v>4</v>
      </c>
    </row>
    <row r="117" spans="591:610" x14ac:dyDescent="0.25">
      <c r="VS117" s="379">
        <v>0.33333333333333331</v>
      </c>
      <c r="VT117" s="379">
        <f t="shared" si="79"/>
        <v>1</v>
      </c>
      <c r="VU117" s="351">
        <f t="shared" si="80"/>
        <v>3</v>
      </c>
      <c r="VV117" s="351">
        <f t="shared" si="81"/>
        <v>3</v>
      </c>
      <c r="VW117" s="351">
        <f t="shared" si="81"/>
        <v>0</v>
      </c>
      <c r="VX117" s="31" t="s">
        <v>5433</v>
      </c>
      <c r="VY117" s="23">
        <f t="shared" ref="VY117:WC126" si="84">COUNTIFS($VO$2:$VO$72,$VX117,$VY$2:$VY$72,VY$75)</f>
        <v>0</v>
      </c>
      <c r="VZ117" s="23">
        <f t="shared" si="84"/>
        <v>0</v>
      </c>
      <c r="WA117" s="23">
        <f t="shared" si="84"/>
        <v>0</v>
      </c>
      <c r="WB117" s="23">
        <f t="shared" si="84"/>
        <v>1</v>
      </c>
      <c r="WC117" s="23">
        <f t="shared" si="84"/>
        <v>2</v>
      </c>
      <c r="WD117" s="23">
        <f t="shared" si="82"/>
        <v>3</v>
      </c>
      <c r="WE117" s="17">
        <f t="shared" si="83"/>
        <v>4.666666666666667</v>
      </c>
      <c r="WF117" s="17">
        <v>4.666666666666667</v>
      </c>
      <c r="WG117" s="23">
        <v>0</v>
      </c>
      <c r="WH117" s="23">
        <v>0</v>
      </c>
      <c r="WI117" s="23">
        <v>0</v>
      </c>
      <c r="WJ117" s="23">
        <v>1</v>
      </c>
      <c r="WK117" s="23">
        <v>2</v>
      </c>
      <c r="WL117" s="23">
        <v>3</v>
      </c>
    </row>
    <row r="118" spans="591:610" x14ac:dyDescent="0.25">
      <c r="VS118" s="379">
        <v>0.7</v>
      </c>
      <c r="VT118" s="379">
        <f t="shared" si="79"/>
        <v>0.8</v>
      </c>
      <c r="VU118" s="351">
        <f t="shared" si="80"/>
        <v>10</v>
      </c>
      <c r="VV118" s="351">
        <f t="shared" si="81"/>
        <v>8</v>
      </c>
      <c r="VW118" s="351">
        <f t="shared" si="81"/>
        <v>2</v>
      </c>
      <c r="VX118" s="31" t="s">
        <v>5434</v>
      </c>
      <c r="VY118" s="23">
        <f t="shared" si="84"/>
        <v>1</v>
      </c>
      <c r="VZ118" s="23">
        <f t="shared" si="84"/>
        <v>1</v>
      </c>
      <c r="WA118" s="23">
        <f t="shared" si="84"/>
        <v>3</v>
      </c>
      <c r="WB118" s="23">
        <f t="shared" si="84"/>
        <v>1</v>
      </c>
      <c r="WC118" s="23">
        <f t="shared" si="84"/>
        <v>4</v>
      </c>
      <c r="WD118" s="23">
        <f t="shared" si="82"/>
        <v>10</v>
      </c>
      <c r="WE118" s="17">
        <f t="shared" si="83"/>
        <v>3.6</v>
      </c>
      <c r="WF118" s="17">
        <v>3.8</v>
      </c>
      <c r="WG118" s="23">
        <v>0</v>
      </c>
      <c r="WH118" s="23">
        <v>2</v>
      </c>
      <c r="WI118" s="23">
        <v>2</v>
      </c>
      <c r="WJ118" s="23">
        <v>2</v>
      </c>
      <c r="WK118" s="23">
        <v>4</v>
      </c>
      <c r="WL118" s="23">
        <v>10</v>
      </c>
    </row>
    <row r="119" spans="591:610" x14ac:dyDescent="0.25">
      <c r="VS119" s="379">
        <v>0.5714285714285714</v>
      </c>
      <c r="VT119" s="379">
        <f t="shared" si="79"/>
        <v>0.7142857142857143</v>
      </c>
      <c r="VU119" s="351">
        <f t="shared" si="80"/>
        <v>7</v>
      </c>
      <c r="VV119" s="351">
        <f t="shared" si="81"/>
        <v>5</v>
      </c>
      <c r="VW119" s="351">
        <f t="shared" si="81"/>
        <v>2</v>
      </c>
      <c r="VX119" s="31" t="s">
        <v>5435</v>
      </c>
      <c r="VY119" s="23">
        <f t="shared" si="84"/>
        <v>0</v>
      </c>
      <c r="VZ119" s="23">
        <f t="shared" si="84"/>
        <v>3</v>
      </c>
      <c r="WA119" s="23">
        <f t="shared" si="84"/>
        <v>1</v>
      </c>
      <c r="WB119" s="23">
        <f t="shared" si="84"/>
        <v>0</v>
      </c>
      <c r="WC119" s="23">
        <f t="shared" si="84"/>
        <v>3</v>
      </c>
      <c r="WD119" s="23">
        <f t="shared" si="82"/>
        <v>7</v>
      </c>
      <c r="WE119" s="17">
        <f t="shared" si="83"/>
        <v>3.4285714285714284</v>
      </c>
      <c r="WF119" s="17">
        <v>3.5714285714285716</v>
      </c>
      <c r="WG119" s="23">
        <v>0</v>
      </c>
      <c r="WH119" s="23">
        <v>2</v>
      </c>
      <c r="WI119" s="23">
        <v>2</v>
      </c>
      <c r="WJ119" s="23">
        <v>0</v>
      </c>
      <c r="WK119" s="23">
        <v>3</v>
      </c>
      <c r="WL119" s="23">
        <v>7</v>
      </c>
    </row>
    <row r="120" spans="591:610" x14ac:dyDescent="0.25">
      <c r="VS120" s="379">
        <v>1</v>
      </c>
      <c r="VT120" s="379">
        <f t="shared" si="79"/>
        <v>0.8</v>
      </c>
      <c r="VU120" s="351">
        <f t="shared" si="80"/>
        <v>10</v>
      </c>
      <c r="VV120" s="351">
        <f t="shared" si="81"/>
        <v>8</v>
      </c>
      <c r="VW120" s="351">
        <f t="shared" si="81"/>
        <v>2</v>
      </c>
      <c r="VX120" s="31" t="s">
        <v>5437</v>
      </c>
      <c r="VY120" s="23">
        <f t="shared" si="84"/>
        <v>1</v>
      </c>
      <c r="VZ120" s="23">
        <f t="shared" si="84"/>
        <v>0</v>
      </c>
      <c r="WA120" s="23">
        <f t="shared" si="84"/>
        <v>4</v>
      </c>
      <c r="WB120" s="23">
        <f t="shared" si="84"/>
        <v>3</v>
      </c>
      <c r="WC120" s="23">
        <f t="shared" si="84"/>
        <v>2</v>
      </c>
      <c r="WD120" s="23">
        <f t="shared" si="82"/>
        <v>10</v>
      </c>
      <c r="WE120" s="17">
        <f t="shared" si="83"/>
        <v>3.5</v>
      </c>
      <c r="WF120" s="17">
        <v>3.4</v>
      </c>
      <c r="WG120" s="23">
        <v>1</v>
      </c>
      <c r="WH120" s="23">
        <v>1</v>
      </c>
      <c r="WI120" s="23">
        <v>3</v>
      </c>
      <c r="WJ120" s="23">
        <v>3</v>
      </c>
      <c r="WK120" s="23">
        <v>2</v>
      </c>
      <c r="WL120" s="23">
        <v>10</v>
      </c>
    </row>
    <row r="121" spans="591:610" x14ac:dyDescent="0.25">
      <c r="VS121" s="379">
        <v>1</v>
      </c>
      <c r="VT121" s="379">
        <f t="shared" si="79"/>
        <v>1</v>
      </c>
      <c r="VU121" s="351">
        <f t="shared" si="80"/>
        <v>1</v>
      </c>
      <c r="VV121" s="351">
        <f t="shared" si="81"/>
        <v>1</v>
      </c>
      <c r="VW121" s="351">
        <f t="shared" si="81"/>
        <v>0</v>
      </c>
      <c r="VX121" s="31" t="s">
        <v>5436</v>
      </c>
      <c r="VY121" s="23">
        <f t="shared" si="84"/>
        <v>0</v>
      </c>
      <c r="VZ121" s="23">
        <f t="shared" si="84"/>
        <v>0</v>
      </c>
      <c r="WA121" s="23">
        <f t="shared" si="84"/>
        <v>0</v>
      </c>
      <c r="WB121" s="23">
        <f t="shared" si="84"/>
        <v>1</v>
      </c>
      <c r="WC121" s="23">
        <f t="shared" si="84"/>
        <v>0</v>
      </c>
      <c r="WD121" s="23">
        <f t="shared" si="82"/>
        <v>1</v>
      </c>
      <c r="WE121" s="17">
        <f t="shared" si="83"/>
        <v>4</v>
      </c>
      <c r="WF121" s="17">
        <v>5</v>
      </c>
      <c r="WG121" s="23">
        <v>0</v>
      </c>
      <c r="WH121" s="23">
        <v>0</v>
      </c>
      <c r="WI121" s="23">
        <v>0</v>
      </c>
      <c r="WJ121" s="23">
        <v>0</v>
      </c>
      <c r="WK121" s="23">
        <v>1</v>
      </c>
      <c r="WL121" s="23">
        <v>1</v>
      </c>
    </row>
    <row r="122" spans="591:610" x14ac:dyDescent="0.25">
      <c r="VS122" s="379">
        <v>1</v>
      </c>
      <c r="VT122" s="379">
        <f t="shared" si="79"/>
        <v>1</v>
      </c>
      <c r="VU122" s="351">
        <f t="shared" si="80"/>
        <v>5</v>
      </c>
      <c r="VV122" s="351">
        <f t="shared" si="81"/>
        <v>5</v>
      </c>
      <c r="VW122" s="351">
        <f t="shared" si="81"/>
        <v>0</v>
      </c>
      <c r="VX122" s="31" t="s">
        <v>5438</v>
      </c>
      <c r="VY122" s="23">
        <f t="shared" si="84"/>
        <v>1</v>
      </c>
      <c r="VZ122" s="23">
        <f t="shared" si="84"/>
        <v>1</v>
      </c>
      <c r="WA122" s="23">
        <f t="shared" si="84"/>
        <v>2</v>
      </c>
      <c r="WB122" s="23">
        <f t="shared" si="84"/>
        <v>1</v>
      </c>
      <c r="WC122" s="23">
        <f t="shared" si="84"/>
        <v>0</v>
      </c>
      <c r="WD122" s="23">
        <f t="shared" si="82"/>
        <v>5</v>
      </c>
      <c r="WE122" s="17">
        <f t="shared" si="83"/>
        <v>2.6</v>
      </c>
      <c r="WF122" s="17">
        <v>2.6</v>
      </c>
      <c r="WG122" s="23">
        <v>1</v>
      </c>
      <c r="WH122" s="23">
        <v>1</v>
      </c>
      <c r="WI122" s="23">
        <v>2</v>
      </c>
      <c r="WJ122" s="23">
        <v>1</v>
      </c>
      <c r="WK122" s="23">
        <v>0</v>
      </c>
      <c r="WL122" s="23">
        <v>5</v>
      </c>
    </row>
    <row r="123" spans="591:610" x14ac:dyDescent="0.25">
      <c r="VS123" s="379">
        <v>0.83333333333333337</v>
      </c>
      <c r="VT123" s="379">
        <f t="shared" si="79"/>
        <v>0.83333333333333337</v>
      </c>
      <c r="VU123" s="351">
        <f t="shared" si="80"/>
        <v>6</v>
      </c>
      <c r="VV123" s="351">
        <f t="shared" si="81"/>
        <v>5</v>
      </c>
      <c r="VW123" s="351">
        <f t="shared" si="81"/>
        <v>1</v>
      </c>
      <c r="VX123" s="31" t="s">
        <v>5439</v>
      </c>
      <c r="VY123" s="23">
        <f t="shared" si="84"/>
        <v>0</v>
      </c>
      <c r="VZ123" s="23">
        <f t="shared" si="84"/>
        <v>4</v>
      </c>
      <c r="WA123" s="23">
        <f t="shared" si="84"/>
        <v>1</v>
      </c>
      <c r="WB123" s="23">
        <f t="shared" si="84"/>
        <v>0</v>
      </c>
      <c r="WC123" s="23">
        <f t="shared" si="84"/>
        <v>1</v>
      </c>
      <c r="WD123" s="23">
        <f t="shared" si="82"/>
        <v>6</v>
      </c>
      <c r="WE123" s="17">
        <f t="shared" si="83"/>
        <v>2.6666666666666665</v>
      </c>
      <c r="WF123" s="17">
        <v>2.6666666666666665</v>
      </c>
      <c r="WG123" s="23">
        <v>0</v>
      </c>
      <c r="WH123" s="23">
        <v>4</v>
      </c>
      <c r="WI123" s="23">
        <v>1</v>
      </c>
      <c r="WJ123" s="23">
        <v>0</v>
      </c>
      <c r="WK123" s="23">
        <v>1</v>
      </c>
      <c r="WL123" s="23">
        <v>6</v>
      </c>
    </row>
    <row r="124" spans="591:610" x14ac:dyDescent="0.25">
      <c r="VS124" s="379">
        <v>1</v>
      </c>
      <c r="VT124" s="379">
        <f t="shared" si="79"/>
        <v>0.625</v>
      </c>
      <c r="VU124" s="351">
        <f t="shared" si="80"/>
        <v>8</v>
      </c>
      <c r="VV124" s="351">
        <f t="shared" si="81"/>
        <v>5</v>
      </c>
      <c r="VW124" s="351">
        <f t="shared" si="81"/>
        <v>3</v>
      </c>
      <c r="VX124" s="31" t="s">
        <v>5440</v>
      </c>
      <c r="VY124" s="23">
        <f t="shared" si="84"/>
        <v>0</v>
      </c>
      <c r="VZ124" s="23">
        <f t="shared" si="84"/>
        <v>1</v>
      </c>
      <c r="WA124" s="23">
        <f t="shared" si="84"/>
        <v>0</v>
      </c>
      <c r="WB124" s="23">
        <f t="shared" si="84"/>
        <v>4</v>
      </c>
      <c r="WC124" s="23">
        <f t="shared" si="84"/>
        <v>3</v>
      </c>
      <c r="WD124" s="23">
        <f t="shared" si="82"/>
        <v>8</v>
      </c>
      <c r="WE124" s="17">
        <f t="shared" si="83"/>
        <v>4.125</v>
      </c>
      <c r="WF124" s="17">
        <v>3.75</v>
      </c>
      <c r="WG124" s="23">
        <v>1</v>
      </c>
      <c r="WH124" s="23">
        <v>0</v>
      </c>
      <c r="WI124" s="23">
        <v>1</v>
      </c>
      <c r="WJ124" s="23">
        <v>4</v>
      </c>
      <c r="WK124" s="23">
        <v>2</v>
      </c>
      <c r="WL124" s="23">
        <v>8</v>
      </c>
    </row>
    <row r="125" spans="591:610" x14ac:dyDescent="0.25">
      <c r="VS125" s="379">
        <v>1</v>
      </c>
      <c r="VT125" s="379">
        <f t="shared" si="79"/>
        <v>1</v>
      </c>
      <c r="VU125" s="351">
        <f t="shared" si="80"/>
        <v>7</v>
      </c>
      <c r="VV125" s="351">
        <f t="shared" si="81"/>
        <v>7</v>
      </c>
      <c r="VW125" s="351">
        <f t="shared" si="81"/>
        <v>0</v>
      </c>
      <c r="VX125" s="31" t="s">
        <v>5441</v>
      </c>
      <c r="VY125" s="23">
        <f t="shared" si="84"/>
        <v>4</v>
      </c>
      <c r="VZ125" s="23">
        <f t="shared" si="84"/>
        <v>2</v>
      </c>
      <c r="WA125" s="23">
        <f t="shared" si="84"/>
        <v>0</v>
      </c>
      <c r="WB125" s="23">
        <f t="shared" si="84"/>
        <v>1</v>
      </c>
      <c r="WC125" s="23">
        <f t="shared" si="84"/>
        <v>0</v>
      </c>
      <c r="WD125" s="23">
        <f t="shared" si="82"/>
        <v>7</v>
      </c>
      <c r="WE125" s="17">
        <f t="shared" si="83"/>
        <v>1.7142857142857142</v>
      </c>
      <c r="WF125" s="17">
        <v>1.7142857142857142</v>
      </c>
      <c r="WG125" s="23">
        <v>4</v>
      </c>
      <c r="WH125" s="23">
        <v>2</v>
      </c>
      <c r="WI125" s="23">
        <v>0</v>
      </c>
      <c r="WJ125" s="23">
        <v>1</v>
      </c>
      <c r="WK125" s="23">
        <v>0</v>
      </c>
      <c r="WL125" s="23">
        <v>7</v>
      </c>
    </row>
    <row r="126" spans="591:610" x14ac:dyDescent="0.25">
      <c r="VS126" s="379">
        <v>0</v>
      </c>
      <c r="VT126" s="379">
        <f t="shared" si="79"/>
        <v>0</v>
      </c>
      <c r="VU126" s="351">
        <f t="shared" si="80"/>
        <v>0</v>
      </c>
      <c r="VV126" s="351">
        <f t="shared" si="81"/>
        <v>0</v>
      </c>
      <c r="VW126" s="351">
        <f t="shared" si="81"/>
        <v>0</v>
      </c>
      <c r="VX126" s="31" t="s">
        <v>5442</v>
      </c>
      <c r="VY126" s="23">
        <f t="shared" si="84"/>
        <v>0</v>
      </c>
      <c r="VZ126" s="23">
        <f t="shared" si="84"/>
        <v>0</v>
      </c>
      <c r="WA126" s="23">
        <f t="shared" si="84"/>
        <v>0</v>
      </c>
      <c r="WB126" s="23">
        <f t="shared" si="84"/>
        <v>0</v>
      </c>
      <c r="WC126" s="23">
        <f t="shared" si="84"/>
        <v>0</v>
      </c>
      <c r="WD126" s="23">
        <f t="shared" si="82"/>
        <v>0</v>
      </c>
      <c r="WE126" s="17">
        <f t="shared" si="83"/>
        <v>0</v>
      </c>
      <c r="WF126" s="17">
        <v>0</v>
      </c>
      <c r="WG126" s="23">
        <v>0</v>
      </c>
      <c r="WH126" s="23">
        <v>0</v>
      </c>
      <c r="WI126" s="23">
        <v>0</v>
      </c>
      <c r="WJ126" s="23">
        <v>0</v>
      </c>
      <c r="WK126" s="23">
        <v>0</v>
      </c>
      <c r="WL126" s="23">
        <v>0</v>
      </c>
    </row>
    <row r="127" spans="591:610" x14ac:dyDescent="0.25">
      <c r="VS127" s="364"/>
      <c r="VT127" s="364"/>
      <c r="VU127" s="364"/>
      <c r="VV127" s="364"/>
      <c r="VW127" s="364"/>
      <c r="VX127" s="31"/>
      <c r="WE127" s="8"/>
      <c r="WF127" s="8"/>
    </row>
    <row r="128" spans="591:610" x14ac:dyDescent="0.25">
      <c r="VS128" s="364"/>
      <c r="VT128" s="364"/>
      <c r="VU128" s="364"/>
      <c r="VV128" s="364"/>
      <c r="VW128" s="364"/>
      <c r="VX128" s="31"/>
      <c r="WE128" s="8"/>
      <c r="WF128" s="8"/>
    </row>
    <row r="129" spans="591:610" x14ac:dyDescent="0.25">
      <c r="VS129" s="364"/>
      <c r="VT129" s="364"/>
      <c r="VU129" s="364"/>
      <c r="VV129" s="364"/>
      <c r="VW129" s="364"/>
      <c r="VX129" s="31" t="s">
        <v>2636</v>
      </c>
      <c r="WE129" s="8"/>
      <c r="WF129" s="8"/>
    </row>
    <row r="130" spans="591:610" x14ac:dyDescent="0.25">
      <c r="VS130" s="372">
        <v>1</v>
      </c>
      <c r="VT130" s="372">
        <f t="shared" ref="VT130:VT136" si="85">IF(VU130=0,0,VV130/VU130)</f>
        <v>0.5</v>
      </c>
      <c r="VU130" s="352">
        <f t="shared" ref="VU130:VU136" si="86">VV130+VW130</f>
        <v>4</v>
      </c>
      <c r="VV130" s="352">
        <f>COUNTIFS($VW$2:$VW$72,VV$75,$VM$2:$VM$72,"&lt;="&amp;$VX130)</f>
        <v>2</v>
      </c>
      <c r="VW130" s="352">
        <f>COUNTIFS($VW$2:$VW$72,VW$75,$VM$2:$VM$72,"&lt;="&amp;$VX130)</f>
        <v>2</v>
      </c>
      <c r="VX130" s="47">
        <v>1</v>
      </c>
      <c r="VY130" s="23">
        <f>COUNTIFS($VY$2:$VY$72,VY$75,$VM$2:$VM$72,"&lt;="&amp;$VX130)</f>
        <v>0</v>
      </c>
      <c r="VZ130" s="23">
        <f>COUNTIFS($VY$2:$VY$72,VZ$75,$VM$2:$VM$72,"&lt;="&amp;$VX130)</f>
        <v>0</v>
      </c>
      <c r="WA130" s="23">
        <f>COUNTIFS($VY$2:$VY$72,WA$75,$VM$2:$VM$72,"&lt;="&amp;$VX130)</f>
        <v>0</v>
      </c>
      <c r="WB130" s="23">
        <f>COUNTIFS($VY$2:$VY$72,WB$75,$VM$2:$VM$72,"&lt;="&amp;$VX130)</f>
        <v>2</v>
      </c>
      <c r="WC130" s="23">
        <f>COUNTIFS($VY$2:$VY$72,WC$75,$VM$2:$VM$72,"&lt;="&amp;$VX130)</f>
        <v>2</v>
      </c>
      <c r="WD130" s="23">
        <f t="shared" ref="WD130:WD136" si="87">SUM(VY130:WC130)</f>
        <v>4</v>
      </c>
      <c r="WE130" s="17">
        <f t="shared" ref="WE130:WE136" si="88">IF(WD130=0,0,SUMPRODUCT($VY$75:$WC$75,VY130:WC130)/WD130)</f>
        <v>4.5</v>
      </c>
      <c r="WF130" s="17">
        <v>4</v>
      </c>
      <c r="WG130" s="23">
        <v>0</v>
      </c>
      <c r="WH130" s="23">
        <v>0</v>
      </c>
      <c r="WI130" s="23">
        <v>1</v>
      </c>
      <c r="WJ130" s="23">
        <v>2</v>
      </c>
      <c r="WK130" s="23">
        <v>1</v>
      </c>
      <c r="WL130" s="23">
        <v>4</v>
      </c>
    </row>
    <row r="131" spans="591:610" x14ac:dyDescent="0.25">
      <c r="VS131" s="372">
        <v>0.91666666666666663</v>
      </c>
      <c r="VT131" s="372">
        <f t="shared" si="85"/>
        <v>0.91666666666666663</v>
      </c>
      <c r="VU131" s="352">
        <f t="shared" si="86"/>
        <v>12</v>
      </c>
      <c r="VV131" s="352">
        <f>MAX(0,COUNTIFS($VW$2:$VW$72,VV$75,$VM$2:$VM$72,"&lt;="&amp;$VX131)-SUM(VV$130:VV130))</f>
        <v>11</v>
      </c>
      <c r="VW131" s="352">
        <f>MAX(0,COUNTIFS($VW$2:$VW$72,VW$75,$VM$2:$VM$72,"&lt;="&amp;$VX131)-SUM(VW$130:VW130))</f>
        <v>1</v>
      </c>
      <c r="VX131" s="47">
        <f>VX130+0.25</f>
        <v>1.25</v>
      </c>
      <c r="VY131" s="23">
        <f>MAX(0,COUNTIFS($VY$2:$VY$72,VY$75,$VM$2:$VM$72,"&lt;="&amp;$VX131)-SUM(VY$130:VY130))</f>
        <v>1</v>
      </c>
      <c r="VZ131" s="23">
        <f>MAX(0,COUNTIFS($VY$2:$VY$72,VZ$75,$VM$2:$VM$72,"&lt;="&amp;$VX131)-SUM(VZ$130:VZ130))</f>
        <v>1</v>
      </c>
      <c r="WA131" s="23">
        <f>MAX(0,COUNTIFS($VY$2:$VY$72,WA$75,$VM$2:$VM$72,"&lt;="&amp;$VX131)-SUM(WA$130:WA130))</f>
        <v>3</v>
      </c>
      <c r="WB131" s="23">
        <f>MAX(0,COUNTIFS($VY$2:$VY$72,WB$75,$VM$2:$VM$72,"&lt;="&amp;$VX131)-SUM(WB$130:WB130))</f>
        <v>5</v>
      </c>
      <c r="WC131" s="23">
        <f>MAX(0,COUNTIFS($VY$2:$VY$72,WC$75,$VM$2:$VM$72,"&lt;="&amp;$VX131)-SUM(WC$130:WC130))</f>
        <v>2</v>
      </c>
      <c r="WD131" s="23">
        <f t="shared" si="87"/>
        <v>12</v>
      </c>
      <c r="WE131" s="17">
        <f t="shared" si="88"/>
        <v>3.5</v>
      </c>
      <c r="WF131" s="17">
        <v>3.4166666666666665</v>
      </c>
      <c r="WG131" s="23">
        <v>1</v>
      </c>
      <c r="WH131" s="23">
        <v>2</v>
      </c>
      <c r="WI131" s="23">
        <v>2</v>
      </c>
      <c r="WJ131" s="23">
        <v>5</v>
      </c>
      <c r="WK131" s="23">
        <v>2</v>
      </c>
      <c r="WL131" s="23">
        <v>12</v>
      </c>
    </row>
    <row r="132" spans="591:610" x14ac:dyDescent="0.25">
      <c r="VS132" s="372">
        <v>0.76923076923076927</v>
      </c>
      <c r="VT132" s="372">
        <f t="shared" si="85"/>
        <v>0.76923076923076927</v>
      </c>
      <c r="VU132" s="352">
        <f t="shared" si="86"/>
        <v>13</v>
      </c>
      <c r="VV132" s="352">
        <f>MAX(0,COUNTIFS($VW$2:$VW$72,VV$75,$VM$2:$VM$72,"&lt;="&amp;$VX132)-SUM(VV$130:VV131))</f>
        <v>10</v>
      </c>
      <c r="VW132" s="352">
        <f>MAX(0,COUNTIFS($VW$2:$VW$72,VW$75,$VM$2:$VM$72,"&lt;="&amp;$VX132)-SUM(VW$130:VW131))</f>
        <v>3</v>
      </c>
      <c r="VX132" s="47">
        <f>VX131+0.25</f>
        <v>1.5</v>
      </c>
      <c r="VY132" s="23">
        <f>MAX(0,COUNTIFS($VY$2:$VY$72,VY$75,$VM$2:$VM$72,"&lt;="&amp;$VX132)-SUM(VY$130:VY131))</f>
        <v>2</v>
      </c>
      <c r="VZ132" s="23">
        <f>MAX(0,COUNTIFS($VY$2:$VY$72,VZ$75,$VM$2:$VM$72,"&lt;="&amp;$VX132)-SUM(VZ$130:VZ131))</f>
        <v>3</v>
      </c>
      <c r="WA132" s="23">
        <f>MAX(0,COUNTIFS($VY$2:$VY$72,WA$75,$VM$2:$VM$72,"&lt;="&amp;$VX132)-SUM(WA$130:WA131))</f>
        <v>2</v>
      </c>
      <c r="WB132" s="23">
        <f>MAX(0,COUNTIFS($VY$2:$VY$72,WB$75,$VM$2:$VM$72,"&lt;="&amp;$VX132)-SUM(WB$130:WB131))</f>
        <v>1</v>
      </c>
      <c r="WC132" s="23">
        <f>MAX(0,COUNTIFS($VY$2:$VY$72,WC$75,$VM$2:$VM$72,"&lt;="&amp;$VX132)-SUM(WC$130:WC131))</f>
        <v>5</v>
      </c>
      <c r="WD132" s="23">
        <f t="shared" si="87"/>
        <v>13</v>
      </c>
      <c r="WE132" s="17">
        <f t="shared" si="88"/>
        <v>3.3076923076923075</v>
      </c>
      <c r="WF132" s="17">
        <v>3.3846153846153846</v>
      </c>
      <c r="WG132" s="23">
        <v>3</v>
      </c>
      <c r="WH132" s="23">
        <v>1</v>
      </c>
      <c r="WI132" s="23">
        <v>3</v>
      </c>
      <c r="WJ132" s="23">
        <v>0</v>
      </c>
      <c r="WK132" s="23">
        <v>6</v>
      </c>
      <c r="WL132" s="23">
        <v>13</v>
      </c>
    </row>
    <row r="133" spans="591:610" x14ac:dyDescent="0.25">
      <c r="VS133" s="372">
        <v>0.72727272727272729</v>
      </c>
      <c r="VT133" s="372">
        <f t="shared" si="85"/>
        <v>0.81818181818181823</v>
      </c>
      <c r="VU133" s="352">
        <f t="shared" si="86"/>
        <v>11</v>
      </c>
      <c r="VV133" s="352">
        <f>MAX(0,COUNTIFS($VW$2:$VW$72,VV$75,$VM$2:$VM$72,"&lt;="&amp;$VX133)-SUM(VV$130:VV132))</f>
        <v>9</v>
      </c>
      <c r="VW133" s="352">
        <f>MAX(0,COUNTIFS($VW$2:$VW$72,VW$75,$VM$2:$VM$72,"&lt;="&amp;$VX133)-SUM(VW$130:VW132))</f>
        <v>2</v>
      </c>
      <c r="VX133" s="47">
        <f>VX132+0.25</f>
        <v>1.75</v>
      </c>
      <c r="VY133" s="23">
        <f>MAX(0,COUNTIFS($VY$2:$VY$72,VY$75,$VM$2:$VM$72,"&lt;="&amp;$VX133)-SUM(VY$130:VY132))</f>
        <v>1</v>
      </c>
      <c r="VZ133" s="23">
        <f>MAX(0,COUNTIFS($VY$2:$VY$72,VZ$75,$VM$2:$VM$72,"&lt;="&amp;$VX133)-SUM(VZ$130:VZ132))</f>
        <v>1</v>
      </c>
      <c r="WA133" s="23">
        <f>MAX(0,COUNTIFS($VY$2:$VY$72,WA$75,$VM$2:$VM$72,"&lt;="&amp;$VX133)-SUM(WA$130:WA132))</f>
        <v>4</v>
      </c>
      <c r="WB133" s="23">
        <f>MAX(0,COUNTIFS($VY$2:$VY$72,WB$75,$VM$2:$VM$72,"&lt;="&amp;$VX133)-SUM(WB$130:WB132))</f>
        <v>2</v>
      </c>
      <c r="WC133" s="23">
        <f>MAX(0,COUNTIFS($VY$2:$VY$72,WC$75,$VM$2:$VM$72,"&lt;="&amp;$VX133)-SUM(WC$130:WC132))</f>
        <v>3</v>
      </c>
      <c r="WD133" s="23">
        <f t="shared" si="87"/>
        <v>11</v>
      </c>
      <c r="WE133" s="17">
        <f t="shared" si="88"/>
        <v>3.4545454545454546</v>
      </c>
      <c r="WF133" s="17">
        <v>3.4545454545454546</v>
      </c>
      <c r="WG133" s="23">
        <v>1</v>
      </c>
      <c r="WH133" s="23">
        <v>1</v>
      </c>
      <c r="WI133" s="23">
        <v>4</v>
      </c>
      <c r="WJ133" s="23">
        <v>2</v>
      </c>
      <c r="WK133" s="23">
        <v>3</v>
      </c>
      <c r="WL133" s="23">
        <v>11</v>
      </c>
    </row>
    <row r="134" spans="591:610" x14ac:dyDescent="0.25">
      <c r="VS134" s="372">
        <v>0.7</v>
      </c>
      <c r="VT134" s="372">
        <f t="shared" si="85"/>
        <v>0.8</v>
      </c>
      <c r="VU134" s="352">
        <f t="shared" si="86"/>
        <v>10</v>
      </c>
      <c r="VV134" s="352">
        <f>MAX(0,COUNTIFS($VW$2:$VW$72,VV$75,$VM$2:$VM$72,"&lt;="&amp;$VX134)-SUM(VV$130:VV133))</f>
        <v>8</v>
      </c>
      <c r="VW134" s="352">
        <f>MAX(0,COUNTIFS($VW$2:$VW$72,VW$75,$VM$2:$VM$72,"&lt;="&amp;$VX134)-SUM(VW$130:VW133))</f>
        <v>2</v>
      </c>
      <c r="VX134" s="47">
        <f>VX133+0.25</f>
        <v>2</v>
      </c>
      <c r="VY134" s="23">
        <f>MAX(0,COUNTIFS($VY$2:$VY$72,VY$75,$VM$2:$VM$72,"&lt;="&amp;$VX134)-SUM(VY$130:VY133))</f>
        <v>3</v>
      </c>
      <c r="VZ134" s="23">
        <f>MAX(0,COUNTIFS($VY$2:$VY$72,VZ$75,$VM$2:$VM$72,"&lt;="&amp;$VX134)-SUM(VZ$130:VZ133))</f>
        <v>3</v>
      </c>
      <c r="WA134" s="23">
        <f>MAX(0,COUNTIFS($VY$2:$VY$72,WA$75,$VM$2:$VM$72,"&lt;="&amp;$VX134)-SUM(WA$130:WA133))</f>
        <v>1</v>
      </c>
      <c r="WB134" s="23">
        <f>MAX(0,COUNTIFS($VY$2:$VY$72,WB$75,$VM$2:$VM$72,"&lt;="&amp;$VX134)-SUM(WB$130:WB133))</f>
        <v>0</v>
      </c>
      <c r="WC134" s="23">
        <f>MAX(0,COUNTIFS($VY$2:$VY$72,WC$75,$VM$2:$VM$72,"&lt;="&amp;$VX134)-SUM(WC$130:WC133))</f>
        <v>3</v>
      </c>
      <c r="WD134" s="23">
        <f t="shared" si="87"/>
        <v>10</v>
      </c>
      <c r="WE134" s="17">
        <f t="shared" si="88"/>
        <v>2.7</v>
      </c>
      <c r="WF134" s="17">
        <v>2.8</v>
      </c>
      <c r="WG134" s="23">
        <v>2</v>
      </c>
      <c r="WH134" s="23">
        <v>4</v>
      </c>
      <c r="WI134" s="23">
        <v>1</v>
      </c>
      <c r="WJ134" s="23">
        <v>0</v>
      </c>
      <c r="WK134" s="23">
        <v>3</v>
      </c>
      <c r="WL134" s="23">
        <v>10</v>
      </c>
    </row>
    <row r="135" spans="591:610" x14ac:dyDescent="0.25">
      <c r="VS135" s="372">
        <v>0.75</v>
      </c>
      <c r="VT135" s="372">
        <f t="shared" si="85"/>
        <v>0.75</v>
      </c>
      <c r="VU135" s="352">
        <f t="shared" si="86"/>
        <v>4</v>
      </c>
      <c r="VV135" s="352">
        <f>MAX(0,COUNTIFS($VW$2:$VW$72,VV$75,$VM$2:$VM$72,"&lt;="&amp;$VX135)-SUM(VV$130:VV134))</f>
        <v>3</v>
      </c>
      <c r="VW135" s="352">
        <f>MAX(0,COUNTIFS($VW$2:$VW$72,VW$75,$VM$2:$VM$72,"&lt;="&amp;$VX135)-SUM(VW$130:VW134))</f>
        <v>1</v>
      </c>
      <c r="VX135" s="47">
        <f>VX134+0.25</f>
        <v>2.25</v>
      </c>
      <c r="VY135" s="23">
        <f>MAX(0,COUNTIFS($VY$2:$VY$72,VY$75,$VM$2:$VM$72,"&lt;="&amp;$VX135)-SUM(VY$130:VY134))</f>
        <v>0</v>
      </c>
      <c r="VZ135" s="23">
        <f>MAX(0,COUNTIFS($VY$2:$VY$72,VZ$75,$VM$2:$VM$72,"&lt;="&amp;$VX135)-SUM(VZ$130:VZ134))</f>
        <v>3</v>
      </c>
      <c r="WA135" s="23">
        <f>MAX(0,COUNTIFS($VY$2:$VY$72,WA$75,$VM$2:$VM$72,"&lt;="&amp;$VX135)-SUM(WA$130:WA134))</f>
        <v>0</v>
      </c>
      <c r="WB135" s="23">
        <f>MAX(0,COUNTIFS($VY$2:$VY$72,WB$75,$VM$2:$VM$72,"&lt;="&amp;$VX135)-SUM(WB$130:WB134))</f>
        <v>0</v>
      </c>
      <c r="WC135" s="23">
        <f>MAX(0,COUNTIFS($VY$2:$VY$72,WC$75,$VM$2:$VM$72,"&lt;="&amp;$VX135)-SUM(WC$130:WC134))</f>
        <v>1</v>
      </c>
      <c r="WD135" s="23">
        <f t="shared" si="87"/>
        <v>4</v>
      </c>
      <c r="WE135" s="17">
        <f t="shared" si="88"/>
        <v>2.75</v>
      </c>
      <c r="WF135" s="17">
        <v>2.75</v>
      </c>
      <c r="WG135" s="23">
        <v>0</v>
      </c>
      <c r="WH135" s="23">
        <v>3</v>
      </c>
      <c r="WI135" s="23">
        <v>0</v>
      </c>
      <c r="WJ135" s="23">
        <v>0</v>
      </c>
      <c r="WK135" s="23">
        <v>1</v>
      </c>
      <c r="WL135" s="23">
        <v>4</v>
      </c>
    </row>
    <row r="136" spans="591:610" x14ac:dyDescent="0.25">
      <c r="VS136" s="372">
        <v>0.8571428571428571</v>
      </c>
      <c r="VT136" s="372">
        <f t="shared" si="85"/>
        <v>0.8571428571428571</v>
      </c>
      <c r="VU136" s="352">
        <f t="shared" si="86"/>
        <v>7</v>
      </c>
      <c r="VV136" s="352">
        <f>MAX(0,COUNTIFS($VW$2:$VW$72,VV$75,$VM$2:$VM$72,"&lt;="&amp;$VX136)-SUM(VV$130:VV135))</f>
        <v>6</v>
      </c>
      <c r="VW136" s="352">
        <f>MAX(0,COUNTIFS($VW$2:$VW$72,VW$75,$VM$2:$VM$72,"&lt;="&amp;$VX136)-SUM(VW$130:VW135))</f>
        <v>1</v>
      </c>
      <c r="VX136" s="47">
        <f>IF(MAX(VM2:VM72)&gt;VX135,MAX(VM2:VM72),"NA")</f>
        <v>2.5370370370370372</v>
      </c>
      <c r="VY136" s="23">
        <f>MAX(0,COUNTIFS($VY$2:$VY$72,VY$75,$VM$2:$VM$72,"&lt;="&amp;$VX136)-SUM(VY$130:VY135))</f>
        <v>0</v>
      </c>
      <c r="VZ136" s="23">
        <f>MAX(0,COUNTIFS($VY$2:$VY$72,VZ$75,$VM$2:$VM$72,"&lt;="&amp;$VX136)-SUM(VZ$130:VZ135))</f>
        <v>1</v>
      </c>
      <c r="WA136" s="23">
        <f>MAX(0,COUNTIFS($VY$2:$VY$72,WA$75,$VM$2:$VM$72,"&lt;="&amp;$VX136)-SUM(WA$130:WA135))</f>
        <v>2</v>
      </c>
      <c r="WB136" s="23">
        <f>MAX(0,COUNTIFS($VY$2:$VY$72,WB$75,$VM$2:$VM$72,"&lt;="&amp;$VX136)-SUM(WB$130:WB135))</f>
        <v>2</v>
      </c>
      <c r="WC136" s="23">
        <f>MAX(0,COUNTIFS($VY$2:$VY$72,WC$75,$VM$2:$VM$72,"&lt;="&amp;$VX136)-SUM(WC$130:WC135))</f>
        <v>2</v>
      </c>
      <c r="WD136" s="23">
        <f t="shared" si="87"/>
        <v>7</v>
      </c>
      <c r="WE136" s="17">
        <f t="shared" si="88"/>
        <v>3.7142857142857144</v>
      </c>
      <c r="WF136" s="17">
        <v>3.8571428571428572</v>
      </c>
      <c r="WG136" s="23">
        <v>0</v>
      </c>
      <c r="WH136" s="23">
        <v>1</v>
      </c>
      <c r="WI136" s="23">
        <v>1</v>
      </c>
      <c r="WJ136" s="23">
        <v>3</v>
      </c>
      <c r="WK136" s="23">
        <v>2</v>
      </c>
      <c r="WL136" s="23">
        <v>7</v>
      </c>
    </row>
    <row r="137" spans="591:610" x14ac:dyDescent="0.25">
      <c r="VT137" s="21"/>
      <c r="VX137" s="46"/>
    </row>
    <row r="138" spans="591:610" x14ac:dyDescent="0.25">
      <c r="VS138" s="440" t="s">
        <v>2638</v>
      </c>
      <c r="VT138" s="442"/>
      <c r="VU138"/>
      <c r="VV138" s="440" t="s">
        <v>2639</v>
      </c>
      <c r="VW138" s="442"/>
      <c r="VX138" s="46"/>
      <c r="VY138" s="440" t="s">
        <v>2639</v>
      </c>
      <c r="VZ138" s="441"/>
      <c r="WA138" s="441"/>
      <c r="WB138" s="441"/>
      <c r="WC138" s="442"/>
      <c r="WD138" s="441" t="s">
        <v>2638</v>
      </c>
      <c r="WE138" s="441"/>
      <c r="WF138" s="441"/>
      <c r="WG138" s="441"/>
      <c r="WH138" s="442"/>
    </row>
    <row r="139" spans="591:610" x14ac:dyDescent="0.25">
      <c r="VS139" s="17">
        <v>1.8444074151218497</v>
      </c>
      <c r="VT139" s="17">
        <v>1.9119170984455958</v>
      </c>
      <c r="VV139" s="17">
        <f>IFERROR(SUMIFS($VL$2:$VL$72,$VW$2:$VW$72,VV$75,$BW$2:$BW$72,$VX139)/SUMIFS($IZ$2:$IZ$72,$VW$2:$VW$72,VV$75,$BW$2:$BW$72,$VX139),0)</f>
        <v>1.8402485468029666</v>
      </c>
      <c r="VW139" s="17">
        <f>IFERROR(SUMIFS($VL$2:$VL$72,$VW$2:$VW$72,VW$75,$BW$2:$BW$72,$VX139)/SUMIFS($IZ$2:$IZ$72,$VW$2:$VW$72,VW$75,$BW$2:$BW$72,$VX139),0)</f>
        <v>1.9974424552429668</v>
      </c>
      <c r="VX139" s="31" t="s">
        <v>18</v>
      </c>
      <c r="VY139" s="17">
        <f t="shared" ref="VY139:WC140" si="89">IFERROR(SUMIFS($VL$2:$VL$72,$VY$2:$VY$72,VY$75,$BW$2:$BW$72,$VX139)/SUMIFS($IZ$2:$IZ$72,$VY$2:$VY$72,VY$75,$BW$2:$BW$72,$VX139),0)</f>
        <v>1.6913018760659466</v>
      </c>
      <c r="VZ139" s="17">
        <f t="shared" si="89"/>
        <v>1.8879954049396899</v>
      </c>
      <c r="WA139" s="17">
        <f t="shared" si="89"/>
        <v>1.8964781216648881</v>
      </c>
      <c r="WB139" s="17">
        <f t="shared" si="89"/>
        <v>2.1948051948051948</v>
      </c>
      <c r="WC139" s="48">
        <f t="shared" si="89"/>
        <v>1.963779527559055</v>
      </c>
      <c r="WD139" s="17">
        <v>1.6831623415811707</v>
      </c>
      <c r="WE139" s="17">
        <v>1.9027856736782263</v>
      </c>
      <c r="WF139" s="17">
        <v>1.8108108108108107</v>
      </c>
      <c r="WG139" s="17">
        <v>2.2376237623762378</v>
      </c>
      <c r="WH139" s="17">
        <v>1.963779527559055</v>
      </c>
    </row>
    <row r="140" spans="591:610" x14ac:dyDescent="0.25">
      <c r="VS140" s="28">
        <v>1.2054733064154328</v>
      </c>
      <c r="VT140" s="28">
        <v>1.4814049586776858</v>
      </c>
      <c r="VU140" s="49"/>
      <c r="VV140" s="28">
        <f>IFERROR(SUMIFS($VL$2:$VL$72,$VW$2:$VW$72,VV$75,$BW$2:$BW$72,$VX140)/SUMIFS($IZ$2:$IZ$72,$VW$2:$VW$72,VV$75,$BW$2:$BW$72,$VX140),0)</f>
        <v>1.2431506849315068</v>
      </c>
      <c r="VW140" s="28">
        <f>IFERROR(SUMIFS($VL$2:$VL$72,$VW$2:$VW$72,VW$75,$BW$2:$BW$72,$VX140)/SUMIFS($IZ$2:$IZ$72,$VW$2:$VW$72,VW$75,$BW$2:$BW$72,$VX140),0)</f>
        <v>1.289985052316891</v>
      </c>
      <c r="VX140" s="43" t="s">
        <v>126</v>
      </c>
      <c r="VY140" s="28">
        <f t="shared" si="89"/>
        <v>1.3061224489795917</v>
      </c>
      <c r="VZ140" s="28">
        <f t="shared" si="89"/>
        <v>1.2553191489361701</v>
      </c>
      <c r="WA140" s="28">
        <f t="shared" si="89"/>
        <v>1.2084942084942085</v>
      </c>
      <c r="WB140" s="28">
        <f t="shared" si="89"/>
        <v>1.1974951830443159</v>
      </c>
      <c r="WC140" s="50">
        <f t="shared" si="89"/>
        <v>1.3357512953367876</v>
      </c>
      <c r="WD140" s="28">
        <v>1.28125</v>
      </c>
      <c r="WE140" s="28">
        <v>1.1466666666666667</v>
      </c>
      <c r="WF140" s="28">
        <v>1.1723446893787575</v>
      </c>
      <c r="WG140" s="28">
        <v>1.1584269662921349</v>
      </c>
      <c r="WH140" s="28">
        <v>1.3951120162932791</v>
      </c>
    </row>
    <row r="141" spans="591:610" x14ac:dyDescent="0.25">
      <c r="VS141" s="17">
        <v>1.6418207681365575</v>
      </c>
      <c r="VT141" s="17">
        <v>1.715898400752587</v>
      </c>
      <c r="VU141" s="8"/>
      <c r="VV141" s="17">
        <f>IFERROR(SUMIF($VW$2:$VW$72,VV$75,$VL$2:$VL$72)/SUMIF($VW$2:$VW$72,VV$75,$IZ$2:$IZ$72),0)</f>
        <v>1.6667140622778331</v>
      </c>
      <c r="VW141" s="17">
        <f>IFERROR(SUMIF($VW$2:$VW$72,VW$75,$VL$2:$VL$72)/SUMIF($VW$2:$VW$72,VW$75,$IZ$2:$IZ$72),0)</f>
        <v>1.5509433962264152</v>
      </c>
      <c r="VX141" s="31" t="s">
        <v>2637</v>
      </c>
      <c r="VY141" s="17">
        <f>IFERROR(SUMIF($VY$2:$VY$72,VY$75,$VL$2:$VL$72)/SUMIF($VY$2:$VY$72,VY$75,$IZ$2:$IZ$72),0)</f>
        <v>1.6709746903607969</v>
      </c>
      <c r="VZ141" s="17">
        <f>IFERROR(SUMIF($VY$2:$VY$72,VZ$75,$VL$2:$VL$72)/SUMIF($VY$2:$VY$72,VZ$75,$IZ$2:$IZ$72),0)</f>
        <v>1.8555858310626703</v>
      </c>
      <c r="WA141" s="17">
        <f>IFERROR(SUMIF($VY$2:$VY$72,WA$75,$VL$2:$VL$72)/SUMIF($VY$2:$VY$72,WA$75,$IZ$2:$IZ$72),0)</f>
        <v>1.6515463917525772</v>
      </c>
      <c r="WB141" s="17">
        <f>IFERROR(SUMIF($VY$2:$VY$72,WB$75,$VL$2:$VL$72)/SUMIF($VY$2:$VY$72,WB$75,$IZ$2:$IZ$72),0)</f>
        <v>1.4257057949479941</v>
      </c>
      <c r="WC141" s="48">
        <f>IFERROR(SUMIF($VY$2:$VY$72,WC$75,$VL$2:$VL$72)/SUMIF($VY$2:$VY$72,WC$75,$IZ$2:$IZ$72),0)</f>
        <v>1.585</v>
      </c>
      <c r="WD141" s="17">
        <v>1.6414277988101678</v>
      </c>
      <c r="WE141" s="17">
        <v>1.8433734939759037</v>
      </c>
      <c r="WF141" s="17">
        <v>1.5870786516853932</v>
      </c>
      <c r="WG141" s="17">
        <v>1.4953632148377125</v>
      </c>
      <c r="WH141" s="17">
        <v>1.6184291898577612</v>
      </c>
    </row>
    <row r="142" spans="591:610" x14ac:dyDescent="0.25">
      <c r="VX142"/>
      <c r="VY142" s="31">
        <v>1</v>
      </c>
      <c r="VZ142" s="31">
        <v>2</v>
      </c>
      <c r="WA142" s="31">
        <v>3</v>
      </c>
      <c r="WB142" s="31">
        <v>4</v>
      </c>
      <c r="WC142" s="31">
        <v>5</v>
      </c>
      <c r="WD142" s="31">
        <v>1</v>
      </c>
      <c r="WE142" s="31">
        <v>2</v>
      </c>
      <c r="WF142" s="31">
        <v>3</v>
      </c>
      <c r="WG142" s="31">
        <v>4</v>
      </c>
      <c r="WH142" s="31">
        <v>5</v>
      </c>
    </row>
    <row r="151" spans="581:581" x14ac:dyDescent="0.25">
      <c r="VI151"/>
    </row>
    <row r="152" spans="581:581" x14ac:dyDescent="0.25">
      <c r="VI152"/>
    </row>
    <row r="153" spans="581:581" x14ac:dyDescent="0.25">
      <c r="VI153"/>
    </row>
    <row r="154" spans="581:581" x14ac:dyDescent="0.25">
      <c r="VI154"/>
    </row>
    <row r="155" spans="581:581" x14ac:dyDescent="0.25">
      <c r="VI155"/>
    </row>
    <row r="156" spans="581:581" x14ac:dyDescent="0.25">
      <c r="VI156"/>
    </row>
    <row r="157" spans="581:581" x14ac:dyDescent="0.25">
      <c r="VI157"/>
    </row>
    <row r="158" spans="581:581" x14ac:dyDescent="0.25">
      <c r="VI158"/>
    </row>
    <row r="159" spans="581:581" x14ac:dyDescent="0.25">
      <c r="VI159"/>
    </row>
    <row r="160" spans="581:581" x14ac:dyDescent="0.25">
      <c r="VI160"/>
    </row>
    <row r="161" spans="581:581" x14ac:dyDescent="0.25">
      <c r="VI161"/>
    </row>
    <row r="162" spans="581:581" x14ac:dyDescent="0.25">
      <c r="VI162"/>
    </row>
    <row r="163" spans="581:581" x14ac:dyDescent="0.25">
      <c r="VI163"/>
    </row>
    <row r="164" spans="581:581" x14ac:dyDescent="0.25">
      <c r="VI164"/>
    </row>
    <row r="165" spans="581:581" x14ac:dyDescent="0.25">
      <c r="VI165"/>
    </row>
    <row r="166" spans="581:581" x14ac:dyDescent="0.25">
      <c r="VI166"/>
    </row>
    <row r="167" spans="581:581" x14ac:dyDescent="0.25">
      <c r="VI167"/>
    </row>
    <row r="168" spans="581:581" x14ac:dyDescent="0.25">
      <c r="VI168"/>
    </row>
    <row r="169" spans="581:581" x14ac:dyDescent="0.25">
      <c r="VI169"/>
    </row>
    <row r="170" spans="581:581" x14ac:dyDescent="0.25">
      <c r="VI170"/>
    </row>
    <row r="171" spans="581:581" x14ac:dyDescent="0.25">
      <c r="VI171"/>
    </row>
    <row r="172" spans="581:581" x14ac:dyDescent="0.25">
      <c r="VI172"/>
    </row>
    <row r="186" spans="1:607" x14ac:dyDescent="0.25">
      <c r="A186" s="2">
        <v>9314</v>
      </c>
      <c r="B186" s="2" t="s">
        <v>4918</v>
      </c>
      <c r="C186" s="2" t="s">
        <v>4205</v>
      </c>
      <c r="D186" s="3">
        <v>45128</v>
      </c>
      <c r="E186" s="2" t="s">
        <v>9</v>
      </c>
      <c r="F186" s="2">
        <v>1</v>
      </c>
      <c r="G186" s="2" t="s">
        <v>9</v>
      </c>
      <c r="H186" s="2">
        <v>1</v>
      </c>
      <c r="I186" s="2" t="s">
        <v>11</v>
      </c>
      <c r="J186" s="2">
        <v>0</v>
      </c>
      <c r="K186" s="2" t="s">
        <v>9</v>
      </c>
      <c r="L186" s="2">
        <v>1</v>
      </c>
      <c r="M186" s="2" t="s">
        <v>10</v>
      </c>
      <c r="N186" s="2">
        <v>0</v>
      </c>
      <c r="O186" s="2" t="s">
        <v>10</v>
      </c>
      <c r="P186" s="2">
        <v>0</v>
      </c>
      <c r="Q186" s="2" t="s">
        <v>11</v>
      </c>
      <c r="R186" s="2">
        <v>0</v>
      </c>
      <c r="S186" s="2" t="s">
        <v>9</v>
      </c>
      <c r="T186" s="2">
        <v>2</v>
      </c>
      <c r="U186" s="2" t="s">
        <v>9</v>
      </c>
      <c r="V186" s="2">
        <v>2</v>
      </c>
      <c r="W186" s="2" t="s">
        <v>9</v>
      </c>
      <c r="X186" s="2">
        <v>2</v>
      </c>
      <c r="Y186" s="2" t="s">
        <v>12</v>
      </c>
      <c r="Z186" s="2" t="s">
        <v>13</v>
      </c>
      <c r="AA186" s="2" t="s">
        <v>604</v>
      </c>
      <c r="AB186" s="2" t="s">
        <v>785</v>
      </c>
      <c r="AC186" s="2" t="s">
        <v>15</v>
      </c>
      <c r="AD186" s="2" t="s">
        <v>15</v>
      </c>
      <c r="AE186" s="2" t="s">
        <v>15</v>
      </c>
      <c r="AF186" s="2">
        <v>3</v>
      </c>
      <c r="AG186" s="2" t="s">
        <v>979</v>
      </c>
      <c r="AH186" s="2" t="s">
        <v>17</v>
      </c>
      <c r="AI186" s="4">
        <v>0.1</v>
      </c>
      <c r="AJ186" s="2" t="s">
        <v>17</v>
      </c>
      <c r="AK186" s="2" t="s">
        <v>9</v>
      </c>
      <c r="AL186" s="2" t="s">
        <v>17</v>
      </c>
      <c r="AM186" s="2" t="s">
        <v>17</v>
      </c>
      <c r="AN186" s="2" t="s">
        <v>17</v>
      </c>
      <c r="AO186" s="2" t="s">
        <v>17</v>
      </c>
      <c r="AP186" s="2" t="s">
        <v>17</v>
      </c>
      <c r="AQ186" s="2" t="s">
        <v>17</v>
      </c>
      <c r="AR186" s="2" t="s">
        <v>17</v>
      </c>
      <c r="AS186" s="2" t="s">
        <v>9</v>
      </c>
      <c r="AT186" s="2">
        <v>5</v>
      </c>
      <c r="AU186" s="5">
        <v>100000</v>
      </c>
      <c r="AV186" s="5">
        <v>640000</v>
      </c>
      <c r="AW186" s="2">
        <v>0</v>
      </c>
      <c r="AX186" s="2">
        <v>4</v>
      </c>
      <c r="AY186" s="2">
        <v>0</v>
      </c>
      <c r="AZ186" s="2">
        <v>17</v>
      </c>
      <c r="BA186" s="2">
        <v>0</v>
      </c>
      <c r="BB186" s="2">
        <v>1</v>
      </c>
      <c r="BC186" s="2">
        <v>0</v>
      </c>
      <c r="BD186" s="2">
        <v>3</v>
      </c>
      <c r="BE186" s="2">
        <v>0</v>
      </c>
      <c r="BF186" s="2">
        <v>0</v>
      </c>
      <c r="BG186" s="2">
        <v>0</v>
      </c>
      <c r="BH186" s="2">
        <v>8</v>
      </c>
      <c r="BI186" s="2">
        <v>13</v>
      </c>
      <c r="BJ186" s="2">
        <v>1</v>
      </c>
      <c r="BK186" s="2">
        <v>0</v>
      </c>
      <c r="BL186" s="2">
        <v>2</v>
      </c>
      <c r="BM186" s="2">
        <v>1</v>
      </c>
      <c r="BN186" s="2">
        <v>10</v>
      </c>
      <c r="BO186" s="2">
        <v>10</v>
      </c>
      <c r="BP186" s="2">
        <v>67.23</v>
      </c>
      <c r="BQ186" s="5">
        <v>2750000</v>
      </c>
      <c r="BR186" s="2">
        <v>1</v>
      </c>
      <c r="BS186" s="4">
        <v>0.06</v>
      </c>
      <c r="BT186" s="2" t="s">
        <v>9</v>
      </c>
      <c r="BU186" s="2" t="s">
        <v>17</v>
      </c>
      <c r="BV186" s="6">
        <v>18186.669999999998</v>
      </c>
      <c r="BW186" s="2" t="s">
        <v>126</v>
      </c>
      <c r="BX186" s="2" t="s">
        <v>17</v>
      </c>
      <c r="BY186" s="2" t="s">
        <v>17</v>
      </c>
      <c r="BZ186" s="2" t="s">
        <v>17</v>
      </c>
      <c r="CA186" s="2" t="s">
        <v>17</v>
      </c>
      <c r="CB186" s="2" t="s">
        <v>17</v>
      </c>
      <c r="CC186" s="2" t="s">
        <v>17</v>
      </c>
      <c r="CD186" s="2" t="s">
        <v>17</v>
      </c>
      <c r="CE186" s="2" t="s">
        <v>4919</v>
      </c>
      <c r="CF186" s="2" t="s">
        <v>17</v>
      </c>
      <c r="CG186" s="2" t="s">
        <v>17</v>
      </c>
      <c r="DA186" s="2" t="s">
        <v>4920</v>
      </c>
      <c r="DB186" s="2" t="s">
        <v>789</v>
      </c>
      <c r="DD186" s="2" t="s">
        <v>9</v>
      </c>
      <c r="DE186" s="2" t="s">
        <v>791</v>
      </c>
      <c r="DF186" s="2" t="s">
        <v>789</v>
      </c>
      <c r="DG186" s="2" t="s">
        <v>796</v>
      </c>
      <c r="DH186" s="2" t="s">
        <v>797</v>
      </c>
      <c r="DI186" s="2">
        <v>72</v>
      </c>
      <c r="DJ186" s="2" t="s">
        <v>25</v>
      </c>
      <c r="DK186" s="2">
        <v>2012</v>
      </c>
      <c r="DL186" s="2" t="s">
        <v>4209</v>
      </c>
      <c r="DM186" s="2" t="s">
        <v>4210</v>
      </c>
      <c r="DN186" s="2" t="s">
        <v>33</v>
      </c>
      <c r="DO186" s="2" t="s">
        <v>399</v>
      </c>
      <c r="DQ186" s="2" t="s">
        <v>1454</v>
      </c>
      <c r="DR186" s="2" t="s">
        <v>4921</v>
      </c>
      <c r="DS186" s="2">
        <v>1</v>
      </c>
      <c r="DT186" s="2" t="s">
        <v>4922</v>
      </c>
      <c r="DU186" s="2" t="s">
        <v>1529</v>
      </c>
      <c r="DV186" s="2" t="s">
        <v>39</v>
      </c>
      <c r="DW186" s="2">
        <v>34205</v>
      </c>
      <c r="DX186" s="2" t="s">
        <v>1458</v>
      </c>
      <c r="DY186" s="2">
        <v>126</v>
      </c>
      <c r="DZ186" s="2" t="s">
        <v>1459</v>
      </c>
      <c r="EA186" s="2" t="s">
        <v>4921</v>
      </c>
      <c r="EB186" s="2" t="s">
        <v>4923</v>
      </c>
      <c r="EC186" s="2" t="s">
        <v>333</v>
      </c>
      <c r="ED186" s="2" t="s">
        <v>44</v>
      </c>
      <c r="EE186" s="2">
        <v>96</v>
      </c>
      <c r="EF186" s="2" t="s">
        <v>45</v>
      </c>
      <c r="EG186" s="2">
        <v>9</v>
      </c>
      <c r="EH186" s="2" t="s">
        <v>46</v>
      </c>
      <c r="EI186" s="2" t="s">
        <v>47</v>
      </c>
      <c r="EJ186" s="2" t="s">
        <v>1276</v>
      </c>
      <c r="EK186" s="2" t="s">
        <v>1277</v>
      </c>
      <c r="EL186" s="2" t="s">
        <v>44</v>
      </c>
      <c r="EM186" s="2">
        <v>144</v>
      </c>
      <c r="EN186" s="2" t="s">
        <v>45</v>
      </c>
      <c r="EO186" s="2">
        <v>3</v>
      </c>
      <c r="EP186" s="2" t="s">
        <v>46</v>
      </c>
      <c r="EQ186" s="2" t="s">
        <v>47</v>
      </c>
      <c r="ER186" s="2" t="s">
        <v>812</v>
      </c>
      <c r="ET186" s="2" t="s">
        <v>813</v>
      </c>
      <c r="EU186" s="2" t="s">
        <v>4919</v>
      </c>
      <c r="EV186" s="2" t="s">
        <v>2853</v>
      </c>
      <c r="EW186" s="2" t="s">
        <v>396</v>
      </c>
      <c r="EX186" s="2" t="s">
        <v>39</v>
      </c>
      <c r="EY186" s="2">
        <v>33607</v>
      </c>
      <c r="EZ186" s="2" t="s">
        <v>2854</v>
      </c>
      <c r="FA186" s="2">
        <v>1</v>
      </c>
      <c r="FB186" s="2" t="s">
        <v>816</v>
      </c>
      <c r="FC186" s="2" t="s">
        <v>817</v>
      </c>
      <c r="FE186" s="2" t="s">
        <v>818</v>
      </c>
      <c r="FF186" s="2" t="s">
        <v>789</v>
      </c>
      <c r="FG186" s="2" t="s">
        <v>2853</v>
      </c>
      <c r="FH186" s="2" t="s">
        <v>396</v>
      </c>
      <c r="FI186" s="2" t="s">
        <v>39</v>
      </c>
      <c r="FJ186" s="2">
        <v>33607</v>
      </c>
      <c r="FK186" s="2" t="s">
        <v>2854</v>
      </c>
      <c r="FL186" s="2">
        <v>3</v>
      </c>
      <c r="FM186" s="2" t="s">
        <v>2856</v>
      </c>
      <c r="FN186" s="2" t="s">
        <v>4924</v>
      </c>
      <c r="FO186" s="18" t="s">
        <v>4925</v>
      </c>
      <c r="FP186" s="2" t="s">
        <v>64</v>
      </c>
      <c r="FQ186" s="2" t="s">
        <v>9</v>
      </c>
      <c r="FR186" s="2" t="s">
        <v>17</v>
      </c>
      <c r="FS186" s="2" t="s">
        <v>17</v>
      </c>
      <c r="FT186" s="2" t="s">
        <v>9</v>
      </c>
      <c r="FX186" s="2">
        <v>0</v>
      </c>
      <c r="FY186" s="2">
        <v>0</v>
      </c>
      <c r="FZ186" s="4">
        <v>0</v>
      </c>
      <c r="GA186" s="4">
        <v>0</v>
      </c>
      <c r="GB186" s="2" t="s">
        <v>65</v>
      </c>
      <c r="GD186" s="2" t="s">
        <v>67</v>
      </c>
      <c r="GE186" s="2" t="s">
        <v>68</v>
      </c>
      <c r="GN186" s="2">
        <v>90</v>
      </c>
      <c r="GP186" s="2">
        <v>90</v>
      </c>
      <c r="GQ186" s="2">
        <v>90</v>
      </c>
      <c r="GR186" s="2" t="s">
        <v>2617</v>
      </c>
      <c r="GS186" s="2" t="s">
        <v>2686</v>
      </c>
      <c r="GT186" s="2" t="s">
        <v>4926</v>
      </c>
      <c r="GU186" s="2" t="s">
        <v>3079</v>
      </c>
      <c r="GV186" s="2" t="s">
        <v>17</v>
      </c>
      <c r="GW186" s="2">
        <v>26.039324000000001</v>
      </c>
      <c r="GX186" s="2">
        <v>-80.234962999999993</v>
      </c>
      <c r="GZ186" s="2" t="s">
        <v>9</v>
      </c>
      <c r="HA186" s="2">
        <v>3</v>
      </c>
      <c r="HB186" s="2" t="s">
        <v>17</v>
      </c>
      <c r="HC186" s="2">
        <v>0</v>
      </c>
      <c r="HD186" s="2">
        <v>26.039688000000002</v>
      </c>
      <c r="HE186" s="2">
        <v>-80.235575999999995</v>
      </c>
      <c r="HF186" s="2">
        <v>0.05</v>
      </c>
      <c r="HG186" s="2">
        <v>6</v>
      </c>
      <c r="HH186" s="2">
        <v>26.040248999999999</v>
      </c>
      <c r="HI186" s="2">
        <v>-80.235195000000004</v>
      </c>
      <c r="HJ186" s="2">
        <v>0.06</v>
      </c>
      <c r="HK186" s="2">
        <v>26.039261</v>
      </c>
      <c r="HL186" s="2">
        <v>-80.232733999999994</v>
      </c>
      <c r="HM186" s="2">
        <v>0.14000000000000001</v>
      </c>
      <c r="HZ186" s="2" t="s">
        <v>4927</v>
      </c>
      <c r="IA186" s="2">
        <v>0.78</v>
      </c>
      <c r="IB186" s="2">
        <v>2.5</v>
      </c>
      <c r="IC186" s="2" t="s">
        <v>4928</v>
      </c>
      <c r="ID186" s="2">
        <v>0.51</v>
      </c>
      <c r="IE186" s="2">
        <v>3</v>
      </c>
      <c r="IF186" s="2" t="s">
        <v>4929</v>
      </c>
      <c r="IG186" s="2">
        <v>0.78</v>
      </c>
      <c r="IH186" s="2">
        <v>2.5</v>
      </c>
      <c r="IL186" s="2" t="s">
        <v>9</v>
      </c>
      <c r="IM186" s="2" t="s">
        <v>17</v>
      </c>
      <c r="IO186" s="2" t="s">
        <v>17</v>
      </c>
      <c r="IP186" s="2" t="s">
        <v>79</v>
      </c>
      <c r="IQ186" s="2" t="s">
        <v>79</v>
      </c>
      <c r="IR186" s="2">
        <v>6</v>
      </c>
      <c r="IS186" s="2">
        <v>8</v>
      </c>
      <c r="IT186" s="2">
        <v>3</v>
      </c>
      <c r="IU186" s="2">
        <v>17</v>
      </c>
      <c r="IV186" s="2" t="s">
        <v>9</v>
      </c>
      <c r="IW186" s="2" t="s">
        <v>9</v>
      </c>
      <c r="IX186" s="2" t="s">
        <v>9</v>
      </c>
      <c r="IY186" s="2">
        <v>14</v>
      </c>
      <c r="IZ186" s="2">
        <v>90</v>
      </c>
      <c r="JA186" s="2" t="s">
        <v>4930</v>
      </c>
      <c r="JB186" s="2" t="s">
        <v>173</v>
      </c>
      <c r="JC186" s="7">
        <v>0.1</v>
      </c>
      <c r="JG186" s="7">
        <v>0.9</v>
      </c>
      <c r="JH186" s="7">
        <v>0</v>
      </c>
      <c r="JI186" s="2">
        <v>90</v>
      </c>
      <c r="JJ186" s="7">
        <v>1</v>
      </c>
      <c r="JK186" s="2">
        <v>90</v>
      </c>
      <c r="JL186" s="7">
        <v>1</v>
      </c>
      <c r="JT186" s="2">
        <v>0</v>
      </c>
      <c r="JU186" s="2">
        <v>0</v>
      </c>
      <c r="JV186" s="2">
        <v>0</v>
      </c>
      <c r="JW186" s="4">
        <v>0</v>
      </c>
      <c r="JX186" s="2">
        <v>0</v>
      </c>
      <c r="JY186" s="4">
        <v>0</v>
      </c>
      <c r="JZ186" s="7">
        <v>0.1</v>
      </c>
      <c r="KD186" s="7">
        <v>0.9</v>
      </c>
      <c r="KE186" s="7">
        <v>1</v>
      </c>
      <c r="KF186" s="2">
        <v>90</v>
      </c>
      <c r="KH186" s="2">
        <v>90</v>
      </c>
      <c r="KQ186" s="2" t="s">
        <v>83</v>
      </c>
      <c r="KS186" s="2" t="s">
        <v>73</v>
      </c>
      <c r="KT186" s="2">
        <v>1</v>
      </c>
      <c r="KU186" s="2" t="s">
        <v>84</v>
      </c>
      <c r="KX186" s="2" t="s">
        <v>9</v>
      </c>
      <c r="KY186" s="2" t="s">
        <v>17</v>
      </c>
      <c r="KZ186" s="2" t="s">
        <v>17</v>
      </c>
      <c r="LA186" s="2" t="s">
        <v>17</v>
      </c>
      <c r="LB186" s="2" t="s">
        <v>17</v>
      </c>
      <c r="LC186" s="2" t="s">
        <v>17</v>
      </c>
      <c r="LD186" s="2" t="s">
        <v>9</v>
      </c>
      <c r="LE186" s="2" t="s">
        <v>17</v>
      </c>
      <c r="LF186" s="2" t="s">
        <v>17</v>
      </c>
      <c r="LG186" s="2" t="s">
        <v>9</v>
      </c>
      <c r="LH186" s="2" t="s">
        <v>17</v>
      </c>
      <c r="LI186" s="2" t="s">
        <v>9</v>
      </c>
      <c r="LJ186" s="2" t="s">
        <v>4931</v>
      </c>
      <c r="LK186" s="2" t="s">
        <v>17</v>
      </c>
      <c r="LL186" s="2" t="s">
        <v>17</v>
      </c>
      <c r="LM186" s="2">
        <v>0</v>
      </c>
      <c r="LN186" s="2" t="s">
        <v>17</v>
      </c>
      <c r="LO186" s="2" t="s">
        <v>17</v>
      </c>
      <c r="LP186" s="2" t="s">
        <v>17</v>
      </c>
      <c r="LQ186" s="2" t="s">
        <v>17</v>
      </c>
      <c r="LR186" s="2" t="s">
        <v>17</v>
      </c>
      <c r="LS186" s="2" t="s">
        <v>17</v>
      </c>
      <c r="LT186" s="2" t="s">
        <v>9</v>
      </c>
      <c r="LU186" s="2" t="s">
        <v>17</v>
      </c>
      <c r="LV186" s="2" t="s">
        <v>9</v>
      </c>
      <c r="LW186" s="2" t="s">
        <v>17</v>
      </c>
      <c r="LX186" s="2" t="s">
        <v>9</v>
      </c>
      <c r="LY186" s="5">
        <v>6500000</v>
      </c>
      <c r="LZ186" s="5">
        <v>0</v>
      </c>
      <c r="MA186" s="5">
        <v>8000000</v>
      </c>
      <c r="MB186" s="5">
        <v>2000000</v>
      </c>
      <c r="MC186" s="5">
        <v>2000000</v>
      </c>
      <c r="MD186" s="5">
        <v>750000</v>
      </c>
      <c r="ME186" s="5">
        <v>750000</v>
      </c>
      <c r="MF186" s="5">
        <v>750000</v>
      </c>
      <c r="MG186" s="5">
        <v>9450000</v>
      </c>
      <c r="MH186" s="5">
        <v>0</v>
      </c>
      <c r="MI186" s="5">
        <v>9450000</v>
      </c>
      <c r="MJ186" s="5">
        <v>0</v>
      </c>
      <c r="MK186" s="5">
        <v>836100</v>
      </c>
      <c r="ML186" s="5">
        <v>0</v>
      </c>
      <c r="MM186" s="5">
        <v>0</v>
      </c>
      <c r="MN186" s="2">
        <v>0</v>
      </c>
      <c r="MO186" s="5">
        <v>0</v>
      </c>
      <c r="MP186" s="5">
        <v>0</v>
      </c>
      <c r="MQ186" s="2">
        <v>0</v>
      </c>
      <c r="MR186" s="2">
        <v>0</v>
      </c>
      <c r="MS186" s="2">
        <v>0</v>
      </c>
      <c r="MT186" s="5">
        <v>0</v>
      </c>
      <c r="MU186" s="5">
        <v>0</v>
      </c>
      <c r="MV186" s="5">
        <v>4600000</v>
      </c>
      <c r="MW186" s="5">
        <v>0</v>
      </c>
      <c r="MY186" s="5">
        <v>0</v>
      </c>
      <c r="MZ186" s="5">
        <v>0</v>
      </c>
      <c r="NA186" s="5">
        <v>0</v>
      </c>
      <c r="NB186" s="5">
        <v>0</v>
      </c>
      <c r="NC186" s="5">
        <v>0</v>
      </c>
      <c r="ND186" s="5">
        <v>5000000</v>
      </c>
      <c r="NE186" s="5">
        <v>0</v>
      </c>
      <c r="NF186" s="5">
        <v>0</v>
      </c>
      <c r="NG186" s="5">
        <v>0</v>
      </c>
      <c r="NH186" s="5"/>
      <c r="NI186" s="5">
        <v>0</v>
      </c>
      <c r="NJ186" s="5">
        <v>1667807</v>
      </c>
      <c r="NK186" s="2" t="s">
        <v>17</v>
      </c>
      <c r="NL186" s="2" t="s">
        <v>4292</v>
      </c>
      <c r="NM186" s="2" t="s">
        <v>17</v>
      </c>
      <c r="NO186" s="2" t="s">
        <v>17</v>
      </c>
      <c r="NR186" s="2" t="s">
        <v>17</v>
      </c>
      <c r="NT186" s="2" t="s">
        <v>17</v>
      </c>
      <c r="NX186" s="2" t="s">
        <v>118</v>
      </c>
      <c r="NY186" s="2" t="s">
        <v>118</v>
      </c>
      <c r="NZ186" s="2" t="s">
        <v>118</v>
      </c>
      <c r="OA186" s="2" t="s">
        <v>17</v>
      </c>
      <c r="OC186" s="5">
        <v>23000000</v>
      </c>
      <c r="OF186" s="2" t="s">
        <v>17</v>
      </c>
      <c r="OG186" s="2" t="s">
        <v>17</v>
      </c>
      <c r="OH186" s="2" t="s">
        <v>85</v>
      </c>
      <c r="OI186" s="6">
        <v>0</v>
      </c>
      <c r="OJ186" s="6">
        <v>60000</v>
      </c>
      <c r="OK186" s="2" t="s">
        <v>17</v>
      </c>
      <c r="OL186" s="2" t="s">
        <v>17</v>
      </c>
      <c r="OM186" s="6">
        <v>0</v>
      </c>
      <c r="ON186" s="6">
        <v>0</v>
      </c>
      <c r="OO186" s="6">
        <v>0</v>
      </c>
      <c r="OP186" s="6">
        <v>0</v>
      </c>
      <c r="OQ186" s="4">
        <v>0</v>
      </c>
      <c r="OR186" s="6">
        <v>0</v>
      </c>
      <c r="OS186" s="4">
        <v>0</v>
      </c>
      <c r="OT186" s="2" t="s">
        <v>9</v>
      </c>
      <c r="OU186" s="2" t="s">
        <v>9</v>
      </c>
      <c r="OV186" s="2" t="s">
        <v>3087</v>
      </c>
      <c r="OW186" s="2" t="s">
        <v>17</v>
      </c>
      <c r="OX186" s="5">
        <v>1636800</v>
      </c>
      <c r="OY186" s="6">
        <v>18186.669999999998</v>
      </c>
      <c r="OZ186" s="8">
        <v>200000</v>
      </c>
      <c r="PA186" s="8">
        <v>200000</v>
      </c>
      <c r="PG186" s="8">
        <v>600000</v>
      </c>
      <c r="PI186" s="8">
        <v>600000</v>
      </c>
      <c r="PJ186" s="8">
        <v>11064600</v>
      </c>
      <c r="PK186" s="8">
        <v>11064600</v>
      </c>
      <c r="PO186" s="8">
        <v>11664600</v>
      </c>
      <c r="PP186" s="8">
        <v>200000</v>
      </c>
      <c r="PQ186" s="8">
        <v>11864600</v>
      </c>
      <c r="PR186" s="8">
        <v>1624000</v>
      </c>
      <c r="PT186" s="8">
        <v>1624000</v>
      </c>
      <c r="PU186" s="6">
        <v>1661044</v>
      </c>
      <c r="PV186" s="8">
        <v>13288600</v>
      </c>
      <c r="PW186" s="8">
        <v>200000</v>
      </c>
      <c r="PX186" s="8">
        <v>13488600</v>
      </c>
      <c r="PY186" s="8">
        <v>2015790</v>
      </c>
      <c r="QA186" s="8">
        <v>2015790</v>
      </c>
      <c r="QB186" s="6">
        <v>2023290</v>
      </c>
      <c r="QC186" s="8">
        <v>601800</v>
      </c>
      <c r="QD186" s="8">
        <v>98200</v>
      </c>
      <c r="QE186" s="8">
        <v>700000</v>
      </c>
      <c r="QF186" s="8">
        <v>200000</v>
      </c>
      <c r="QH186" s="8">
        <v>200000</v>
      </c>
      <c r="QI186" s="8">
        <v>10000</v>
      </c>
      <c r="QK186" s="8">
        <v>10000</v>
      </c>
      <c r="QM186" s="8">
        <v>393103</v>
      </c>
      <c r="QN186" s="8">
        <v>393103</v>
      </c>
      <c r="QO186" s="8">
        <v>480000</v>
      </c>
      <c r="QP186" s="8">
        <v>120000</v>
      </c>
      <c r="QQ186" s="8">
        <v>600000</v>
      </c>
      <c r="QR186" s="8">
        <v>580000</v>
      </c>
      <c r="QS186" s="8">
        <v>45000</v>
      </c>
      <c r="QT186" s="8">
        <v>625000</v>
      </c>
      <c r="QU186" s="8">
        <v>1871800</v>
      </c>
      <c r="QV186" s="8">
        <v>656303</v>
      </c>
      <c r="QW186" s="8">
        <v>2528103</v>
      </c>
      <c r="QX186" s="8">
        <v>94655</v>
      </c>
      <c r="QZ186" s="8">
        <v>94655</v>
      </c>
      <c r="RA186" s="6">
        <v>126405.15</v>
      </c>
      <c r="RB186" s="8">
        <v>235000</v>
      </c>
      <c r="RD186" s="8">
        <v>235000</v>
      </c>
      <c r="RE186" s="8">
        <v>180835</v>
      </c>
      <c r="RF186" s="8">
        <v>180835</v>
      </c>
      <c r="RG186" s="8">
        <v>2632733</v>
      </c>
      <c r="RH186" s="8">
        <v>1569151</v>
      </c>
      <c r="RI186" s="8">
        <v>4201884</v>
      </c>
      <c r="RJ186" s="8">
        <v>2867733</v>
      </c>
      <c r="RK186" s="8">
        <v>1749986</v>
      </c>
      <c r="RL186" s="8">
        <v>4617719</v>
      </c>
      <c r="RM186" s="8">
        <v>15915640</v>
      </c>
      <c r="RN186" s="8">
        <v>15915640</v>
      </c>
      <c r="RQ186" s="8">
        <v>15915640</v>
      </c>
      <c r="RS186" s="8">
        <v>15915640</v>
      </c>
      <c r="RT186" s="8">
        <v>36054218</v>
      </c>
      <c r="RU186" s="8">
        <v>2606289</v>
      </c>
      <c r="RV186" s="8">
        <v>38660507</v>
      </c>
      <c r="RW186" s="8">
        <v>2864815</v>
      </c>
      <c r="RY186" s="8">
        <v>2864815</v>
      </c>
      <c r="RZ186" s="6">
        <v>2864815</v>
      </c>
      <c r="SA186" s="8">
        <v>2776140</v>
      </c>
      <c r="SC186" s="8">
        <v>2776140</v>
      </c>
      <c r="SD186" s="6">
        <v>4094076</v>
      </c>
      <c r="SE186" s="8">
        <v>5640955</v>
      </c>
      <c r="SF186" s="8">
        <v>5640955</v>
      </c>
      <c r="SG186" s="6">
        <v>6958891</v>
      </c>
      <c r="SH186" s="8">
        <v>315000</v>
      </c>
      <c r="SI186" s="8">
        <v>315000</v>
      </c>
      <c r="SJ186" s="6">
        <v>315000</v>
      </c>
      <c r="SK186" s="8">
        <v>844360</v>
      </c>
      <c r="SL186" s="8">
        <v>844360</v>
      </c>
      <c r="SM186" s="8">
        <v>41695173</v>
      </c>
      <c r="SN186" s="8">
        <v>3765649</v>
      </c>
      <c r="SO186" s="8">
        <v>45460822</v>
      </c>
      <c r="SP186" s="8">
        <v>23000000</v>
      </c>
      <c r="SQ186" s="2" t="s">
        <v>4295</v>
      </c>
      <c r="SR186" s="8">
        <v>16760000</v>
      </c>
      <c r="SS186" s="2" t="s">
        <v>1316</v>
      </c>
      <c r="ST186" s="2">
        <v>0</v>
      </c>
      <c r="SX186" s="8">
        <v>2750000</v>
      </c>
      <c r="SY186" s="2" t="s">
        <v>96</v>
      </c>
      <c r="SZ186" s="2" t="s">
        <v>96</v>
      </c>
      <c r="TA186" s="2" t="s">
        <v>96</v>
      </c>
      <c r="TB186" s="8">
        <v>2251315</v>
      </c>
      <c r="TC186" s="2" t="s">
        <v>2738</v>
      </c>
      <c r="TD186" s="8">
        <v>100000</v>
      </c>
      <c r="TE186" s="2" t="s">
        <v>180</v>
      </c>
      <c r="TF186" s="8">
        <v>599507</v>
      </c>
      <c r="TG186" s="8">
        <v>45460822</v>
      </c>
      <c r="TH186" s="2">
        <v>0</v>
      </c>
      <c r="TI186" s="8">
        <v>8100000</v>
      </c>
      <c r="TJ186" s="2" t="s">
        <v>4295</v>
      </c>
      <c r="TK186" s="8">
        <v>16760000</v>
      </c>
      <c r="TL186" s="2" t="s">
        <v>1316</v>
      </c>
      <c r="TM186" s="2">
        <v>0</v>
      </c>
      <c r="TR186" s="8">
        <v>2750000</v>
      </c>
      <c r="TS186" s="8">
        <v>15008762</v>
      </c>
      <c r="TT186" s="2" t="s">
        <v>2738</v>
      </c>
      <c r="TU186" s="8">
        <v>100000</v>
      </c>
      <c r="TV186" s="2" t="s">
        <v>180</v>
      </c>
      <c r="TZ186" s="8">
        <v>2742060</v>
      </c>
      <c r="UA186" s="8">
        <v>45460822</v>
      </c>
      <c r="UB186" s="6">
        <v>27710000</v>
      </c>
      <c r="UC186" s="2">
        <v>0</v>
      </c>
      <c r="UD186" s="2">
        <v>90</v>
      </c>
      <c r="UE186" s="5">
        <v>110000</v>
      </c>
      <c r="UF186" s="6">
        <v>146666.67000000001</v>
      </c>
      <c r="UG186" s="6">
        <v>161666.67000000001</v>
      </c>
      <c r="UH186" s="6">
        <v>171366.67</v>
      </c>
      <c r="UI186" s="6">
        <v>15423000</v>
      </c>
      <c r="UJ186" s="6">
        <v>2776140</v>
      </c>
      <c r="UK186" s="6">
        <v>2864815</v>
      </c>
      <c r="UL186" s="6">
        <v>5640955</v>
      </c>
      <c r="UM186" s="6">
        <v>21063955</v>
      </c>
      <c r="UN186" s="6">
        <v>27585822</v>
      </c>
      <c r="UQ186" s="6">
        <v>0</v>
      </c>
      <c r="US186" s="6">
        <v>0</v>
      </c>
      <c r="UV186" s="6">
        <v>0</v>
      </c>
      <c r="UW186" s="6">
        <v>0</v>
      </c>
      <c r="UX186" s="6">
        <v>0</v>
      </c>
      <c r="UY186" s="6">
        <v>0</v>
      </c>
      <c r="VB186" s="2" t="s">
        <v>9</v>
      </c>
      <c r="VC186" s="2">
        <v>90</v>
      </c>
      <c r="VD186" s="2">
        <v>90</v>
      </c>
      <c r="VE186" s="2" t="s">
        <v>17</v>
      </c>
      <c r="VG186" s="2" t="s">
        <v>9</v>
      </c>
      <c r="VH186" s="2">
        <v>90</v>
      </c>
      <c r="VI186" s="2" t="s">
        <v>832</v>
      </c>
      <c r="VJ186" s="2" t="s">
        <v>98</v>
      </c>
      <c r="VK186" s="2" t="s">
        <v>232</v>
      </c>
      <c r="VL186" s="23">
        <f t="shared" ref="VL186:VL187" si="90">KG186+KH186+2*(KI186+KK186)+3*(KL186+KM186)+4*(KN186+KO186)</f>
        <v>90</v>
      </c>
      <c r="VM186" s="17">
        <f t="shared" ref="VM186:VM187" si="91">VL186/IZ186</f>
        <v>1</v>
      </c>
      <c r="VN186" s="17"/>
      <c r="VO186" s="17"/>
      <c r="VP186" s="57">
        <v>1</v>
      </c>
      <c r="VQ186" s="17">
        <f t="shared" ref="VQ186:VQ187" si="92">IF(OR(NM186="Yes",NO186="Yes",NR186="Yes",NT186="Yes"),$OY$75,1)</f>
        <v>1</v>
      </c>
      <c r="VR186" s="14">
        <f t="shared" ref="VR186:VR187" si="93">IF(GR186="Broward",Broward_Q,1)</f>
        <v>0.88</v>
      </c>
      <c r="VS186" s="14">
        <f t="shared" ref="VS186:VS187" si="94">IF(OR(OT186="Yes",OU186="Yes"),PHA_Q,1)</f>
        <v>0.87</v>
      </c>
      <c r="VT186" s="12">
        <f t="shared" ref="VT186:VT187" si="95">(GG186*NC_GA_Q*ESSC_Q+GH186*NC_GA_Q+GI186*NC_MR_Q*ESSC_Q+GJ186*NC_MR_Q+GK186*NC_HR_Q*ESSC_Q+GL186*NC_OT_Q*ESSC_Q+GM186*NC_OT_Q+GN186*1+GO186*1)/(GG186+GH186+GI186+GJ186+GK186+GL186+GM186+GN186+GO186)</f>
        <v>1</v>
      </c>
      <c r="VU186" s="29">
        <f t="shared" ref="VU186:VU187" si="96">MC186*VQ186*VR186*VS186*VT186*IF(BW186="Elderly Non-ALF",Elderly_Q,1)</f>
        <v>1531200</v>
      </c>
      <c r="VV186" s="30">
        <f t="shared" ref="VV186:VV187" si="97">ROUND(VU186/(JI186+JV186),2)</f>
        <v>17013.330000000002</v>
      </c>
      <c r="VW186" s="54" t="e">
        <f>IF(RANK(VV186,VV$63:VV$64,1)&lt;=ROUNDUP(80%*2,0),"A","B")</f>
        <v>#N/A</v>
      </c>
      <c r="VY186" s="58" t="e">
        <f>IF(RANK(VV186,VV$63:VV$64,1)&lt;=ROUNDUP(10%*2,0),1,IF(RANK(VV186,VV$63:VV$64,1)&lt;=ROUNDUP(30%*2,0),2,IF(RANK(VV186,VV$63:VV$64,1)&lt;=ROUNDUP(50%*2,0),3,IF(RANK(VV186,VV$63:VV$64,1)&lt;=ROUNDUP(70%*2,0),4,5))))</f>
        <v>#N/A</v>
      </c>
      <c r="WA186" s="12">
        <f t="shared" ref="WA186:WA187" si="98">IF(BW186="Elderly Non-ALF",1,0)</f>
        <v>1</v>
      </c>
      <c r="WB186" s="12">
        <f t="shared" ref="WB186:WB187" si="99">IF(OR(VQ186=1,N(VQ186)=0),0,1)</f>
        <v>0</v>
      </c>
      <c r="WC186" s="12">
        <f t="shared" ref="WC186:WC187" si="100">IF(OR(VR186=1,N(VR186)=0),0,1)</f>
        <v>1</v>
      </c>
      <c r="WD186" s="12">
        <f t="shared" ref="WD186:WD187" si="101">IF(OR(VS186=1,N(VS186)=0),0,1)</f>
        <v>1</v>
      </c>
      <c r="WE186" s="12">
        <f t="shared" ref="WE186:WE187" si="102">IF(GG186+GI186+GK186+GL186&gt;0,1,0)</f>
        <v>0</v>
      </c>
      <c r="WF186" s="12">
        <f t="shared" ref="WF186:WF187" si="103">IF(GG186+GH186&gt;0,1,0)</f>
        <v>0</v>
      </c>
      <c r="WG186" s="12">
        <f t="shared" ref="WG186:WG187" si="104">IF(GI186+GJ186&gt;0,1,0)</f>
        <v>0</v>
      </c>
      <c r="WH186" s="12">
        <f t="shared" ref="WH186:WH187" si="105">IF(GK186&gt;1,1,0)</f>
        <v>0</v>
      </c>
      <c r="WI186" s="22">
        <f t="shared" ref="WI186:WI187" si="106">SUM(WA186:WH186)</f>
        <v>3</v>
      </c>
    </row>
    <row r="187" spans="1:607" x14ac:dyDescent="0.25">
      <c r="A187" s="2">
        <v>9254</v>
      </c>
      <c r="B187" s="2" t="s">
        <v>4932</v>
      </c>
      <c r="C187" s="2" t="s">
        <v>4205</v>
      </c>
      <c r="D187" s="3">
        <v>45128</v>
      </c>
      <c r="E187" s="2" t="s">
        <v>9</v>
      </c>
      <c r="F187" s="2">
        <v>1</v>
      </c>
      <c r="G187" s="2" t="s">
        <v>9</v>
      </c>
      <c r="H187" s="2">
        <v>1</v>
      </c>
      <c r="I187" s="2" t="s">
        <v>11</v>
      </c>
      <c r="J187" s="2">
        <v>0</v>
      </c>
      <c r="K187" s="2" t="s">
        <v>9</v>
      </c>
      <c r="L187" s="2">
        <v>1</v>
      </c>
      <c r="M187" s="2" t="s">
        <v>10</v>
      </c>
      <c r="N187" s="2">
        <v>0</v>
      </c>
      <c r="O187" s="2" t="s">
        <v>10</v>
      </c>
      <c r="P187" s="2">
        <v>0</v>
      </c>
      <c r="Q187" s="2" t="s">
        <v>11</v>
      </c>
      <c r="R187" s="2">
        <v>0</v>
      </c>
      <c r="S187" s="2" t="s">
        <v>9</v>
      </c>
      <c r="T187" s="2">
        <v>2</v>
      </c>
      <c r="U187" s="2" t="s">
        <v>9</v>
      </c>
      <c r="V187" s="2">
        <v>2</v>
      </c>
      <c r="W187" s="2" t="s">
        <v>9</v>
      </c>
      <c r="X187" s="2">
        <v>2</v>
      </c>
      <c r="Y187" s="2" t="s">
        <v>12</v>
      </c>
      <c r="Z187" s="2" t="s">
        <v>15</v>
      </c>
      <c r="AA187" s="2" t="s">
        <v>15</v>
      </c>
      <c r="AB187" s="2" t="s">
        <v>15</v>
      </c>
      <c r="AC187" s="2" t="s">
        <v>15</v>
      </c>
      <c r="AD187" s="2" t="s">
        <v>15</v>
      </c>
      <c r="AE187" s="2" t="s">
        <v>15</v>
      </c>
      <c r="AF187" s="2">
        <v>0</v>
      </c>
      <c r="AG187" s="2" t="s">
        <v>234</v>
      </c>
      <c r="AH187" s="2" t="s">
        <v>17</v>
      </c>
      <c r="AI187" s="4">
        <v>0.1</v>
      </c>
      <c r="AJ187" s="2" t="s">
        <v>17</v>
      </c>
      <c r="AK187" s="2" t="s">
        <v>9</v>
      </c>
      <c r="AL187" s="2" t="s">
        <v>17</v>
      </c>
      <c r="AM187" s="2" t="s">
        <v>9</v>
      </c>
      <c r="AN187" s="2" t="s">
        <v>17</v>
      </c>
      <c r="AO187" s="2" t="s">
        <v>17</v>
      </c>
      <c r="AP187" s="2" t="s">
        <v>17</v>
      </c>
      <c r="AQ187" s="2" t="s">
        <v>17</v>
      </c>
      <c r="AR187" s="2" t="s">
        <v>17</v>
      </c>
      <c r="AS187" s="2" t="s">
        <v>17</v>
      </c>
      <c r="AT187" s="2">
        <v>5</v>
      </c>
      <c r="AU187" s="5">
        <v>37500</v>
      </c>
      <c r="AV187" s="5">
        <v>460000</v>
      </c>
      <c r="AW187" s="2">
        <v>0</v>
      </c>
      <c r="AX187" s="2">
        <v>17</v>
      </c>
      <c r="AY187" s="2">
        <v>0</v>
      </c>
      <c r="AZ187" s="2">
        <v>17</v>
      </c>
      <c r="BA187" s="2">
        <v>0</v>
      </c>
      <c r="BB187" s="2">
        <v>1</v>
      </c>
      <c r="BC187" s="2">
        <v>1</v>
      </c>
      <c r="BD187" s="2">
        <v>0</v>
      </c>
      <c r="BE187" s="2">
        <v>0</v>
      </c>
      <c r="BF187" s="2">
        <v>0</v>
      </c>
      <c r="BG187" s="2">
        <v>0</v>
      </c>
      <c r="BH187" s="2">
        <v>8</v>
      </c>
      <c r="BI187" s="2">
        <v>13</v>
      </c>
      <c r="BJ187" s="2">
        <v>1</v>
      </c>
      <c r="BK187" s="2">
        <v>0</v>
      </c>
      <c r="BL187" s="2">
        <v>2</v>
      </c>
      <c r="BM187" s="2">
        <v>1</v>
      </c>
      <c r="BN187" s="2">
        <v>10</v>
      </c>
      <c r="BO187" s="2">
        <v>10</v>
      </c>
      <c r="BP187" s="2">
        <v>19.55</v>
      </c>
      <c r="BQ187" s="5">
        <v>5779803</v>
      </c>
      <c r="BR187" s="2">
        <v>1</v>
      </c>
      <c r="BS187" s="4">
        <v>0.06</v>
      </c>
      <c r="BT187" s="2" t="s">
        <v>9</v>
      </c>
      <c r="BU187" s="2" t="s">
        <v>17</v>
      </c>
      <c r="BV187" s="6">
        <v>87869.91</v>
      </c>
      <c r="BW187" s="2" t="s">
        <v>126</v>
      </c>
      <c r="BX187" s="2" t="s">
        <v>17</v>
      </c>
      <c r="BY187" s="2" t="s">
        <v>17</v>
      </c>
      <c r="BZ187" s="2" t="s">
        <v>17</v>
      </c>
      <c r="CA187" s="2" t="s">
        <v>17</v>
      </c>
      <c r="CB187" s="2" t="s">
        <v>17</v>
      </c>
      <c r="CC187" s="2" t="s">
        <v>17</v>
      </c>
      <c r="CD187" s="2" t="s">
        <v>9</v>
      </c>
      <c r="CE187" s="2" t="s">
        <v>4933</v>
      </c>
      <c r="CF187" s="2" t="s">
        <v>17</v>
      </c>
      <c r="CG187" s="2" t="s">
        <v>17</v>
      </c>
      <c r="DA187" s="2" t="s">
        <v>4934</v>
      </c>
      <c r="DD187" s="2" t="s">
        <v>9</v>
      </c>
      <c r="DE187" s="2" t="s">
        <v>4935</v>
      </c>
      <c r="DF187" s="2" t="s">
        <v>4934</v>
      </c>
      <c r="DG187" s="2" t="s">
        <v>4936</v>
      </c>
      <c r="DH187" s="2" t="s">
        <v>4937</v>
      </c>
      <c r="DI187" s="2">
        <v>48</v>
      </c>
      <c r="DJ187" s="2" t="s">
        <v>105</v>
      </c>
      <c r="DK187" s="2">
        <v>2012</v>
      </c>
      <c r="DL187" s="2" t="s">
        <v>4209</v>
      </c>
      <c r="DM187" s="2" t="s">
        <v>4210</v>
      </c>
      <c r="DN187" s="2" t="s">
        <v>33</v>
      </c>
      <c r="DO187" s="2" t="s">
        <v>336</v>
      </c>
      <c r="DQ187" s="2" t="s">
        <v>338</v>
      </c>
      <c r="DR187" s="2" t="s">
        <v>1964</v>
      </c>
      <c r="DS187" s="2">
        <v>1</v>
      </c>
      <c r="DT187" s="2" t="s">
        <v>37</v>
      </c>
      <c r="DU187" s="2" t="s">
        <v>38</v>
      </c>
      <c r="DV187" s="2" t="s">
        <v>39</v>
      </c>
      <c r="DW187" s="2">
        <v>32405</v>
      </c>
      <c r="DX187" s="2" t="s">
        <v>4256</v>
      </c>
      <c r="DZ187" s="2" t="s">
        <v>4257</v>
      </c>
      <c r="EA187" s="2" t="s">
        <v>1964</v>
      </c>
      <c r="EB187" s="2" t="s">
        <v>4258</v>
      </c>
      <c r="EC187" s="2" t="s">
        <v>330</v>
      </c>
      <c r="ED187" s="2" t="s">
        <v>44</v>
      </c>
      <c r="EE187" s="2">
        <v>224</v>
      </c>
      <c r="EF187" s="2" t="s">
        <v>106</v>
      </c>
      <c r="EG187" s="2">
        <v>4</v>
      </c>
      <c r="EH187" s="2" t="s">
        <v>46</v>
      </c>
      <c r="EI187" s="2" t="s">
        <v>47</v>
      </c>
      <c r="EJ187" s="2" t="s">
        <v>4260</v>
      </c>
      <c r="EK187" s="2" t="s">
        <v>330</v>
      </c>
      <c r="EL187" s="2" t="s">
        <v>44</v>
      </c>
      <c r="EM187" s="2">
        <v>259</v>
      </c>
      <c r="EN187" s="2" t="s">
        <v>106</v>
      </c>
      <c r="EO187" s="2">
        <v>10</v>
      </c>
      <c r="EP187" s="2" t="s">
        <v>46</v>
      </c>
      <c r="EQ187" s="2" t="s">
        <v>47</v>
      </c>
      <c r="ER187" s="2" t="s">
        <v>582</v>
      </c>
      <c r="ET187" s="2" t="s">
        <v>4938</v>
      </c>
      <c r="EU187" s="2" t="s">
        <v>4933</v>
      </c>
      <c r="EV187" s="2" t="s">
        <v>4939</v>
      </c>
      <c r="EW187" s="2" t="s">
        <v>221</v>
      </c>
      <c r="EX187" s="2" t="s">
        <v>39</v>
      </c>
      <c r="EY187" s="2">
        <v>32301</v>
      </c>
      <c r="EZ187" s="2" t="s">
        <v>4940</v>
      </c>
      <c r="FB187" s="2" t="s">
        <v>4941</v>
      </c>
      <c r="FN187" s="2" t="s">
        <v>4942</v>
      </c>
      <c r="FO187" s="18" t="s">
        <v>4925</v>
      </c>
      <c r="FP187" s="2" t="s">
        <v>64</v>
      </c>
      <c r="FQ187" s="2" t="s">
        <v>9</v>
      </c>
      <c r="FR187" s="2" t="s">
        <v>17</v>
      </c>
      <c r="FS187" s="2" t="s">
        <v>17</v>
      </c>
      <c r="FT187" s="2" t="s">
        <v>9</v>
      </c>
      <c r="FX187" s="2">
        <v>0</v>
      </c>
      <c r="FY187" s="2">
        <v>0</v>
      </c>
      <c r="FZ187" s="4">
        <v>0</v>
      </c>
      <c r="GA187" s="4">
        <v>0</v>
      </c>
      <c r="GB187" s="2" t="s">
        <v>65</v>
      </c>
      <c r="GD187" s="2" t="s">
        <v>67</v>
      </c>
      <c r="GE187" s="2" t="s">
        <v>68</v>
      </c>
      <c r="GO187" s="2">
        <v>70</v>
      </c>
      <c r="GQ187" s="2">
        <v>70</v>
      </c>
      <c r="GR187" s="2" t="s">
        <v>219</v>
      </c>
      <c r="GS187" s="2" t="s">
        <v>70</v>
      </c>
      <c r="GT187" s="2" t="s">
        <v>4943</v>
      </c>
      <c r="GU187" s="2" t="s">
        <v>221</v>
      </c>
      <c r="GV187" s="2" t="s">
        <v>17</v>
      </c>
      <c r="GW187" s="2">
        <v>30.4831</v>
      </c>
      <c r="GX187" s="2">
        <v>-84.160830000000004</v>
      </c>
      <c r="GZ187" s="2" t="s">
        <v>17</v>
      </c>
      <c r="HA187" s="2">
        <v>0</v>
      </c>
      <c r="HB187" s="2" t="s">
        <v>9</v>
      </c>
      <c r="HC187" s="2">
        <v>2</v>
      </c>
      <c r="HZ187" s="2" t="s">
        <v>549</v>
      </c>
      <c r="IA187" s="2">
        <v>0.42</v>
      </c>
      <c r="IB187" s="2">
        <v>3.5</v>
      </c>
      <c r="IF187" s="2" t="s">
        <v>549</v>
      </c>
      <c r="IG187" s="2">
        <v>0.42</v>
      </c>
      <c r="IH187" s="2">
        <v>3.5</v>
      </c>
      <c r="IL187" s="2" t="s">
        <v>17</v>
      </c>
      <c r="IM187" s="2" t="s">
        <v>17</v>
      </c>
      <c r="IO187" s="2" t="s">
        <v>17</v>
      </c>
      <c r="IP187" s="2" t="s">
        <v>79</v>
      </c>
      <c r="IQ187" s="2" t="s">
        <v>79</v>
      </c>
      <c r="IR187" s="2">
        <v>2</v>
      </c>
      <c r="IS187" s="2">
        <v>7</v>
      </c>
      <c r="IT187" s="2">
        <v>0</v>
      </c>
      <c r="IU187" s="2">
        <v>9</v>
      </c>
      <c r="IV187" s="2" t="s">
        <v>80</v>
      </c>
      <c r="IW187" s="2" t="s">
        <v>9</v>
      </c>
      <c r="IX187" s="2" t="s">
        <v>9</v>
      </c>
      <c r="IY187" s="2">
        <v>9</v>
      </c>
      <c r="IZ187" s="2">
        <v>70</v>
      </c>
      <c r="JA187" s="2" t="s">
        <v>4944</v>
      </c>
      <c r="JB187" s="2" t="s">
        <v>173</v>
      </c>
      <c r="JE187" s="7">
        <v>0.1</v>
      </c>
      <c r="JG187" s="7">
        <v>0.9</v>
      </c>
      <c r="JH187" s="7">
        <v>0</v>
      </c>
      <c r="JI187" s="2">
        <v>70</v>
      </c>
      <c r="JJ187" s="7">
        <v>1</v>
      </c>
      <c r="JK187" s="2">
        <v>70</v>
      </c>
      <c r="JL187" s="7">
        <v>1</v>
      </c>
      <c r="JT187" s="2">
        <v>0</v>
      </c>
      <c r="JU187" s="2">
        <v>0</v>
      </c>
      <c r="JV187" s="2">
        <v>0</v>
      </c>
      <c r="JW187" s="4">
        <v>0</v>
      </c>
      <c r="JX187" s="2">
        <v>0</v>
      </c>
      <c r="JY187" s="4">
        <v>0</v>
      </c>
      <c r="KB187" s="7">
        <v>0.1</v>
      </c>
      <c r="KD187" s="7">
        <v>0.9</v>
      </c>
      <c r="KE187" s="7">
        <v>1</v>
      </c>
      <c r="KF187" s="2">
        <v>70</v>
      </c>
      <c r="KG187" s="2">
        <v>32</v>
      </c>
      <c r="KH187" s="2">
        <v>35</v>
      </c>
      <c r="KI187" s="2">
        <v>3</v>
      </c>
      <c r="KQ187" s="2" t="s">
        <v>83</v>
      </c>
      <c r="KS187" s="2" t="s">
        <v>73</v>
      </c>
      <c r="KT187" s="2">
        <v>1</v>
      </c>
      <c r="KU187" s="2" t="s">
        <v>84</v>
      </c>
      <c r="KX187" s="2" t="s">
        <v>9</v>
      </c>
      <c r="KY187" s="2" t="s">
        <v>17</v>
      </c>
      <c r="KZ187" s="2" t="s">
        <v>17</v>
      </c>
      <c r="LA187" s="2" t="s">
        <v>17</v>
      </c>
      <c r="LB187" s="2" t="s">
        <v>17</v>
      </c>
      <c r="LC187" s="2" t="s">
        <v>17</v>
      </c>
      <c r="LD187" s="2" t="s">
        <v>9</v>
      </c>
      <c r="LE187" s="2" t="s">
        <v>9</v>
      </c>
      <c r="LF187" s="2" t="s">
        <v>17</v>
      </c>
      <c r="LG187" s="2" t="s">
        <v>17</v>
      </c>
      <c r="LH187" s="2" t="s">
        <v>17</v>
      </c>
      <c r="LI187" s="2" t="s">
        <v>9</v>
      </c>
      <c r="LJ187" s="2" t="s">
        <v>4931</v>
      </c>
      <c r="LK187" s="2" t="s">
        <v>17</v>
      </c>
      <c r="LL187" s="2" t="s">
        <v>17</v>
      </c>
      <c r="LM187" s="2">
        <v>0</v>
      </c>
      <c r="LN187" s="2" t="s">
        <v>17</v>
      </c>
      <c r="LO187" s="2" t="s">
        <v>17</v>
      </c>
      <c r="LP187" s="2" t="s">
        <v>17</v>
      </c>
      <c r="LQ187" s="2" t="s">
        <v>17</v>
      </c>
      <c r="LR187" s="2" t="s">
        <v>17</v>
      </c>
      <c r="LS187" s="2" t="s">
        <v>17</v>
      </c>
      <c r="LT187" s="2" t="s">
        <v>9</v>
      </c>
      <c r="LU187" s="2" t="s">
        <v>9</v>
      </c>
      <c r="LV187" s="2" t="s">
        <v>9</v>
      </c>
      <c r="LW187" s="2" t="s">
        <v>17</v>
      </c>
      <c r="LX187" s="2" t="s">
        <v>17</v>
      </c>
      <c r="LY187" s="5">
        <v>5600000</v>
      </c>
      <c r="LZ187" s="5">
        <v>0</v>
      </c>
      <c r="MA187" s="5">
        <v>5370954</v>
      </c>
      <c r="MB187" s="5">
        <v>5348603</v>
      </c>
      <c r="MC187" s="5">
        <v>5348603</v>
      </c>
      <c r="MD187" s="5">
        <v>431200</v>
      </c>
      <c r="ME187" s="5">
        <v>431200</v>
      </c>
      <c r="MF187" s="5">
        <v>431200</v>
      </c>
      <c r="MG187" s="5">
        <v>7350000</v>
      </c>
      <c r="MH187" s="5">
        <v>0</v>
      </c>
      <c r="MI187" s="5">
        <v>7350000</v>
      </c>
      <c r="MJ187" s="5">
        <v>0</v>
      </c>
      <c r="MK187" s="5">
        <v>431200</v>
      </c>
      <c r="ML187" s="5">
        <v>0</v>
      </c>
      <c r="MM187" s="5">
        <v>0</v>
      </c>
      <c r="MN187" s="2">
        <v>0</v>
      </c>
      <c r="MO187" s="5">
        <v>0</v>
      </c>
      <c r="MP187" s="5">
        <v>0</v>
      </c>
      <c r="MQ187" s="2">
        <v>0</v>
      </c>
      <c r="MR187" s="2">
        <v>0</v>
      </c>
      <c r="MS187" s="2">
        <v>0</v>
      </c>
      <c r="MT187" s="5">
        <v>0</v>
      </c>
      <c r="MU187" s="5">
        <v>0</v>
      </c>
      <c r="MV187" s="5">
        <v>4600000</v>
      </c>
      <c r="MW187" s="5">
        <v>0</v>
      </c>
      <c r="MY187" s="5">
        <v>0</v>
      </c>
      <c r="MZ187" s="5">
        <v>0</v>
      </c>
      <c r="NA187" s="5">
        <v>0</v>
      </c>
      <c r="NB187" s="5">
        <v>0</v>
      </c>
      <c r="NC187" s="5">
        <v>0</v>
      </c>
      <c r="ND187" s="5">
        <v>5000000</v>
      </c>
      <c r="NE187" s="5">
        <v>0</v>
      </c>
      <c r="NF187" s="5">
        <v>0</v>
      </c>
      <c r="NG187" s="5">
        <v>0</v>
      </c>
      <c r="NH187" s="5"/>
      <c r="NI187" s="5">
        <v>0</v>
      </c>
      <c r="NJ187" s="5">
        <v>606059</v>
      </c>
      <c r="NK187" s="2" t="s">
        <v>17</v>
      </c>
      <c r="NL187" s="2" t="s">
        <v>4292</v>
      </c>
      <c r="NM187" s="2" t="s">
        <v>17</v>
      </c>
      <c r="NO187" s="2" t="s">
        <v>9</v>
      </c>
      <c r="NP187" s="2">
        <v>32317</v>
      </c>
      <c r="NQ187" s="2" t="s">
        <v>1373</v>
      </c>
      <c r="NR187" s="2" t="s">
        <v>17</v>
      </c>
      <c r="NT187" s="2" t="s">
        <v>17</v>
      </c>
      <c r="NX187" s="2" t="s">
        <v>118</v>
      </c>
      <c r="NY187" s="2" t="s">
        <v>118</v>
      </c>
      <c r="NZ187" s="2" t="s">
        <v>118</v>
      </c>
      <c r="OA187" s="2" t="s">
        <v>17</v>
      </c>
      <c r="OB187" s="2" t="s">
        <v>119</v>
      </c>
      <c r="OC187" s="5">
        <v>6475000</v>
      </c>
      <c r="OF187" s="2" t="s">
        <v>17</v>
      </c>
      <c r="OG187" s="2" t="s">
        <v>17</v>
      </c>
      <c r="OH187" s="2" t="s">
        <v>85</v>
      </c>
      <c r="OI187" s="6">
        <v>0</v>
      </c>
      <c r="OJ187" s="6">
        <v>160458.09</v>
      </c>
      <c r="OK187" s="2" t="s">
        <v>17</v>
      </c>
      <c r="OL187" s="2" t="s">
        <v>17</v>
      </c>
      <c r="OM187" s="6">
        <v>0</v>
      </c>
      <c r="ON187" s="6">
        <v>0</v>
      </c>
      <c r="OO187" s="6">
        <v>0</v>
      </c>
      <c r="OP187" s="6">
        <v>0</v>
      </c>
      <c r="OQ187" s="4">
        <v>0</v>
      </c>
      <c r="OR187" s="6">
        <v>0</v>
      </c>
      <c r="OS187" s="4">
        <v>0</v>
      </c>
      <c r="OT187" s="2" t="s">
        <v>17</v>
      </c>
      <c r="OU187" s="2" t="s">
        <v>17</v>
      </c>
      <c r="OW187" s="2" t="s">
        <v>17</v>
      </c>
      <c r="OX187" s="5">
        <v>6150893</v>
      </c>
      <c r="OY187" s="6">
        <v>87869.91</v>
      </c>
      <c r="PJ187" s="8">
        <v>2520000</v>
      </c>
      <c r="PK187" s="8">
        <v>2520000</v>
      </c>
      <c r="PO187" s="8">
        <v>2520000</v>
      </c>
      <c r="PQ187" s="8">
        <v>2520000</v>
      </c>
      <c r="PR187" s="8">
        <v>343859</v>
      </c>
      <c r="PT187" s="8">
        <v>343859</v>
      </c>
      <c r="PU187" s="6">
        <v>352800</v>
      </c>
      <c r="PV187" s="8">
        <v>2863859</v>
      </c>
      <c r="PX187" s="8">
        <v>2863859</v>
      </c>
      <c r="PY187" s="8">
        <v>280000</v>
      </c>
      <c r="QA187" s="8">
        <v>280000</v>
      </c>
      <c r="QB187" s="6">
        <v>429578.85</v>
      </c>
      <c r="QC187" s="8">
        <v>775000</v>
      </c>
      <c r="QD187" s="8">
        <v>315000</v>
      </c>
      <c r="QE187" s="8">
        <v>1090000</v>
      </c>
      <c r="QF187" s="8">
        <v>60000</v>
      </c>
      <c r="QH187" s="8">
        <v>60000</v>
      </c>
      <c r="QI187" s="8">
        <v>120000</v>
      </c>
      <c r="QK187" s="8">
        <v>120000</v>
      </c>
      <c r="QM187" s="8">
        <v>313652</v>
      </c>
      <c r="QN187" s="8">
        <v>313652</v>
      </c>
      <c r="QR187" s="8">
        <v>86000</v>
      </c>
      <c r="QS187" s="8">
        <v>335500</v>
      </c>
      <c r="QT187" s="8">
        <v>421500</v>
      </c>
      <c r="QU187" s="8">
        <v>1041000</v>
      </c>
      <c r="QV187" s="8">
        <v>964152</v>
      </c>
      <c r="QW187" s="8">
        <v>2005152</v>
      </c>
      <c r="RA187" s="6">
        <v>100257.60000000001</v>
      </c>
      <c r="RB187" s="8">
        <v>354725</v>
      </c>
      <c r="RC187" s="8">
        <v>126525</v>
      </c>
      <c r="RD187" s="8">
        <v>481250</v>
      </c>
      <c r="RE187" s="8">
        <v>443200</v>
      </c>
      <c r="RF187" s="8">
        <v>443200</v>
      </c>
      <c r="RH187" s="8">
        <v>935000</v>
      </c>
      <c r="RI187" s="8">
        <v>935000</v>
      </c>
      <c r="RJ187" s="8">
        <v>354725</v>
      </c>
      <c r="RK187" s="8">
        <v>1504725</v>
      </c>
      <c r="RL187" s="8">
        <v>1859450</v>
      </c>
      <c r="RM187" s="8">
        <v>5100000</v>
      </c>
      <c r="RN187" s="8">
        <v>5100000</v>
      </c>
      <c r="RQ187" s="8">
        <v>5100000</v>
      </c>
      <c r="RS187" s="8">
        <v>5100000</v>
      </c>
      <c r="RT187" s="8">
        <v>9639584</v>
      </c>
      <c r="RU187" s="8">
        <v>2468877</v>
      </c>
      <c r="RV187" s="8">
        <v>12108461</v>
      </c>
      <c r="RW187" s="8">
        <v>918000</v>
      </c>
      <c r="RY187" s="8">
        <v>918000</v>
      </c>
      <c r="RZ187" s="6">
        <v>918000</v>
      </c>
      <c r="SA187" s="8">
        <v>1174122</v>
      </c>
      <c r="SC187" s="8">
        <v>1174122</v>
      </c>
      <c r="SD187" s="6">
        <v>1261522</v>
      </c>
      <c r="SE187" s="8">
        <v>2092122</v>
      </c>
      <c r="SF187" s="8">
        <v>2092122</v>
      </c>
      <c r="SG187" s="6">
        <v>2179522</v>
      </c>
      <c r="SH187" s="8">
        <v>245000</v>
      </c>
      <c r="SI187" s="8">
        <v>245000</v>
      </c>
      <c r="SJ187" s="6">
        <v>245000</v>
      </c>
      <c r="SK187" s="8">
        <v>900000</v>
      </c>
      <c r="SL187" s="8">
        <v>900000</v>
      </c>
      <c r="SM187" s="8">
        <v>11731706</v>
      </c>
      <c r="SN187" s="8">
        <v>3613877</v>
      </c>
      <c r="SO187" s="8">
        <v>15345583</v>
      </c>
      <c r="SP187" s="8">
        <v>6475000</v>
      </c>
      <c r="SQ187" s="2" t="s">
        <v>4295</v>
      </c>
      <c r="SX187" s="8">
        <v>5779803</v>
      </c>
      <c r="SY187" s="2" t="s">
        <v>96</v>
      </c>
      <c r="SZ187" s="2" t="s">
        <v>96</v>
      </c>
      <c r="TA187" s="2" t="s">
        <v>96</v>
      </c>
      <c r="TB187" s="8">
        <v>1018077</v>
      </c>
      <c r="TF187" s="8">
        <v>2072703</v>
      </c>
      <c r="TG187" s="8">
        <v>15345583</v>
      </c>
      <c r="TH187" s="2">
        <v>0</v>
      </c>
      <c r="TI187" s="8">
        <v>2880000</v>
      </c>
      <c r="TJ187" s="2" t="s">
        <v>4295</v>
      </c>
      <c r="TR187" s="8">
        <v>5779803</v>
      </c>
      <c r="TS187" s="8">
        <v>5090385</v>
      </c>
      <c r="TZ187" s="8">
        <v>1595395</v>
      </c>
      <c r="UA187" s="8">
        <v>15345583</v>
      </c>
      <c r="UB187" s="6">
        <v>8659803</v>
      </c>
      <c r="UC187" s="2">
        <v>0</v>
      </c>
      <c r="UD187" s="2">
        <v>70</v>
      </c>
      <c r="UE187" s="5">
        <v>100000</v>
      </c>
      <c r="UF187" s="6">
        <v>133333.32999999999</v>
      </c>
      <c r="UG187" s="6">
        <v>140833.32999999999</v>
      </c>
      <c r="UH187" s="6">
        <v>149283.32999999999</v>
      </c>
      <c r="UI187" s="6">
        <v>10449833.33</v>
      </c>
      <c r="UJ187" s="6">
        <v>1880970</v>
      </c>
      <c r="UK187" s="6">
        <v>918000</v>
      </c>
      <c r="UL187" s="6">
        <v>2798970</v>
      </c>
      <c r="UM187" s="6">
        <v>13248803.33</v>
      </c>
      <c r="UN187" s="6">
        <v>9100583</v>
      </c>
      <c r="UQ187" s="6">
        <v>0</v>
      </c>
      <c r="US187" s="6">
        <v>0</v>
      </c>
      <c r="UV187" s="6">
        <v>0</v>
      </c>
      <c r="UW187" s="6">
        <v>0</v>
      </c>
      <c r="UX187" s="6">
        <v>0</v>
      </c>
      <c r="UY187" s="6">
        <v>0</v>
      </c>
      <c r="VB187" s="2" t="s">
        <v>17</v>
      </c>
      <c r="VI187" s="2" t="s">
        <v>4935</v>
      </c>
      <c r="VJ187" s="2" t="s">
        <v>98</v>
      </c>
      <c r="VK187" s="2" t="s">
        <v>4672</v>
      </c>
      <c r="VL187" s="23">
        <f t="shared" si="90"/>
        <v>73</v>
      </c>
      <c r="VM187" s="17">
        <f t="shared" si="91"/>
        <v>1.0428571428571429</v>
      </c>
      <c r="VN187" s="17"/>
      <c r="VO187" s="17"/>
      <c r="VP187" s="57">
        <v>1</v>
      </c>
      <c r="VQ187" s="17">
        <f t="shared" si="92"/>
        <v>1.1100000000000001</v>
      </c>
      <c r="VR187" s="14">
        <f t="shared" si="93"/>
        <v>1</v>
      </c>
      <c r="VS187" s="14">
        <f t="shared" si="94"/>
        <v>1</v>
      </c>
      <c r="VT187" s="12">
        <f t="shared" si="95"/>
        <v>1</v>
      </c>
      <c r="VU187" s="29">
        <f t="shared" si="96"/>
        <v>5936949.3300000001</v>
      </c>
      <c r="VV187" s="30">
        <f t="shared" si="97"/>
        <v>84813.56</v>
      </c>
      <c r="VW187" s="54" t="e">
        <f>IF(RANK(VV187,VV$63:VV$64,1)&lt;=ROUNDUP(80%*2,0),"A","B")</f>
        <v>#N/A</v>
      </c>
      <c r="VY187" s="58" t="e">
        <f>IF(RANK(VV187,VV$63:VV$64,1)&lt;=ROUNDUP(10%*2,0),1,IF(RANK(VV187,VV$63:VV$64,1)&lt;=ROUNDUP(30%*2,0),2,IF(RANK(VV187,VV$63:VV$64,1)&lt;=ROUNDUP(50%*2,0),3,IF(RANK(VV187,VV$63:VV$64,1)&lt;=ROUNDUP(70%*2,0),4,5))))</f>
        <v>#N/A</v>
      </c>
      <c r="WA187" s="12">
        <f t="shared" si="98"/>
        <v>1</v>
      </c>
      <c r="WB187" s="12">
        <f t="shared" si="99"/>
        <v>1</v>
      </c>
      <c r="WC187" s="12">
        <f t="shared" si="100"/>
        <v>0</v>
      </c>
      <c r="WD187" s="12">
        <f t="shared" si="101"/>
        <v>0</v>
      </c>
      <c r="WE187" s="12">
        <f t="shared" si="102"/>
        <v>0</v>
      </c>
      <c r="WF187" s="12">
        <f t="shared" si="103"/>
        <v>0</v>
      </c>
      <c r="WG187" s="12">
        <f t="shared" si="104"/>
        <v>0</v>
      </c>
      <c r="WH187" s="12">
        <f t="shared" si="105"/>
        <v>0</v>
      </c>
      <c r="WI187" s="22">
        <f t="shared" si="106"/>
        <v>2</v>
      </c>
    </row>
  </sheetData>
  <sheetProtection algorithmName="SHA-512" hashValue="UiT0imQKurHDGZumRYHGH++sRweL4OAnY6AOl4O6WCmDBvOW8BuB/rZmifB+LJZJjB48OPvVRS0tRVLzHyGQPw==" saltValue="qAioZI2Hmrwl7RQEGPr1Lg==" spinCount="100000" sheet="1" objects="1" scenarios="1" formatColumns="0"/>
  <autoFilter ref="A1:VK64" xr:uid="{22C8D245-BEAF-47F6-83AF-8EEB233C7ACE}"/>
  <sortState xmlns:xlrd2="http://schemas.microsoft.com/office/spreadsheetml/2017/richdata2" ref="WA5:WA20">
    <sortCondition ref="WA5:WA20"/>
  </sortState>
  <mergeCells count="68">
    <mergeCell ref="VV74:VW74"/>
    <mergeCell ref="VY74:WC74"/>
    <mergeCell ref="VS138:VT138"/>
    <mergeCell ref="VV138:VW138"/>
    <mergeCell ref="VY138:WC138"/>
    <mergeCell ref="WD138:WH138"/>
    <mergeCell ref="WG74:WK74"/>
    <mergeCell ref="WK2:WM2"/>
    <mergeCell ref="WK3:WM3"/>
    <mergeCell ref="WK4:WM4"/>
    <mergeCell ref="WK5:WM5"/>
    <mergeCell ref="WK6:WM6"/>
    <mergeCell ref="WK7:WM7"/>
    <mergeCell ref="WK8:WM8"/>
    <mergeCell ref="WK9:WM9"/>
    <mergeCell ref="WK10:WM10"/>
    <mergeCell ref="WK11:WM11"/>
    <mergeCell ref="WK12:WM12"/>
    <mergeCell ref="WK13:WM13"/>
    <mergeCell ref="WK14:WM14"/>
    <mergeCell ref="WK15:WM15"/>
    <mergeCell ref="WK16:WM16"/>
    <mergeCell ref="WK17:WM17"/>
    <mergeCell ref="WK18:WM18"/>
    <mergeCell ref="WK19:WM19"/>
    <mergeCell ref="WK20:WM20"/>
    <mergeCell ref="WK21:WM21"/>
    <mergeCell ref="WK22:WM22"/>
    <mergeCell ref="WK23:WM23"/>
    <mergeCell ref="WK24:WM24"/>
    <mergeCell ref="WK25:WM25"/>
    <mergeCell ref="WK26:WM26"/>
    <mergeCell ref="WK27:WM27"/>
    <mergeCell ref="WK28:WM28"/>
    <mergeCell ref="WK29:WM29"/>
    <mergeCell ref="WK30:WM30"/>
    <mergeCell ref="WK31:WM31"/>
    <mergeCell ref="WK32:WM32"/>
    <mergeCell ref="WK33:WM33"/>
    <mergeCell ref="WK34:WM34"/>
    <mergeCell ref="WK35:WM35"/>
    <mergeCell ref="WK36:WM36"/>
    <mergeCell ref="WK37:WM37"/>
    <mergeCell ref="WK38:WM38"/>
    <mergeCell ref="WK39:WM39"/>
    <mergeCell ref="WK40:WM40"/>
    <mergeCell ref="WK41:WM41"/>
    <mergeCell ref="WK42:WM42"/>
    <mergeCell ref="WK43:WM43"/>
    <mergeCell ref="WK44:WM44"/>
    <mergeCell ref="WK45:WM45"/>
    <mergeCell ref="WK46:WM46"/>
    <mergeCell ref="WK47:WM47"/>
    <mergeCell ref="WK48:WM48"/>
    <mergeCell ref="WK49:WM49"/>
    <mergeCell ref="WK50:WM50"/>
    <mergeCell ref="WK51:WM51"/>
    <mergeCell ref="WK52:WM52"/>
    <mergeCell ref="WK53:WM53"/>
    <mergeCell ref="WK54:WM54"/>
    <mergeCell ref="WK55:WM55"/>
    <mergeCell ref="WK56:WM56"/>
    <mergeCell ref="WK62:WM62"/>
    <mergeCell ref="WK57:WM57"/>
    <mergeCell ref="WK58:WM58"/>
    <mergeCell ref="WK59:WM59"/>
    <mergeCell ref="WK60:WM60"/>
    <mergeCell ref="WK61:WM61"/>
  </mergeCells>
  <conditionalFormatting sqref="VM75:VO80 PA75:PA83">
    <cfRule type="cellIs" dxfId="97" priority="53" operator="notEqual">
      <formula>$OW75</formula>
    </cfRule>
  </conditionalFormatting>
  <conditionalFormatting sqref="WB105:WB106">
    <cfRule type="cellIs" dxfId="96" priority="52" operator="equal">
      <formula>"Yes"</formula>
    </cfRule>
  </conditionalFormatting>
  <conditionalFormatting sqref="WB139:WB140">
    <cfRule type="cellIs" dxfId="95" priority="51" operator="equal">
      <formula>"Yes"</formula>
    </cfRule>
  </conditionalFormatting>
  <conditionalFormatting sqref="WN145:WN181">
    <cfRule type="cellIs" dxfId="94" priority="50" operator="notEqual">
      <formula>WM145</formula>
    </cfRule>
  </conditionalFormatting>
  <conditionalFormatting sqref="VM82:VO84">
    <cfRule type="cellIs" dxfId="93" priority="79" operator="notEqual">
      <formula>$OW81</formula>
    </cfRule>
  </conditionalFormatting>
  <conditionalFormatting sqref="VM81:VO81">
    <cfRule type="cellIs" dxfId="92" priority="80" operator="notEqual">
      <formula>#REF!</formula>
    </cfRule>
  </conditionalFormatting>
  <conditionalFormatting sqref="VI75:VI83">
    <cfRule type="cellIs" dxfId="91" priority="45" operator="notEqual">
      <formula>$OU75</formula>
    </cfRule>
  </conditionalFormatting>
  <conditionalFormatting sqref="OY75:OY83">
    <cfRule type="cellIs" dxfId="90" priority="43" operator="notEqual">
      <formula>$OU75</formula>
    </cfRule>
  </conditionalFormatting>
  <conditionalFormatting sqref="OY76:OY77">
    <cfRule type="cellIs" dxfId="89" priority="42" operator="equal">
      <formula>"Yes"</formula>
    </cfRule>
  </conditionalFormatting>
  <conditionalFormatting sqref="VY86:WC88">
    <cfRule type="cellIs" dxfId="88" priority="41" operator="equal">
      <formula>"Yes"</formula>
    </cfRule>
  </conditionalFormatting>
  <conditionalFormatting sqref="VY86:WC88">
    <cfRule type="cellIs" dxfId="87" priority="40" operator="equal">
      <formula>"B"</formula>
    </cfRule>
  </conditionalFormatting>
  <conditionalFormatting sqref="VY86:WC88">
    <cfRule type="cellIs" dxfId="86" priority="39" operator="equal">
      <formula>"Yes"</formula>
    </cfRule>
  </conditionalFormatting>
  <conditionalFormatting sqref="VY86:WC88">
    <cfRule type="cellIs" dxfId="85" priority="38" operator="equal">
      <formula>"B"</formula>
    </cfRule>
  </conditionalFormatting>
  <conditionalFormatting sqref="VY89:WC90">
    <cfRule type="cellIs" dxfId="84" priority="37" operator="equal">
      <formula>"Yes"</formula>
    </cfRule>
  </conditionalFormatting>
  <conditionalFormatting sqref="VY89:WC90">
    <cfRule type="cellIs" dxfId="83" priority="36" operator="equal">
      <formula>"B"</formula>
    </cfRule>
  </conditionalFormatting>
  <conditionalFormatting sqref="VY89:WC90">
    <cfRule type="cellIs" dxfId="82" priority="35" operator="equal">
      <formula>"Yes"</formula>
    </cfRule>
  </conditionalFormatting>
  <conditionalFormatting sqref="VY89:WC90">
    <cfRule type="cellIs" dxfId="81" priority="34" operator="equal">
      <formula>"B"</formula>
    </cfRule>
  </conditionalFormatting>
  <conditionalFormatting sqref="WG84:WK84">
    <cfRule type="cellIs" dxfId="80" priority="33" operator="equal">
      <formula>"Yes"</formula>
    </cfRule>
  </conditionalFormatting>
  <conditionalFormatting sqref="WG84:WK84">
    <cfRule type="cellIs" dxfId="79" priority="32" operator="equal">
      <formula>"B"</formula>
    </cfRule>
  </conditionalFormatting>
  <conditionalFormatting sqref="WJ105:WJ106">
    <cfRule type="cellIs" dxfId="78" priority="31" operator="equal">
      <formula>"Yes"</formula>
    </cfRule>
  </conditionalFormatting>
  <conditionalFormatting sqref="OU74">
    <cfRule type="cellIs" dxfId="77" priority="30" operator="notEqual">
      <formula>$OU74</formula>
    </cfRule>
  </conditionalFormatting>
  <conditionalFormatting sqref="VX2:VX64">
    <cfRule type="expression" dxfId="76" priority="29">
      <formula>VS2&lt;1</formula>
    </cfRule>
  </conditionalFormatting>
  <conditionalFormatting sqref="WI2:WI72">
    <cfRule type="cellIs" dxfId="75" priority="24" operator="greaterThan">
      <formula>4</formula>
    </cfRule>
    <cfRule type="cellIs" dxfId="74" priority="25" operator="equal">
      <formula>4</formula>
    </cfRule>
    <cfRule type="cellIs" dxfId="73" priority="26" operator="equal">
      <formula>3</formula>
    </cfRule>
    <cfRule type="cellIs" dxfId="72" priority="27" operator="equal">
      <formula>2</formula>
    </cfRule>
    <cfRule type="cellIs" dxfId="71" priority="28" operator="equal">
      <formula>1</formula>
    </cfRule>
  </conditionalFormatting>
  <conditionalFormatting sqref="WI186:WI187">
    <cfRule type="cellIs" dxfId="70" priority="18" operator="greaterThan">
      <formula>4</formula>
    </cfRule>
    <cfRule type="cellIs" dxfId="69" priority="19" operator="equal">
      <formula>4</formula>
    </cfRule>
    <cfRule type="cellIs" dxfId="68" priority="20" operator="equal">
      <formula>3</formula>
    </cfRule>
    <cfRule type="cellIs" dxfId="67" priority="21" operator="equal">
      <formula>2</formula>
    </cfRule>
    <cfRule type="cellIs" dxfId="66" priority="22" operator="equal">
      <formula>1</formula>
    </cfRule>
  </conditionalFormatting>
  <conditionalFormatting sqref="VV108:VW114">
    <cfRule type="cellIs" dxfId="65" priority="17" operator="equal">
      <formula>"Yes"</formula>
    </cfRule>
  </conditionalFormatting>
  <conditionalFormatting sqref="VV108:VW114">
    <cfRule type="cellIs" dxfId="64" priority="16" operator="equal">
      <formula>"B"</formula>
    </cfRule>
  </conditionalFormatting>
  <conditionalFormatting sqref="VV108:VW114">
    <cfRule type="cellIs" dxfId="63" priority="15" operator="equal">
      <formula>"Yes"</formula>
    </cfRule>
  </conditionalFormatting>
  <conditionalFormatting sqref="VV108:VW114">
    <cfRule type="cellIs" dxfId="62" priority="14" operator="equal">
      <formula>"B"</formula>
    </cfRule>
  </conditionalFormatting>
  <conditionalFormatting sqref="WK2:WK62">
    <cfRule type="expression" dxfId="61" priority="13">
      <formula>AND($VR2&gt;0,$VR2&lt;1)</formula>
    </cfRule>
  </conditionalFormatting>
  <conditionalFormatting sqref="WG86:WK88">
    <cfRule type="cellIs" dxfId="60" priority="12" operator="equal">
      <formula>"Yes"</formula>
    </cfRule>
  </conditionalFormatting>
  <conditionalFormatting sqref="WG86:WK88">
    <cfRule type="cellIs" dxfId="59" priority="11" operator="equal">
      <formula>"B"</formula>
    </cfRule>
  </conditionalFormatting>
  <conditionalFormatting sqref="WG86:WK88">
    <cfRule type="cellIs" dxfId="58" priority="10" operator="equal">
      <formula>"Yes"</formula>
    </cfRule>
  </conditionalFormatting>
  <conditionalFormatting sqref="WG86:WK88">
    <cfRule type="cellIs" dxfId="57" priority="9" operator="equal">
      <formula>"B"</formula>
    </cfRule>
  </conditionalFormatting>
  <conditionalFormatting sqref="WG89:WK90">
    <cfRule type="cellIs" dxfId="56" priority="8" operator="equal">
      <formula>"Yes"</formula>
    </cfRule>
  </conditionalFormatting>
  <conditionalFormatting sqref="WG89:WK90">
    <cfRule type="cellIs" dxfId="55" priority="7" operator="equal">
      <formula>"B"</formula>
    </cfRule>
  </conditionalFormatting>
  <conditionalFormatting sqref="WG89:WK90">
    <cfRule type="cellIs" dxfId="54" priority="6" operator="equal">
      <formula>"Yes"</formula>
    </cfRule>
  </conditionalFormatting>
  <conditionalFormatting sqref="WG89:WK90">
    <cfRule type="cellIs" dxfId="53" priority="5" operator="equal">
      <formula>"B"</formula>
    </cfRule>
  </conditionalFormatting>
  <conditionalFormatting sqref="VV116:VW126">
    <cfRule type="cellIs" dxfId="52" priority="4" operator="equal">
      <formula>"Yes"</formula>
    </cfRule>
  </conditionalFormatting>
  <conditionalFormatting sqref="VV116:VW126">
    <cfRule type="cellIs" dxfId="51" priority="3" operator="equal">
      <formula>"B"</formula>
    </cfRule>
  </conditionalFormatting>
  <conditionalFormatting sqref="VV116:VW126">
    <cfRule type="cellIs" dxfId="50" priority="2" operator="equal">
      <formula>"Yes"</formula>
    </cfRule>
  </conditionalFormatting>
  <conditionalFormatting sqref="VV116:VW126">
    <cfRule type="cellIs" dxfId="49" priority="1" operator="equal">
      <formula>"B"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2508F-7FCA-44DA-A966-D49AA28DB58D}">
  <sheetPr codeName="Sheet6"/>
  <dimension ref="A1:WX188"/>
  <sheetViews>
    <sheetView zoomScale="90" zoomScaleNormal="90" workbookViewId="0">
      <pane xSplit="2" ySplit="1" topLeftCell="VP73" activePane="bottomRight" state="frozen"/>
      <selection activeCell="VO2" sqref="VO2:VO72"/>
      <selection pane="topRight" activeCell="VO2" sqref="VO2:VO72"/>
      <selection pane="bottomLeft" activeCell="VO2" sqref="VO2:VO72"/>
      <selection pane="bottomRight" activeCell="VX75" sqref="VX75"/>
    </sheetView>
  </sheetViews>
  <sheetFormatPr defaultRowHeight="15" x14ac:dyDescent="0.25"/>
  <cols>
    <col min="1" max="2" width="15.7109375" customWidth="1"/>
    <col min="3" max="3" width="20.7109375" customWidth="1"/>
    <col min="4" max="4" width="26.42578125" hidden="1" customWidth="1"/>
    <col min="5" max="5" width="16" hidden="1" customWidth="1"/>
    <col min="6" max="6" width="17.28515625" hidden="1" customWidth="1"/>
    <col min="7" max="72" width="3.7109375" hidden="1" customWidth="1"/>
    <col min="73" max="73" width="25.5703125" hidden="1" customWidth="1"/>
    <col min="74" max="74" width="21.7109375" customWidth="1"/>
    <col min="75" max="75" width="16.7109375" customWidth="1"/>
    <col min="76" max="76" width="21" hidden="1" customWidth="1"/>
    <col min="77" max="77" width="28.140625" hidden="1" customWidth="1"/>
    <col min="78" max="78" width="28.5703125" hidden="1" customWidth="1"/>
    <col min="79" max="79" width="34.140625" hidden="1" customWidth="1"/>
    <col min="80" max="80" width="34.5703125" hidden="1" customWidth="1"/>
    <col min="81" max="81" width="29.28515625" hidden="1" customWidth="1"/>
    <col min="82" max="82" width="29.85546875" hidden="1" customWidth="1"/>
    <col min="83" max="83" width="28.7109375" customWidth="1"/>
    <col min="84" max="84" width="25.5703125" hidden="1" customWidth="1"/>
    <col min="85" max="85" width="27.28515625" hidden="1" customWidth="1"/>
    <col min="86" max="86" width="27.7109375" hidden="1" customWidth="1"/>
    <col min="87" max="87" width="31.28515625" hidden="1" customWidth="1"/>
    <col min="88" max="88" width="31.7109375" hidden="1" customWidth="1"/>
    <col min="89" max="89" width="26.7109375" hidden="1" customWidth="1"/>
    <col min="90" max="90" width="27.28515625" hidden="1" customWidth="1"/>
    <col min="91" max="91" width="30.140625" hidden="1" customWidth="1"/>
    <col min="92" max="92" width="30.5703125" hidden="1" customWidth="1"/>
    <col min="93" max="93" width="31.140625" hidden="1" customWidth="1"/>
    <col min="94" max="94" width="31.5703125" hidden="1" customWidth="1"/>
    <col min="95" max="95" width="27.140625" hidden="1" customWidth="1"/>
    <col min="96" max="96" width="27.5703125" hidden="1" customWidth="1"/>
    <col min="97" max="97" width="12.5703125" hidden="1" customWidth="1"/>
    <col min="98" max="100" width="17.28515625" hidden="1" customWidth="1"/>
    <col min="101" max="101" width="19.28515625" hidden="1" customWidth="1"/>
    <col min="102" max="102" width="17.140625" hidden="1" customWidth="1"/>
    <col min="103" max="103" width="12.28515625" hidden="1" customWidth="1"/>
    <col min="104" max="104" width="18.140625" hidden="1" customWidth="1"/>
    <col min="105" max="105" width="26.7109375" hidden="1" customWidth="1"/>
    <col min="106" max="106" width="28.140625" hidden="1" customWidth="1"/>
    <col min="107" max="107" width="29.140625" hidden="1" customWidth="1"/>
    <col min="108" max="108" width="25.42578125" hidden="1" customWidth="1"/>
    <col min="109" max="109" width="26" hidden="1" customWidth="1"/>
    <col min="110" max="110" width="33.28515625" hidden="1" customWidth="1"/>
    <col min="111" max="111" width="26.5703125" hidden="1" customWidth="1"/>
    <col min="112" max="112" width="26.140625" hidden="1" customWidth="1"/>
    <col min="113" max="113" width="16.7109375" hidden="1" customWidth="1"/>
    <col min="114" max="114" width="32.7109375" hidden="1" customWidth="1"/>
    <col min="115" max="115" width="40.85546875" hidden="1" customWidth="1"/>
    <col min="116" max="116" width="25.42578125" hidden="1" customWidth="1"/>
    <col min="117" max="117" width="33" hidden="1" customWidth="1"/>
    <col min="118" max="118" width="15.7109375" customWidth="1"/>
    <col min="119" max="119" width="20.7109375" hidden="1" customWidth="1"/>
    <col min="120" max="120" width="22.28515625" hidden="1" customWidth="1"/>
    <col min="121" max="121" width="18" hidden="1" customWidth="1"/>
    <col min="122" max="122" width="18.28515625" hidden="1" customWidth="1"/>
    <col min="123" max="123" width="17.85546875" hidden="1" customWidth="1"/>
    <col min="124" max="124" width="19.28515625" hidden="1" customWidth="1"/>
    <col min="125" max="125" width="19" hidden="1" customWidth="1"/>
    <col min="126" max="126" width="18.5703125" hidden="1" customWidth="1"/>
    <col min="127" max="127" width="18.28515625" hidden="1" customWidth="1"/>
    <col min="128" max="128" width="20.28515625" hidden="1" customWidth="1"/>
    <col min="129" max="129" width="19.85546875" hidden="1" customWidth="1"/>
    <col min="130" max="130" width="21.140625" hidden="1" customWidth="1"/>
    <col min="131" max="131" width="20.7109375" hidden="1" customWidth="1"/>
    <col min="132" max="132" width="18.42578125" hidden="1" customWidth="1"/>
    <col min="133" max="133" width="18.140625" hidden="1" customWidth="1"/>
    <col min="134" max="134" width="20.140625" hidden="1" customWidth="1"/>
    <col min="135" max="135" width="19.7109375" hidden="1" customWidth="1"/>
    <col min="136" max="136" width="18.7109375" hidden="1" customWidth="1"/>
    <col min="137" max="137" width="18.28515625" hidden="1" customWidth="1"/>
    <col min="138" max="138" width="20.7109375" hidden="1" customWidth="1"/>
    <col min="139" max="139" width="20.28515625" hidden="1" customWidth="1"/>
    <col min="140" max="140" width="21.85546875" hidden="1" customWidth="1"/>
    <col min="141" max="141" width="21.42578125" hidden="1" customWidth="1"/>
    <col min="142" max="142" width="28.28515625" hidden="1" customWidth="1"/>
    <col min="143" max="143" width="26.85546875" hidden="1" customWidth="1"/>
    <col min="144" max="144" width="29" hidden="1" customWidth="1"/>
    <col min="145" max="145" width="21" hidden="1" customWidth="1"/>
    <col min="146" max="146" width="32.7109375" hidden="1" customWidth="1"/>
    <col min="147" max="147" width="31.7109375" hidden="1" customWidth="1"/>
    <col min="148" max="148" width="26.42578125" hidden="1" customWidth="1"/>
    <col min="149" max="149" width="22.28515625" hidden="1" customWidth="1"/>
    <col min="150" max="150" width="80.28515625" hidden="1" customWidth="1"/>
    <col min="151" max="151" width="40.5703125" hidden="1" customWidth="1"/>
    <col min="152" max="152" width="23.5703125" hidden="1" customWidth="1"/>
    <col min="153" max="153" width="30.7109375" hidden="1" customWidth="1"/>
    <col min="154" max="154" width="24.5703125" hidden="1" customWidth="1"/>
    <col min="155" max="155" width="80.28515625" hidden="1" customWidth="1"/>
    <col min="156" max="156" width="34" hidden="1" customWidth="1"/>
    <col min="157" max="157" width="34.7109375" hidden="1" customWidth="1"/>
    <col min="158" max="158" width="23.7109375" hidden="1" customWidth="1"/>
    <col min="159" max="159" width="81.28515625" hidden="1" customWidth="1"/>
    <col min="160" max="160" width="23.28515625" hidden="1" customWidth="1"/>
    <col min="161" max="161" width="80.140625" hidden="1" customWidth="1"/>
    <col min="162" max="162" width="80.28515625" hidden="1" customWidth="1"/>
    <col min="163" max="163" width="30.28515625" hidden="1" customWidth="1"/>
    <col min="164" max="164" width="32.42578125" hidden="1" customWidth="1"/>
    <col min="165" max="165" width="30.28515625" hidden="1" customWidth="1"/>
    <col min="166" max="166" width="82.28515625" hidden="1" customWidth="1"/>
    <col min="167" max="167" width="22.85546875" hidden="1" customWidth="1"/>
    <col min="168" max="168" width="29.5703125" hidden="1" customWidth="1"/>
    <col min="169" max="169" width="17.28515625" hidden="1" customWidth="1"/>
    <col min="170" max="170" width="33.7109375" customWidth="1"/>
    <col min="171" max="171" width="24.7109375" customWidth="1"/>
    <col min="172" max="172" width="20.28515625" hidden="1" customWidth="1"/>
    <col min="173" max="173" width="36.7109375" hidden="1" customWidth="1"/>
    <col min="174" max="174" width="35" hidden="1" customWidth="1"/>
    <col min="175" max="175" width="27.5703125" hidden="1" customWidth="1"/>
    <col min="176" max="176" width="25.7109375" hidden="1" customWidth="1"/>
    <col min="177" max="177" width="23.28515625" hidden="1" customWidth="1"/>
    <col min="178" max="178" width="32.7109375" hidden="1" customWidth="1"/>
    <col min="179" max="179" width="30.42578125" hidden="1" customWidth="1"/>
    <col min="180" max="180" width="33.85546875" hidden="1" customWidth="1"/>
    <col min="181" max="181" width="81.7109375" hidden="1" customWidth="1"/>
    <col min="182" max="182" width="22.85546875" hidden="1" customWidth="1"/>
    <col min="183" max="183" width="19.5703125" hidden="1" customWidth="1"/>
    <col min="184" max="184" width="27" hidden="1" customWidth="1"/>
    <col min="185" max="185" width="31.7109375" hidden="1" customWidth="1"/>
    <col min="186" max="186" width="79.28515625" hidden="1" customWidth="1"/>
    <col min="187" max="187" width="20.7109375" customWidth="1"/>
    <col min="188" max="188" width="15.28515625" hidden="1" customWidth="1"/>
    <col min="189" max="194" width="20.7109375" customWidth="1"/>
    <col min="195" max="198" width="21.28515625" hidden="1" customWidth="1"/>
    <col min="199" max="199" width="29" hidden="1" customWidth="1"/>
    <col min="200" max="200" width="12.7109375" customWidth="1"/>
    <col min="201" max="201" width="14.7109375" customWidth="1"/>
    <col min="202" max="202" width="23.140625" bestFit="1" customWidth="1"/>
    <col min="203" max="203" width="80.42578125" hidden="1" customWidth="1"/>
    <col min="204" max="204" width="31.28515625" hidden="1" customWidth="1"/>
    <col min="205" max="205" width="17.85546875" hidden="1" customWidth="1"/>
    <col min="206" max="206" width="15.5703125" hidden="1" customWidth="1"/>
    <col min="207" max="207" width="17.140625" hidden="1" customWidth="1"/>
    <col min="208" max="208" width="81.7109375" hidden="1" customWidth="1"/>
    <col min="209" max="209" width="18.5703125" hidden="1" customWidth="1"/>
    <col min="210" max="210" width="15.85546875" hidden="1" customWidth="1"/>
    <col min="211" max="211" width="17.28515625" hidden="1" customWidth="1"/>
    <col min="212" max="212" width="24.42578125" hidden="1" customWidth="1"/>
    <col min="213" max="213" width="23.28515625" hidden="1" customWidth="1"/>
    <col min="214" max="214" width="18.42578125" hidden="1" customWidth="1"/>
    <col min="215" max="215" width="20" hidden="1" customWidth="1"/>
    <col min="216" max="216" width="23.42578125" hidden="1" customWidth="1"/>
    <col min="217" max="217" width="20.5703125" hidden="1" customWidth="1"/>
    <col min="218" max="218" width="18.42578125" hidden="1" customWidth="1"/>
    <col min="219" max="219" width="20" hidden="1" customWidth="1"/>
    <col min="220" max="220" width="23.42578125" hidden="1" customWidth="1"/>
    <col min="221" max="221" width="18.42578125" hidden="1" customWidth="1"/>
    <col min="222" max="222" width="20" hidden="1" customWidth="1"/>
    <col min="223" max="223" width="23.42578125" hidden="1" customWidth="1"/>
    <col min="224" max="224" width="17.28515625" hidden="1" customWidth="1"/>
    <col min="225" max="225" width="18.85546875" hidden="1" customWidth="1"/>
    <col min="226" max="226" width="22.28515625" hidden="1" customWidth="1"/>
    <col min="227" max="227" width="20.42578125" hidden="1" customWidth="1"/>
    <col min="228" max="228" width="17.140625" hidden="1" customWidth="1"/>
    <col min="229" max="229" width="18.7109375" hidden="1" customWidth="1"/>
    <col min="230" max="230" width="22.28515625" hidden="1" customWidth="1"/>
    <col min="231" max="231" width="20.28515625" hidden="1" customWidth="1"/>
    <col min="232" max="232" width="27.85546875" hidden="1" customWidth="1"/>
    <col min="233" max="233" width="37.85546875" hidden="1" customWidth="1"/>
    <col min="234" max="234" width="51.28515625" hidden="1" customWidth="1"/>
    <col min="235" max="235" width="19.7109375" hidden="1" customWidth="1"/>
    <col min="236" max="236" width="17.7109375" hidden="1" customWidth="1"/>
    <col min="237" max="237" width="40.140625" hidden="1" customWidth="1"/>
    <col min="238" max="238" width="51.28515625" hidden="1" customWidth="1"/>
    <col min="239" max="239" width="19.7109375" hidden="1" customWidth="1"/>
    <col min="240" max="240" width="17.85546875" hidden="1" customWidth="1"/>
    <col min="241" max="241" width="37.85546875" hidden="1" customWidth="1"/>
    <col min="242" max="242" width="52.140625" hidden="1" customWidth="1"/>
    <col min="243" max="243" width="21.7109375" hidden="1" customWidth="1"/>
    <col min="244" max="244" width="19.7109375" hidden="1" customWidth="1"/>
    <col min="245" max="245" width="47.7109375" hidden="1" customWidth="1"/>
    <col min="246" max="246" width="41.5703125" hidden="1" customWidth="1"/>
    <col min="247" max="247" width="18.7109375" hidden="1" customWidth="1"/>
    <col min="248" max="248" width="16.7109375" hidden="1" customWidth="1"/>
    <col min="249" max="249" width="24.7109375" hidden="1" customWidth="1"/>
    <col min="250" max="250" width="35.5703125" hidden="1" customWidth="1"/>
    <col min="251" max="251" width="28" hidden="1" customWidth="1"/>
    <col min="252" max="252" width="31.85546875" hidden="1" customWidth="1"/>
    <col min="253" max="253" width="30.28515625" hidden="1" customWidth="1"/>
    <col min="254" max="254" width="21.140625" hidden="1" customWidth="1"/>
    <col min="255" max="255" width="25.28515625" hidden="1" customWidth="1"/>
    <col min="256" max="256" width="24.140625" hidden="1" customWidth="1"/>
    <col min="257" max="257" width="31.28515625" hidden="1" customWidth="1"/>
    <col min="258" max="258" width="31.5703125" hidden="1" customWidth="1"/>
    <col min="259" max="259" width="36.28515625" hidden="1" customWidth="1"/>
    <col min="260" max="260" width="12.7109375" customWidth="1"/>
    <col min="261" max="261" width="22.5703125" hidden="1" customWidth="1"/>
    <col min="262" max="262" width="30.140625" hidden="1" customWidth="1"/>
    <col min="263" max="263" width="26" hidden="1" customWidth="1"/>
    <col min="264" max="264" width="21.28515625" hidden="1" customWidth="1"/>
    <col min="265" max="265" width="16.28515625" hidden="1" customWidth="1"/>
    <col min="266" max="266" width="15.7109375" hidden="1" customWidth="1"/>
    <col min="267" max="267" width="16" hidden="1" customWidth="1"/>
    <col min="268" max="268" width="28.7109375" hidden="1" customWidth="1"/>
    <col min="269" max="269" width="22.7109375" customWidth="1"/>
    <col min="270" max="270" width="24.28515625" hidden="1" customWidth="1"/>
    <col min="271" max="271" width="28.28515625" hidden="1" customWidth="1"/>
    <col min="272" max="272" width="27" hidden="1" customWidth="1"/>
    <col min="273" max="273" width="29.5703125" hidden="1" customWidth="1"/>
    <col min="274" max="274" width="28.42578125" hidden="1" customWidth="1"/>
    <col min="275" max="275" width="28.7109375" hidden="1" customWidth="1"/>
    <col min="276" max="276" width="31.7109375" hidden="1" customWidth="1"/>
    <col min="277" max="277" width="30.28515625" hidden="1" customWidth="1"/>
    <col min="278" max="278" width="27.5703125" hidden="1" customWidth="1"/>
    <col min="279" max="279" width="30" hidden="1" customWidth="1"/>
    <col min="280" max="281" width="3.7109375" hidden="1" customWidth="1"/>
    <col min="282" max="282" width="22.7109375" customWidth="1"/>
    <col min="283" max="283" width="20.7109375" hidden="1" customWidth="1"/>
    <col min="284" max="284" width="22.85546875" hidden="1" customWidth="1"/>
    <col min="285" max="285" width="33.5703125" hidden="1" customWidth="1"/>
    <col min="286" max="292" width="23.42578125" hidden="1" customWidth="1"/>
    <col min="293" max="295" width="20.7109375" customWidth="1"/>
    <col min="296" max="296" width="20.7109375" hidden="1" customWidth="1"/>
    <col min="297" max="299" width="20.7109375" customWidth="1"/>
    <col min="300" max="300" width="39.7109375" hidden="1" customWidth="1"/>
    <col min="301" max="301" width="20.7109375" customWidth="1"/>
    <col min="302" max="302" width="20.7109375" hidden="1" customWidth="1"/>
    <col min="303" max="303" width="78.85546875" hidden="1" customWidth="1"/>
    <col min="304" max="304" width="30.5703125" hidden="1" customWidth="1"/>
    <col min="305" max="305" width="33.28515625" hidden="1" customWidth="1"/>
    <col min="306" max="306" width="22.28515625" hidden="1" customWidth="1"/>
    <col min="307" max="307" width="21.28515625" hidden="1" customWidth="1"/>
    <col min="308" max="308" width="22.7109375" hidden="1" customWidth="1"/>
    <col min="309" max="309" width="41.28515625" hidden="1" customWidth="1"/>
    <col min="310" max="310" width="28" hidden="1" customWidth="1"/>
    <col min="311" max="311" width="27.7109375" hidden="1" customWidth="1"/>
    <col min="312" max="312" width="26.85546875" hidden="1" customWidth="1"/>
    <col min="313" max="314" width="31.42578125" hidden="1" customWidth="1"/>
    <col min="315" max="315" width="32.85546875" hidden="1" customWidth="1"/>
    <col min="316" max="316" width="25.5703125" hidden="1" customWidth="1"/>
    <col min="317" max="317" width="25.140625" hidden="1" customWidth="1"/>
    <col min="318" max="318" width="28.42578125" hidden="1" customWidth="1"/>
    <col min="319" max="319" width="26.140625" hidden="1" customWidth="1"/>
    <col min="320" max="320" width="23.140625" hidden="1" customWidth="1"/>
    <col min="321" max="321" width="24.7109375" hidden="1" customWidth="1"/>
    <col min="322" max="322" width="20.5703125" hidden="1" customWidth="1"/>
    <col min="323" max="323" width="41.5703125" hidden="1" customWidth="1"/>
    <col min="324" max="324" width="29.7109375" hidden="1" customWidth="1"/>
    <col min="325" max="325" width="35.28515625" hidden="1" customWidth="1"/>
    <col min="326" max="326" width="29" hidden="1" customWidth="1"/>
    <col min="327" max="327" width="31.28515625" hidden="1" customWidth="1"/>
    <col min="328" max="328" width="45.7109375" hidden="1" customWidth="1"/>
    <col min="329" max="329" width="42.28515625" hidden="1" customWidth="1"/>
    <col min="330" max="330" width="35.85546875" hidden="1" customWidth="1"/>
    <col min="331" max="331" width="39.85546875" hidden="1" customWidth="1"/>
    <col min="332" max="332" width="31.42578125" hidden="1" customWidth="1"/>
    <col min="333" max="333" width="34.5703125" hidden="1" customWidth="1"/>
    <col min="334" max="334" width="30.85546875" hidden="1" customWidth="1"/>
    <col min="335" max="335" width="30.7109375" hidden="1" customWidth="1"/>
    <col min="336" max="336" width="32.85546875" hidden="1" customWidth="1"/>
    <col min="337" max="338" width="19.7109375" hidden="1" customWidth="1"/>
    <col min="339" max="339" width="18.28515625" hidden="1" customWidth="1"/>
    <col min="340" max="340" width="28.85546875" hidden="1" customWidth="1"/>
    <col min="341" max="341" width="35.42578125" bestFit="1" customWidth="1"/>
    <col min="342" max="342" width="16.7109375" hidden="1" customWidth="1"/>
    <col min="343" max="343" width="27.42578125" hidden="1" customWidth="1"/>
    <col min="344" max="344" width="34" hidden="1" customWidth="1"/>
    <col min="345" max="345" width="31" hidden="1" customWidth="1"/>
    <col min="346" max="346" width="27.7109375" hidden="1" customWidth="1"/>
    <col min="347" max="347" width="14.85546875" hidden="1" customWidth="1"/>
    <col min="348" max="348" width="32.140625" hidden="1" customWidth="1"/>
    <col min="349" max="349" width="27.28515625" hidden="1" customWidth="1"/>
    <col min="350" max="350" width="24" hidden="1" customWidth="1"/>
    <col min="351" max="351" width="24.28515625" hidden="1" customWidth="1"/>
    <col min="352" max="352" width="13" hidden="1" customWidth="1"/>
    <col min="353" max="353" width="36.140625" hidden="1" customWidth="1"/>
    <col min="354" max="354" width="14.28515625" hidden="1" customWidth="1"/>
    <col min="355" max="355" width="31.42578125" hidden="1" customWidth="1"/>
    <col min="356" max="356" width="30.28515625" hidden="1" customWidth="1"/>
    <col min="357" max="358" width="31.42578125" hidden="1" customWidth="1"/>
    <col min="359" max="359" width="14" hidden="1" customWidth="1"/>
    <col min="360" max="360" width="31.28515625" hidden="1" customWidth="1"/>
    <col min="361" max="361" width="12.85546875" hidden="1" customWidth="1"/>
    <col min="362" max="362" width="30.140625" hidden="1" customWidth="1"/>
    <col min="363" max="363" width="22.7109375" hidden="1" customWidth="1"/>
    <col min="364" max="364" width="40" hidden="1" customWidth="1"/>
    <col min="365" max="365" width="37.5703125" hidden="1" customWidth="1"/>
    <col min="366" max="372" width="23.7109375" hidden="1" customWidth="1"/>
    <col min="373" max="376" width="40" hidden="1" customWidth="1"/>
    <col min="377" max="377" width="24.7109375" customWidth="1"/>
    <col min="378" max="378" width="25.28515625" hidden="1" customWidth="1"/>
    <col min="379" max="379" width="17.7109375" customWidth="1"/>
    <col min="380" max="380" width="17.7109375" hidden="1" customWidth="1"/>
    <col min="381" max="381" width="49.42578125" hidden="1" customWidth="1"/>
    <col min="382" max="382" width="17.7109375" customWidth="1"/>
    <col min="383" max="383" width="18.140625" hidden="1" customWidth="1"/>
    <col min="384" max="384" width="8.7109375" customWidth="1"/>
    <col min="385" max="385" width="25.85546875" hidden="1" customWidth="1"/>
    <col min="386" max="386" width="16" hidden="1" customWidth="1"/>
    <col min="387" max="387" width="59.28515625" hidden="1" customWidth="1"/>
    <col min="388" max="390" width="29.28515625" hidden="1" customWidth="1"/>
    <col min="391" max="391" width="17.5703125" hidden="1" customWidth="1"/>
    <col min="392" max="392" width="79.7109375" hidden="1" customWidth="1"/>
    <col min="393" max="393" width="26.140625" hidden="1" customWidth="1"/>
    <col min="394" max="395" width="23.85546875" hidden="1" customWidth="1"/>
    <col min="396" max="396" width="23.42578125" hidden="1" customWidth="1"/>
    <col min="397" max="397" width="21.42578125" hidden="1" customWidth="1"/>
    <col min="398" max="398" width="25.28515625" hidden="1" customWidth="1"/>
    <col min="399" max="399" width="25.42578125" hidden="1" customWidth="1"/>
    <col min="400" max="400" width="29.140625" hidden="1" customWidth="1"/>
    <col min="401" max="405" width="32.140625" hidden="1" customWidth="1"/>
    <col min="406" max="406" width="21.42578125" hidden="1" customWidth="1"/>
    <col min="407" max="407" width="30.140625" hidden="1" customWidth="1"/>
    <col min="408" max="408" width="29.42578125" hidden="1" customWidth="1"/>
    <col min="409" max="409" width="32.42578125" hidden="1" customWidth="1"/>
    <col min="410" max="411" width="18.7109375" customWidth="1"/>
    <col min="412" max="412" width="41.42578125" hidden="1" customWidth="1"/>
    <col min="413" max="413" width="24.28515625" hidden="1" customWidth="1"/>
    <col min="414" max="414" width="22.7109375" customWidth="1"/>
    <col min="415" max="415" width="27.7109375" customWidth="1"/>
    <col min="416" max="416" width="26.28515625" hidden="1" customWidth="1"/>
    <col min="417" max="417" width="24.140625" hidden="1" customWidth="1"/>
    <col min="418" max="418" width="28.7109375" hidden="1" customWidth="1"/>
    <col min="419" max="419" width="25" hidden="1" customWidth="1"/>
    <col min="420" max="420" width="30.28515625" hidden="1" customWidth="1"/>
    <col min="421" max="421" width="26.5703125" hidden="1" customWidth="1"/>
    <col min="422" max="422" width="26" hidden="1" customWidth="1"/>
    <col min="423" max="423" width="27.5703125" hidden="1" customWidth="1"/>
    <col min="424" max="424" width="23.85546875" hidden="1" customWidth="1"/>
    <col min="425" max="425" width="24.85546875" hidden="1" customWidth="1"/>
    <col min="426" max="426" width="21.28515625" hidden="1" customWidth="1"/>
    <col min="427" max="427" width="27.85546875" hidden="1" customWidth="1"/>
    <col min="428" max="428" width="25.85546875" hidden="1" customWidth="1"/>
    <col min="429" max="429" width="24.85546875" hidden="1" customWidth="1"/>
    <col min="430" max="430" width="26.5703125" hidden="1" customWidth="1"/>
    <col min="431" max="431" width="22.85546875" hidden="1" customWidth="1"/>
    <col min="432" max="432" width="22.5703125" hidden="1" customWidth="1"/>
    <col min="433" max="433" width="20.42578125" hidden="1" customWidth="1"/>
    <col min="434" max="434" width="32.28515625" hidden="1" customWidth="1"/>
    <col min="435" max="435" width="33.7109375" hidden="1" customWidth="1"/>
    <col min="436" max="436" width="30.28515625" hidden="1" customWidth="1"/>
    <col min="437" max="437" width="22.7109375" hidden="1" customWidth="1"/>
    <col min="438" max="438" width="20.7109375" hidden="1" customWidth="1"/>
    <col min="439" max="439" width="17.7109375" hidden="1" customWidth="1"/>
    <col min="440" max="440" width="36.5703125" hidden="1" customWidth="1"/>
    <col min="441" max="441" width="38.28515625" hidden="1" customWidth="1"/>
    <col min="442" max="442" width="34.5703125" hidden="1" customWidth="1"/>
    <col min="443" max="443" width="27.140625" hidden="1" customWidth="1"/>
    <col min="444" max="444" width="25" hidden="1" customWidth="1"/>
    <col min="445" max="445" width="18" hidden="1" customWidth="1"/>
    <col min="446" max="446" width="28.5703125" hidden="1" customWidth="1"/>
    <col min="447" max="447" width="30.28515625" hidden="1" customWidth="1"/>
    <col min="448" max="448" width="26.5703125" hidden="1" customWidth="1"/>
    <col min="449" max="449" width="26.7109375" hidden="1" customWidth="1"/>
    <col min="450" max="450" width="24.7109375" hidden="1" customWidth="1"/>
    <col min="451" max="451" width="34.85546875" hidden="1" customWidth="1"/>
    <col min="452" max="452" width="32.7109375" hidden="1" customWidth="1"/>
    <col min="453" max="453" width="39.140625" hidden="1" customWidth="1"/>
    <col min="454" max="454" width="37" hidden="1" customWidth="1"/>
    <col min="455" max="455" width="27.7109375" hidden="1" customWidth="1"/>
    <col min="456" max="456" width="29.28515625" hidden="1" customWidth="1"/>
    <col min="457" max="457" width="25.5703125" hidden="1" customWidth="1"/>
    <col min="458" max="458" width="24.42578125" hidden="1" customWidth="1"/>
    <col min="459" max="459" width="22.42578125" hidden="1" customWidth="1"/>
    <col min="460" max="460" width="29.5703125" hidden="1" customWidth="1"/>
    <col min="461" max="461" width="27.5703125" hidden="1" customWidth="1"/>
    <col min="462" max="462" width="28.85546875" hidden="1" customWidth="1"/>
    <col min="463" max="463" width="30.5703125" hidden="1" customWidth="1"/>
    <col min="464" max="464" width="26.85546875" hidden="1" customWidth="1"/>
    <col min="465" max="465" width="31.42578125" hidden="1" customWidth="1"/>
    <col min="466" max="466" width="29.28515625" hidden="1" customWidth="1"/>
    <col min="467" max="467" width="28.5703125" hidden="1" customWidth="1"/>
    <col min="468" max="468" width="24.85546875" hidden="1" customWidth="1"/>
    <col min="469" max="469" width="32.7109375" hidden="1" customWidth="1"/>
    <col min="470" max="470" width="29" hidden="1" customWidth="1"/>
    <col min="471" max="471" width="33" hidden="1" customWidth="1"/>
    <col min="472" max="472" width="29.28515625" hidden="1" customWidth="1"/>
    <col min="473" max="473" width="25.5703125" hidden="1" customWidth="1"/>
    <col min="474" max="474" width="22" hidden="1" customWidth="1"/>
    <col min="475" max="475" width="23.28515625" hidden="1" customWidth="1"/>
    <col min="476" max="476" width="21.140625" hidden="1" customWidth="1"/>
    <col min="477" max="477" width="24.7109375" hidden="1" customWidth="1"/>
    <col min="478" max="478" width="22.7109375" hidden="1" customWidth="1"/>
    <col min="479" max="479" width="30.42578125" hidden="1" customWidth="1"/>
    <col min="480" max="480" width="32" hidden="1" customWidth="1"/>
    <col min="481" max="481" width="28.28515625" hidden="1" customWidth="1"/>
    <col min="482" max="482" width="27.140625" hidden="1" customWidth="1"/>
    <col min="483" max="483" width="28.7109375" hidden="1" customWidth="1"/>
    <col min="484" max="484" width="25" hidden="1" customWidth="1"/>
    <col min="485" max="485" width="25.42578125" hidden="1" customWidth="1"/>
    <col min="486" max="486" width="27.140625" hidden="1" customWidth="1"/>
    <col min="487" max="487" width="23.42578125" hidden="1" customWidth="1"/>
    <col min="488" max="488" width="29.7109375" hidden="1" customWidth="1"/>
    <col min="489" max="489" width="31.28515625" hidden="1" customWidth="1"/>
    <col min="490" max="490" width="27.7109375" hidden="1" customWidth="1"/>
    <col min="491" max="491" width="29.140625" hidden="1" customWidth="1"/>
    <col min="492" max="492" width="25.42578125" hidden="1" customWidth="1"/>
    <col min="493" max="493" width="30.7109375" hidden="1" customWidth="1"/>
    <col min="494" max="494" width="32.28515625" hidden="1" customWidth="1"/>
    <col min="495" max="495" width="28.7109375" hidden="1" customWidth="1"/>
    <col min="496" max="496" width="24.7109375" hidden="1" customWidth="1"/>
    <col min="497" max="497" width="22.7109375" hidden="1" customWidth="1"/>
    <col min="498" max="498" width="24.42578125" hidden="1" customWidth="1"/>
    <col min="499" max="499" width="26.140625" hidden="1" customWidth="1"/>
    <col min="500" max="500" width="22.42578125" hidden="1" customWidth="1"/>
    <col min="501" max="501" width="25.28515625" hidden="1" customWidth="1"/>
    <col min="502" max="502" width="30.42578125" hidden="1" customWidth="1"/>
    <col min="503" max="503" width="32" hidden="1" customWidth="1"/>
    <col min="504" max="504" width="28.28515625" hidden="1" customWidth="1"/>
    <col min="505" max="505" width="33.28515625" hidden="1" customWidth="1"/>
    <col min="506" max="506" width="31.28515625" hidden="1" customWidth="1"/>
    <col min="507" max="507" width="23.42578125" hidden="1" customWidth="1"/>
    <col min="508" max="508" width="25" hidden="1" customWidth="1"/>
    <col min="509" max="509" width="21.28515625" hidden="1" customWidth="1"/>
    <col min="510" max="510" width="37.7109375" hidden="1" customWidth="1"/>
    <col min="511" max="511" width="39.42578125" hidden="1" customWidth="1"/>
    <col min="512" max="512" width="35.7109375" hidden="1" customWidth="1"/>
    <col min="513" max="513" width="26.5703125" hidden="1" customWidth="1"/>
    <col min="514" max="514" width="28.140625" hidden="1" customWidth="1"/>
    <col min="515" max="515" width="24.42578125" hidden="1" customWidth="1"/>
    <col min="516" max="516" width="17.7109375" hidden="1" customWidth="1"/>
    <col min="517" max="517" width="36.7109375" hidden="1" customWidth="1"/>
    <col min="518" max="518" width="34.7109375" hidden="1" customWidth="1"/>
    <col min="519" max="519" width="35.42578125" hidden="1" customWidth="1"/>
    <col min="520" max="520" width="32" hidden="1" customWidth="1"/>
    <col min="521" max="521" width="33.5703125" hidden="1" customWidth="1"/>
    <col min="522" max="522" width="30" hidden="1" customWidth="1"/>
    <col min="523" max="523" width="34.140625" hidden="1" customWidth="1"/>
    <col min="524" max="524" width="35.7109375" hidden="1" customWidth="1"/>
    <col min="525" max="525" width="32" hidden="1" customWidth="1"/>
    <col min="526" max="526" width="37.42578125" hidden="1" customWidth="1"/>
    <col min="527" max="527" width="33.7109375" hidden="1" customWidth="1"/>
    <col min="528" max="528" width="34.7109375" hidden="1" customWidth="1"/>
    <col min="529" max="529" width="32.28515625" hidden="1" customWidth="1"/>
    <col min="530" max="530" width="28.5703125" hidden="1" customWidth="1"/>
    <col min="531" max="531" width="34.7109375" hidden="1" customWidth="1"/>
    <col min="532" max="532" width="24.28515625" hidden="1" customWidth="1"/>
    <col min="533" max="533" width="25.7109375" hidden="1" customWidth="1"/>
    <col min="534" max="534" width="22.28515625" hidden="1" customWidth="1"/>
    <col min="535" max="535" width="23.7109375" hidden="1" customWidth="1"/>
    <col min="536" max="536" width="25.28515625" hidden="1" customWidth="1"/>
    <col min="537" max="537" width="26" hidden="1" customWidth="1"/>
    <col min="538" max="538" width="27.5703125" hidden="1" customWidth="1"/>
    <col min="539" max="539" width="29.140625" hidden="1" customWidth="1"/>
    <col min="540" max="540" width="25.42578125" hidden="1" customWidth="1"/>
    <col min="541" max="541" width="31.140625" hidden="1" customWidth="1"/>
    <col min="542" max="542" width="29" hidden="1" customWidth="1"/>
    <col min="543" max="543" width="24" hidden="1" customWidth="1"/>
    <col min="544" max="544" width="23.7109375" hidden="1" customWidth="1"/>
    <col min="545" max="545" width="21.7109375" hidden="1" customWidth="1"/>
    <col min="546" max="546" width="20.85546875" hidden="1" customWidth="1"/>
    <col min="547" max="547" width="17.5703125" hidden="1" customWidth="1"/>
    <col min="548" max="548" width="13.85546875" hidden="1" customWidth="1"/>
    <col min="549" max="549" width="15.140625" hidden="1" customWidth="1"/>
    <col min="550" max="550" width="16.7109375" hidden="1" customWidth="1"/>
    <col min="551" max="551" width="21.28515625" hidden="1" customWidth="1"/>
    <col min="552" max="552" width="25.140625" hidden="1" customWidth="1"/>
    <col min="553" max="553" width="25.85546875" hidden="1" customWidth="1"/>
    <col min="554" max="554" width="26" hidden="1" customWidth="1"/>
    <col min="555" max="555" width="26.7109375" hidden="1" customWidth="1"/>
    <col min="556" max="557" width="25.42578125" hidden="1" customWidth="1"/>
    <col min="558" max="558" width="26.28515625" hidden="1" customWidth="1"/>
    <col min="559" max="559" width="20.5703125" hidden="1" customWidth="1"/>
    <col min="560" max="560" width="28.28515625" hidden="1" customWidth="1"/>
    <col min="561" max="561" width="28.7109375" hidden="1" customWidth="1"/>
    <col min="562" max="562" width="24.28515625" hidden="1" customWidth="1"/>
    <col min="563" max="563" width="24.140625" hidden="1" customWidth="1"/>
    <col min="564" max="564" width="24.7109375" hidden="1" customWidth="1"/>
    <col min="565" max="565" width="24.85546875" hidden="1" customWidth="1"/>
    <col min="566" max="566" width="25.5703125" hidden="1" customWidth="1"/>
    <col min="567" max="567" width="24.42578125" hidden="1" customWidth="1"/>
    <col min="568" max="568" width="25.140625" hidden="1" customWidth="1"/>
    <col min="569" max="570" width="24.42578125" hidden="1" customWidth="1"/>
    <col min="571" max="571" width="25.140625" hidden="1" customWidth="1"/>
    <col min="572" max="572" width="19.5703125" hidden="1" customWidth="1"/>
    <col min="573" max="573" width="27.28515625" hidden="1" customWidth="1"/>
    <col min="574" max="574" width="27.7109375" hidden="1" customWidth="1"/>
    <col min="575" max="575" width="22.42578125" hidden="1" customWidth="1"/>
    <col min="576" max="576" width="23.28515625" hidden="1" customWidth="1"/>
    <col min="577" max="577" width="17.7109375" hidden="1" customWidth="1"/>
    <col min="578" max="578" width="19" hidden="1" customWidth="1"/>
    <col min="579" max="579" width="17.5703125" hidden="1" customWidth="1"/>
    <col min="580" max="580" width="15.5703125" hidden="1" customWidth="1"/>
    <col min="581" max="581" width="25.7109375" customWidth="1"/>
    <col min="582" max="582" width="81" hidden="1" customWidth="1"/>
    <col min="583" max="583" width="81.28515625" hidden="1" customWidth="1"/>
    <col min="584" max="585" width="9.7109375" customWidth="1"/>
    <col min="586" max="586" width="15.5703125" customWidth="1"/>
    <col min="587" max="587" width="20.85546875" bestFit="1" customWidth="1"/>
    <col min="588" max="589" width="13.7109375" customWidth="1"/>
    <col min="590" max="592" width="9.7109375" customWidth="1"/>
    <col min="593" max="593" width="15.7109375" customWidth="1"/>
    <col min="594" max="594" width="13.7109375" customWidth="1"/>
    <col min="595" max="595" width="9.7109375" customWidth="1"/>
    <col min="596" max="596" width="23.7109375" customWidth="1"/>
    <col min="597" max="604" width="9.7109375" customWidth="1"/>
  </cols>
  <sheetData>
    <row r="1" spans="1:622" x14ac:dyDescent="0.25">
      <c r="A1" s="1" t="s">
        <v>0</v>
      </c>
      <c r="B1" s="10" t="s">
        <v>1</v>
      </c>
      <c r="C1" s="10" t="s">
        <v>2027</v>
      </c>
      <c r="D1" s="1" t="s">
        <v>2093</v>
      </c>
      <c r="E1" s="1" t="s">
        <v>2094</v>
      </c>
      <c r="F1" s="1" t="s">
        <v>2095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 t="s">
        <v>2097</v>
      </c>
      <c r="BV1" s="10" t="s">
        <v>2098</v>
      </c>
      <c r="BW1" s="10" t="s">
        <v>2</v>
      </c>
      <c r="BX1" s="1" t="s">
        <v>2028</v>
      </c>
      <c r="BY1" s="1" t="s">
        <v>2029</v>
      </c>
      <c r="BZ1" s="1" t="s">
        <v>2030</v>
      </c>
      <c r="CA1" s="1" t="s">
        <v>2031</v>
      </c>
      <c r="CB1" s="1" t="s">
        <v>2032</v>
      </c>
      <c r="CC1" s="1" t="s">
        <v>2033</v>
      </c>
      <c r="CD1" s="1" t="s">
        <v>2034</v>
      </c>
      <c r="CE1" s="10" t="s">
        <v>2106</v>
      </c>
      <c r="CF1" s="1" t="s">
        <v>2036</v>
      </c>
      <c r="CG1" s="1" t="s">
        <v>2037</v>
      </c>
      <c r="CH1" s="1" t="s">
        <v>2038</v>
      </c>
      <c r="CI1" s="1" t="s">
        <v>2039</v>
      </c>
      <c r="CJ1" s="1" t="s">
        <v>2040</v>
      </c>
      <c r="CK1" s="1" t="s">
        <v>2041</v>
      </c>
      <c r="CL1" s="1" t="s">
        <v>2042</v>
      </c>
      <c r="CM1" s="1" t="s">
        <v>2043</v>
      </c>
      <c r="CN1" s="1" t="s">
        <v>2044</v>
      </c>
      <c r="CO1" s="1" t="s">
        <v>2045</v>
      </c>
      <c r="CP1" s="1" t="s">
        <v>2046</v>
      </c>
      <c r="CQ1" s="1" t="s">
        <v>2047</v>
      </c>
      <c r="CR1" s="1" t="s">
        <v>2048</v>
      </c>
      <c r="CS1" s="1" t="s">
        <v>2049</v>
      </c>
      <c r="CT1" s="1" t="s">
        <v>2050</v>
      </c>
      <c r="CU1" s="1" t="s">
        <v>2051</v>
      </c>
      <c r="CV1" s="1" t="s">
        <v>2052</v>
      </c>
      <c r="CW1" s="1" t="s">
        <v>2053</v>
      </c>
      <c r="CX1" s="1" t="s">
        <v>2054</v>
      </c>
      <c r="CY1" s="1" t="s">
        <v>2055</v>
      </c>
      <c r="CZ1" s="1" t="s">
        <v>2056</v>
      </c>
      <c r="DA1" s="1" t="s">
        <v>2057</v>
      </c>
      <c r="DB1" s="1" t="s">
        <v>2058</v>
      </c>
      <c r="DC1" s="1" t="s">
        <v>2059</v>
      </c>
      <c r="DD1" s="1" t="s">
        <v>2060</v>
      </c>
      <c r="DE1" s="1" t="s">
        <v>2061</v>
      </c>
      <c r="DF1" s="38" t="s">
        <v>2062</v>
      </c>
      <c r="DG1" s="38" t="s">
        <v>2063</v>
      </c>
      <c r="DH1" s="38" t="s">
        <v>2064</v>
      </c>
      <c r="DI1" s="38" t="s">
        <v>2065</v>
      </c>
      <c r="DJ1" s="1" t="s">
        <v>2066</v>
      </c>
      <c r="DK1" s="1" t="s">
        <v>2067</v>
      </c>
      <c r="DL1" s="1" t="s">
        <v>2068</v>
      </c>
      <c r="DM1" s="1" t="s">
        <v>2069</v>
      </c>
      <c r="DN1" s="51" t="s">
        <v>2141</v>
      </c>
      <c r="DO1" s="1" t="s">
        <v>2070</v>
      </c>
      <c r="DP1" s="1" t="s">
        <v>2071</v>
      </c>
      <c r="DQ1" s="1" t="s">
        <v>2072</v>
      </c>
      <c r="DR1" s="1" t="s">
        <v>2073</v>
      </c>
      <c r="DS1" s="1" t="s">
        <v>2074</v>
      </c>
      <c r="DT1" s="1" t="s">
        <v>2075</v>
      </c>
      <c r="DU1" s="1" t="s">
        <v>2076</v>
      </c>
      <c r="DV1" s="1" t="s">
        <v>2077</v>
      </c>
      <c r="DW1" s="1" t="s">
        <v>2078</v>
      </c>
      <c r="DX1" s="1" t="s">
        <v>2079</v>
      </c>
      <c r="DY1" s="1" t="s">
        <v>2080</v>
      </c>
      <c r="DZ1" s="1" t="s">
        <v>2081</v>
      </c>
      <c r="EA1" s="1" t="s">
        <v>2082</v>
      </c>
      <c r="EB1" s="1" t="s">
        <v>2083</v>
      </c>
      <c r="EC1" s="1" t="s">
        <v>2084</v>
      </c>
      <c r="ED1" s="1" t="s">
        <v>2085</v>
      </c>
      <c r="EE1" s="1" t="s">
        <v>2086</v>
      </c>
      <c r="EF1" s="1" t="s">
        <v>2087</v>
      </c>
      <c r="EG1" s="1" t="s">
        <v>2088</v>
      </c>
      <c r="EH1" s="1" t="s">
        <v>2089</v>
      </c>
      <c r="EI1" s="1" t="s">
        <v>2090</v>
      </c>
      <c r="EJ1" s="1" t="s">
        <v>2091</v>
      </c>
      <c r="EK1" s="1" t="s">
        <v>2092</v>
      </c>
      <c r="EL1" s="1" t="s">
        <v>2099</v>
      </c>
      <c r="EM1" s="1" t="s">
        <v>2100</v>
      </c>
      <c r="EN1" s="1" t="s">
        <v>2101</v>
      </c>
      <c r="EO1" s="1" t="s">
        <v>2102</v>
      </c>
      <c r="EP1" s="1" t="s">
        <v>2103</v>
      </c>
      <c r="EQ1" s="1" t="s">
        <v>2104</v>
      </c>
      <c r="ER1" s="1" t="s">
        <v>2105</v>
      </c>
      <c r="ES1" s="1" t="s">
        <v>2107</v>
      </c>
      <c r="ET1" s="1" t="s">
        <v>2108</v>
      </c>
      <c r="EU1" s="1" t="s">
        <v>2109</v>
      </c>
      <c r="EV1" s="1" t="s">
        <v>2110</v>
      </c>
      <c r="EW1" s="1" t="s">
        <v>2111</v>
      </c>
      <c r="EX1" s="10" t="s">
        <v>2112</v>
      </c>
      <c r="EY1" s="1" t="s">
        <v>2113</v>
      </c>
      <c r="EZ1" s="1" t="s">
        <v>2114</v>
      </c>
      <c r="FA1" s="1" t="s">
        <v>2115</v>
      </c>
      <c r="FB1" s="1" t="s">
        <v>2118</v>
      </c>
      <c r="FC1" s="1" t="s">
        <v>2119</v>
      </c>
      <c r="FD1" s="1" t="s">
        <v>2120</v>
      </c>
      <c r="FE1" s="1" t="s">
        <v>2121</v>
      </c>
      <c r="FF1" s="1" t="s">
        <v>2122</v>
      </c>
      <c r="FG1" s="1" t="s">
        <v>2142</v>
      </c>
      <c r="FH1" s="1" t="s">
        <v>2143</v>
      </c>
      <c r="FI1" s="1" t="s">
        <v>2144</v>
      </c>
      <c r="FJ1" s="1" t="s">
        <v>2145</v>
      </c>
      <c r="FK1" s="1" t="s">
        <v>2146</v>
      </c>
      <c r="FL1" s="1" t="s">
        <v>2147</v>
      </c>
      <c r="FM1" s="1" t="s">
        <v>2148</v>
      </c>
      <c r="FN1" s="10" t="s">
        <v>2193</v>
      </c>
      <c r="FO1" s="10" t="s">
        <v>2194</v>
      </c>
      <c r="FP1" s="1" t="s">
        <v>2196</v>
      </c>
      <c r="FQ1" s="1" t="s">
        <v>2197</v>
      </c>
      <c r="FR1" s="1" t="s">
        <v>2198</v>
      </c>
      <c r="FS1" s="1" t="s">
        <v>2199</v>
      </c>
      <c r="FT1" s="1" t="s">
        <v>2200</v>
      </c>
      <c r="FU1" s="1" t="s">
        <v>2201</v>
      </c>
      <c r="FV1" s="1" t="s">
        <v>2202</v>
      </c>
      <c r="FW1" s="1" t="s">
        <v>2203</v>
      </c>
      <c r="FX1" s="1" t="s">
        <v>2204</v>
      </c>
      <c r="FY1" s="1" t="s">
        <v>2205</v>
      </c>
      <c r="FZ1" s="1" t="s">
        <v>4962</v>
      </c>
      <c r="GA1" s="1" t="s">
        <v>4963</v>
      </c>
      <c r="GB1" s="1" t="s">
        <v>4964</v>
      </c>
      <c r="GC1" s="1" t="s">
        <v>4965</v>
      </c>
      <c r="GD1" s="1" t="s">
        <v>2206</v>
      </c>
      <c r="GE1" s="10" t="s">
        <v>3</v>
      </c>
      <c r="GF1" s="1" t="s">
        <v>2208</v>
      </c>
      <c r="GG1" s="59" t="s">
        <v>2207</v>
      </c>
      <c r="GH1" s="59" t="s">
        <v>2209</v>
      </c>
      <c r="GI1" s="59" t="s">
        <v>2210</v>
      </c>
      <c r="GJ1" s="59" t="s">
        <v>2211</v>
      </c>
      <c r="GK1" s="59" t="s">
        <v>2640</v>
      </c>
      <c r="GL1" s="59" t="s">
        <v>2212</v>
      </c>
      <c r="GM1" s="11" t="s">
        <v>4168</v>
      </c>
      <c r="GN1" s="11" t="s">
        <v>4169</v>
      </c>
      <c r="GO1" s="11" t="s">
        <v>4170</v>
      </c>
      <c r="GP1" s="37" t="s">
        <v>4171</v>
      </c>
      <c r="GQ1" s="1" t="s">
        <v>2213</v>
      </c>
      <c r="GR1" s="10" t="s">
        <v>4</v>
      </c>
      <c r="GS1" s="10" t="s">
        <v>2214</v>
      </c>
      <c r="GT1" s="10" t="s">
        <v>4966</v>
      </c>
      <c r="GU1" s="1" t="s">
        <v>2215</v>
      </c>
      <c r="GV1" s="1" t="s">
        <v>2216</v>
      </c>
      <c r="GW1" s="1" t="s">
        <v>2217</v>
      </c>
      <c r="GX1" s="1" t="s">
        <v>2218</v>
      </c>
      <c r="GY1" s="1" t="s">
        <v>2219</v>
      </c>
      <c r="GZ1" s="1" t="s">
        <v>2220</v>
      </c>
      <c r="HA1" s="1" t="s">
        <v>2222</v>
      </c>
      <c r="HB1" s="1" t="s">
        <v>2223</v>
      </c>
      <c r="HC1" s="1" t="s">
        <v>2224</v>
      </c>
      <c r="HD1" s="1" t="s">
        <v>2225</v>
      </c>
      <c r="HE1" s="1" t="s">
        <v>2226</v>
      </c>
      <c r="HF1" s="1" t="s">
        <v>2227</v>
      </c>
      <c r="HG1" s="1" t="s">
        <v>2228</v>
      </c>
      <c r="HH1" s="1" t="s">
        <v>2229</v>
      </c>
      <c r="HI1" s="1" t="s">
        <v>2230</v>
      </c>
      <c r="HJ1" s="1" t="s">
        <v>2231</v>
      </c>
      <c r="HK1" s="1" t="s">
        <v>2232</v>
      </c>
      <c r="HL1" s="1" t="s">
        <v>2233</v>
      </c>
      <c r="HM1" s="1" t="s">
        <v>2234</v>
      </c>
      <c r="HN1" s="1" t="s">
        <v>2235</v>
      </c>
      <c r="HO1" s="1" t="s">
        <v>2236</v>
      </c>
      <c r="HP1" s="1" t="s">
        <v>2237</v>
      </c>
      <c r="HQ1" s="1" t="s">
        <v>2238</v>
      </c>
      <c r="HR1" s="1" t="s">
        <v>2239</v>
      </c>
      <c r="HS1" s="1" t="s">
        <v>2240</v>
      </c>
      <c r="HT1" s="1" t="s">
        <v>2241</v>
      </c>
      <c r="HU1" s="1" t="s">
        <v>2242</v>
      </c>
      <c r="HV1" s="1" t="s">
        <v>2243</v>
      </c>
      <c r="HW1" s="1" t="s">
        <v>2244</v>
      </c>
      <c r="HX1" s="1" t="s">
        <v>2245</v>
      </c>
      <c r="HY1" s="1" t="s">
        <v>2248</v>
      </c>
      <c r="HZ1" s="1" t="s">
        <v>2249</v>
      </c>
      <c r="IA1" s="1" t="s">
        <v>2250</v>
      </c>
      <c r="IB1" s="1" t="s">
        <v>2251</v>
      </c>
      <c r="IC1" s="1" t="s">
        <v>2252</v>
      </c>
      <c r="ID1" s="1" t="s">
        <v>2253</v>
      </c>
      <c r="IE1" s="1" t="s">
        <v>2254</v>
      </c>
      <c r="IF1" s="1" t="s">
        <v>2255</v>
      </c>
      <c r="IG1" s="1" t="s">
        <v>2256</v>
      </c>
      <c r="IH1" s="1" t="s">
        <v>2257</v>
      </c>
      <c r="II1" s="1" t="s">
        <v>2258</v>
      </c>
      <c r="IJ1" s="1" t="s">
        <v>2259</v>
      </c>
      <c r="IK1" s="1" t="s">
        <v>2260</v>
      </c>
      <c r="IL1" s="1" t="s">
        <v>2261</v>
      </c>
      <c r="IM1" s="1" t="s">
        <v>2262</v>
      </c>
      <c r="IN1" s="1" t="s">
        <v>2263</v>
      </c>
      <c r="IO1" s="1" t="s">
        <v>2270</v>
      </c>
      <c r="IP1" s="1" t="s">
        <v>2271</v>
      </c>
      <c r="IQ1" s="1" t="s">
        <v>2272</v>
      </c>
      <c r="IR1" s="1" t="s">
        <v>2273</v>
      </c>
      <c r="IS1" s="1" t="s">
        <v>2274</v>
      </c>
      <c r="IT1" s="1" t="s">
        <v>2275</v>
      </c>
      <c r="IU1" s="1" t="s">
        <v>2276</v>
      </c>
      <c r="IV1" s="1" t="s">
        <v>2278</v>
      </c>
      <c r="IW1" s="1" t="s">
        <v>2279</v>
      </c>
      <c r="IX1" s="1" t="s">
        <v>2280</v>
      </c>
      <c r="IY1" s="1" t="s">
        <v>2281</v>
      </c>
      <c r="IZ1" s="10" t="s">
        <v>2282</v>
      </c>
      <c r="JA1" s="1" t="s">
        <v>4967</v>
      </c>
      <c r="JB1" s="1" t="s">
        <v>4968</v>
      </c>
      <c r="JC1" s="1" t="s">
        <v>4969</v>
      </c>
      <c r="JD1" s="1" t="s">
        <v>2285</v>
      </c>
      <c r="JE1" s="1" t="s">
        <v>2287</v>
      </c>
      <c r="JF1" s="1" t="s">
        <v>2288</v>
      </c>
      <c r="JG1" s="1" t="s">
        <v>2289</v>
      </c>
      <c r="JH1" s="1" t="s">
        <v>2290</v>
      </c>
      <c r="JI1" s="10" t="s">
        <v>2291</v>
      </c>
      <c r="JJ1" s="1" t="s">
        <v>2292</v>
      </c>
      <c r="JK1" s="1" t="s">
        <v>2293</v>
      </c>
      <c r="JL1" s="1" t="s">
        <v>2294</v>
      </c>
      <c r="JM1" s="1" t="s">
        <v>2295</v>
      </c>
      <c r="JN1" s="1" t="s">
        <v>2297</v>
      </c>
      <c r="JO1" s="1" t="s">
        <v>2298</v>
      </c>
      <c r="JP1" s="1" t="s">
        <v>2299</v>
      </c>
      <c r="JQ1" s="1" t="s">
        <v>2300</v>
      </c>
      <c r="JR1" s="1" t="s">
        <v>2301</v>
      </c>
      <c r="JS1" s="1" t="s">
        <v>2302</v>
      </c>
      <c r="JT1" s="1"/>
      <c r="JU1" s="1"/>
      <c r="JV1" s="10" t="s">
        <v>2303</v>
      </c>
      <c r="JW1" s="1" t="s">
        <v>2304</v>
      </c>
      <c r="JX1" s="1" t="s">
        <v>2305</v>
      </c>
      <c r="JY1" s="1" t="s">
        <v>2306</v>
      </c>
      <c r="JZ1" s="1" t="s">
        <v>2307</v>
      </c>
      <c r="KA1" s="1"/>
      <c r="KB1" s="1"/>
      <c r="KC1" s="1"/>
      <c r="KD1" s="1"/>
      <c r="KE1" s="1"/>
      <c r="KF1" s="1"/>
      <c r="KG1" s="11" t="s">
        <v>2308</v>
      </c>
      <c r="KH1" s="11" t="s">
        <v>2309</v>
      </c>
      <c r="KI1" s="11" t="s">
        <v>2310</v>
      </c>
      <c r="KJ1" s="1" t="s">
        <v>2311</v>
      </c>
      <c r="KK1" s="11" t="s">
        <v>2312</v>
      </c>
      <c r="KL1" s="11" t="s">
        <v>2313</v>
      </c>
      <c r="KM1" s="11" t="s">
        <v>2314</v>
      </c>
      <c r="KN1" s="1" t="s">
        <v>4179</v>
      </c>
      <c r="KO1" s="11" t="s">
        <v>2315</v>
      </c>
      <c r="KP1" s="1" t="s">
        <v>2316</v>
      </c>
      <c r="KQ1" s="1" t="s">
        <v>2317</v>
      </c>
      <c r="KR1" s="1" t="s">
        <v>2318</v>
      </c>
      <c r="KS1" s="1" t="s">
        <v>2319</v>
      </c>
      <c r="KT1" s="1" t="s">
        <v>2320</v>
      </c>
      <c r="KU1" s="1" t="s">
        <v>2321</v>
      </c>
      <c r="KV1" s="1" t="s">
        <v>2322</v>
      </c>
      <c r="KW1" s="1" t="s">
        <v>2323</v>
      </c>
      <c r="KX1" s="1" t="s">
        <v>2324</v>
      </c>
      <c r="KY1" s="1" t="s">
        <v>2325</v>
      </c>
      <c r="KZ1" s="1" t="s">
        <v>2326</v>
      </c>
      <c r="LA1" s="1" t="s">
        <v>2327</v>
      </c>
      <c r="LB1" s="1" t="s">
        <v>2328</v>
      </c>
      <c r="LC1" s="1" t="s">
        <v>2329</v>
      </c>
      <c r="LD1" s="1" t="s">
        <v>2330</v>
      </c>
      <c r="LE1" s="1" t="s">
        <v>2331</v>
      </c>
      <c r="LF1" s="1" t="s">
        <v>2332</v>
      </c>
      <c r="LG1" s="1" t="s">
        <v>2333</v>
      </c>
      <c r="LH1" s="1" t="s">
        <v>2334</v>
      </c>
      <c r="LI1" s="1" t="s">
        <v>2335</v>
      </c>
      <c r="LJ1" s="1" t="s">
        <v>2336</v>
      </c>
      <c r="LK1" s="1" t="s">
        <v>2337</v>
      </c>
      <c r="LL1" s="1" t="s">
        <v>2338</v>
      </c>
      <c r="LM1" s="1" t="s">
        <v>2339</v>
      </c>
      <c r="LN1" s="1" t="s">
        <v>2340</v>
      </c>
      <c r="LO1" s="1" t="s">
        <v>2341</v>
      </c>
      <c r="LP1" s="1" t="s">
        <v>2342</v>
      </c>
      <c r="LQ1" s="1" t="s">
        <v>2343</v>
      </c>
      <c r="LR1" s="1" t="s">
        <v>2344</v>
      </c>
      <c r="LS1" s="1" t="s">
        <v>2345</v>
      </c>
      <c r="LT1" s="1" t="s">
        <v>2346</v>
      </c>
      <c r="LU1" s="1" t="s">
        <v>2347</v>
      </c>
      <c r="LV1" s="1" t="s">
        <v>2348</v>
      </c>
      <c r="LW1" s="1" t="s">
        <v>2349</v>
      </c>
      <c r="LX1" s="1" t="s">
        <v>2350</v>
      </c>
      <c r="LY1" s="1" t="s">
        <v>2357</v>
      </c>
      <c r="LZ1" s="1" t="s">
        <v>2358</v>
      </c>
      <c r="MA1" s="1" t="s">
        <v>2359</v>
      </c>
      <c r="MB1" s="1" t="s">
        <v>4970</v>
      </c>
      <c r="MC1" s="10" t="s">
        <v>2360</v>
      </c>
      <c r="MD1" s="1" t="s">
        <v>2361</v>
      </c>
      <c r="ME1" s="1" t="s">
        <v>4971</v>
      </c>
      <c r="MF1" s="1" t="s">
        <v>2362</v>
      </c>
      <c r="MG1" s="1" t="s">
        <v>2363</v>
      </c>
      <c r="MH1" s="1" t="s">
        <v>2364</v>
      </c>
      <c r="MI1" s="1" t="s">
        <v>2365</v>
      </c>
      <c r="MJ1" s="1" t="s">
        <v>2366</v>
      </c>
      <c r="MK1" s="1" t="s">
        <v>2367</v>
      </c>
      <c r="ML1" s="1" t="s">
        <v>2368</v>
      </c>
      <c r="MM1" s="1" t="s">
        <v>2369</v>
      </c>
      <c r="MN1" s="1" t="s">
        <v>2370</v>
      </c>
      <c r="MO1" s="1" t="s">
        <v>2371</v>
      </c>
      <c r="MP1" s="1" t="s">
        <v>2372</v>
      </c>
      <c r="MQ1" s="1" t="s">
        <v>2373</v>
      </c>
      <c r="MR1" s="1" t="s">
        <v>2374</v>
      </c>
      <c r="MS1" s="1" t="s">
        <v>2375</v>
      </c>
      <c r="MT1" s="1" t="s">
        <v>2376</v>
      </c>
      <c r="MU1" s="1" t="s">
        <v>2377</v>
      </c>
      <c r="MV1" s="1" t="s">
        <v>2378</v>
      </c>
      <c r="MW1" s="1" t="s">
        <v>2383</v>
      </c>
      <c r="MX1" s="1" t="s">
        <v>2384</v>
      </c>
      <c r="MY1" s="1" t="s">
        <v>2385</v>
      </c>
      <c r="MZ1" s="1" t="s">
        <v>2387</v>
      </c>
      <c r="NA1" s="1" t="s">
        <v>2388</v>
      </c>
      <c r="NB1" s="1" t="s">
        <v>2389</v>
      </c>
      <c r="NC1" s="1"/>
      <c r="ND1" s="1"/>
      <c r="NE1" s="1"/>
      <c r="NF1" s="1"/>
      <c r="NG1" s="1"/>
      <c r="NH1" s="1"/>
      <c r="NI1" s="1" t="s">
        <v>5348</v>
      </c>
      <c r="NJ1" s="1"/>
      <c r="NK1" s="1"/>
      <c r="NL1" s="1"/>
      <c r="NM1" s="10" t="s">
        <v>2390</v>
      </c>
      <c r="NN1" s="1" t="s">
        <v>2391</v>
      </c>
      <c r="NO1" s="10" t="s">
        <v>2392</v>
      </c>
      <c r="NP1" s="1" t="s">
        <v>2393</v>
      </c>
      <c r="NQ1" s="1" t="s">
        <v>2394</v>
      </c>
      <c r="NR1" s="10" t="s">
        <v>2395</v>
      </c>
      <c r="NS1" s="1"/>
      <c r="NT1" s="10" t="s">
        <v>6</v>
      </c>
      <c r="NU1" s="1" t="s">
        <v>2397</v>
      </c>
      <c r="NV1" s="1" t="s">
        <v>2398</v>
      </c>
      <c r="NW1" s="1" t="s">
        <v>2399</v>
      </c>
      <c r="NX1" s="1" t="s">
        <v>2403</v>
      </c>
      <c r="NY1" s="1" t="s">
        <v>2404</v>
      </c>
      <c r="NZ1" s="1" t="s">
        <v>2405</v>
      </c>
      <c r="OA1" s="1" t="s">
        <v>2406</v>
      </c>
      <c r="OB1" s="1" t="s">
        <v>2407</v>
      </c>
      <c r="OC1" s="1" t="s">
        <v>4185</v>
      </c>
      <c r="OD1" s="1" t="s">
        <v>2413</v>
      </c>
      <c r="OE1" s="1" t="s">
        <v>2414</v>
      </c>
      <c r="OF1" s="1" t="s">
        <v>2415</v>
      </c>
      <c r="OG1" s="1" t="s">
        <v>2416</v>
      </c>
      <c r="OH1" s="1" t="s">
        <v>2417</v>
      </c>
      <c r="OI1" s="1" t="s">
        <v>2418</v>
      </c>
      <c r="OJ1" s="1" t="s">
        <v>2419</v>
      </c>
      <c r="OK1" s="1" t="s">
        <v>2420</v>
      </c>
      <c r="OL1" s="1" t="s">
        <v>2421</v>
      </c>
      <c r="OM1" s="1" t="s">
        <v>2422</v>
      </c>
      <c r="ON1" s="1" t="s">
        <v>2423</v>
      </c>
      <c r="OO1" s="1" t="s">
        <v>2424</v>
      </c>
      <c r="OP1" s="1" t="s">
        <v>2425</v>
      </c>
      <c r="OQ1" s="1" t="s">
        <v>2426</v>
      </c>
      <c r="OR1" s="1" t="s">
        <v>2427</v>
      </c>
      <c r="OS1" s="1" t="s">
        <v>2428</v>
      </c>
      <c r="OT1" s="10" t="s">
        <v>2429</v>
      </c>
      <c r="OU1" s="10" t="s">
        <v>2430</v>
      </c>
      <c r="OV1" s="1" t="s">
        <v>2431</v>
      </c>
      <c r="OW1" s="1" t="s">
        <v>4972</v>
      </c>
      <c r="OX1" s="10" t="s">
        <v>2432</v>
      </c>
      <c r="OY1" s="10" t="s">
        <v>2433</v>
      </c>
      <c r="OZ1" s="1" t="s">
        <v>4973</v>
      </c>
      <c r="PA1" s="1" t="s">
        <v>4974</v>
      </c>
      <c r="PB1" s="1" t="s">
        <v>2434</v>
      </c>
      <c r="PC1" s="1" t="s">
        <v>2435</v>
      </c>
      <c r="PD1" s="1" t="s">
        <v>2645</v>
      </c>
      <c r="PE1" s="1" t="s">
        <v>2646</v>
      </c>
      <c r="PF1" s="1" t="s">
        <v>4975</v>
      </c>
      <c r="PG1" s="1" t="s">
        <v>4976</v>
      </c>
      <c r="PH1" s="1" t="s">
        <v>4977</v>
      </c>
      <c r="PI1" s="1" t="s">
        <v>4978</v>
      </c>
      <c r="PJ1" s="1" t="s">
        <v>4979</v>
      </c>
      <c r="PK1" s="1" t="s">
        <v>4980</v>
      </c>
      <c r="PL1" s="1" t="s">
        <v>4981</v>
      </c>
      <c r="PM1" s="1" t="s">
        <v>4982</v>
      </c>
      <c r="PN1" s="1" t="s">
        <v>4983</v>
      </c>
      <c r="PO1" s="1" t="s">
        <v>4984</v>
      </c>
      <c r="PP1" s="1" t="s">
        <v>2442</v>
      </c>
      <c r="PQ1" s="1" t="s">
        <v>2444</v>
      </c>
      <c r="PR1" s="1" t="s">
        <v>2445</v>
      </c>
      <c r="PS1" s="1" t="s">
        <v>2446</v>
      </c>
      <c r="PT1" s="1" t="s">
        <v>2447</v>
      </c>
      <c r="PU1" s="1" t="s">
        <v>2448</v>
      </c>
      <c r="PV1" s="1" t="s">
        <v>2450</v>
      </c>
      <c r="PW1" s="1" t="s">
        <v>2451</v>
      </c>
      <c r="PX1" s="1" t="s">
        <v>2452</v>
      </c>
      <c r="PY1" s="1" t="s">
        <v>2453</v>
      </c>
      <c r="PZ1" s="1" t="s">
        <v>2454</v>
      </c>
      <c r="QA1" s="1" t="s">
        <v>2455</v>
      </c>
      <c r="QB1" s="1" t="s">
        <v>2457</v>
      </c>
      <c r="QC1" s="1" t="s">
        <v>2458</v>
      </c>
      <c r="QD1" s="1" t="s">
        <v>4985</v>
      </c>
      <c r="QE1" s="1" t="s">
        <v>4986</v>
      </c>
      <c r="QF1" s="1" t="s">
        <v>4987</v>
      </c>
      <c r="QG1" s="1" t="s">
        <v>4988</v>
      </c>
      <c r="QH1" s="1" t="s">
        <v>4989</v>
      </c>
      <c r="QI1" s="1" t="s">
        <v>4990</v>
      </c>
      <c r="QJ1" s="1" t="s">
        <v>4991</v>
      </c>
      <c r="QK1" s="1" t="s">
        <v>4992</v>
      </c>
      <c r="QL1" s="1" t="s">
        <v>4993</v>
      </c>
      <c r="QM1" s="1" t="s">
        <v>4994</v>
      </c>
      <c r="QN1" s="1" t="s">
        <v>4995</v>
      </c>
      <c r="QO1" s="1" t="s">
        <v>4996</v>
      </c>
      <c r="QP1" s="1" t="s">
        <v>4997</v>
      </c>
      <c r="QQ1" s="1" t="s">
        <v>4998</v>
      </c>
      <c r="QR1" s="1" t="s">
        <v>4999</v>
      </c>
      <c r="QS1" s="1" t="s">
        <v>5000</v>
      </c>
      <c r="QT1" s="1" t="s">
        <v>5001</v>
      </c>
      <c r="QU1" s="1" t="s">
        <v>5002</v>
      </c>
      <c r="QV1" s="1" t="s">
        <v>5003</v>
      </c>
      <c r="QW1" s="1" t="s">
        <v>5004</v>
      </c>
      <c r="QX1" s="1" t="s">
        <v>5005</v>
      </c>
      <c r="QY1" s="1" t="s">
        <v>5006</v>
      </c>
      <c r="QZ1" s="1" t="s">
        <v>5007</v>
      </c>
      <c r="RA1" s="1" t="s">
        <v>5008</v>
      </c>
      <c r="RB1" s="1" t="s">
        <v>5009</v>
      </c>
      <c r="RC1" s="1" t="s">
        <v>5010</v>
      </c>
      <c r="RD1" s="1" t="s">
        <v>5011</v>
      </c>
      <c r="RE1" s="1" t="s">
        <v>5012</v>
      </c>
      <c r="RF1" s="1" t="s">
        <v>5013</v>
      </c>
      <c r="RG1" s="1" t="s">
        <v>5014</v>
      </c>
      <c r="RH1" s="1" t="s">
        <v>5015</v>
      </c>
      <c r="RI1" s="1" t="s">
        <v>5016</v>
      </c>
      <c r="RJ1" s="1" t="s">
        <v>5017</v>
      </c>
      <c r="RK1" s="1" t="s">
        <v>5018</v>
      </c>
      <c r="RL1" s="1" t="s">
        <v>5019</v>
      </c>
      <c r="RM1" s="1" t="s">
        <v>5020</v>
      </c>
      <c r="RN1" s="1" t="s">
        <v>5021</v>
      </c>
      <c r="RO1" s="1" t="s">
        <v>5022</v>
      </c>
      <c r="RP1" s="1" t="s">
        <v>5023</v>
      </c>
      <c r="RQ1" s="1" t="s">
        <v>5024</v>
      </c>
      <c r="RR1" s="1" t="s">
        <v>5025</v>
      </c>
      <c r="RS1" s="1" t="s">
        <v>5026</v>
      </c>
      <c r="RT1" s="1" t="s">
        <v>5027</v>
      </c>
      <c r="RU1" s="1" t="s">
        <v>5028</v>
      </c>
      <c r="RV1" s="1" t="s">
        <v>5029</v>
      </c>
      <c r="RW1" s="1" t="s">
        <v>5030</v>
      </c>
      <c r="RX1" s="1" t="s">
        <v>5031</v>
      </c>
      <c r="RY1" s="1" t="s">
        <v>5032</v>
      </c>
      <c r="RZ1" s="1" t="s">
        <v>5033</v>
      </c>
      <c r="SA1" s="1" t="s">
        <v>5034</v>
      </c>
      <c r="SB1" s="1" t="s">
        <v>5035</v>
      </c>
      <c r="SC1" s="1" t="s">
        <v>5036</v>
      </c>
      <c r="SD1" s="1" t="s">
        <v>5037</v>
      </c>
      <c r="SE1" s="1" t="s">
        <v>5038</v>
      </c>
      <c r="SF1" s="1" t="s">
        <v>5039</v>
      </c>
      <c r="SG1" s="1" t="s">
        <v>2473</v>
      </c>
      <c r="SH1" s="1" t="s">
        <v>5040</v>
      </c>
      <c r="SI1" s="1" t="s">
        <v>5041</v>
      </c>
      <c r="SJ1" s="1" t="s">
        <v>5042</v>
      </c>
      <c r="SK1" s="1" t="s">
        <v>5043</v>
      </c>
      <c r="SL1" s="1" t="s">
        <v>5044</v>
      </c>
      <c r="SM1" s="1" t="s">
        <v>2474</v>
      </c>
      <c r="SN1" s="1" t="s">
        <v>2475</v>
      </c>
      <c r="SO1" s="1" t="s">
        <v>2476</v>
      </c>
      <c r="SP1" s="1" t="s">
        <v>2477</v>
      </c>
      <c r="SQ1" s="1" t="s">
        <v>2478</v>
      </c>
      <c r="SR1" s="1" t="s">
        <v>2479</v>
      </c>
      <c r="SS1" s="1" t="s">
        <v>2480</v>
      </c>
      <c r="ST1" s="1" t="s">
        <v>2481</v>
      </c>
      <c r="SU1" s="1" t="s">
        <v>2482</v>
      </c>
      <c r="SV1" s="1" t="s">
        <v>2483</v>
      </c>
      <c r="SW1" s="1" t="s">
        <v>2484</v>
      </c>
      <c r="SX1" s="1" t="s">
        <v>2486</v>
      </c>
      <c r="SY1" s="1" t="s">
        <v>5045</v>
      </c>
      <c r="SZ1" s="1" t="s">
        <v>5046</v>
      </c>
      <c r="TA1" s="1" t="s">
        <v>5047</v>
      </c>
      <c r="TB1" s="1" t="s">
        <v>5048</v>
      </c>
      <c r="TC1" s="1" t="s">
        <v>5049</v>
      </c>
      <c r="TD1" s="1" t="s">
        <v>5050</v>
      </c>
      <c r="TE1" s="1" t="s">
        <v>5051</v>
      </c>
      <c r="TF1" s="1" t="s">
        <v>2487</v>
      </c>
      <c r="TG1" s="1" t="s">
        <v>2488</v>
      </c>
      <c r="TH1" s="1" t="s">
        <v>5052</v>
      </c>
      <c r="TI1" s="1" t="s">
        <v>5053</v>
      </c>
      <c r="TJ1" s="1" t="s">
        <v>5054</v>
      </c>
      <c r="TK1" s="1" t="s">
        <v>5055</v>
      </c>
      <c r="TL1" s="1" t="s">
        <v>2489</v>
      </c>
      <c r="TM1" s="1" t="s">
        <v>2490</v>
      </c>
      <c r="TN1" s="1" t="s">
        <v>2491</v>
      </c>
      <c r="TO1" s="1" t="s">
        <v>2492</v>
      </c>
      <c r="TP1" s="1" t="s">
        <v>2493</v>
      </c>
      <c r="TQ1" s="1" t="s">
        <v>2494</v>
      </c>
      <c r="TR1" s="1" t="s">
        <v>2499</v>
      </c>
      <c r="TS1" s="1" t="s">
        <v>2500</v>
      </c>
      <c r="TT1" s="1" t="s">
        <v>2501</v>
      </c>
      <c r="TU1" s="1" t="s">
        <v>2506</v>
      </c>
      <c r="TV1" s="1" t="s">
        <v>2508</v>
      </c>
      <c r="TW1" s="1" t="s">
        <v>2509</v>
      </c>
      <c r="TX1" s="1" t="s">
        <v>2511</v>
      </c>
      <c r="TY1" s="1" t="s">
        <v>2513</v>
      </c>
      <c r="TZ1" s="1" t="s">
        <v>2514</v>
      </c>
      <c r="UA1" s="1" t="s">
        <v>2518</v>
      </c>
      <c r="UB1" s="1" t="s">
        <v>2519</v>
      </c>
      <c r="UC1" s="1" t="s">
        <v>2520</v>
      </c>
      <c r="UD1" s="1" t="s">
        <v>2521</v>
      </c>
      <c r="UE1" s="1" t="s">
        <v>2522</v>
      </c>
      <c r="UF1" s="1" t="s">
        <v>2528</v>
      </c>
      <c r="UG1" s="1" t="s">
        <v>2529</v>
      </c>
      <c r="UH1" s="1" t="s">
        <v>2530</v>
      </c>
      <c r="UI1" s="1" t="s">
        <v>2531</v>
      </c>
      <c r="UJ1" s="1" t="s">
        <v>5351</v>
      </c>
      <c r="UK1" s="1" t="s">
        <v>5056</v>
      </c>
      <c r="UL1" s="1" t="s">
        <v>2537</v>
      </c>
      <c r="UM1" s="1" t="s">
        <v>2540</v>
      </c>
      <c r="UN1" s="1" t="s">
        <v>2547</v>
      </c>
      <c r="UO1" s="1" t="s">
        <v>2548</v>
      </c>
      <c r="UP1" s="1" t="s">
        <v>2549</v>
      </c>
      <c r="UQ1" s="1" t="s">
        <v>2551</v>
      </c>
      <c r="UR1" s="1" t="s">
        <v>2552</v>
      </c>
      <c r="US1" s="1" t="s">
        <v>2553</v>
      </c>
      <c r="UT1" s="1" t="s">
        <v>2554</v>
      </c>
      <c r="UU1" s="1" t="s">
        <v>2557</v>
      </c>
      <c r="UV1" s="1" t="s">
        <v>2558</v>
      </c>
      <c r="UW1" s="1" t="s">
        <v>5372</v>
      </c>
      <c r="UX1" s="1" t="s">
        <v>5057</v>
      </c>
      <c r="UY1" s="1" t="s">
        <v>2560</v>
      </c>
      <c r="UZ1" s="1" t="s">
        <v>2563</v>
      </c>
      <c r="VA1" s="1" t="s">
        <v>2570</v>
      </c>
      <c r="VB1" s="1" t="s">
        <v>2571</v>
      </c>
      <c r="VC1" s="1" t="s">
        <v>2572</v>
      </c>
      <c r="VD1" s="1" t="s">
        <v>2573</v>
      </c>
      <c r="VE1" s="1" t="s">
        <v>5058</v>
      </c>
      <c r="VF1" s="1" t="s">
        <v>5059</v>
      </c>
      <c r="VG1" s="1" t="s">
        <v>5060</v>
      </c>
      <c r="VH1" s="1" t="s">
        <v>5061</v>
      </c>
      <c r="VI1" s="10" t="s">
        <v>2613</v>
      </c>
      <c r="VJ1" s="1" t="s">
        <v>2614</v>
      </c>
      <c r="VK1" s="1" t="s">
        <v>2615</v>
      </c>
      <c r="VL1" s="1" t="s">
        <v>2634</v>
      </c>
      <c r="VM1" s="1" t="s">
        <v>2635</v>
      </c>
      <c r="VN1" s="1" t="s">
        <v>5406</v>
      </c>
      <c r="VO1" s="1" t="s">
        <v>5443</v>
      </c>
      <c r="VP1" s="1" t="s">
        <v>2616</v>
      </c>
      <c r="VQ1" s="1" t="s">
        <v>4202</v>
      </c>
      <c r="VR1" s="1" t="s">
        <v>2617</v>
      </c>
      <c r="VS1" s="1" t="s">
        <v>2618</v>
      </c>
      <c r="VT1" s="1" t="s">
        <v>2619</v>
      </c>
      <c r="VU1" s="1" t="s">
        <v>2620</v>
      </c>
      <c r="VV1" s="1" t="s">
        <v>2626</v>
      </c>
      <c r="VW1" s="25">
        <v>33</v>
      </c>
      <c r="VX1" s="36" t="s">
        <v>2618</v>
      </c>
      <c r="VY1" s="1" t="s">
        <v>4203</v>
      </c>
      <c r="WA1" s="1" t="s">
        <v>5398</v>
      </c>
      <c r="WB1" s="1" t="s">
        <v>4960</v>
      </c>
      <c r="WC1" s="98" t="s">
        <v>2617</v>
      </c>
      <c r="WD1" s="98" t="s">
        <v>2618</v>
      </c>
      <c r="WE1" s="98" t="s">
        <v>2628</v>
      </c>
      <c r="WF1" s="98" t="s">
        <v>701</v>
      </c>
      <c r="WG1" s="98" t="s">
        <v>5399</v>
      </c>
      <c r="WH1" s="98" t="s">
        <v>5400</v>
      </c>
      <c r="WI1" s="98" t="s">
        <v>4945</v>
      </c>
      <c r="WJ1" s="13"/>
      <c r="WK1" s="25"/>
      <c r="WN1" s="106"/>
      <c r="WO1" s="202"/>
      <c r="WP1" s="382" t="s">
        <v>5416</v>
      </c>
      <c r="WQ1" s="382" t="s">
        <v>2627</v>
      </c>
      <c r="WR1" s="382" t="s">
        <v>2617</v>
      </c>
      <c r="WS1" s="382" t="s">
        <v>2618</v>
      </c>
      <c r="WT1" s="382" t="s">
        <v>5415</v>
      </c>
      <c r="WU1" s="382" t="s">
        <v>2623</v>
      </c>
      <c r="WV1" s="382" t="s">
        <v>2621</v>
      </c>
      <c r="WW1" s="382" t="s">
        <v>2628</v>
      </c>
      <c r="WX1" s="383" t="s">
        <v>4945</v>
      </c>
    </row>
    <row r="2" spans="1:622" x14ac:dyDescent="0.25">
      <c r="A2" s="2">
        <v>9051</v>
      </c>
      <c r="B2" s="2" t="s">
        <v>5062</v>
      </c>
      <c r="C2" s="2" t="s">
        <v>5063</v>
      </c>
      <c r="D2" s="2">
        <v>10</v>
      </c>
      <c r="E2" s="2">
        <v>386.2</v>
      </c>
      <c r="F2" s="2">
        <v>0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 t="s">
        <v>9</v>
      </c>
      <c r="BV2" s="6">
        <v>8025.97</v>
      </c>
      <c r="BW2" s="2" t="s">
        <v>18</v>
      </c>
      <c r="BX2" s="3">
        <v>45036</v>
      </c>
      <c r="BY2" s="2" t="s">
        <v>9</v>
      </c>
      <c r="BZ2" s="2">
        <v>1</v>
      </c>
      <c r="CA2" s="2" t="s">
        <v>9</v>
      </c>
      <c r="CB2" s="2">
        <v>1</v>
      </c>
      <c r="CC2" s="2" t="s">
        <v>9</v>
      </c>
      <c r="CD2" s="2">
        <v>0</v>
      </c>
      <c r="CE2" s="2" t="s">
        <v>5064</v>
      </c>
      <c r="CF2" s="2">
        <v>1</v>
      </c>
      <c r="CG2" s="2" t="s">
        <v>10</v>
      </c>
      <c r="CH2" s="2">
        <v>0</v>
      </c>
      <c r="CI2" s="2" t="s">
        <v>10</v>
      </c>
      <c r="CJ2" s="2">
        <v>0</v>
      </c>
      <c r="CK2" s="2" t="s">
        <v>11</v>
      </c>
      <c r="CL2" s="2">
        <v>0</v>
      </c>
      <c r="CM2" s="2" t="s">
        <v>9</v>
      </c>
      <c r="CN2" s="2">
        <v>2</v>
      </c>
      <c r="CO2" s="2" t="s">
        <v>9</v>
      </c>
      <c r="CP2" s="2">
        <v>2</v>
      </c>
      <c r="CQ2" s="2" t="s">
        <v>9</v>
      </c>
      <c r="CR2" s="2">
        <v>2</v>
      </c>
      <c r="CS2" s="2" t="s">
        <v>12</v>
      </c>
      <c r="CT2" s="2" t="s">
        <v>605</v>
      </c>
      <c r="CU2" s="2" t="s">
        <v>842</v>
      </c>
      <c r="CV2" s="2" t="s">
        <v>978</v>
      </c>
      <c r="CW2" s="2" t="s">
        <v>15</v>
      </c>
      <c r="CX2" s="2" t="s">
        <v>15</v>
      </c>
      <c r="CY2" s="2" t="s">
        <v>15</v>
      </c>
      <c r="CZ2" s="2">
        <v>3</v>
      </c>
      <c r="DA2" s="2" t="s">
        <v>730</v>
      </c>
      <c r="DB2" s="2" t="s">
        <v>17</v>
      </c>
      <c r="DC2" s="4">
        <v>0.15179000000000001</v>
      </c>
      <c r="DD2" s="2" t="s">
        <v>17</v>
      </c>
      <c r="DE2" s="2" t="s">
        <v>9</v>
      </c>
      <c r="DF2" s="2" t="s">
        <v>17</v>
      </c>
      <c r="DG2" s="2" t="s">
        <v>9</v>
      </c>
      <c r="DH2" s="2" t="s">
        <v>17</v>
      </c>
      <c r="DI2" s="2" t="s">
        <v>17</v>
      </c>
      <c r="DJ2" s="2" t="s">
        <v>17</v>
      </c>
      <c r="DK2" s="2" t="s">
        <v>17</v>
      </c>
      <c r="DL2" s="2" t="s">
        <v>17</v>
      </c>
      <c r="DM2" s="2" t="s">
        <v>17</v>
      </c>
      <c r="DN2" s="2" t="s">
        <v>2663</v>
      </c>
      <c r="DO2" s="2">
        <v>5</v>
      </c>
      <c r="DP2" s="5">
        <v>75000</v>
      </c>
      <c r="DQ2" s="5">
        <v>610000</v>
      </c>
      <c r="DR2" s="2">
        <v>0</v>
      </c>
      <c r="DS2" s="2">
        <v>6</v>
      </c>
      <c r="DT2" s="2">
        <v>0</v>
      </c>
      <c r="DU2" s="2">
        <v>6</v>
      </c>
      <c r="DV2" s="2">
        <v>0</v>
      </c>
      <c r="DW2" s="2">
        <v>0</v>
      </c>
      <c r="DX2" s="2">
        <v>1</v>
      </c>
      <c r="DY2" s="2">
        <v>3</v>
      </c>
      <c r="DZ2" s="2">
        <v>1</v>
      </c>
      <c r="EA2" s="2">
        <v>0</v>
      </c>
      <c r="EB2" s="2">
        <v>0</v>
      </c>
      <c r="EC2" s="2">
        <v>0</v>
      </c>
      <c r="ED2" s="2">
        <v>13</v>
      </c>
      <c r="EE2" s="2">
        <v>1</v>
      </c>
      <c r="EF2" s="2">
        <v>0</v>
      </c>
      <c r="EG2" s="2">
        <v>3</v>
      </c>
      <c r="EH2" s="2">
        <v>0</v>
      </c>
      <c r="EI2" s="2">
        <v>14</v>
      </c>
      <c r="EJ2" s="2">
        <v>11</v>
      </c>
      <c r="EK2" s="2">
        <v>0</v>
      </c>
      <c r="EL2" s="2" t="s">
        <v>17</v>
      </c>
      <c r="EM2" s="2" t="s">
        <v>17</v>
      </c>
      <c r="EN2" s="2" t="s">
        <v>17</v>
      </c>
      <c r="EO2" s="2" t="s">
        <v>17</v>
      </c>
      <c r="EP2" s="2" t="s">
        <v>17</v>
      </c>
      <c r="EQ2" s="2" t="s">
        <v>17</v>
      </c>
      <c r="ER2" s="2" t="s">
        <v>17</v>
      </c>
      <c r="ES2" s="2" t="s">
        <v>17</v>
      </c>
      <c r="ET2" s="2" t="s">
        <v>1678</v>
      </c>
      <c r="EU2" s="2"/>
      <c r="EV2" s="2"/>
      <c r="EW2" s="2" t="s">
        <v>9</v>
      </c>
      <c r="EX2" s="2" t="s">
        <v>1680</v>
      </c>
      <c r="EY2" s="2" t="s">
        <v>1678</v>
      </c>
      <c r="EZ2" s="2" t="s">
        <v>1681</v>
      </c>
      <c r="FA2" s="2" t="s">
        <v>5065</v>
      </c>
      <c r="FB2" s="2">
        <v>114</v>
      </c>
      <c r="FC2" s="2" t="s">
        <v>4422</v>
      </c>
      <c r="FD2" s="2">
        <v>2018</v>
      </c>
      <c r="FE2" s="2" t="s">
        <v>26</v>
      </c>
      <c r="FF2" s="2" t="s">
        <v>4210</v>
      </c>
      <c r="FG2" s="2" t="s">
        <v>5066</v>
      </c>
      <c r="FH2" s="2" t="s">
        <v>665</v>
      </c>
      <c r="FI2" s="2" t="s">
        <v>1688</v>
      </c>
      <c r="FJ2" s="2" t="s">
        <v>1689</v>
      </c>
      <c r="FK2" s="2">
        <v>1</v>
      </c>
      <c r="FL2" s="2" t="s">
        <v>1690</v>
      </c>
      <c r="FM2" s="2" t="s">
        <v>1691</v>
      </c>
      <c r="FN2" s="2" t="s">
        <v>4424</v>
      </c>
      <c r="FO2" s="2" t="s">
        <v>63</v>
      </c>
      <c r="FP2" s="2" t="s">
        <v>9</v>
      </c>
      <c r="FQ2" s="2" t="s">
        <v>17</v>
      </c>
      <c r="FR2" s="2" t="s">
        <v>17</v>
      </c>
      <c r="FS2" s="2" t="s">
        <v>9</v>
      </c>
      <c r="FT2" s="2">
        <v>0</v>
      </c>
      <c r="FU2" s="2">
        <v>0</v>
      </c>
      <c r="FV2" s="4">
        <v>0</v>
      </c>
      <c r="FW2" s="4">
        <v>0</v>
      </c>
      <c r="FX2" s="2" t="s">
        <v>65</v>
      </c>
      <c r="FY2" s="2" t="s">
        <v>66</v>
      </c>
      <c r="FZ2" s="2" t="s">
        <v>17</v>
      </c>
      <c r="GA2" s="2"/>
      <c r="GB2" s="2"/>
      <c r="GC2" s="2"/>
      <c r="GD2" s="2" t="s">
        <v>67</v>
      </c>
      <c r="GE2" s="2" t="s">
        <v>108</v>
      </c>
      <c r="GF2" s="2"/>
      <c r="GG2" s="2"/>
      <c r="GH2" s="2"/>
      <c r="GI2" s="2"/>
      <c r="GJ2" s="2">
        <v>224</v>
      </c>
      <c r="GK2" s="2"/>
      <c r="GL2" s="2"/>
      <c r="GM2" s="2"/>
      <c r="GN2" s="2"/>
      <c r="GO2" s="2"/>
      <c r="GP2" s="2"/>
      <c r="GQ2" s="2">
        <v>224</v>
      </c>
      <c r="GR2" s="2" t="s">
        <v>2802</v>
      </c>
      <c r="GS2" s="2" t="s">
        <v>2686</v>
      </c>
      <c r="GT2" s="2">
        <v>3</v>
      </c>
      <c r="GU2" s="2" t="s">
        <v>4425</v>
      </c>
      <c r="GV2" s="2" t="s">
        <v>4426</v>
      </c>
      <c r="GW2" s="2" t="s">
        <v>17</v>
      </c>
      <c r="GX2" s="2">
        <v>27.854889</v>
      </c>
      <c r="GY2" s="2">
        <v>-82.696963999999994</v>
      </c>
      <c r="GZ2" s="2"/>
      <c r="HA2" s="2" t="s">
        <v>17</v>
      </c>
      <c r="HB2" s="2">
        <v>0</v>
      </c>
      <c r="HC2" s="2" t="s">
        <v>17</v>
      </c>
      <c r="HD2" s="2"/>
      <c r="HE2" s="2">
        <v>0</v>
      </c>
      <c r="HF2" s="2">
        <v>27.855136000000002</v>
      </c>
      <c r="HG2" s="2">
        <v>-82.700018999999998</v>
      </c>
      <c r="HH2" s="2">
        <v>0.19</v>
      </c>
      <c r="HI2" s="2">
        <v>6</v>
      </c>
      <c r="HJ2" s="2">
        <v>27.854852999999999</v>
      </c>
      <c r="HK2" s="2">
        <v>-82.700314000000006</v>
      </c>
      <c r="HL2" s="2">
        <v>0.2</v>
      </c>
      <c r="HM2" s="2">
        <v>27.855405999999999</v>
      </c>
      <c r="HN2" s="2">
        <v>-82.694913999999997</v>
      </c>
      <c r="HO2" s="2">
        <v>0.13</v>
      </c>
      <c r="HP2" s="2"/>
      <c r="HQ2" s="2"/>
      <c r="HR2" s="2"/>
      <c r="HS2" s="2"/>
      <c r="HT2" s="2"/>
      <c r="HU2" s="2"/>
      <c r="HV2" s="2"/>
      <c r="HW2" s="2"/>
      <c r="HX2" s="2" t="s">
        <v>73</v>
      </c>
      <c r="HY2" s="2" t="s">
        <v>3006</v>
      </c>
      <c r="HZ2" s="2" t="s">
        <v>4427</v>
      </c>
      <c r="IA2" s="2">
        <v>0.26</v>
      </c>
      <c r="IB2" s="2">
        <v>4</v>
      </c>
      <c r="IC2" s="2"/>
      <c r="ID2" s="2"/>
      <c r="IE2" s="2"/>
      <c r="IF2" s="2"/>
      <c r="IG2" s="2" t="s">
        <v>4428</v>
      </c>
      <c r="IH2" s="2" t="s">
        <v>4429</v>
      </c>
      <c r="II2" s="2">
        <v>0.87</v>
      </c>
      <c r="IJ2" s="2">
        <v>2.5</v>
      </c>
      <c r="IK2" s="2" t="s">
        <v>4430</v>
      </c>
      <c r="IL2" s="2" t="s">
        <v>4431</v>
      </c>
      <c r="IM2" s="2">
        <v>1.2</v>
      </c>
      <c r="IN2" s="2">
        <v>2.5</v>
      </c>
      <c r="IO2" s="2">
        <v>6</v>
      </c>
      <c r="IP2" s="2">
        <v>9</v>
      </c>
      <c r="IQ2" s="2">
        <v>0</v>
      </c>
      <c r="IR2" s="2">
        <v>15</v>
      </c>
      <c r="IS2" s="2" t="s">
        <v>17</v>
      </c>
      <c r="IT2" s="2" t="s">
        <v>17</v>
      </c>
      <c r="IU2" s="2" t="s">
        <v>17</v>
      </c>
      <c r="IV2" s="2" t="s">
        <v>9</v>
      </c>
      <c r="IW2" s="2" t="s">
        <v>9</v>
      </c>
      <c r="IX2" s="2" t="s">
        <v>9</v>
      </c>
      <c r="IY2" s="2">
        <v>15</v>
      </c>
      <c r="IZ2" s="2">
        <v>224</v>
      </c>
      <c r="JA2" s="2"/>
      <c r="JB2" s="2"/>
      <c r="JC2" s="2"/>
      <c r="JD2" s="2"/>
      <c r="JE2" s="2"/>
      <c r="JF2" s="2"/>
      <c r="JG2" s="2"/>
      <c r="JH2" s="7">
        <v>0</v>
      </c>
      <c r="JI2" s="2">
        <v>0</v>
      </c>
      <c r="JJ2" s="7">
        <v>0</v>
      </c>
      <c r="JK2" s="2">
        <v>0</v>
      </c>
      <c r="JL2" s="7">
        <v>0</v>
      </c>
      <c r="JM2" s="2">
        <v>34</v>
      </c>
      <c r="JN2" s="2">
        <v>22</v>
      </c>
      <c r="JO2" s="2">
        <v>90</v>
      </c>
      <c r="JP2" s="2">
        <v>33</v>
      </c>
      <c r="JQ2" s="2">
        <v>45</v>
      </c>
      <c r="JR2" s="2">
        <v>0</v>
      </c>
      <c r="JS2" s="2">
        <v>0</v>
      </c>
      <c r="JT2" s="2"/>
      <c r="JU2" s="2"/>
      <c r="JV2" s="2">
        <v>224</v>
      </c>
      <c r="JW2" s="4">
        <v>1</v>
      </c>
      <c r="JX2" s="2">
        <v>224</v>
      </c>
      <c r="JY2" s="4">
        <v>0.59955000000000003</v>
      </c>
      <c r="JZ2" s="2">
        <v>0</v>
      </c>
      <c r="KA2" s="2"/>
      <c r="KB2" s="2"/>
      <c r="KC2" s="2"/>
      <c r="KD2" s="2"/>
      <c r="KE2" s="2"/>
      <c r="KF2" s="2"/>
      <c r="KG2" s="2"/>
      <c r="KH2" s="2">
        <v>38</v>
      </c>
      <c r="KI2" s="2"/>
      <c r="KJ2" s="2"/>
      <c r="KK2" s="2">
        <v>124</v>
      </c>
      <c r="KL2" s="2">
        <v>62</v>
      </c>
      <c r="KM2" s="2"/>
      <c r="KN2" s="2"/>
      <c r="KO2" s="2"/>
      <c r="KP2" s="2"/>
      <c r="KQ2" s="2" t="s">
        <v>83</v>
      </c>
      <c r="KR2" s="2" t="s">
        <v>73</v>
      </c>
      <c r="KS2" s="2"/>
      <c r="KT2" s="2">
        <v>5</v>
      </c>
      <c r="KU2" s="2" t="s">
        <v>84</v>
      </c>
      <c r="KV2" s="2" t="s">
        <v>85</v>
      </c>
      <c r="KW2" s="2" t="s">
        <v>530</v>
      </c>
      <c r="KX2" s="2" t="s">
        <v>17</v>
      </c>
      <c r="KY2" s="2" t="s">
        <v>17</v>
      </c>
      <c r="KZ2" s="2" t="s">
        <v>17</v>
      </c>
      <c r="LA2" s="2" t="s">
        <v>17</v>
      </c>
      <c r="LB2" s="2" t="s">
        <v>17</v>
      </c>
      <c r="LC2" s="2" t="s">
        <v>17</v>
      </c>
      <c r="LD2" s="2" t="s">
        <v>17</v>
      </c>
      <c r="LE2" s="2" t="s">
        <v>17</v>
      </c>
      <c r="LF2" s="2" t="s">
        <v>17</v>
      </c>
      <c r="LG2" s="2" t="s">
        <v>17</v>
      </c>
      <c r="LH2" s="2" t="s">
        <v>17</v>
      </c>
      <c r="LI2" s="2" t="s">
        <v>17</v>
      </c>
      <c r="LJ2" s="2" t="s">
        <v>87</v>
      </c>
      <c r="LK2" s="2" t="s">
        <v>17</v>
      </c>
      <c r="LL2" s="2" t="s">
        <v>17</v>
      </c>
      <c r="LM2" s="2">
        <v>0</v>
      </c>
      <c r="LN2" s="2" t="s">
        <v>17</v>
      </c>
      <c r="LO2" s="2" t="s">
        <v>17</v>
      </c>
      <c r="LP2" s="2" t="s">
        <v>9</v>
      </c>
      <c r="LQ2" s="2" t="s">
        <v>9</v>
      </c>
      <c r="LR2" s="2" t="s">
        <v>17</v>
      </c>
      <c r="LS2" s="2" t="s">
        <v>9</v>
      </c>
      <c r="LT2" s="2" t="s">
        <v>17</v>
      </c>
      <c r="LU2" s="2" t="s">
        <v>17</v>
      </c>
      <c r="LV2" s="2" t="s">
        <v>17</v>
      </c>
      <c r="LW2" s="2" t="s">
        <v>17</v>
      </c>
      <c r="LX2" s="2" t="s">
        <v>17</v>
      </c>
      <c r="LY2" s="5">
        <v>10000000</v>
      </c>
      <c r="LZ2" s="5">
        <v>0</v>
      </c>
      <c r="MA2" s="5">
        <v>10000000</v>
      </c>
      <c r="MB2" s="5">
        <v>1839200</v>
      </c>
      <c r="MC2" s="5">
        <v>1839200</v>
      </c>
      <c r="MD2" s="5">
        <v>2160800</v>
      </c>
      <c r="ME2" s="5">
        <v>2160800</v>
      </c>
      <c r="MF2" s="5">
        <v>2160800</v>
      </c>
      <c r="MG2" s="5">
        <v>4000000</v>
      </c>
      <c r="MH2" s="2">
        <v>0</v>
      </c>
      <c r="MI2" s="5">
        <v>0</v>
      </c>
      <c r="MJ2" s="5">
        <v>0</v>
      </c>
      <c r="MK2" s="2">
        <v>0</v>
      </c>
      <c r="ML2" s="2">
        <v>0</v>
      </c>
      <c r="MM2" s="2">
        <v>0</v>
      </c>
      <c r="MN2" s="5">
        <v>2950000</v>
      </c>
      <c r="MO2" s="5">
        <v>0</v>
      </c>
      <c r="MP2" s="5">
        <v>4600000</v>
      </c>
      <c r="MQ2" s="5">
        <v>0</v>
      </c>
      <c r="MR2" s="5">
        <v>0</v>
      </c>
      <c r="MS2" s="5">
        <v>0</v>
      </c>
      <c r="MT2" s="5">
        <v>0</v>
      </c>
      <c r="MU2" s="5">
        <v>2500000</v>
      </c>
      <c r="MV2" s="5">
        <v>0</v>
      </c>
      <c r="MW2" s="5">
        <v>0</v>
      </c>
      <c r="MX2" s="5">
        <v>0</v>
      </c>
      <c r="MY2" s="5">
        <v>0</v>
      </c>
      <c r="MZ2" s="5">
        <v>0</v>
      </c>
      <c r="NA2" s="5">
        <v>2500000</v>
      </c>
      <c r="NB2" s="2" t="s">
        <v>17</v>
      </c>
      <c r="NC2" s="2"/>
      <c r="ND2" s="2"/>
      <c r="NE2" s="2"/>
      <c r="NF2" s="2"/>
      <c r="NG2" s="2"/>
      <c r="NH2" s="2"/>
      <c r="NI2" s="61">
        <v>0</v>
      </c>
      <c r="NJ2" s="61"/>
      <c r="NK2" s="61"/>
      <c r="NL2" s="61"/>
      <c r="NM2" s="2" t="s">
        <v>17</v>
      </c>
      <c r="NN2" s="2"/>
      <c r="NO2" s="2" t="s">
        <v>9</v>
      </c>
      <c r="NP2" s="2">
        <v>33782</v>
      </c>
      <c r="NQ2" s="2" t="s">
        <v>4432</v>
      </c>
      <c r="NR2" s="2" t="s">
        <v>17</v>
      </c>
      <c r="NS2" s="2"/>
      <c r="NT2" s="2" t="s">
        <v>17</v>
      </c>
      <c r="NU2" s="2"/>
      <c r="NV2" s="2"/>
      <c r="NW2" s="2"/>
      <c r="NX2" s="2" t="s">
        <v>118</v>
      </c>
      <c r="NY2" s="2" t="s">
        <v>118</v>
      </c>
      <c r="NZ2" s="2" t="s">
        <v>118</v>
      </c>
      <c r="OA2" s="2" t="s">
        <v>17</v>
      </c>
      <c r="OB2" s="2" t="s">
        <v>119</v>
      </c>
      <c r="OC2" s="2"/>
      <c r="OD2" s="2" t="s">
        <v>17</v>
      </c>
      <c r="OE2" s="2" t="s">
        <v>17</v>
      </c>
      <c r="OF2" s="2" t="s">
        <v>85</v>
      </c>
      <c r="OG2" s="6">
        <v>22500000</v>
      </c>
      <c r="OH2" s="6">
        <v>0</v>
      </c>
      <c r="OI2" s="2" t="s">
        <v>93</v>
      </c>
      <c r="OJ2" s="2" t="s">
        <v>93</v>
      </c>
      <c r="OK2" s="6">
        <v>0</v>
      </c>
      <c r="OL2" s="6">
        <v>0</v>
      </c>
      <c r="OM2" s="6">
        <v>0</v>
      </c>
      <c r="ON2" s="6">
        <v>0</v>
      </c>
      <c r="OO2" s="6">
        <v>0</v>
      </c>
      <c r="OP2" s="6">
        <v>0</v>
      </c>
      <c r="OQ2" s="4">
        <v>0</v>
      </c>
      <c r="OR2" s="6">
        <v>0</v>
      </c>
      <c r="OS2" s="4">
        <v>0</v>
      </c>
      <c r="OT2" s="2" t="s">
        <v>17</v>
      </c>
      <c r="OU2" s="2" t="s">
        <v>17</v>
      </c>
      <c r="OV2" s="2"/>
      <c r="OW2" s="2" t="s">
        <v>17</v>
      </c>
      <c r="OX2" s="5">
        <v>1797818</v>
      </c>
      <c r="OY2" s="6">
        <v>8025.97</v>
      </c>
      <c r="OZ2" s="2"/>
      <c r="PA2" s="2"/>
      <c r="PB2" s="2"/>
      <c r="PC2" s="2"/>
      <c r="PD2" s="2"/>
      <c r="PE2" s="2"/>
      <c r="PF2" s="8">
        <v>28000000</v>
      </c>
      <c r="PG2" s="2"/>
      <c r="PH2" s="8">
        <v>28000000</v>
      </c>
      <c r="PI2" s="2"/>
      <c r="PJ2" s="2"/>
      <c r="PK2" s="2"/>
      <c r="PL2" s="2"/>
      <c r="PM2" s="2"/>
      <c r="PN2" s="2"/>
      <c r="PO2" s="2"/>
      <c r="PP2" s="2"/>
      <c r="PQ2" s="2"/>
      <c r="PR2" s="8">
        <v>28000000</v>
      </c>
      <c r="PS2" s="2"/>
      <c r="PT2" s="8">
        <v>28000000</v>
      </c>
      <c r="PU2" s="8">
        <v>3900000</v>
      </c>
      <c r="PV2" s="8">
        <v>3900000</v>
      </c>
      <c r="PW2" s="6">
        <v>3920000</v>
      </c>
      <c r="PX2" s="8">
        <v>31900000</v>
      </c>
      <c r="PY2" s="2"/>
      <c r="PZ2" s="8">
        <v>31900000</v>
      </c>
      <c r="QA2" s="8">
        <v>1500000</v>
      </c>
      <c r="QB2" s="8">
        <v>1500000</v>
      </c>
      <c r="QC2" s="6">
        <v>1595000</v>
      </c>
      <c r="QD2" s="8">
        <v>20000</v>
      </c>
      <c r="QE2" s="8">
        <v>20000</v>
      </c>
      <c r="QF2" s="8">
        <v>40000</v>
      </c>
      <c r="QG2" s="8">
        <v>10000</v>
      </c>
      <c r="QH2" s="8">
        <v>10000</v>
      </c>
      <c r="QI2" s="8">
        <v>250000</v>
      </c>
      <c r="QJ2" s="8">
        <v>250000</v>
      </c>
      <c r="QK2" s="8">
        <v>50000</v>
      </c>
      <c r="QL2" s="8">
        <v>50000</v>
      </c>
      <c r="QM2" s="8">
        <v>116500</v>
      </c>
      <c r="QN2" s="2"/>
      <c r="QO2" s="8">
        <v>116500</v>
      </c>
      <c r="QP2" s="8">
        <v>156750</v>
      </c>
      <c r="QQ2" s="8">
        <v>156750</v>
      </c>
      <c r="QR2" s="2"/>
      <c r="QS2" s="2"/>
      <c r="QT2" s="8">
        <v>145000</v>
      </c>
      <c r="QU2" s="2"/>
      <c r="QV2" s="8">
        <v>145000</v>
      </c>
      <c r="QW2" s="8">
        <v>15000</v>
      </c>
      <c r="QX2" s="8">
        <v>15000</v>
      </c>
      <c r="QY2" s="8">
        <v>225000</v>
      </c>
      <c r="QZ2" s="8">
        <v>225000</v>
      </c>
      <c r="RA2" s="8">
        <v>3000</v>
      </c>
      <c r="RB2" s="8">
        <v>3000</v>
      </c>
      <c r="RC2" s="8">
        <v>205211</v>
      </c>
      <c r="RD2" s="8">
        <v>205211</v>
      </c>
      <c r="RE2" s="8">
        <v>26781</v>
      </c>
      <c r="RF2" s="8">
        <v>26781</v>
      </c>
      <c r="RG2" s="8">
        <v>50000</v>
      </c>
      <c r="RH2" s="8">
        <v>50000</v>
      </c>
      <c r="RI2" s="8">
        <v>425000</v>
      </c>
      <c r="RJ2" s="8">
        <v>425000</v>
      </c>
      <c r="RK2" s="8">
        <v>35000</v>
      </c>
      <c r="RL2" s="2"/>
      <c r="RM2" s="8">
        <v>35000</v>
      </c>
      <c r="RN2" s="8">
        <v>65000</v>
      </c>
      <c r="RO2" s="8">
        <v>20000</v>
      </c>
      <c r="RP2" s="8">
        <v>85000</v>
      </c>
      <c r="RQ2" s="8">
        <v>185000</v>
      </c>
      <c r="RR2" s="8">
        <v>25000</v>
      </c>
      <c r="RS2" s="8">
        <v>210000</v>
      </c>
      <c r="RT2" s="2"/>
      <c r="RU2" s="8">
        <v>10000</v>
      </c>
      <c r="RV2" s="8">
        <v>10000</v>
      </c>
      <c r="RW2" s="8">
        <v>50000</v>
      </c>
      <c r="RX2" s="8">
        <v>50000</v>
      </c>
      <c r="RY2" s="8">
        <v>15000</v>
      </c>
      <c r="RZ2" s="2"/>
      <c r="SA2" s="8">
        <v>15000</v>
      </c>
      <c r="SB2" s="8">
        <v>45000</v>
      </c>
      <c r="SC2" s="8">
        <v>45000</v>
      </c>
      <c r="SD2" s="8">
        <v>50000</v>
      </c>
      <c r="SE2" s="2"/>
      <c r="SF2" s="8">
        <v>50000</v>
      </c>
      <c r="SG2" s="2"/>
      <c r="SH2" s="8">
        <v>85000</v>
      </c>
      <c r="SI2" s="2"/>
      <c r="SJ2" s="8">
        <v>85000</v>
      </c>
      <c r="SK2" s="8">
        <v>221500</v>
      </c>
      <c r="SL2" s="8">
        <v>221500</v>
      </c>
      <c r="SM2" s="8">
        <v>415000</v>
      </c>
      <c r="SN2" s="2"/>
      <c r="SO2" s="8">
        <v>415000</v>
      </c>
      <c r="SP2" s="8">
        <v>2354750</v>
      </c>
      <c r="SQ2" s="8">
        <v>584992</v>
      </c>
      <c r="SR2" s="8">
        <v>2939742</v>
      </c>
      <c r="SS2" s="8">
        <v>100000</v>
      </c>
      <c r="ST2" s="2"/>
      <c r="SU2" s="8">
        <v>100000</v>
      </c>
      <c r="SV2" s="6">
        <v>146987.1</v>
      </c>
      <c r="SW2" s="8">
        <v>280000</v>
      </c>
      <c r="SX2" s="8">
        <v>280000</v>
      </c>
      <c r="SY2" s="2"/>
      <c r="SZ2" s="8">
        <v>550000</v>
      </c>
      <c r="TA2" s="2"/>
      <c r="TB2" s="8">
        <v>550000</v>
      </c>
      <c r="TC2" s="8">
        <v>6500</v>
      </c>
      <c r="TD2" s="2"/>
      <c r="TE2" s="8">
        <v>6500</v>
      </c>
      <c r="TF2" s="8">
        <v>225000</v>
      </c>
      <c r="TG2" s="8">
        <v>225000</v>
      </c>
      <c r="TH2" s="2"/>
      <c r="TI2" s="2"/>
      <c r="TJ2" s="2"/>
      <c r="TK2" s="2"/>
      <c r="TL2" s="2"/>
      <c r="TM2" s="8">
        <v>225000</v>
      </c>
      <c r="TN2" s="8">
        <v>225000</v>
      </c>
      <c r="TO2" s="8">
        <v>836500</v>
      </c>
      <c r="TP2" s="8">
        <v>450000</v>
      </c>
      <c r="TQ2" s="8">
        <v>1286500</v>
      </c>
      <c r="TR2" s="8">
        <v>36691250</v>
      </c>
      <c r="TS2" s="8">
        <v>1034992</v>
      </c>
      <c r="TT2" s="8">
        <v>37726242</v>
      </c>
      <c r="TU2" s="8">
        <v>6700000</v>
      </c>
      <c r="TV2" s="8">
        <v>6700000</v>
      </c>
      <c r="TW2" s="6">
        <v>6790723</v>
      </c>
      <c r="TX2" s="8">
        <v>6700000</v>
      </c>
      <c r="TY2" s="8">
        <v>6700000</v>
      </c>
      <c r="TZ2" s="6">
        <v>6790723</v>
      </c>
      <c r="UA2" s="8">
        <v>6750000</v>
      </c>
      <c r="UB2" s="8">
        <v>6750000</v>
      </c>
      <c r="UC2" s="8">
        <v>43391250</v>
      </c>
      <c r="UD2" s="8">
        <v>7784992</v>
      </c>
      <c r="UE2" s="8">
        <v>51176242</v>
      </c>
      <c r="UF2" s="8">
        <v>28000000</v>
      </c>
      <c r="UG2" s="2" t="s">
        <v>4220</v>
      </c>
      <c r="UH2" s="2"/>
      <c r="UI2" s="2"/>
      <c r="UJ2" s="8">
        <v>4000000</v>
      </c>
      <c r="UK2" s="2"/>
      <c r="UL2" s="2" t="s">
        <v>96</v>
      </c>
      <c r="UM2" s="8">
        <v>14298570</v>
      </c>
      <c r="UN2" s="8">
        <v>6700000</v>
      </c>
      <c r="UO2" s="8">
        <v>52998570</v>
      </c>
      <c r="UP2" s="8">
        <v>1822328</v>
      </c>
      <c r="UQ2" s="8">
        <v>22500000</v>
      </c>
      <c r="UR2" s="2" t="s">
        <v>4220</v>
      </c>
      <c r="US2" s="2"/>
      <c r="UT2" s="2"/>
      <c r="UU2" s="2"/>
      <c r="UV2" s="2"/>
      <c r="UW2" s="8">
        <v>4000000</v>
      </c>
      <c r="UX2" s="2"/>
      <c r="UY2" s="2" t="s">
        <v>96</v>
      </c>
      <c r="UZ2" s="8">
        <v>21997800</v>
      </c>
      <c r="VA2" s="8">
        <v>5000000</v>
      </c>
      <c r="VB2" s="8">
        <v>53497800</v>
      </c>
      <c r="VC2" s="6">
        <v>26500000</v>
      </c>
      <c r="VD2" s="8">
        <v>2321558</v>
      </c>
      <c r="VE2" s="5">
        <v>370000</v>
      </c>
      <c r="VF2" s="5">
        <v>377500</v>
      </c>
      <c r="VG2" s="6">
        <v>198331.44</v>
      </c>
      <c r="VH2" s="2" t="s">
        <v>9</v>
      </c>
      <c r="VI2" s="2" t="s">
        <v>1680</v>
      </c>
      <c r="VJ2" s="2" t="s">
        <v>98</v>
      </c>
      <c r="VK2" s="2" t="s">
        <v>536</v>
      </c>
      <c r="VL2" s="23">
        <f t="shared" ref="VL2:VL34" si="0">KG2+KH2+2*(KI2+KK2)+3*(KL2+KM2)+4*KO2</f>
        <v>472</v>
      </c>
      <c r="VM2" s="17">
        <f t="shared" ref="VM2:VM34" si="1">VL2/IZ2</f>
        <v>2.1071428571428572</v>
      </c>
      <c r="VN2" s="17" t="str">
        <f t="shared" ref="VN2:VN34" si="2">IF(GG2+GH2=MAX(GG2:GO2),"NC-GA-",IF(GI2+GJ2=MAX(GG2:GO2),"NC-MR-",IF(GK2=MAX(GG2:GO2),"NC-HR-",IF(GL2+GM2=MAX(GG2:GO2),"NC-OT-",IF(GN2+GO2=MAX(GG2:GO2),"AR-GA-","Nothing")))))&amp;IF(BW2="Family","F","E")</f>
        <v>NC-MR-F</v>
      </c>
      <c r="VO2" s="17" t="str">
        <f>VN2&amp;"-"&amp;RIGHT(VX2,3)</f>
        <v>NC-MR-F-Non</v>
      </c>
      <c r="VP2" s="57">
        <v>1</v>
      </c>
      <c r="VQ2" s="17">
        <f t="shared" ref="VQ2:VQ34" si="3">IF(OR(NM2="Yes",NO2="Yes",NR2="Yes",NT2="Yes"),$OY$75,1)</f>
        <v>1.1100000000000001</v>
      </c>
      <c r="VR2" s="57">
        <f t="shared" ref="VR2:VR34" si="4">IF(GR2="Broward",Broward_Q,1)</f>
        <v>1</v>
      </c>
      <c r="VS2" s="14">
        <f t="shared" ref="VS2:VS34" si="5">IF(OR(OT2="Yes",OU2="Yes"),PHA_Q,1)</f>
        <v>1</v>
      </c>
      <c r="VT2" s="12">
        <f t="shared" ref="VT2:VT34" si="6">(GG2*NC_GA_Q*ESSC_Q+GH2*NC_GA_Q+GI2*NC_MR_Q*ESSC_Q+GJ2*NC_MR_Q+GK2*NC_HR_Q*ESSC_Q+GL2*NC_OT_Q*ESSC_Q+GM2*NC_OT_Q+GN2*1+GO2*1)/(GG2+GH2+GI2+GJ2+GK2+GL2+GM2+GN2+GO2)</f>
        <v>0.88</v>
      </c>
      <c r="VU2" s="29">
        <f t="shared" ref="VU2:VU34" si="7">MC2*VQ2*VR2*VS2*VT2*IF(BW2="Elderly Non-ALF",Elderly_Q,1)</f>
        <v>1796530.5600000003</v>
      </c>
      <c r="VV2" s="29">
        <f t="shared" ref="VV2:VV34" si="8">ROUND(VU2/MAX(JI2,JV2),2)</f>
        <v>8020.23</v>
      </c>
      <c r="VW2" s="351" t="str">
        <f>IF(RANK(VV2,VV$2:VV$34,1)&lt;=ROUNDUP(80%*VW$1,0),"A","B")</f>
        <v>A</v>
      </c>
      <c r="VX2" s="12" t="str">
        <f t="shared" ref="VX2:VX34" si="9">IF(GG2=MAX(GG2,GH2,GI2,GJ2,GK2,GL2),"NC-GA-ESS",IF(GH2=MAX(GG2,GH2,GI2,GJ2,GK2,GL2),"NC-GA-Non",IF(GI2=MAX(GG2,GH2,GI2,GJ2,GK2,GL2),"NC-MR-ESS",IF(GJ2=MAX(GG2,GH2,GI2,GJ2,GK2,GL2),"NC-MR-Non",IF(GK2=MAX(GG2,GH2,GI2,GJ2,GK2,GL2),"NC-HR-ESS",IF(GL2=MAX(GG2,GH2,GI2,GJ2,GK2,GL2),"NC-Other-ESS","Nothing"))))))</f>
        <v>NC-MR-Non</v>
      </c>
      <c r="VY2" s="23">
        <f>IF(RANK(VV2,VV$2:VV$34,1)&lt;=ROUNDUP(10%*VW$1,0),1,IF(RANK(VV2,VV$2:VV$34,1)&lt;=ROUNDUP(30%*VW$1,0),2,IF(RANK(VV2,VV$2:VV$34,1)&lt;=ROUNDUP(50%*VW$1,0),3,IF(RANK(VV2,VV$2:VV$34,1)&lt;=ROUNDUP(70%*VW$1,0),4,5))))</f>
        <v>1</v>
      </c>
      <c r="WA2" s="12">
        <f>IF(BW2="Elderly Non-ALF",1,0)</f>
        <v>0</v>
      </c>
      <c r="WB2" s="12">
        <f>IF(OR(VQ2=1,N(VQ2)=0),0,1)</f>
        <v>1</v>
      </c>
      <c r="WC2" s="12">
        <f>IF(OR(VR2=1,N(VR2)=0),0,1)</f>
        <v>0</v>
      </c>
      <c r="WD2" s="12">
        <f>IF(OR(VS2=1,N(VS2)=0),0,1)</f>
        <v>0</v>
      </c>
      <c r="WE2" s="12">
        <f>IF(GG2+GI2+GK2+GL2&gt;0,1,0)</f>
        <v>0</v>
      </c>
      <c r="WF2" s="12">
        <f t="shared" ref="WF2:WF34" si="10">IF(GG2+GH2&gt;0,1,0)</f>
        <v>0</v>
      </c>
      <c r="WG2" s="12">
        <f t="shared" ref="WG2:WG34" si="11">IF(GI2+GJ2&gt;0,1,0)</f>
        <v>1</v>
      </c>
      <c r="WH2" s="12">
        <f t="shared" ref="WH2:WH34" si="12">IF(GK2&gt;1,1,0)</f>
        <v>0</v>
      </c>
      <c r="WI2" s="31">
        <f t="shared" ref="WI2:WI34" si="13">SUM(WA2:WH2)</f>
        <v>2</v>
      </c>
      <c r="WJ2" s="2"/>
      <c r="WK2" s="444" t="str">
        <f t="shared" ref="WK2:WK10" si="14">VX2&amp;"-"&amp;IF(VQ2&gt;1,"BBY","BBN")&amp;"-"&amp;IF(VR2=1,"BRN","BRY")&amp;"-"&amp;IF(VS2=1,"NPH","PHA")&amp;"-"&amp;IF(BW2="Family","F","E")</f>
        <v>NC-MR-Non-BBY-BRN-NPH-F</v>
      </c>
      <c r="WL2" s="444"/>
      <c r="WM2" s="444"/>
      <c r="WN2" s="12"/>
      <c r="WO2" s="380" t="s">
        <v>5416</v>
      </c>
      <c r="WP2" s="384"/>
      <c r="WQ2" s="144">
        <f>COUNTIFS($WA$2:$WA$72,"=1",$WB$2:$WB$72,"=1")</f>
        <v>8</v>
      </c>
      <c r="WR2" s="144">
        <f>COUNTIFS($WA$2:$WA$72,"=1",$WC$2:$WC$72,"=1")</f>
        <v>0</v>
      </c>
      <c r="WS2" s="144">
        <f>COUNTIFS($WA$2:$WA$72,"=1",$WD$2:$WD$72,"=1")</f>
        <v>1</v>
      </c>
      <c r="WT2" s="144">
        <f>COUNTIFS($WA$2:$WA$72,"=1",$WF$2:$WF$72,"=1")</f>
        <v>2</v>
      </c>
      <c r="WU2" s="144">
        <f>COUNTIFS($WA$2:$WA$72,"=1",$WG$2:$WG$72,"=1")</f>
        <v>8</v>
      </c>
      <c r="WV2" s="144">
        <f>COUNTIFS($WA$2:$WA$72,"=1",$WH$2:$WH$72,"=1")</f>
        <v>0</v>
      </c>
      <c r="WW2" s="144">
        <f>COUNTIFS($WA$2:$WA$72,"=1",$WE$2:$WE$72,"=1")</f>
        <v>7</v>
      </c>
      <c r="WX2" s="205">
        <f>COUNTIF($WA$2:$WA$72,"=1")</f>
        <v>10</v>
      </c>
    </row>
    <row r="3" spans="1:622" x14ac:dyDescent="0.25">
      <c r="A3" s="2">
        <v>9069</v>
      </c>
      <c r="B3" s="2" t="s">
        <v>5067</v>
      </c>
      <c r="C3" s="2" t="s">
        <v>5063</v>
      </c>
      <c r="D3" s="2">
        <v>10</v>
      </c>
      <c r="E3" s="2">
        <v>59.19</v>
      </c>
      <c r="F3" s="2"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 t="s">
        <v>9</v>
      </c>
      <c r="BV3" s="6">
        <v>45558.48</v>
      </c>
      <c r="BW3" s="2" t="s">
        <v>18</v>
      </c>
      <c r="BX3" s="3">
        <v>45036</v>
      </c>
      <c r="BY3" s="2" t="s">
        <v>9</v>
      </c>
      <c r="BZ3" s="2">
        <v>1</v>
      </c>
      <c r="CA3" s="2" t="s">
        <v>9</v>
      </c>
      <c r="CB3" s="2">
        <v>1</v>
      </c>
      <c r="CC3" s="2" t="s">
        <v>9</v>
      </c>
      <c r="CD3" s="2">
        <v>0</v>
      </c>
      <c r="CE3" s="2" t="s">
        <v>5069</v>
      </c>
      <c r="CF3" s="2">
        <v>1</v>
      </c>
      <c r="CG3" s="2" t="s">
        <v>10</v>
      </c>
      <c r="CH3" s="2">
        <v>0</v>
      </c>
      <c r="CI3" s="2" t="s">
        <v>10</v>
      </c>
      <c r="CJ3" s="2">
        <v>0</v>
      </c>
      <c r="CK3" s="2" t="s">
        <v>11</v>
      </c>
      <c r="CL3" s="2">
        <v>0</v>
      </c>
      <c r="CM3" s="2" t="s">
        <v>9</v>
      </c>
      <c r="CN3" s="2">
        <v>2</v>
      </c>
      <c r="CO3" s="2" t="s">
        <v>9</v>
      </c>
      <c r="CP3" s="2">
        <v>2</v>
      </c>
      <c r="CQ3" s="2" t="s">
        <v>9</v>
      </c>
      <c r="CR3" s="2">
        <v>2</v>
      </c>
      <c r="CS3" s="2" t="s">
        <v>12</v>
      </c>
      <c r="CT3" s="2" t="s">
        <v>15</v>
      </c>
      <c r="CU3" s="2" t="s">
        <v>15</v>
      </c>
      <c r="CV3" s="2" t="s">
        <v>15</v>
      </c>
      <c r="CW3" s="2" t="s">
        <v>5068</v>
      </c>
      <c r="CX3" s="2" t="s">
        <v>15</v>
      </c>
      <c r="CY3" s="2" t="s">
        <v>15</v>
      </c>
      <c r="CZ3" s="2">
        <v>0</v>
      </c>
      <c r="DA3" s="2" t="s">
        <v>234</v>
      </c>
      <c r="DB3" s="2" t="s">
        <v>17</v>
      </c>
      <c r="DC3" s="4">
        <v>0.15</v>
      </c>
      <c r="DD3" s="2" t="s">
        <v>17</v>
      </c>
      <c r="DE3" s="2" t="s">
        <v>9</v>
      </c>
      <c r="DF3" s="2" t="s">
        <v>17</v>
      </c>
      <c r="DG3" s="2" t="s">
        <v>17</v>
      </c>
      <c r="DH3" s="2" t="s">
        <v>17</v>
      </c>
      <c r="DI3" s="2" t="s">
        <v>9</v>
      </c>
      <c r="DJ3" s="2" t="s">
        <v>17</v>
      </c>
      <c r="DK3" s="2" t="s">
        <v>17</v>
      </c>
      <c r="DL3" s="2" t="s">
        <v>17</v>
      </c>
      <c r="DM3" s="2" t="s">
        <v>17</v>
      </c>
      <c r="DN3" s="2" t="s">
        <v>2663</v>
      </c>
      <c r="DO3" s="2">
        <v>5</v>
      </c>
      <c r="DP3" s="5">
        <v>75000</v>
      </c>
      <c r="DQ3" s="5">
        <v>610000</v>
      </c>
      <c r="DR3" s="2">
        <v>0</v>
      </c>
      <c r="DS3" s="2">
        <v>6</v>
      </c>
      <c r="DT3" s="2">
        <v>0</v>
      </c>
      <c r="DU3" s="2">
        <v>6</v>
      </c>
      <c r="DV3" s="2">
        <v>0</v>
      </c>
      <c r="DW3" s="2">
        <v>0</v>
      </c>
      <c r="DX3" s="2">
        <v>1</v>
      </c>
      <c r="DY3" s="2">
        <v>5</v>
      </c>
      <c r="DZ3" s="2">
        <v>1</v>
      </c>
      <c r="EA3" s="2">
        <v>0</v>
      </c>
      <c r="EB3" s="2">
        <v>0</v>
      </c>
      <c r="EC3" s="2">
        <v>0</v>
      </c>
      <c r="ED3" s="2">
        <v>13</v>
      </c>
      <c r="EE3" s="2">
        <v>1</v>
      </c>
      <c r="EF3" s="2">
        <v>0</v>
      </c>
      <c r="EG3" s="2">
        <v>3</v>
      </c>
      <c r="EH3" s="2">
        <v>0</v>
      </c>
      <c r="EI3" s="2">
        <v>14</v>
      </c>
      <c r="EJ3" s="2">
        <v>11</v>
      </c>
      <c r="EK3" s="2">
        <v>0</v>
      </c>
      <c r="EL3" s="2" t="s">
        <v>17</v>
      </c>
      <c r="EM3" s="2" t="s">
        <v>17</v>
      </c>
      <c r="EN3" s="2" t="s">
        <v>17</v>
      </c>
      <c r="EO3" s="2" t="s">
        <v>17</v>
      </c>
      <c r="EP3" s="2" t="s">
        <v>17</v>
      </c>
      <c r="EQ3" s="2" t="s">
        <v>17</v>
      </c>
      <c r="ER3" s="2" t="s">
        <v>17</v>
      </c>
      <c r="ES3" s="2" t="s">
        <v>17</v>
      </c>
      <c r="ET3" s="2" t="s">
        <v>5070</v>
      </c>
      <c r="EU3" s="2" t="s">
        <v>1818</v>
      </c>
      <c r="EV3" s="2" t="s">
        <v>1819</v>
      </c>
      <c r="EW3" s="2" t="s">
        <v>9</v>
      </c>
      <c r="EX3" s="2" t="s">
        <v>1820</v>
      </c>
      <c r="EY3" s="2" t="s">
        <v>5070</v>
      </c>
      <c r="EZ3" s="2" t="s">
        <v>1821</v>
      </c>
      <c r="FA3" s="2" t="s">
        <v>2756</v>
      </c>
      <c r="FB3" s="2">
        <v>117</v>
      </c>
      <c r="FC3" s="2" t="s">
        <v>5071</v>
      </c>
      <c r="FD3" s="2">
        <v>2019</v>
      </c>
      <c r="FE3" s="2" t="s">
        <v>26</v>
      </c>
      <c r="FF3" s="2" t="s">
        <v>4210</v>
      </c>
      <c r="FG3" s="2" t="s">
        <v>1826</v>
      </c>
      <c r="FH3" s="2"/>
      <c r="FI3" s="2" t="s">
        <v>1827</v>
      </c>
      <c r="FJ3" s="2" t="s">
        <v>1828</v>
      </c>
      <c r="FK3" s="2">
        <v>1</v>
      </c>
      <c r="FL3" s="2" t="s">
        <v>1829</v>
      </c>
      <c r="FM3" s="2" t="s">
        <v>1830</v>
      </c>
      <c r="FN3" s="2" t="s">
        <v>5072</v>
      </c>
      <c r="FO3" s="2" t="s">
        <v>63</v>
      </c>
      <c r="FP3" s="2" t="s">
        <v>9</v>
      </c>
      <c r="FQ3" s="2" t="s">
        <v>17</v>
      </c>
      <c r="FR3" s="2" t="s">
        <v>17</v>
      </c>
      <c r="FS3" s="2" t="s">
        <v>9</v>
      </c>
      <c r="FT3" s="2">
        <v>0</v>
      </c>
      <c r="FU3" s="2">
        <v>0</v>
      </c>
      <c r="FV3" s="4">
        <v>0</v>
      </c>
      <c r="FW3" s="4">
        <v>0</v>
      </c>
      <c r="FX3" s="2" t="s">
        <v>65</v>
      </c>
      <c r="FY3" s="2" t="s">
        <v>66</v>
      </c>
      <c r="FZ3" s="2" t="s">
        <v>17</v>
      </c>
      <c r="GA3" s="2"/>
      <c r="GB3" s="2"/>
      <c r="GC3" s="2"/>
      <c r="GD3" s="2" t="s">
        <v>67</v>
      </c>
      <c r="GE3" s="2" t="s">
        <v>1612</v>
      </c>
      <c r="GF3" s="2"/>
      <c r="GG3" s="2"/>
      <c r="GH3" s="2"/>
      <c r="GI3" s="2">
        <v>140</v>
      </c>
      <c r="GJ3" s="2"/>
      <c r="GK3" s="2"/>
      <c r="GL3" s="2"/>
      <c r="GM3" s="2"/>
      <c r="GN3" s="2"/>
      <c r="GO3" s="2"/>
      <c r="GP3" s="2"/>
      <c r="GQ3" s="2">
        <v>140</v>
      </c>
      <c r="GR3" s="2" t="s">
        <v>2826</v>
      </c>
      <c r="GS3" s="2" t="s">
        <v>2686</v>
      </c>
      <c r="GT3" s="2">
        <v>1</v>
      </c>
      <c r="GU3" s="2" t="s">
        <v>5073</v>
      </c>
      <c r="GV3" s="2" t="s">
        <v>510</v>
      </c>
      <c r="GW3" s="2" t="s">
        <v>17</v>
      </c>
      <c r="GX3" s="2">
        <v>28.563029</v>
      </c>
      <c r="GY3" s="2">
        <v>-81.428940999999995</v>
      </c>
      <c r="GZ3" s="2"/>
      <c r="HA3" s="2" t="s">
        <v>17</v>
      </c>
      <c r="HB3" s="2">
        <v>0</v>
      </c>
      <c r="HC3" s="2" t="s">
        <v>17</v>
      </c>
      <c r="HD3" s="2"/>
      <c r="HE3" s="2">
        <v>0</v>
      </c>
      <c r="HF3" s="2"/>
      <c r="HG3" s="2"/>
      <c r="HH3" s="2"/>
      <c r="HI3" s="2"/>
      <c r="HJ3" s="2"/>
      <c r="HK3" s="2"/>
      <c r="HL3" s="2"/>
      <c r="HM3" s="2"/>
      <c r="HN3" s="2"/>
      <c r="HO3" s="2"/>
      <c r="HP3" s="2">
        <v>28.552841000000001</v>
      </c>
      <c r="HQ3" s="2">
        <v>-81.430183999999997</v>
      </c>
      <c r="HR3" s="2">
        <v>0.71</v>
      </c>
      <c r="HS3" s="2">
        <v>5</v>
      </c>
      <c r="HT3" s="2"/>
      <c r="HU3" s="2"/>
      <c r="HV3" s="2"/>
      <c r="HW3" s="2"/>
      <c r="HX3" s="2" t="s">
        <v>73</v>
      </c>
      <c r="HY3" s="2" t="s">
        <v>5074</v>
      </c>
      <c r="HZ3" s="2" t="s">
        <v>5075</v>
      </c>
      <c r="IA3" s="2">
        <v>0.84</v>
      </c>
      <c r="IB3" s="2">
        <v>2.5</v>
      </c>
      <c r="IC3" s="2"/>
      <c r="ID3" s="2"/>
      <c r="IE3" s="2"/>
      <c r="IF3" s="2"/>
      <c r="IG3" s="2" t="s">
        <v>5076</v>
      </c>
      <c r="IH3" s="2" t="s">
        <v>5075</v>
      </c>
      <c r="II3" s="2">
        <v>0.84</v>
      </c>
      <c r="IJ3" s="2">
        <v>2.5</v>
      </c>
      <c r="IK3" s="2" t="s">
        <v>5077</v>
      </c>
      <c r="IL3" s="2" t="s">
        <v>5078</v>
      </c>
      <c r="IM3" s="2">
        <v>0.28999999999999998</v>
      </c>
      <c r="IN3" s="2">
        <v>4</v>
      </c>
      <c r="IO3" s="2">
        <v>5</v>
      </c>
      <c r="IP3" s="2">
        <v>9</v>
      </c>
      <c r="IQ3" s="2">
        <v>0</v>
      </c>
      <c r="IR3" s="2">
        <v>14</v>
      </c>
      <c r="IS3" s="2" t="s">
        <v>17</v>
      </c>
      <c r="IT3" s="2" t="s">
        <v>17</v>
      </c>
      <c r="IU3" s="2" t="s">
        <v>17</v>
      </c>
      <c r="IV3" s="2" t="s">
        <v>9</v>
      </c>
      <c r="IW3" s="2" t="s">
        <v>9</v>
      </c>
      <c r="IX3" s="2" t="s">
        <v>9</v>
      </c>
      <c r="IY3" s="2">
        <v>14</v>
      </c>
      <c r="IZ3" s="2">
        <v>140</v>
      </c>
      <c r="JA3" s="2"/>
      <c r="JB3" s="2"/>
      <c r="JC3" s="2"/>
      <c r="JD3" s="2"/>
      <c r="JE3" s="2"/>
      <c r="JF3" s="2"/>
      <c r="JG3" s="2"/>
      <c r="JH3" s="7">
        <v>0</v>
      </c>
      <c r="JI3" s="2">
        <v>0</v>
      </c>
      <c r="JJ3" s="7">
        <v>0</v>
      </c>
      <c r="JK3" s="2">
        <v>0</v>
      </c>
      <c r="JL3" s="7">
        <v>0</v>
      </c>
      <c r="JM3" s="2">
        <v>21</v>
      </c>
      <c r="JN3" s="2"/>
      <c r="JO3" s="2">
        <v>88</v>
      </c>
      <c r="JP3" s="2"/>
      <c r="JQ3" s="2">
        <v>31</v>
      </c>
      <c r="JR3" s="2">
        <v>0</v>
      </c>
      <c r="JS3" s="2">
        <v>0</v>
      </c>
      <c r="JT3" s="2"/>
      <c r="JU3" s="2"/>
      <c r="JV3" s="2">
        <v>140</v>
      </c>
      <c r="JW3" s="4">
        <v>1</v>
      </c>
      <c r="JX3" s="2">
        <v>140</v>
      </c>
      <c r="JY3" s="4">
        <v>0.59928999999999999</v>
      </c>
      <c r="JZ3" s="2">
        <v>0</v>
      </c>
      <c r="KA3" s="2"/>
      <c r="KB3" s="2"/>
      <c r="KC3" s="2"/>
      <c r="KD3" s="2"/>
      <c r="KE3" s="2"/>
      <c r="KF3" s="2"/>
      <c r="KG3" s="2"/>
      <c r="KH3" s="2">
        <v>27</v>
      </c>
      <c r="KI3" s="2"/>
      <c r="KJ3" s="2"/>
      <c r="KK3" s="2">
        <v>78</v>
      </c>
      <c r="KL3" s="2">
        <v>35</v>
      </c>
      <c r="KM3" s="2"/>
      <c r="KN3" s="2"/>
      <c r="KO3" s="2"/>
      <c r="KP3" s="2"/>
      <c r="KQ3" s="2" t="s">
        <v>83</v>
      </c>
      <c r="KR3" s="2" t="s">
        <v>73</v>
      </c>
      <c r="KS3" s="2"/>
      <c r="KT3" s="2">
        <v>2</v>
      </c>
      <c r="KU3" s="2" t="s">
        <v>84</v>
      </c>
      <c r="KV3" s="2" t="s">
        <v>85</v>
      </c>
      <c r="KW3" s="2" t="s">
        <v>530</v>
      </c>
      <c r="KX3" s="2" t="s">
        <v>17</v>
      </c>
      <c r="KY3" s="2" t="s">
        <v>17</v>
      </c>
      <c r="KZ3" s="2" t="s">
        <v>17</v>
      </c>
      <c r="LA3" s="2" t="s">
        <v>17</v>
      </c>
      <c r="LB3" s="2" t="s">
        <v>17</v>
      </c>
      <c r="LC3" s="2" t="s">
        <v>17</v>
      </c>
      <c r="LD3" s="2" t="s">
        <v>17</v>
      </c>
      <c r="LE3" s="2" t="s">
        <v>17</v>
      </c>
      <c r="LF3" s="2" t="s">
        <v>17</v>
      </c>
      <c r="LG3" s="2" t="s">
        <v>17</v>
      </c>
      <c r="LH3" s="2" t="s">
        <v>17</v>
      </c>
      <c r="LI3" s="2" t="s">
        <v>17</v>
      </c>
      <c r="LJ3" s="2" t="s">
        <v>87</v>
      </c>
      <c r="LK3" s="2" t="s">
        <v>17</v>
      </c>
      <c r="LL3" s="2" t="s">
        <v>17</v>
      </c>
      <c r="LM3" s="2">
        <v>0</v>
      </c>
      <c r="LN3" s="2" t="s">
        <v>9</v>
      </c>
      <c r="LO3" s="2" t="s">
        <v>9</v>
      </c>
      <c r="LP3" s="2" t="s">
        <v>9</v>
      </c>
      <c r="LQ3" s="2" t="s">
        <v>17</v>
      </c>
      <c r="LR3" s="2" t="s">
        <v>17</v>
      </c>
      <c r="LS3" s="2" t="s">
        <v>17</v>
      </c>
      <c r="LT3" s="2" t="s">
        <v>17</v>
      </c>
      <c r="LU3" s="2" t="s">
        <v>17</v>
      </c>
      <c r="LV3" s="2" t="s">
        <v>17</v>
      </c>
      <c r="LW3" s="2" t="s">
        <v>17</v>
      </c>
      <c r="LX3" s="2" t="s">
        <v>17</v>
      </c>
      <c r="LY3" s="5">
        <v>10000000</v>
      </c>
      <c r="LZ3" s="5">
        <v>0</v>
      </c>
      <c r="MA3" s="5">
        <v>10000000</v>
      </c>
      <c r="MB3" s="5">
        <v>7500000</v>
      </c>
      <c r="MC3" s="5">
        <v>7500000</v>
      </c>
      <c r="MD3" s="5">
        <v>1312000</v>
      </c>
      <c r="ME3" s="5">
        <v>1312000</v>
      </c>
      <c r="MF3" s="5">
        <v>1312000</v>
      </c>
      <c r="MG3" s="5">
        <v>8812000</v>
      </c>
      <c r="MH3" s="2">
        <v>0</v>
      </c>
      <c r="MI3" s="5">
        <v>0</v>
      </c>
      <c r="MJ3" s="5">
        <v>0</v>
      </c>
      <c r="MK3" s="2">
        <v>0</v>
      </c>
      <c r="ML3" s="2">
        <v>0</v>
      </c>
      <c r="MM3" s="2">
        <v>0</v>
      </c>
      <c r="MN3" s="5">
        <v>2950000</v>
      </c>
      <c r="MO3" s="5">
        <v>0</v>
      </c>
      <c r="MP3" s="5">
        <v>4600000</v>
      </c>
      <c r="MQ3" s="5">
        <v>0</v>
      </c>
      <c r="MR3" s="5">
        <v>0</v>
      </c>
      <c r="MS3" s="5">
        <v>0</v>
      </c>
      <c r="MT3" s="5">
        <v>0</v>
      </c>
      <c r="MU3" s="5">
        <v>2500000</v>
      </c>
      <c r="MV3" s="5">
        <v>0</v>
      </c>
      <c r="MW3" s="5">
        <v>0</v>
      </c>
      <c r="MX3" s="5">
        <v>0</v>
      </c>
      <c r="MY3" s="5">
        <v>0</v>
      </c>
      <c r="MZ3" s="5">
        <v>0</v>
      </c>
      <c r="NA3" s="5">
        <v>2002090</v>
      </c>
      <c r="NB3" s="2" t="s">
        <v>17</v>
      </c>
      <c r="NC3" s="2"/>
      <c r="ND3" s="2"/>
      <c r="NE3" s="2"/>
      <c r="NF3" s="2"/>
      <c r="NG3" s="2"/>
      <c r="NH3" s="2"/>
      <c r="NI3" s="61">
        <v>0</v>
      </c>
      <c r="NJ3" s="61"/>
      <c r="NK3" s="61"/>
      <c r="NL3" s="61"/>
      <c r="NM3" s="2" t="s">
        <v>17</v>
      </c>
      <c r="NN3" s="2"/>
      <c r="NO3" s="2" t="s">
        <v>17</v>
      </c>
      <c r="NP3" s="2"/>
      <c r="NQ3" s="2"/>
      <c r="NR3" s="2" t="s">
        <v>17</v>
      </c>
      <c r="NS3" s="2"/>
      <c r="NT3" s="2" t="s">
        <v>9</v>
      </c>
      <c r="NU3" s="2" t="s">
        <v>450</v>
      </c>
      <c r="NV3" s="2">
        <v>187</v>
      </c>
      <c r="NW3" s="2" t="s">
        <v>3011</v>
      </c>
      <c r="NX3" s="2" t="s">
        <v>118</v>
      </c>
      <c r="NY3" s="2" t="s">
        <v>118</v>
      </c>
      <c r="NZ3" s="2" t="s">
        <v>118</v>
      </c>
      <c r="OA3" s="2" t="s">
        <v>17</v>
      </c>
      <c r="OB3" s="2" t="s">
        <v>119</v>
      </c>
      <c r="OC3" s="5">
        <v>32000000</v>
      </c>
      <c r="OD3" s="2" t="s">
        <v>17</v>
      </c>
      <c r="OE3" s="2" t="s">
        <v>17</v>
      </c>
      <c r="OF3" s="2" t="s">
        <v>85</v>
      </c>
      <c r="OG3" s="6">
        <v>12500000</v>
      </c>
      <c r="OH3" s="6">
        <v>0</v>
      </c>
      <c r="OI3" s="2" t="s">
        <v>93</v>
      </c>
      <c r="OJ3" s="2" t="s">
        <v>93</v>
      </c>
      <c r="OK3" s="6">
        <v>0</v>
      </c>
      <c r="OL3" s="6">
        <v>0</v>
      </c>
      <c r="OM3" s="6">
        <v>0</v>
      </c>
      <c r="ON3" s="6">
        <v>0</v>
      </c>
      <c r="OO3" s="6">
        <v>0</v>
      </c>
      <c r="OP3" s="6">
        <v>0</v>
      </c>
      <c r="OQ3" s="4">
        <v>0</v>
      </c>
      <c r="OR3" s="6">
        <v>0</v>
      </c>
      <c r="OS3" s="4">
        <v>0</v>
      </c>
      <c r="OT3" s="2" t="s">
        <v>17</v>
      </c>
      <c r="OU3" s="2" t="s">
        <v>17</v>
      </c>
      <c r="OV3" s="2"/>
      <c r="OW3" s="2" t="s">
        <v>17</v>
      </c>
      <c r="OX3" s="5">
        <v>6378188</v>
      </c>
      <c r="OY3" s="6">
        <v>45558.48</v>
      </c>
      <c r="OZ3" s="2"/>
      <c r="PA3" s="2"/>
      <c r="PB3" s="2"/>
      <c r="PC3" s="2"/>
      <c r="PD3" s="2"/>
      <c r="PE3" s="2"/>
      <c r="PF3" s="8">
        <v>24612120</v>
      </c>
      <c r="PG3" s="2"/>
      <c r="PH3" s="8">
        <v>24612120</v>
      </c>
      <c r="PI3" s="2"/>
      <c r="PJ3" s="2"/>
      <c r="PK3" s="2"/>
      <c r="PL3" s="2"/>
      <c r="PM3" s="2"/>
      <c r="PN3" s="2"/>
      <c r="PO3" s="2"/>
      <c r="PP3" s="2"/>
      <c r="PQ3" s="2"/>
      <c r="PR3" s="8">
        <v>24612120</v>
      </c>
      <c r="PS3" s="2"/>
      <c r="PT3" s="8">
        <v>24612120</v>
      </c>
      <c r="PU3" s="8">
        <v>3445696</v>
      </c>
      <c r="PV3" s="8">
        <v>3445696</v>
      </c>
      <c r="PW3" s="6">
        <v>3445696</v>
      </c>
      <c r="PX3" s="8">
        <v>28057816</v>
      </c>
      <c r="PY3" s="2"/>
      <c r="PZ3" s="8">
        <v>28057816</v>
      </c>
      <c r="QA3" s="8">
        <v>1402890</v>
      </c>
      <c r="QB3" s="8">
        <v>1402890</v>
      </c>
      <c r="QC3" s="6">
        <v>1402890.8</v>
      </c>
      <c r="QD3" s="8">
        <v>15000</v>
      </c>
      <c r="QE3" s="8">
        <v>15000</v>
      </c>
      <c r="QF3" s="8">
        <v>30000</v>
      </c>
      <c r="QG3" s="8">
        <v>5500</v>
      </c>
      <c r="QH3" s="8">
        <v>5500</v>
      </c>
      <c r="QI3" s="8">
        <v>400000</v>
      </c>
      <c r="QJ3" s="8">
        <v>400000</v>
      </c>
      <c r="QK3" s="8">
        <v>35000</v>
      </c>
      <c r="QL3" s="8">
        <v>35000</v>
      </c>
      <c r="QM3" s="2"/>
      <c r="QN3" s="2"/>
      <c r="QO3" s="2"/>
      <c r="QP3" s="8">
        <v>520296</v>
      </c>
      <c r="QQ3" s="8">
        <v>520296</v>
      </c>
      <c r="QR3" s="2"/>
      <c r="QS3" s="2"/>
      <c r="QT3" s="8">
        <v>75000</v>
      </c>
      <c r="QU3" s="2"/>
      <c r="QV3" s="8">
        <v>75000</v>
      </c>
      <c r="QW3" s="8">
        <v>45000</v>
      </c>
      <c r="QX3" s="8">
        <v>45000</v>
      </c>
      <c r="QY3" s="8">
        <v>65834</v>
      </c>
      <c r="QZ3" s="8">
        <v>65834</v>
      </c>
      <c r="RA3" s="2"/>
      <c r="RB3" s="8">
        <v>3000</v>
      </c>
      <c r="RC3" s="8">
        <v>396480</v>
      </c>
      <c r="RD3" s="8">
        <v>396480</v>
      </c>
      <c r="RE3" s="2"/>
      <c r="RF3" s="2"/>
      <c r="RG3" s="8">
        <v>50000</v>
      </c>
      <c r="RH3" s="8">
        <v>50000</v>
      </c>
      <c r="RI3" s="8">
        <v>250000</v>
      </c>
      <c r="RJ3" s="8">
        <v>250000</v>
      </c>
      <c r="RK3" s="2"/>
      <c r="RL3" s="8">
        <v>28900</v>
      </c>
      <c r="RM3" s="8">
        <v>28900</v>
      </c>
      <c r="RN3" s="8">
        <v>275000</v>
      </c>
      <c r="RO3" s="2"/>
      <c r="RP3" s="8">
        <v>275000</v>
      </c>
      <c r="RQ3" s="8">
        <v>155000</v>
      </c>
      <c r="RR3" s="2"/>
      <c r="RS3" s="8">
        <v>155000</v>
      </c>
      <c r="RT3" s="8">
        <v>5500</v>
      </c>
      <c r="RU3" s="2"/>
      <c r="RV3" s="8">
        <v>5500</v>
      </c>
      <c r="RW3" s="8">
        <v>150000</v>
      </c>
      <c r="RX3" s="8">
        <v>150000</v>
      </c>
      <c r="RY3" s="8">
        <v>65000</v>
      </c>
      <c r="RZ3" s="2"/>
      <c r="SA3" s="8">
        <v>65000</v>
      </c>
      <c r="SB3" s="8">
        <v>50000</v>
      </c>
      <c r="SC3" s="8">
        <v>50000</v>
      </c>
      <c r="SD3" s="8">
        <v>35000</v>
      </c>
      <c r="SE3" s="2"/>
      <c r="SF3" s="8">
        <v>35000</v>
      </c>
      <c r="SG3" s="2"/>
      <c r="SH3" s="2">
        <v>0</v>
      </c>
      <c r="SI3" s="8">
        <v>150000</v>
      </c>
      <c r="SJ3" s="8">
        <v>150000</v>
      </c>
      <c r="SK3" s="8">
        <v>225000</v>
      </c>
      <c r="SL3" s="8">
        <v>225000</v>
      </c>
      <c r="SM3" s="8">
        <v>150000</v>
      </c>
      <c r="SN3" s="2"/>
      <c r="SO3" s="8">
        <v>150000</v>
      </c>
      <c r="SP3" s="8">
        <v>2359296</v>
      </c>
      <c r="SQ3" s="8">
        <v>806214</v>
      </c>
      <c r="SR3" s="8">
        <v>3165510</v>
      </c>
      <c r="SS3" s="8">
        <v>158275</v>
      </c>
      <c r="ST3" s="2"/>
      <c r="SU3" s="8">
        <v>158275</v>
      </c>
      <c r="SV3" s="6">
        <v>158275.5</v>
      </c>
      <c r="SW3" s="8">
        <v>325000</v>
      </c>
      <c r="SX3" s="8">
        <v>325000</v>
      </c>
      <c r="SY3" s="2"/>
      <c r="SZ3" s="8">
        <v>102300</v>
      </c>
      <c r="TA3" s="8">
        <v>288750</v>
      </c>
      <c r="TB3" s="8">
        <v>391050</v>
      </c>
      <c r="TC3" s="2"/>
      <c r="TD3" s="2"/>
      <c r="TE3" s="2"/>
      <c r="TF3" s="2"/>
      <c r="TG3" s="2"/>
      <c r="TH3" s="2"/>
      <c r="TI3" s="8">
        <v>367000</v>
      </c>
      <c r="TJ3" s="8">
        <v>367000</v>
      </c>
      <c r="TK3" s="2"/>
      <c r="TL3" s="2"/>
      <c r="TM3" s="2"/>
      <c r="TN3" s="2"/>
      <c r="TO3" s="8">
        <v>427300</v>
      </c>
      <c r="TP3" s="8">
        <v>655750</v>
      </c>
      <c r="TQ3" s="8">
        <v>1083050</v>
      </c>
      <c r="TR3" s="8">
        <v>32405577</v>
      </c>
      <c r="TS3" s="8">
        <v>1461964</v>
      </c>
      <c r="TT3" s="8">
        <v>33867541</v>
      </c>
      <c r="TU3" s="8">
        <v>6096157</v>
      </c>
      <c r="TV3" s="8">
        <v>6096157</v>
      </c>
      <c r="TW3" s="6">
        <v>6096157</v>
      </c>
      <c r="TX3" s="8">
        <v>6096157</v>
      </c>
      <c r="TY3" s="8">
        <v>6096157</v>
      </c>
      <c r="TZ3" s="6">
        <v>6096157</v>
      </c>
      <c r="UA3" s="8">
        <v>3300000</v>
      </c>
      <c r="UB3" s="8">
        <v>3300000</v>
      </c>
      <c r="UC3" s="8">
        <v>38501734</v>
      </c>
      <c r="UD3" s="8">
        <v>4761964</v>
      </c>
      <c r="UE3" s="8">
        <v>43263698</v>
      </c>
      <c r="UF3" s="8">
        <v>30000000</v>
      </c>
      <c r="UG3" s="2" t="s">
        <v>4295</v>
      </c>
      <c r="UH3" s="2"/>
      <c r="UI3" s="2"/>
      <c r="UJ3" s="8">
        <v>8812000</v>
      </c>
      <c r="UK3" s="2"/>
      <c r="UL3" s="2" t="s">
        <v>96</v>
      </c>
      <c r="UM3" s="8">
        <v>5405102</v>
      </c>
      <c r="UN3" s="2"/>
      <c r="UO3" s="8">
        <v>44217102</v>
      </c>
      <c r="UP3" s="8">
        <v>953404</v>
      </c>
      <c r="UQ3" s="8">
        <v>12500000</v>
      </c>
      <c r="UR3" s="2" t="s">
        <v>4295</v>
      </c>
      <c r="US3" s="2"/>
      <c r="UT3" s="2"/>
      <c r="UU3" s="2"/>
      <c r="UV3" s="2"/>
      <c r="UW3" s="8">
        <v>8812000</v>
      </c>
      <c r="UX3" s="2"/>
      <c r="UY3" s="2" t="s">
        <v>96</v>
      </c>
      <c r="UZ3" s="8">
        <v>18017008</v>
      </c>
      <c r="VA3" s="8">
        <v>4500000</v>
      </c>
      <c r="VB3" s="8">
        <v>43829008</v>
      </c>
      <c r="VC3" s="6">
        <v>21312000</v>
      </c>
      <c r="VD3" s="8">
        <v>565310</v>
      </c>
      <c r="VE3" s="5">
        <v>410000</v>
      </c>
      <c r="VF3" s="5">
        <v>417500</v>
      </c>
      <c r="VG3" s="6">
        <v>285454.99</v>
      </c>
      <c r="VH3" s="2" t="s">
        <v>9</v>
      </c>
      <c r="VI3" s="2" t="s">
        <v>1820</v>
      </c>
      <c r="VJ3" s="2" t="s">
        <v>98</v>
      </c>
      <c r="VK3" s="2" t="s">
        <v>685</v>
      </c>
      <c r="VL3" s="23">
        <f t="shared" si="0"/>
        <v>288</v>
      </c>
      <c r="VM3" s="17">
        <f t="shared" si="1"/>
        <v>2.0571428571428569</v>
      </c>
      <c r="VN3" s="17" t="str">
        <f t="shared" si="2"/>
        <v>NC-MR-F</v>
      </c>
      <c r="VO3" s="17" t="str">
        <f t="shared" ref="VO3:VO34" si="15">VN3&amp;"-"&amp;RIGHT(VX3,3)</f>
        <v>NC-MR-F-ESS</v>
      </c>
      <c r="VP3" s="57">
        <v>1</v>
      </c>
      <c r="VQ3" s="17">
        <f t="shared" si="3"/>
        <v>1.1100000000000001</v>
      </c>
      <c r="VR3" s="57">
        <f t="shared" si="4"/>
        <v>1</v>
      </c>
      <c r="VS3" s="14">
        <f t="shared" si="5"/>
        <v>1</v>
      </c>
      <c r="VT3" s="12">
        <f t="shared" si="6"/>
        <v>0.84479999999999988</v>
      </c>
      <c r="VU3" s="29">
        <f t="shared" si="7"/>
        <v>7032960</v>
      </c>
      <c r="VV3" s="29">
        <f t="shared" si="8"/>
        <v>50235.43</v>
      </c>
      <c r="VW3" s="351" t="str">
        <f>IF(RANK(VV3,VV$2:VV$34,1)&lt;=ROUNDUP(80%*VW$1,0),"A","B")</f>
        <v>A</v>
      </c>
      <c r="VX3" s="12" t="str">
        <f t="shared" si="9"/>
        <v>NC-MR-ESS</v>
      </c>
      <c r="VY3" s="23">
        <f>IF(RANK(VV3,VV$2:VV$34,1)&lt;=ROUNDUP(10%*VW$1,0),1,IF(RANK(VV3,VV$2:VV$34,1)&lt;=ROUNDUP(30%*VW$1,0),2,IF(RANK(VV3,VV$2:VV$34,1)&lt;=ROUNDUP(50%*VW$1,0),3,IF(RANK(VV3,VV$2:VV$34,1)&lt;=ROUNDUP(70%*VW$1,0),4,5))))</f>
        <v>1</v>
      </c>
      <c r="WA3" s="12">
        <f t="shared" ref="WA3:WA34" si="16">IF(BW3="Elderly Non-ALF",1,0)</f>
        <v>0</v>
      </c>
      <c r="WB3" s="12">
        <f t="shared" ref="WB3:WD34" si="17">IF(OR(VQ3=1,N(VQ3)=0),0,1)</f>
        <v>1</v>
      </c>
      <c r="WC3" s="12">
        <f t="shared" si="17"/>
        <v>0</v>
      </c>
      <c r="WD3" s="12">
        <f t="shared" si="17"/>
        <v>0</v>
      </c>
      <c r="WE3" s="12">
        <f t="shared" ref="WE3:WE34" si="18">IF(GG3+GI3+GK3+GL3&gt;0,1,0)</f>
        <v>1</v>
      </c>
      <c r="WF3" s="12">
        <f t="shared" si="10"/>
        <v>0</v>
      </c>
      <c r="WG3" s="12">
        <f t="shared" si="11"/>
        <v>1</v>
      </c>
      <c r="WH3" s="12">
        <f t="shared" si="12"/>
        <v>0</v>
      </c>
      <c r="WI3" s="31">
        <f t="shared" si="13"/>
        <v>3</v>
      </c>
      <c r="WJ3" s="2"/>
      <c r="WK3" s="444" t="str">
        <f t="shared" si="14"/>
        <v>NC-MR-ESS-BBY-BRN-NPH-F</v>
      </c>
      <c r="WL3" s="444"/>
      <c r="WM3" s="444"/>
      <c r="WN3" s="12"/>
      <c r="WO3" s="380" t="s">
        <v>2627</v>
      </c>
      <c r="WP3" s="144">
        <f>COUNTIFS($WB$2:$WB$72,"=1",$WA$2:$WA$72,"=1")</f>
        <v>8</v>
      </c>
      <c r="WQ3" s="384"/>
      <c r="WR3" s="144">
        <f>COUNTIFS($WB$2:$WB$72,"=1",$WC$2:$WC$72,"=1")</f>
        <v>0</v>
      </c>
      <c r="WS3" s="144">
        <f>COUNTIFS($WB$2:$WB$72,"=1",$WD$2:$WD$72,"=1")</f>
        <v>5</v>
      </c>
      <c r="WT3" s="144">
        <f>COUNTIFS($WB$2:$WB$72,"=1",$WF$2:$WF$72,"=1")</f>
        <v>16</v>
      </c>
      <c r="WU3" s="144">
        <f>COUNTIFS($WB$2:$WB$72,"=1",$WG$2:$WG$72,"=1")</f>
        <v>13</v>
      </c>
      <c r="WV3" s="144">
        <f>COUNTIFS($WB$2:$WB$72,"=1",$WH$2:$WH$72,"=1")</f>
        <v>0</v>
      </c>
      <c r="WW3" s="144">
        <f>COUNTIFS($WB$2:$WB$72,"=1",$WE$2:$WE$72,"=1")</f>
        <v>20</v>
      </c>
      <c r="WX3" s="205">
        <f>COUNTIF($WB$2:$WB$72,"=1")</f>
        <v>29</v>
      </c>
    </row>
    <row r="4" spans="1:622" x14ac:dyDescent="0.25">
      <c r="A4" s="2">
        <v>9063</v>
      </c>
      <c r="B4" s="2" t="s">
        <v>5079</v>
      </c>
      <c r="C4" s="2" t="s">
        <v>5063</v>
      </c>
      <c r="D4" s="2">
        <v>10</v>
      </c>
      <c r="E4" s="2">
        <v>46.1</v>
      </c>
      <c r="F4" s="2"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 t="s">
        <v>9</v>
      </c>
      <c r="BV4" s="6">
        <v>50871.68</v>
      </c>
      <c r="BW4" s="2" t="s">
        <v>126</v>
      </c>
      <c r="BX4" s="3">
        <v>45036</v>
      </c>
      <c r="BY4" s="2" t="s">
        <v>9</v>
      </c>
      <c r="BZ4" s="2">
        <v>1</v>
      </c>
      <c r="CA4" s="2" t="s">
        <v>9</v>
      </c>
      <c r="CB4" s="2">
        <v>1</v>
      </c>
      <c r="CC4" s="2" t="s">
        <v>9</v>
      </c>
      <c r="CD4" s="2">
        <v>0</v>
      </c>
      <c r="CE4" s="2" t="s">
        <v>5080</v>
      </c>
      <c r="CF4" s="2">
        <v>1</v>
      </c>
      <c r="CG4" s="2" t="s">
        <v>10</v>
      </c>
      <c r="CH4" s="2">
        <v>0</v>
      </c>
      <c r="CI4" s="2" t="s">
        <v>10</v>
      </c>
      <c r="CJ4" s="2">
        <v>0</v>
      </c>
      <c r="CK4" s="2" t="s">
        <v>11</v>
      </c>
      <c r="CL4" s="2">
        <v>0</v>
      </c>
      <c r="CM4" s="2" t="s">
        <v>9</v>
      </c>
      <c r="CN4" s="2">
        <v>2</v>
      </c>
      <c r="CO4" s="2" t="s">
        <v>9</v>
      </c>
      <c r="CP4" s="2">
        <v>2</v>
      </c>
      <c r="CQ4" s="2" t="s">
        <v>9</v>
      </c>
      <c r="CR4" s="2">
        <v>2</v>
      </c>
      <c r="CS4" s="2" t="s">
        <v>12</v>
      </c>
      <c r="CT4" s="2" t="s">
        <v>15</v>
      </c>
      <c r="CU4" s="2" t="s">
        <v>15</v>
      </c>
      <c r="CV4" s="2" t="s">
        <v>15</v>
      </c>
      <c r="CW4" s="2" t="s">
        <v>15</v>
      </c>
      <c r="CX4" s="2" t="s">
        <v>15</v>
      </c>
      <c r="CY4" s="2" t="s">
        <v>15</v>
      </c>
      <c r="CZ4" s="2">
        <v>0</v>
      </c>
      <c r="DA4" s="2" t="s">
        <v>234</v>
      </c>
      <c r="DB4" s="2" t="s">
        <v>17</v>
      </c>
      <c r="DC4" s="4">
        <v>0.15</v>
      </c>
      <c r="DD4" s="2" t="s">
        <v>17</v>
      </c>
      <c r="DE4" s="2" t="s">
        <v>9</v>
      </c>
      <c r="DF4" s="2" t="s">
        <v>17</v>
      </c>
      <c r="DG4" s="2" t="s">
        <v>17</v>
      </c>
      <c r="DH4" s="2" t="s">
        <v>17</v>
      </c>
      <c r="DI4" s="2" t="s">
        <v>17</v>
      </c>
      <c r="DJ4" s="2" t="s">
        <v>17</v>
      </c>
      <c r="DK4" s="2" t="s">
        <v>17</v>
      </c>
      <c r="DL4" s="2" t="s">
        <v>17</v>
      </c>
      <c r="DM4" s="2" t="s">
        <v>17</v>
      </c>
      <c r="DN4" s="2" t="s">
        <v>2663</v>
      </c>
      <c r="DO4" s="2">
        <v>5</v>
      </c>
      <c r="DP4" s="5">
        <v>37500</v>
      </c>
      <c r="DQ4" s="5">
        <v>460000</v>
      </c>
      <c r="DR4" s="2">
        <v>0</v>
      </c>
      <c r="DS4" s="2">
        <v>17</v>
      </c>
      <c r="DT4" s="2">
        <v>0</v>
      </c>
      <c r="DU4" s="2">
        <v>6</v>
      </c>
      <c r="DV4" s="2">
        <v>0</v>
      </c>
      <c r="DW4" s="2">
        <v>0</v>
      </c>
      <c r="DX4" s="2">
        <v>1</v>
      </c>
      <c r="DY4" s="2">
        <v>0</v>
      </c>
      <c r="DZ4" s="2">
        <v>1</v>
      </c>
      <c r="EA4" s="2">
        <v>0</v>
      </c>
      <c r="EB4" s="2">
        <v>0</v>
      </c>
      <c r="EC4" s="2">
        <v>0</v>
      </c>
      <c r="ED4" s="2">
        <v>13</v>
      </c>
      <c r="EE4" s="2">
        <v>1</v>
      </c>
      <c r="EF4" s="2">
        <v>0</v>
      </c>
      <c r="EG4" s="2">
        <v>2</v>
      </c>
      <c r="EH4" s="2">
        <v>0</v>
      </c>
      <c r="EI4" s="2">
        <v>13</v>
      </c>
      <c r="EJ4" s="2">
        <v>11</v>
      </c>
      <c r="EK4" s="2">
        <v>0</v>
      </c>
      <c r="EL4" s="2" t="s">
        <v>17</v>
      </c>
      <c r="EM4" s="2" t="s">
        <v>17</v>
      </c>
      <c r="EN4" s="2" t="s">
        <v>17</v>
      </c>
      <c r="EO4" s="2" t="s">
        <v>17</v>
      </c>
      <c r="EP4" s="2" t="s">
        <v>17</v>
      </c>
      <c r="EQ4" s="2" t="s">
        <v>17</v>
      </c>
      <c r="ER4" s="2" t="s">
        <v>17</v>
      </c>
      <c r="ES4" s="2" t="s">
        <v>9</v>
      </c>
      <c r="ET4" s="2" t="s">
        <v>893</v>
      </c>
      <c r="EU4" s="2"/>
      <c r="EV4" s="2"/>
      <c r="EW4" s="2" t="s">
        <v>9</v>
      </c>
      <c r="EX4" s="2" t="s">
        <v>895</v>
      </c>
      <c r="EY4" s="2" t="s">
        <v>893</v>
      </c>
      <c r="EZ4" s="2" t="s">
        <v>896</v>
      </c>
      <c r="FA4" s="2" t="s">
        <v>5081</v>
      </c>
      <c r="FB4" s="2">
        <v>112</v>
      </c>
      <c r="FC4" s="2" t="s">
        <v>3904</v>
      </c>
      <c r="FD4" s="2">
        <v>2022</v>
      </c>
      <c r="FE4" s="2" t="s">
        <v>26</v>
      </c>
      <c r="FF4" s="2" t="s">
        <v>4210</v>
      </c>
      <c r="FG4" s="2" t="s">
        <v>671</v>
      </c>
      <c r="FH4" s="2"/>
      <c r="FI4" s="2" t="s">
        <v>903</v>
      </c>
      <c r="FJ4" s="2" t="s">
        <v>909</v>
      </c>
      <c r="FK4" s="2">
        <v>1</v>
      </c>
      <c r="FL4" s="2" t="s">
        <v>905</v>
      </c>
      <c r="FM4" s="2" t="s">
        <v>906</v>
      </c>
      <c r="FN4" s="2" t="s">
        <v>5082</v>
      </c>
      <c r="FO4" s="2" t="s">
        <v>63</v>
      </c>
      <c r="FP4" s="2" t="s">
        <v>9</v>
      </c>
      <c r="FQ4" s="2" t="s">
        <v>17</v>
      </c>
      <c r="FR4" s="2" t="s">
        <v>17</v>
      </c>
      <c r="FS4" s="2" t="s">
        <v>9</v>
      </c>
      <c r="FT4" s="2">
        <v>0</v>
      </c>
      <c r="FU4" s="2">
        <v>0</v>
      </c>
      <c r="FV4" s="4">
        <v>0</v>
      </c>
      <c r="FW4" s="4">
        <v>0</v>
      </c>
      <c r="FX4" s="2" t="s">
        <v>65</v>
      </c>
      <c r="FY4" s="2" t="s">
        <v>66</v>
      </c>
      <c r="FZ4" s="2" t="s">
        <v>17</v>
      </c>
      <c r="GA4" s="2"/>
      <c r="GB4" s="2"/>
      <c r="GC4" s="2"/>
      <c r="GD4" s="2" t="s">
        <v>67</v>
      </c>
      <c r="GE4" s="2" t="s">
        <v>1612</v>
      </c>
      <c r="GF4" s="2"/>
      <c r="GG4" s="2"/>
      <c r="GH4" s="2"/>
      <c r="GI4" s="2">
        <v>100</v>
      </c>
      <c r="GJ4" s="2"/>
      <c r="GK4" s="2"/>
      <c r="GL4" s="2"/>
      <c r="GM4" s="2"/>
      <c r="GN4" s="2"/>
      <c r="GO4" s="2"/>
      <c r="GP4" s="2"/>
      <c r="GQ4" s="2">
        <v>100</v>
      </c>
      <c r="GR4" s="2" t="s">
        <v>1112</v>
      </c>
      <c r="GS4" s="2" t="s">
        <v>70</v>
      </c>
      <c r="GT4" s="2">
        <v>2</v>
      </c>
      <c r="GU4" s="2" t="s">
        <v>5083</v>
      </c>
      <c r="GV4" s="2" t="s">
        <v>1502</v>
      </c>
      <c r="GW4" s="2" t="s">
        <v>17</v>
      </c>
      <c r="GX4" s="2">
        <v>26.174424999999999</v>
      </c>
      <c r="GY4" s="2">
        <v>-81.688309000000004</v>
      </c>
      <c r="GZ4" s="2"/>
      <c r="HA4" s="2" t="s">
        <v>17</v>
      </c>
      <c r="HB4" s="2">
        <v>0</v>
      </c>
      <c r="HC4" s="2" t="s">
        <v>17</v>
      </c>
      <c r="HD4" s="2" t="s">
        <v>9</v>
      </c>
      <c r="HE4" s="2">
        <v>2</v>
      </c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 t="s">
        <v>73</v>
      </c>
      <c r="HY4" s="2" t="s">
        <v>167</v>
      </c>
      <c r="HZ4" s="2" t="s">
        <v>5084</v>
      </c>
      <c r="IA4" s="2">
        <v>1.3</v>
      </c>
      <c r="IB4" s="2">
        <v>1.5</v>
      </c>
      <c r="IC4" s="2"/>
      <c r="ID4" s="2"/>
      <c r="IE4" s="2"/>
      <c r="IF4" s="2"/>
      <c r="IG4" s="2" t="s">
        <v>5085</v>
      </c>
      <c r="IH4" s="2" t="s">
        <v>5086</v>
      </c>
      <c r="II4" s="2">
        <v>0.74</v>
      </c>
      <c r="IJ4" s="2">
        <v>3</v>
      </c>
      <c r="IK4" s="2" t="s">
        <v>5087</v>
      </c>
      <c r="IL4" s="2" t="s">
        <v>5088</v>
      </c>
      <c r="IM4" s="2">
        <v>0.49</v>
      </c>
      <c r="IN4" s="2">
        <v>4</v>
      </c>
      <c r="IO4" s="2">
        <v>2</v>
      </c>
      <c r="IP4" s="2">
        <v>8.5</v>
      </c>
      <c r="IQ4" s="2">
        <v>0</v>
      </c>
      <c r="IR4" s="2">
        <v>10.5</v>
      </c>
      <c r="IS4" s="2" t="s">
        <v>17</v>
      </c>
      <c r="IT4" s="2" t="s">
        <v>17</v>
      </c>
      <c r="IU4" s="2" t="s">
        <v>17</v>
      </c>
      <c r="IV4" s="2" t="s">
        <v>80</v>
      </c>
      <c r="IW4" s="2" t="s">
        <v>9</v>
      </c>
      <c r="IX4" s="2" t="s">
        <v>9</v>
      </c>
      <c r="IY4" s="2">
        <v>10.5</v>
      </c>
      <c r="IZ4" s="2">
        <v>100</v>
      </c>
      <c r="JA4" s="2"/>
      <c r="JB4" s="2"/>
      <c r="JC4" s="2"/>
      <c r="JD4" s="2"/>
      <c r="JE4" s="2"/>
      <c r="JF4" s="2"/>
      <c r="JG4" s="2"/>
      <c r="JH4" s="7">
        <v>0</v>
      </c>
      <c r="JI4" s="2">
        <v>0</v>
      </c>
      <c r="JJ4" s="7">
        <v>0</v>
      </c>
      <c r="JK4" s="2">
        <v>0</v>
      </c>
      <c r="JL4" s="7">
        <v>0</v>
      </c>
      <c r="JM4" s="2">
        <v>15</v>
      </c>
      <c r="JN4" s="2">
        <v>35</v>
      </c>
      <c r="JO4" s="2">
        <v>15</v>
      </c>
      <c r="JP4" s="2"/>
      <c r="JQ4" s="2">
        <v>35</v>
      </c>
      <c r="JR4" s="2">
        <v>0</v>
      </c>
      <c r="JS4" s="2">
        <v>0</v>
      </c>
      <c r="JT4" s="2"/>
      <c r="JU4" s="2"/>
      <c r="JV4" s="2">
        <v>100</v>
      </c>
      <c r="JW4" s="4">
        <v>1</v>
      </c>
      <c r="JX4" s="2">
        <v>100</v>
      </c>
      <c r="JY4" s="4">
        <v>0.59</v>
      </c>
      <c r="JZ4" s="2">
        <v>0</v>
      </c>
      <c r="KA4" s="2"/>
      <c r="KB4" s="2"/>
      <c r="KC4" s="2"/>
      <c r="KD4" s="2"/>
      <c r="KE4" s="2"/>
      <c r="KF4" s="2"/>
      <c r="KG4" s="2"/>
      <c r="KH4" s="2">
        <v>80</v>
      </c>
      <c r="KI4" s="2"/>
      <c r="KJ4" s="2"/>
      <c r="KK4" s="2">
        <v>20</v>
      </c>
      <c r="KL4" s="2"/>
      <c r="KM4" s="2"/>
      <c r="KN4" s="2"/>
      <c r="KO4" s="2"/>
      <c r="KP4" s="2"/>
      <c r="KQ4" s="2" t="s">
        <v>83</v>
      </c>
      <c r="KR4" s="2"/>
      <c r="KS4" s="2" t="s">
        <v>73</v>
      </c>
      <c r="KT4" s="2">
        <v>1</v>
      </c>
      <c r="KU4" s="2" t="s">
        <v>84</v>
      </c>
      <c r="KV4" s="2" t="s">
        <v>85</v>
      </c>
      <c r="KW4" s="2" t="s">
        <v>86</v>
      </c>
      <c r="KX4" s="2" t="s">
        <v>17</v>
      </c>
      <c r="KY4" s="2" t="s">
        <v>17</v>
      </c>
      <c r="KZ4" s="2" t="s">
        <v>17</v>
      </c>
      <c r="LA4" s="2" t="s">
        <v>17</v>
      </c>
      <c r="LB4" s="2" t="s">
        <v>17</v>
      </c>
      <c r="LC4" s="2" t="s">
        <v>17</v>
      </c>
      <c r="LD4" s="2" t="s">
        <v>17</v>
      </c>
      <c r="LE4" s="2" t="s">
        <v>17</v>
      </c>
      <c r="LF4" s="2" t="s">
        <v>17</v>
      </c>
      <c r="LG4" s="2" t="s">
        <v>17</v>
      </c>
      <c r="LH4" s="2" t="s">
        <v>17</v>
      </c>
      <c r="LI4" s="2" t="s">
        <v>17</v>
      </c>
      <c r="LJ4" s="2" t="s">
        <v>87</v>
      </c>
      <c r="LK4" s="2" t="s">
        <v>17</v>
      </c>
      <c r="LL4" s="2" t="s">
        <v>17</v>
      </c>
      <c r="LM4" s="2">
        <v>0</v>
      </c>
      <c r="LN4" s="2" t="s">
        <v>17</v>
      </c>
      <c r="LO4" s="2" t="s">
        <v>17</v>
      </c>
      <c r="LP4" s="2" t="s">
        <v>17</v>
      </c>
      <c r="LQ4" s="2" t="s">
        <v>17</v>
      </c>
      <c r="LR4" s="2" t="s">
        <v>17</v>
      </c>
      <c r="LS4" s="2" t="s">
        <v>17</v>
      </c>
      <c r="LT4" s="2" t="s">
        <v>9</v>
      </c>
      <c r="LU4" s="2" t="s">
        <v>9</v>
      </c>
      <c r="LV4" s="2" t="s">
        <v>17</v>
      </c>
      <c r="LW4" s="2" t="s">
        <v>9</v>
      </c>
      <c r="LX4" s="2" t="s">
        <v>17</v>
      </c>
      <c r="LY4" s="5">
        <v>10000000</v>
      </c>
      <c r="LZ4" s="5">
        <v>6500000</v>
      </c>
      <c r="MA4" s="5">
        <v>10000000</v>
      </c>
      <c r="MB4" s="5">
        <v>6879200</v>
      </c>
      <c r="MC4" s="5">
        <v>6879200</v>
      </c>
      <c r="MD4" s="5">
        <v>1120800</v>
      </c>
      <c r="ME4" s="5">
        <v>1120800</v>
      </c>
      <c r="MF4" s="5">
        <v>1120800</v>
      </c>
      <c r="MG4" s="5">
        <v>8000000</v>
      </c>
      <c r="MH4" s="2">
        <v>0</v>
      </c>
      <c r="MI4" s="5">
        <v>0</v>
      </c>
      <c r="MJ4" s="5">
        <v>0</v>
      </c>
      <c r="MK4" s="2">
        <v>0</v>
      </c>
      <c r="ML4" s="2">
        <v>0</v>
      </c>
      <c r="MM4" s="2">
        <v>0</v>
      </c>
      <c r="MN4" s="5">
        <v>2950000</v>
      </c>
      <c r="MO4" s="5">
        <v>0</v>
      </c>
      <c r="MP4" s="5">
        <v>4600000</v>
      </c>
      <c r="MQ4" s="5">
        <v>0</v>
      </c>
      <c r="MR4" s="5">
        <v>0</v>
      </c>
      <c r="MS4" s="5">
        <v>0</v>
      </c>
      <c r="MT4" s="5">
        <v>0</v>
      </c>
      <c r="MU4" s="5">
        <v>2500000</v>
      </c>
      <c r="MV4" s="5">
        <v>0</v>
      </c>
      <c r="MW4" s="5">
        <v>0</v>
      </c>
      <c r="MX4" s="5">
        <v>0</v>
      </c>
      <c r="MY4" s="5">
        <v>2040000</v>
      </c>
      <c r="MZ4" s="5">
        <v>0</v>
      </c>
      <c r="NA4" s="5">
        <v>1310304</v>
      </c>
      <c r="NB4" s="2" t="s">
        <v>17</v>
      </c>
      <c r="NC4" s="2"/>
      <c r="ND4" s="2"/>
      <c r="NE4" s="2"/>
      <c r="NF4" s="2"/>
      <c r="NG4" s="2"/>
      <c r="NH4" s="2"/>
      <c r="NI4" s="61">
        <v>0</v>
      </c>
      <c r="NJ4" s="61"/>
      <c r="NK4" s="61"/>
      <c r="NL4" s="61"/>
      <c r="NM4" s="2" t="s">
        <v>17</v>
      </c>
      <c r="NN4" s="2"/>
      <c r="NO4" s="2" t="s">
        <v>17</v>
      </c>
      <c r="NP4" s="2"/>
      <c r="NQ4" s="2"/>
      <c r="NR4" s="2" t="s">
        <v>17</v>
      </c>
      <c r="NS4" s="2"/>
      <c r="NT4" s="2" t="s">
        <v>17</v>
      </c>
      <c r="NU4" s="2"/>
      <c r="NV4" s="2"/>
      <c r="NW4" s="2"/>
      <c r="NX4" s="2" t="s">
        <v>118</v>
      </c>
      <c r="NY4" s="2" t="s">
        <v>118</v>
      </c>
      <c r="NZ4" s="2" t="s">
        <v>118</v>
      </c>
      <c r="OA4" s="2" t="s">
        <v>17</v>
      </c>
      <c r="OB4" s="2" t="s">
        <v>5089</v>
      </c>
      <c r="OC4" s="5">
        <v>21000000</v>
      </c>
      <c r="OD4" s="2" t="s">
        <v>17</v>
      </c>
      <c r="OE4" s="2" t="s">
        <v>17</v>
      </c>
      <c r="OF4" s="2" t="s">
        <v>85</v>
      </c>
      <c r="OG4" s="6">
        <v>11000000</v>
      </c>
      <c r="OH4" s="6">
        <v>0</v>
      </c>
      <c r="OI4" s="2" t="s">
        <v>93</v>
      </c>
      <c r="OJ4" s="2" t="s">
        <v>93</v>
      </c>
      <c r="OK4" s="6">
        <v>0</v>
      </c>
      <c r="OL4" s="6">
        <v>0</v>
      </c>
      <c r="OM4" s="6">
        <v>0</v>
      </c>
      <c r="ON4" s="6">
        <v>0</v>
      </c>
      <c r="OO4" s="6">
        <v>0</v>
      </c>
      <c r="OP4" s="6">
        <v>0</v>
      </c>
      <c r="OQ4" s="4">
        <v>0</v>
      </c>
      <c r="OR4" s="6">
        <v>0</v>
      </c>
      <c r="OS4" s="4">
        <v>0</v>
      </c>
      <c r="OT4" s="2" t="s">
        <v>17</v>
      </c>
      <c r="OU4" s="2" t="s">
        <v>17</v>
      </c>
      <c r="OV4" s="2"/>
      <c r="OW4" s="2" t="s">
        <v>17</v>
      </c>
      <c r="OX4" s="5">
        <v>5087168</v>
      </c>
      <c r="OY4" s="6">
        <v>50871.68</v>
      </c>
      <c r="OZ4" s="2"/>
      <c r="PA4" s="2"/>
      <c r="PB4" s="2"/>
      <c r="PC4" s="2"/>
      <c r="PD4" s="2"/>
      <c r="PE4" s="2"/>
      <c r="PF4" s="8">
        <v>19850000</v>
      </c>
      <c r="PG4" s="8">
        <v>150000</v>
      </c>
      <c r="PH4" s="8">
        <v>20000000</v>
      </c>
      <c r="PI4" s="2"/>
      <c r="PJ4" s="2"/>
      <c r="PK4" s="2"/>
      <c r="PL4" s="2"/>
      <c r="PM4" s="2"/>
      <c r="PN4" s="2"/>
      <c r="PO4" s="2"/>
      <c r="PP4" s="2"/>
      <c r="PQ4" s="2"/>
      <c r="PR4" s="8">
        <v>19850000</v>
      </c>
      <c r="PS4" s="8">
        <v>150000</v>
      </c>
      <c r="PT4" s="8">
        <v>20000000</v>
      </c>
      <c r="PU4" s="8">
        <v>2800000</v>
      </c>
      <c r="PV4" s="8">
        <v>2800000</v>
      </c>
      <c r="PW4" s="6">
        <v>2800000</v>
      </c>
      <c r="PX4" s="8">
        <v>22650000</v>
      </c>
      <c r="PY4" s="8">
        <v>150000</v>
      </c>
      <c r="PZ4" s="8">
        <v>22800000</v>
      </c>
      <c r="QA4" s="8">
        <v>1140000</v>
      </c>
      <c r="QB4" s="8">
        <v>1140000</v>
      </c>
      <c r="QC4" s="6">
        <v>1140000</v>
      </c>
      <c r="QD4" s="8">
        <v>40000</v>
      </c>
      <c r="QE4" s="2"/>
      <c r="QF4" s="8">
        <v>40000</v>
      </c>
      <c r="QG4" s="8">
        <v>10000</v>
      </c>
      <c r="QH4" s="8">
        <v>10000</v>
      </c>
      <c r="QI4" s="8">
        <v>320000</v>
      </c>
      <c r="QJ4" s="8">
        <v>320000</v>
      </c>
      <c r="QK4" s="8">
        <v>60000</v>
      </c>
      <c r="QL4" s="8">
        <v>60000</v>
      </c>
      <c r="QM4" s="8">
        <v>228000</v>
      </c>
      <c r="QN4" s="2"/>
      <c r="QO4" s="8">
        <v>228000</v>
      </c>
      <c r="QP4" s="8">
        <v>228000</v>
      </c>
      <c r="QQ4" s="8">
        <v>228000</v>
      </c>
      <c r="QR4" s="8">
        <v>3000</v>
      </c>
      <c r="QS4" s="8">
        <v>3000</v>
      </c>
      <c r="QT4" s="8">
        <v>135000</v>
      </c>
      <c r="QU4" s="2"/>
      <c r="QV4" s="8">
        <v>135000</v>
      </c>
      <c r="QW4" s="8">
        <v>25000</v>
      </c>
      <c r="QX4" s="8">
        <v>25000</v>
      </c>
      <c r="QY4" s="8">
        <v>71805</v>
      </c>
      <c r="QZ4" s="8">
        <v>71805</v>
      </c>
      <c r="RA4" s="8">
        <v>3000</v>
      </c>
      <c r="RB4" s="8">
        <v>3000</v>
      </c>
      <c r="RC4" s="8">
        <v>225000</v>
      </c>
      <c r="RD4" s="8">
        <v>225000</v>
      </c>
      <c r="RE4" s="8">
        <v>30000</v>
      </c>
      <c r="RF4" s="8">
        <v>30000</v>
      </c>
      <c r="RG4" s="8">
        <v>40000</v>
      </c>
      <c r="RH4" s="8">
        <v>40000</v>
      </c>
      <c r="RI4" s="8">
        <v>446524</v>
      </c>
      <c r="RJ4" s="8">
        <v>446524</v>
      </c>
      <c r="RK4" s="8">
        <v>40000</v>
      </c>
      <c r="RL4" s="2"/>
      <c r="RM4" s="8">
        <v>40000</v>
      </c>
      <c r="RN4" s="2"/>
      <c r="RO4" s="8">
        <v>150000</v>
      </c>
      <c r="RP4" s="8">
        <v>150000</v>
      </c>
      <c r="RQ4" s="8">
        <v>200000</v>
      </c>
      <c r="RR4" s="8">
        <v>75000</v>
      </c>
      <c r="RS4" s="8">
        <v>275000</v>
      </c>
      <c r="RT4" s="2"/>
      <c r="RU4" s="8">
        <v>10000</v>
      </c>
      <c r="RV4" s="8">
        <v>10000</v>
      </c>
      <c r="RW4" s="8">
        <v>50000</v>
      </c>
      <c r="RX4" s="8">
        <v>50000</v>
      </c>
      <c r="RY4" s="2">
        <v>0</v>
      </c>
      <c r="RZ4" s="2"/>
      <c r="SA4" s="2"/>
      <c r="SB4" s="8">
        <v>15000</v>
      </c>
      <c r="SC4" s="8">
        <v>15000</v>
      </c>
      <c r="SD4" s="8">
        <v>25000</v>
      </c>
      <c r="SE4" s="2"/>
      <c r="SF4" s="8">
        <v>25000</v>
      </c>
      <c r="SG4" s="2"/>
      <c r="SH4" s="8">
        <v>100000</v>
      </c>
      <c r="SI4" s="8">
        <v>20000</v>
      </c>
      <c r="SJ4" s="8">
        <v>120000</v>
      </c>
      <c r="SK4" s="2"/>
      <c r="SL4" s="2"/>
      <c r="SM4" s="8">
        <v>200000</v>
      </c>
      <c r="SN4" s="8">
        <v>120000</v>
      </c>
      <c r="SO4" s="8">
        <v>320000</v>
      </c>
      <c r="SP4" s="8">
        <v>2115524</v>
      </c>
      <c r="SQ4" s="8">
        <v>754805</v>
      </c>
      <c r="SR4" s="8">
        <v>2870329</v>
      </c>
      <c r="SS4" s="2"/>
      <c r="ST4" s="8">
        <v>143516</v>
      </c>
      <c r="SU4" s="8">
        <v>143516</v>
      </c>
      <c r="SV4" s="6">
        <v>143516.45000000001</v>
      </c>
      <c r="SW4" s="8">
        <v>80000</v>
      </c>
      <c r="SX4" s="8">
        <v>80000</v>
      </c>
      <c r="SY4" s="2"/>
      <c r="SZ4" s="8">
        <v>1020000</v>
      </c>
      <c r="TA4" s="8">
        <v>800000</v>
      </c>
      <c r="TB4" s="8">
        <v>1820000</v>
      </c>
      <c r="TC4" s="8">
        <v>75000</v>
      </c>
      <c r="TD4" s="2"/>
      <c r="TE4" s="8">
        <v>75000</v>
      </c>
      <c r="TF4" s="8">
        <v>110000</v>
      </c>
      <c r="TG4" s="8">
        <v>110000</v>
      </c>
      <c r="TH4" s="2"/>
      <c r="TI4" s="8">
        <v>75000</v>
      </c>
      <c r="TJ4" s="8">
        <v>75000</v>
      </c>
      <c r="TK4" s="2"/>
      <c r="TL4" s="8">
        <v>370000</v>
      </c>
      <c r="TM4" s="2"/>
      <c r="TN4" s="8">
        <v>370000</v>
      </c>
      <c r="TO4" s="8">
        <v>1545000</v>
      </c>
      <c r="TP4" s="8">
        <v>985000</v>
      </c>
      <c r="TQ4" s="8">
        <v>2530000</v>
      </c>
      <c r="TR4" s="8">
        <v>27450524</v>
      </c>
      <c r="TS4" s="8">
        <v>2033321</v>
      </c>
      <c r="TT4" s="8">
        <v>29483845</v>
      </c>
      <c r="TU4" s="8">
        <v>5307065</v>
      </c>
      <c r="TV4" s="8">
        <v>5307065</v>
      </c>
      <c r="TW4" s="6">
        <v>5307092</v>
      </c>
      <c r="TX4" s="8">
        <v>5307065</v>
      </c>
      <c r="TY4" s="8">
        <v>5307065</v>
      </c>
      <c r="TZ4" s="6">
        <v>5307092</v>
      </c>
      <c r="UA4" s="2"/>
      <c r="UB4" s="2"/>
      <c r="UC4" s="8">
        <v>32757589</v>
      </c>
      <c r="UD4" s="8">
        <v>2033321</v>
      </c>
      <c r="UE4" s="8">
        <v>34790910</v>
      </c>
      <c r="UF4" s="8">
        <v>21000000</v>
      </c>
      <c r="UG4" s="2" t="s">
        <v>4295</v>
      </c>
      <c r="UH4" s="2"/>
      <c r="UI4" s="2"/>
      <c r="UJ4" s="8">
        <v>6879200</v>
      </c>
      <c r="UK4" s="8">
        <v>1120800</v>
      </c>
      <c r="UL4" s="2" t="s">
        <v>5090</v>
      </c>
      <c r="UM4" s="8">
        <v>1827691</v>
      </c>
      <c r="UN4" s="8">
        <v>5307065</v>
      </c>
      <c r="UO4" s="8">
        <v>36134756</v>
      </c>
      <c r="UP4" s="8">
        <v>1343846</v>
      </c>
      <c r="UQ4" s="8">
        <v>11000000</v>
      </c>
      <c r="UR4" s="2" t="s">
        <v>95</v>
      </c>
      <c r="US4" s="2"/>
      <c r="UT4" s="2"/>
      <c r="UU4" s="2"/>
      <c r="UV4" s="2"/>
      <c r="UW4" s="8">
        <v>6879200</v>
      </c>
      <c r="UX4" s="8">
        <v>1120800</v>
      </c>
      <c r="UY4" s="2" t="s">
        <v>5090</v>
      </c>
      <c r="UZ4" s="8">
        <v>12184608</v>
      </c>
      <c r="VA4" s="8">
        <v>5307065</v>
      </c>
      <c r="VB4" s="8">
        <v>36491673</v>
      </c>
      <c r="VC4" s="6">
        <v>19000000</v>
      </c>
      <c r="VD4" s="8">
        <v>1700763</v>
      </c>
      <c r="VE4" s="5">
        <v>410000</v>
      </c>
      <c r="VF4" s="5">
        <v>417500</v>
      </c>
      <c r="VG4" s="6">
        <v>347909.1</v>
      </c>
      <c r="VH4" s="2" t="s">
        <v>9</v>
      </c>
      <c r="VI4" s="2" t="s">
        <v>895</v>
      </c>
      <c r="VJ4" s="2" t="s">
        <v>98</v>
      </c>
      <c r="VK4" s="2" t="s">
        <v>5091</v>
      </c>
      <c r="VL4" s="23">
        <f t="shared" si="0"/>
        <v>120</v>
      </c>
      <c r="VM4" s="17">
        <f t="shared" si="1"/>
        <v>1.2</v>
      </c>
      <c r="VN4" s="17" t="str">
        <f t="shared" si="2"/>
        <v>NC-MR-E</v>
      </c>
      <c r="VO4" s="17" t="str">
        <f t="shared" si="15"/>
        <v>NC-MR-E-ESS</v>
      </c>
      <c r="VP4" s="57">
        <v>1</v>
      </c>
      <c r="VQ4" s="17">
        <f t="shared" si="3"/>
        <v>1</v>
      </c>
      <c r="VR4" s="57">
        <f t="shared" si="4"/>
        <v>1</v>
      </c>
      <c r="VS4" s="14">
        <f t="shared" si="5"/>
        <v>1</v>
      </c>
      <c r="VT4" s="12">
        <f t="shared" si="6"/>
        <v>0.84479999999999988</v>
      </c>
      <c r="VU4" s="29">
        <f t="shared" si="7"/>
        <v>5811548.1599999992</v>
      </c>
      <c r="VV4" s="29">
        <f t="shared" si="8"/>
        <v>58115.48</v>
      </c>
      <c r="VW4" s="351" t="str">
        <f>IF(RANK(VV4,VV$2:VV$34,1)&lt;=ROUNDUP(80%*VW$1,0),"A","B")</f>
        <v>A</v>
      </c>
      <c r="VX4" s="12" t="str">
        <f t="shared" si="9"/>
        <v>NC-MR-ESS</v>
      </c>
      <c r="VY4" s="23">
        <f>IF(RANK(VV4,VV$2:VV$34,1)&lt;=ROUNDUP(10%*VW$1,0),1,IF(RANK(VV4,VV$2:VV$34,1)&lt;=ROUNDUP(30%*VW$1,0),2,IF(RANK(VV4,VV$2:VV$34,1)&lt;=ROUNDUP(50%*VW$1,0),3,IF(RANK(VV4,VV$2:VV$34,1)&lt;=ROUNDUP(70%*VW$1,0),4,5))))</f>
        <v>1</v>
      </c>
      <c r="WA4" s="12">
        <f t="shared" si="16"/>
        <v>1</v>
      </c>
      <c r="WB4" s="12">
        <f t="shared" si="17"/>
        <v>0</v>
      </c>
      <c r="WC4" s="12">
        <f t="shared" si="17"/>
        <v>0</v>
      </c>
      <c r="WD4" s="12">
        <f t="shared" si="17"/>
        <v>0</v>
      </c>
      <c r="WE4" s="12">
        <f t="shared" si="18"/>
        <v>1</v>
      </c>
      <c r="WF4" s="12">
        <f t="shared" si="10"/>
        <v>0</v>
      </c>
      <c r="WG4" s="12">
        <f t="shared" si="11"/>
        <v>1</v>
      </c>
      <c r="WH4" s="12">
        <f t="shared" si="12"/>
        <v>0</v>
      </c>
      <c r="WI4" s="31">
        <f t="shared" si="13"/>
        <v>3</v>
      </c>
      <c r="WJ4" s="2"/>
      <c r="WK4" s="444" t="str">
        <f t="shared" si="14"/>
        <v>NC-MR-ESS-BBN-BRN-NPH-E</v>
      </c>
      <c r="WL4" s="444"/>
      <c r="WM4" s="444"/>
      <c r="WN4" s="12"/>
      <c r="WO4" s="380" t="s">
        <v>2617</v>
      </c>
      <c r="WP4" s="144">
        <f>COUNTIFS($WC$2:$WC$72,"=1",$WA$2:$WA$72,"=1")</f>
        <v>0</v>
      </c>
      <c r="WQ4" s="144">
        <f>COUNTIFS($WC$2:$WC$72,"=1",$WB$2:$WB$72,"=1")</f>
        <v>0</v>
      </c>
      <c r="WR4" s="384"/>
      <c r="WS4" s="144">
        <f>COUNTIFS($WC$2:$WC$72,"=1",$WD$2:$WD$72,"=1")</f>
        <v>0</v>
      </c>
      <c r="WT4" s="144">
        <f>COUNTIFS($WC$2:$WC$72,"=1",$WF$2:$WF$72,"=1")</f>
        <v>0</v>
      </c>
      <c r="WU4" s="144">
        <f>COUNTIFS($WC$2:$WC$72,"=1",$WG$2:$WG$72,"=1")</f>
        <v>0</v>
      </c>
      <c r="WV4" s="144">
        <f>COUNTIFS($WC$2:$WC$72,"=1",$WH$2:$WH$72,"=1")</f>
        <v>0</v>
      </c>
      <c r="WW4" s="144">
        <f>COUNTIFS($WA$2:$WA$72,"=1",$WE$2:$WE$72,"=1")</f>
        <v>7</v>
      </c>
      <c r="WX4" s="205">
        <f>COUNTIF($WC$2:$WC$72,"=1")</f>
        <v>0</v>
      </c>
    </row>
    <row r="5" spans="1:622" x14ac:dyDescent="0.25">
      <c r="A5" s="2">
        <v>9026</v>
      </c>
      <c r="B5" s="2" t="s">
        <v>5092</v>
      </c>
      <c r="C5" s="2" t="s">
        <v>5063</v>
      </c>
      <c r="D5" s="2">
        <v>10</v>
      </c>
      <c r="E5" s="2">
        <v>46.12</v>
      </c>
      <c r="F5" s="2"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 t="s">
        <v>9</v>
      </c>
      <c r="BV5" s="6">
        <v>58466.720000000001</v>
      </c>
      <c r="BW5" s="2" t="s">
        <v>126</v>
      </c>
      <c r="BX5" s="3">
        <v>45036</v>
      </c>
      <c r="BY5" s="2" t="s">
        <v>9</v>
      </c>
      <c r="BZ5" s="2">
        <v>1</v>
      </c>
      <c r="CA5" s="2" t="s">
        <v>9</v>
      </c>
      <c r="CB5" s="2">
        <v>1</v>
      </c>
      <c r="CC5" s="2" t="s">
        <v>9</v>
      </c>
      <c r="CD5" s="2">
        <v>0</v>
      </c>
      <c r="CE5" s="2" t="s">
        <v>4551</v>
      </c>
      <c r="CF5" s="2">
        <v>1</v>
      </c>
      <c r="CG5" s="2" t="s">
        <v>10</v>
      </c>
      <c r="CH5" s="2">
        <v>0</v>
      </c>
      <c r="CI5" s="2" t="s">
        <v>10</v>
      </c>
      <c r="CJ5" s="2">
        <v>0</v>
      </c>
      <c r="CK5" s="2" t="s">
        <v>11</v>
      </c>
      <c r="CL5" s="2">
        <v>0</v>
      </c>
      <c r="CM5" s="2" t="s">
        <v>9</v>
      </c>
      <c r="CN5" s="2">
        <v>2</v>
      </c>
      <c r="CO5" s="2" t="s">
        <v>9</v>
      </c>
      <c r="CP5" s="2">
        <v>2</v>
      </c>
      <c r="CQ5" s="2" t="s">
        <v>9</v>
      </c>
      <c r="CR5" s="2">
        <v>2</v>
      </c>
      <c r="CS5" s="2" t="s">
        <v>12</v>
      </c>
      <c r="CT5" s="2" t="s">
        <v>15</v>
      </c>
      <c r="CU5" s="2" t="s">
        <v>15</v>
      </c>
      <c r="CV5" s="2" t="s">
        <v>15</v>
      </c>
      <c r="CW5" s="2" t="s">
        <v>15</v>
      </c>
      <c r="CX5" s="2" t="s">
        <v>15</v>
      </c>
      <c r="CY5" s="2" t="s">
        <v>15</v>
      </c>
      <c r="CZ5" s="2">
        <v>0</v>
      </c>
      <c r="DA5" s="2" t="s">
        <v>234</v>
      </c>
      <c r="DB5" s="2" t="s">
        <v>17</v>
      </c>
      <c r="DC5" s="4">
        <v>0.15</v>
      </c>
      <c r="DD5" s="2" t="s">
        <v>17</v>
      </c>
      <c r="DE5" s="2" t="s">
        <v>9</v>
      </c>
      <c r="DF5" s="2" t="s">
        <v>17</v>
      </c>
      <c r="DG5" s="2" t="s">
        <v>9</v>
      </c>
      <c r="DH5" s="2" t="s">
        <v>17</v>
      </c>
      <c r="DI5" s="2" t="s">
        <v>17</v>
      </c>
      <c r="DJ5" s="2" t="s">
        <v>17</v>
      </c>
      <c r="DK5" s="2" t="s">
        <v>17</v>
      </c>
      <c r="DL5" s="2" t="s">
        <v>17</v>
      </c>
      <c r="DM5" s="2" t="s">
        <v>17</v>
      </c>
      <c r="DN5" s="2" t="s">
        <v>2663</v>
      </c>
      <c r="DO5" s="2">
        <v>5</v>
      </c>
      <c r="DP5" s="5">
        <v>50000</v>
      </c>
      <c r="DQ5" s="5">
        <v>460000</v>
      </c>
      <c r="DR5" s="2">
        <v>0</v>
      </c>
      <c r="DS5" s="2">
        <v>15</v>
      </c>
      <c r="DT5" s="2">
        <v>0</v>
      </c>
      <c r="DU5" s="2">
        <v>6</v>
      </c>
      <c r="DV5" s="2">
        <v>0</v>
      </c>
      <c r="DW5" s="2">
        <v>0</v>
      </c>
      <c r="DX5" s="2">
        <v>1</v>
      </c>
      <c r="DY5" s="2">
        <v>0</v>
      </c>
      <c r="DZ5" s="2">
        <v>1</v>
      </c>
      <c r="EA5" s="2">
        <v>0</v>
      </c>
      <c r="EB5" s="2">
        <v>0</v>
      </c>
      <c r="EC5" s="2">
        <v>0</v>
      </c>
      <c r="ED5" s="2">
        <v>13</v>
      </c>
      <c r="EE5" s="2">
        <v>1</v>
      </c>
      <c r="EF5" s="2">
        <v>0</v>
      </c>
      <c r="EG5" s="2">
        <v>2</v>
      </c>
      <c r="EH5" s="2">
        <v>0</v>
      </c>
      <c r="EI5" s="2">
        <v>14</v>
      </c>
      <c r="EJ5" s="2">
        <v>11</v>
      </c>
      <c r="EK5" s="2">
        <v>0</v>
      </c>
      <c r="EL5" s="2" t="s">
        <v>17</v>
      </c>
      <c r="EM5" s="2" t="s">
        <v>17</v>
      </c>
      <c r="EN5" s="2" t="s">
        <v>17</v>
      </c>
      <c r="EO5" s="2" t="s">
        <v>17</v>
      </c>
      <c r="EP5" s="2" t="s">
        <v>17</v>
      </c>
      <c r="EQ5" s="2" t="s">
        <v>17</v>
      </c>
      <c r="ER5" s="2" t="s">
        <v>17</v>
      </c>
      <c r="ES5" s="2" t="s">
        <v>9</v>
      </c>
      <c r="ET5" s="2" t="s">
        <v>608</v>
      </c>
      <c r="EU5" s="2" t="s">
        <v>609</v>
      </c>
      <c r="EV5" s="2"/>
      <c r="EW5" s="2" t="s">
        <v>9</v>
      </c>
      <c r="EX5" s="2" t="s">
        <v>5093</v>
      </c>
      <c r="EY5" s="2" t="s">
        <v>608</v>
      </c>
      <c r="EZ5" s="2" t="s">
        <v>614</v>
      </c>
      <c r="FA5" s="2" t="s">
        <v>613</v>
      </c>
      <c r="FB5" s="2">
        <v>174</v>
      </c>
      <c r="FC5" s="2" t="s">
        <v>2659</v>
      </c>
      <c r="FD5" s="2">
        <v>2019</v>
      </c>
      <c r="FE5" s="2" t="s">
        <v>26</v>
      </c>
      <c r="FF5" s="2" t="s">
        <v>4210</v>
      </c>
      <c r="FG5" s="2" t="s">
        <v>34</v>
      </c>
      <c r="FH5" s="2"/>
      <c r="FI5" s="2" t="s">
        <v>35</v>
      </c>
      <c r="FJ5" s="2" t="s">
        <v>5094</v>
      </c>
      <c r="FK5" s="2">
        <v>1</v>
      </c>
      <c r="FL5" s="2" t="s">
        <v>616</v>
      </c>
      <c r="FM5" s="2" t="s">
        <v>38</v>
      </c>
      <c r="FN5" s="2" t="s">
        <v>4552</v>
      </c>
      <c r="FO5" s="2" t="s">
        <v>63</v>
      </c>
      <c r="FP5" s="2" t="s">
        <v>9</v>
      </c>
      <c r="FQ5" s="2" t="s">
        <v>17</v>
      </c>
      <c r="FR5" s="2" t="s">
        <v>17</v>
      </c>
      <c r="FS5" s="2" t="s">
        <v>9</v>
      </c>
      <c r="FT5" s="2">
        <v>0</v>
      </c>
      <c r="FU5" s="2">
        <v>0</v>
      </c>
      <c r="FV5" s="4">
        <v>0</v>
      </c>
      <c r="FW5" s="4">
        <v>0</v>
      </c>
      <c r="FX5" s="2" t="s">
        <v>65</v>
      </c>
      <c r="FY5" s="2" t="s">
        <v>66</v>
      </c>
      <c r="FZ5" s="2" t="s">
        <v>17</v>
      </c>
      <c r="GA5" s="2"/>
      <c r="GB5" s="2"/>
      <c r="GC5" s="2"/>
      <c r="GD5" s="2" t="s">
        <v>67</v>
      </c>
      <c r="GE5" s="2" t="s">
        <v>108</v>
      </c>
      <c r="GF5" s="2"/>
      <c r="GG5" s="2"/>
      <c r="GH5" s="2"/>
      <c r="GI5" s="2">
        <v>120</v>
      </c>
      <c r="GJ5" s="2"/>
      <c r="GK5" s="2"/>
      <c r="GL5" s="2"/>
      <c r="GM5" s="2"/>
      <c r="GN5" s="2"/>
      <c r="GO5" s="2"/>
      <c r="GP5" s="2"/>
      <c r="GQ5" s="2">
        <v>120</v>
      </c>
      <c r="GR5" s="2" t="s">
        <v>1197</v>
      </c>
      <c r="GS5" s="2" t="s">
        <v>70</v>
      </c>
      <c r="GT5" s="2">
        <v>1</v>
      </c>
      <c r="GU5" s="2" t="s">
        <v>5095</v>
      </c>
      <c r="GV5" s="2" t="s">
        <v>4554</v>
      </c>
      <c r="GW5" s="2" t="s">
        <v>17</v>
      </c>
      <c r="GX5" s="2">
        <v>26.635280000000002</v>
      </c>
      <c r="GY5" s="2">
        <v>-82.009693999999996</v>
      </c>
      <c r="GZ5" s="2"/>
      <c r="HA5" s="2" t="s">
        <v>17</v>
      </c>
      <c r="HB5" s="2">
        <v>0</v>
      </c>
      <c r="HC5" s="2" t="s">
        <v>17</v>
      </c>
      <c r="HD5" s="2" t="s">
        <v>9</v>
      </c>
      <c r="HE5" s="2">
        <v>2</v>
      </c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 t="s">
        <v>73</v>
      </c>
      <c r="HY5" s="2" t="s">
        <v>4555</v>
      </c>
      <c r="HZ5" s="2" t="s">
        <v>4556</v>
      </c>
      <c r="IA5" s="2">
        <v>0.5</v>
      </c>
      <c r="IB5" s="2">
        <v>3.5</v>
      </c>
      <c r="IC5" s="2" t="s">
        <v>4557</v>
      </c>
      <c r="ID5" s="2" t="s">
        <v>4558</v>
      </c>
      <c r="IE5" s="2">
        <v>0.19</v>
      </c>
      <c r="IF5" s="2">
        <v>4</v>
      </c>
      <c r="IG5" s="2"/>
      <c r="IH5" s="2"/>
      <c r="II5" s="2"/>
      <c r="IJ5" s="2"/>
      <c r="IK5" s="2" t="s">
        <v>4559</v>
      </c>
      <c r="IL5" s="2" t="s">
        <v>4560</v>
      </c>
      <c r="IM5" s="2">
        <v>0.98</v>
      </c>
      <c r="IN5" s="2">
        <v>3</v>
      </c>
      <c r="IO5" s="2">
        <v>2</v>
      </c>
      <c r="IP5" s="2">
        <v>10.5</v>
      </c>
      <c r="IQ5" s="2">
        <v>0</v>
      </c>
      <c r="IR5" s="2">
        <v>12.5</v>
      </c>
      <c r="IS5" s="2" t="s">
        <v>17</v>
      </c>
      <c r="IT5" s="2" t="s">
        <v>17</v>
      </c>
      <c r="IU5" s="2" t="s">
        <v>17</v>
      </c>
      <c r="IV5" s="2" t="s">
        <v>80</v>
      </c>
      <c r="IW5" s="2" t="s">
        <v>9</v>
      </c>
      <c r="IX5" s="2" t="s">
        <v>9</v>
      </c>
      <c r="IY5" s="2">
        <v>12.5</v>
      </c>
      <c r="IZ5" s="2">
        <v>120</v>
      </c>
      <c r="JA5" s="2"/>
      <c r="JB5" s="2"/>
      <c r="JC5" s="2"/>
      <c r="JD5" s="2"/>
      <c r="JE5" s="2"/>
      <c r="JF5" s="2"/>
      <c r="JG5" s="2"/>
      <c r="JH5" s="7">
        <v>0</v>
      </c>
      <c r="JI5" s="2">
        <v>0</v>
      </c>
      <c r="JJ5" s="7">
        <v>0</v>
      </c>
      <c r="JK5" s="2">
        <v>0</v>
      </c>
      <c r="JL5" s="7">
        <v>0</v>
      </c>
      <c r="JM5" s="2">
        <v>18</v>
      </c>
      <c r="JN5" s="2"/>
      <c r="JO5" s="2">
        <v>78</v>
      </c>
      <c r="JP5" s="2">
        <v>18</v>
      </c>
      <c r="JQ5" s="2">
        <v>6</v>
      </c>
      <c r="JR5" s="2">
        <v>0</v>
      </c>
      <c r="JS5" s="2">
        <v>0</v>
      </c>
      <c r="JT5" s="2"/>
      <c r="JU5" s="2"/>
      <c r="JV5" s="2">
        <v>120</v>
      </c>
      <c r="JW5" s="4">
        <v>1</v>
      </c>
      <c r="JX5" s="2">
        <v>120</v>
      </c>
      <c r="JY5" s="4">
        <v>0.57999999999999996</v>
      </c>
      <c r="JZ5" s="2">
        <v>0</v>
      </c>
      <c r="KA5" s="2"/>
      <c r="KB5" s="2"/>
      <c r="KC5" s="2"/>
      <c r="KD5" s="2"/>
      <c r="KE5" s="2"/>
      <c r="KF5" s="2"/>
      <c r="KG5" s="2">
        <v>102</v>
      </c>
      <c r="KH5" s="2"/>
      <c r="KI5" s="2">
        <v>18</v>
      </c>
      <c r="KJ5" s="2"/>
      <c r="KK5" s="2"/>
      <c r="KL5" s="2"/>
      <c r="KM5" s="2"/>
      <c r="KN5" s="2"/>
      <c r="KO5" s="2"/>
      <c r="KP5" s="2"/>
      <c r="KQ5" s="2" t="s">
        <v>83</v>
      </c>
      <c r="KR5" s="2"/>
      <c r="KS5" s="2" t="s">
        <v>73</v>
      </c>
      <c r="KT5" s="2">
        <v>2</v>
      </c>
      <c r="KU5" s="2" t="s">
        <v>84</v>
      </c>
      <c r="KV5" s="2" t="s">
        <v>85</v>
      </c>
      <c r="KW5" s="2" t="s">
        <v>86</v>
      </c>
      <c r="KX5" s="2" t="s">
        <v>17</v>
      </c>
      <c r="KY5" s="2" t="s">
        <v>17</v>
      </c>
      <c r="KZ5" s="2" t="s">
        <v>17</v>
      </c>
      <c r="LA5" s="2" t="s">
        <v>17</v>
      </c>
      <c r="LB5" s="2" t="s">
        <v>17</v>
      </c>
      <c r="LC5" s="2" t="s">
        <v>17</v>
      </c>
      <c r="LD5" s="2" t="s">
        <v>17</v>
      </c>
      <c r="LE5" s="2" t="s">
        <v>17</v>
      </c>
      <c r="LF5" s="2" t="s">
        <v>17</v>
      </c>
      <c r="LG5" s="2" t="s">
        <v>17</v>
      </c>
      <c r="LH5" s="2" t="s">
        <v>17</v>
      </c>
      <c r="LI5" s="2" t="s">
        <v>17</v>
      </c>
      <c r="LJ5" s="2" t="s">
        <v>87</v>
      </c>
      <c r="LK5" s="2" t="s">
        <v>17</v>
      </c>
      <c r="LL5" s="2" t="s">
        <v>17</v>
      </c>
      <c r="LM5" s="2">
        <v>0</v>
      </c>
      <c r="LN5" s="2" t="s">
        <v>17</v>
      </c>
      <c r="LO5" s="2" t="s">
        <v>17</v>
      </c>
      <c r="LP5" s="2" t="s">
        <v>17</v>
      </c>
      <c r="LQ5" s="2" t="s">
        <v>17</v>
      </c>
      <c r="LR5" s="2" t="s">
        <v>17</v>
      </c>
      <c r="LS5" s="2" t="s">
        <v>17</v>
      </c>
      <c r="LT5" s="2" t="s">
        <v>9</v>
      </c>
      <c r="LU5" s="2" t="s">
        <v>17</v>
      </c>
      <c r="LV5" s="2" t="s">
        <v>17</v>
      </c>
      <c r="LW5" s="2" t="s">
        <v>9</v>
      </c>
      <c r="LX5" s="2" t="s">
        <v>9</v>
      </c>
      <c r="LY5" s="5">
        <v>10000000</v>
      </c>
      <c r="LZ5" s="5">
        <v>0</v>
      </c>
      <c r="MA5" s="5">
        <v>10000000</v>
      </c>
      <c r="MB5" s="5">
        <v>8250000</v>
      </c>
      <c r="MC5" s="5">
        <v>8250000</v>
      </c>
      <c r="MD5" s="5">
        <v>949300</v>
      </c>
      <c r="ME5" s="5">
        <v>949300</v>
      </c>
      <c r="MF5" s="5">
        <v>949300</v>
      </c>
      <c r="MG5" s="5">
        <v>9199300</v>
      </c>
      <c r="MH5" s="2">
        <v>0</v>
      </c>
      <c r="MI5" s="5">
        <v>0</v>
      </c>
      <c r="MJ5" s="5">
        <v>0</v>
      </c>
      <c r="MK5" s="2">
        <v>0</v>
      </c>
      <c r="ML5" s="2">
        <v>0</v>
      </c>
      <c r="MM5" s="2">
        <v>0</v>
      </c>
      <c r="MN5" s="5">
        <v>2950000</v>
      </c>
      <c r="MO5" s="5">
        <v>0</v>
      </c>
      <c r="MP5" s="5">
        <v>4600000</v>
      </c>
      <c r="MQ5" s="5">
        <v>0</v>
      </c>
      <c r="MR5" s="5">
        <v>0</v>
      </c>
      <c r="MS5" s="5">
        <v>0</v>
      </c>
      <c r="MT5" s="5">
        <v>0</v>
      </c>
      <c r="MU5" s="5">
        <v>2500000</v>
      </c>
      <c r="MV5" s="5">
        <v>0</v>
      </c>
      <c r="MW5" s="5">
        <v>0</v>
      </c>
      <c r="MX5" s="5">
        <v>0</v>
      </c>
      <c r="MY5" s="5">
        <v>2040000</v>
      </c>
      <c r="MZ5" s="5">
        <v>0</v>
      </c>
      <c r="NA5" s="5">
        <v>1427959</v>
      </c>
      <c r="NB5" s="2" t="s">
        <v>17</v>
      </c>
      <c r="NC5" s="2"/>
      <c r="ND5" s="2"/>
      <c r="NE5" s="2"/>
      <c r="NF5" s="2"/>
      <c r="NG5" s="2"/>
      <c r="NH5" s="2"/>
      <c r="NI5" s="61">
        <v>0</v>
      </c>
      <c r="NJ5" s="61"/>
      <c r="NK5" s="61"/>
      <c r="NL5" s="61"/>
      <c r="NM5" s="2" t="s">
        <v>17</v>
      </c>
      <c r="NN5" s="2"/>
      <c r="NO5" s="2" t="s">
        <v>9</v>
      </c>
      <c r="NP5" s="2">
        <v>33993</v>
      </c>
      <c r="NQ5" s="2" t="s">
        <v>4561</v>
      </c>
      <c r="NR5" s="2" t="s">
        <v>17</v>
      </c>
      <c r="NS5" s="2"/>
      <c r="NT5" s="2" t="s">
        <v>17</v>
      </c>
      <c r="NU5" s="2"/>
      <c r="NV5" s="2"/>
      <c r="NW5" s="2"/>
      <c r="NX5" s="2" t="s">
        <v>118</v>
      </c>
      <c r="NY5" s="2" t="s">
        <v>118</v>
      </c>
      <c r="NZ5" s="2" t="s">
        <v>118</v>
      </c>
      <c r="OA5" s="2" t="s">
        <v>17</v>
      </c>
      <c r="OB5" s="2" t="s">
        <v>119</v>
      </c>
      <c r="OC5" s="5">
        <v>16000000</v>
      </c>
      <c r="OD5" s="2" t="s">
        <v>17</v>
      </c>
      <c r="OE5" s="2" t="s">
        <v>17</v>
      </c>
      <c r="OF5" s="2" t="s">
        <v>85</v>
      </c>
      <c r="OG5" s="6">
        <v>7034368</v>
      </c>
      <c r="OH5" s="6">
        <v>0</v>
      </c>
      <c r="OI5" s="2" t="s">
        <v>93</v>
      </c>
      <c r="OJ5" s="2" t="s">
        <v>93</v>
      </c>
      <c r="OK5" s="6">
        <v>0</v>
      </c>
      <c r="OL5" s="6">
        <v>0</v>
      </c>
      <c r="OM5" s="6">
        <v>0</v>
      </c>
      <c r="ON5" s="6">
        <v>0</v>
      </c>
      <c r="OO5" s="6">
        <v>0</v>
      </c>
      <c r="OP5" s="6">
        <v>0</v>
      </c>
      <c r="OQ5" s="4">
        <v>0</v>
      </c>
      <c r="OR5" s="6">
        <v>0</v>
      </c>
      <c r="OS5" s="4">
        <v>0</v>
      </c>
      <c r="OT5" s="2" t="s">
        <v>17</v>
      </c>
      <c r="OU5" s="2" t="s">
        <v>17</v>
      </c>
      <c r="OV5" s="2"/>
      <c r="OW5" s="2" t="s">
        <v>17</v>
      </c>
      <c r="OX5" s="5">
        <v>7016006</v>
      </c>
      <c r="OY5" s="6">
        <v>58466.720000000001</v>
      </c>
      <c r="OZ5" s="2"/>
      <c r="PA5" s="2"/>
      <c r="PB5" s="2"/>
      <c r="PC5" s="2"/>
      <c r="PD5" s="2"/>
      <c r="PE5" s="2"/>
      <c r="PF5" s="8">
        <v>14083650</v>
      </c>
      <c r="PG5" s="2"/>
      <c r="PH5" s="8">
        <v>14083650</v>
      </c>
      <c r="PI5" s="8">
        <v>600000</v>
      </c>
      <c r="PJ5" s="8">
        <v>600000</v>
      </c>
      <c r="PK5" s="2"/>
      <c r="PL5" s="2"/>
      <c r="PM5" s="8">
        <v>1100000</v>
      </c>
      <c r="PN5" s="8">
        <v>150000</v>
      </c>
      <c r="PO5" s="8">
        <v>1250000</v>
      </c>
      <c r="PP5" s="2"/>
      <c r="PQ5" s="2"/>
      <c r="PR5" s="8">
        <v>15183650</v>
      </c>
      <c r="PS5" s="8">
        <v>750000</v>
      </c>
      <c r="PT5" s="8">
        <v>15933650</v>
      </c>
      <c r="PU5" s="8">
        <v>2230711</v>
      </c>
      <c r="PV5" s="8">
        <v>2230711</v>
      </c>
      <c r="PW5" s="6">
        <v>2230711</v>
      </c>
      <c r="PX5" s="8">
        <v>17414361</v>
      </c>
      <c r="PY5" s="8">
        <v>750000</v>
      </c>
      <c r="PZ5" s="8">
        <v>18164361</v>
      </c>
      <c r="QA5" s="8">
        <v>908218</v>
      </c>
      <c r="QB5" s="8">
        <v>908218</v>
      </c>
      <c r="QC5" s="6">
        <v>908218.05</v>
      </c>
      <c r="QD5" s="2"/>
      <c r="QE5" s="8">
        <v>40000</v>
      </c>
      <c r="QF5" s="8">
        <v>40000</v>
      </c>
      <c r="QG5" s="8">
        <v>8000</v>
      </c>
      <c r="QH5" s="8">
        <v>8000</v>
      </c>
      <c r="QI5" s="8">
        <v>306524</v>
      </c>
      <c r="QJ5" s="8">
        <v>306524</v>
      </c>
      <c r="QK5" s="8">
        <v>102175</v>
      </c>
      <c r="QL5" s="8">
        <v>102175</v>
      </c>
      <c r="QM5" s="8">
        <v>286089</v>
      </c>
      <c r="QN5" s="2"/>
      <c r="QO5" s="8">
        <v>286089</v>
      </c>
      <c r="QP5" s="8">
        <v>299713</v>
      </c>
      <c r="QQ5" s="8">
        <v>299713</v>
      </c>
      <c r="QR5" s="2"/>
      <c r="QS5" s="2"/>
      <c r="QT5" s="8">
        <v>142100</v>
      </c>
      <c r="QU5" s="2"/>
      <c r="QV5" s="8">
        <v>142100</v>
      </c>
      <c r="QW5" s="8">
        <v>12500</v>
      </c>
      <c r="QX5" s="8">
        <v>12500</v>
      </c>
      <c r="QY5" s="8">
        <v>77965</v>
      </c>
      <c r="QZ5" s="8">
        <v>77965</v>
      </c>
      <c r="RA5" s="8">
        <v>3000</v>
      </c>
      <c r="RB5" s="8">
        <v>3000</v>
      </c>
      <c r="RC5" s="2"/>
      <c r="RD5" s="2"/>
      <c r="RE5" s="8">
        <v>42141</v>
      </c>
      <c r="RF5" s="8">
        <v>42141</v>
      </c>
      <c r="RG5" s="8">
        <v>35000</v>
      </c>
      <c r="RH5" s="8">
        <v>35000</v>
      </c>
      <c r="RI5" s="8">
        <v>786000</v>
      </c>
      <c r="RJ5" s="8">
        <v>786000</v>
      </c>
      <c r="RK5" s="8">
        <v>315000</v>
      </c>
      <c r="RL5" s="8">
        <v>15000</v>
      </c>
      <c r="RM5" s="8">
        <v>330000</v>
      </c>
      <c r="RN5" s="2"/>
      <c r="RO5" s="8">
        <v>225000</v>
      </c>
      <c r="RP5" s="8">
        <v>225000</v>
      </c>
      <c r="RQ5" s="8">
        <v>100000</v>
      </c>
      <c r="RR5" s="8">
        <v>175000</v>
      </c>
      <c r="RS5" s="8">
        <v>275000</v>
      </c>
      <c r="RT5" s="2"/>
      <c r="RU5" s="8">
        <v>8000</v>
      </c>
      <c r="RV5" s="8">
        <v>8000</v>
      </c>
      <c r="RW5" s="8">
        <v>48000</v>
      </c>
      <c r="RX5" s="8">
        <v>48000</v>
      </c>
      <c r="RY5" s="2"/>
      <c r="RZ5" s="2"/>
      <c r="SA5" s="2"/>
      <c r="SB5" s="8">
        <v>50000</v>
      </c>
      <c r="SC5" s="8">
        <v>50000</v>
      </c>
      <c r="SD5" s="8">
        <v>25000</v>
      </c>
      <c r="SE5" s="2"/>
      <c r="SF5" s="8">
        <v>25000</v>
      </c>
      <c r="SG5" s="2"/>
      <c r="SH5" s="8">
        <v>46930</v>
      </c>
      <c r="SI5" s="8">
        <v>115407</v>
      </c>
      <c r="SJ5" s="8">
        <v>162337</v>
      </c>
      <c r="SK5" s="8">
        <v>155000</v>
      </c>
      <c r="SL5" s="8">
        <v>155000</v>
      </c>
      <c r="SM5" s="8">
        <v>325000</v>
      </c>
      <c r="SN5" s="2"/>
      <c r="SO5" s="8">
        <v>325000</v>
      </c>
      <c r="SP5" s="8">
        <v>2995031</v>
      </c>
      <c r="SQ5" s="8">
        <v>749513</v>
      </c>
      <c r="SR5" s="8">
        <v>3744544</v>
      </c>
      <c r="SS5" s="8">
        <v>187227</v>
      </c>
      <c r="ST5" s="2"/>
      <c r="SU5" s="8">
        <v>187227</v>
      </c>
      <c r="SV5" s="6">
        <v>187227.2</v>
      </c>
      <c r="SW5" s="8">
        <v>160000</v>
      </c>
      <c r="SX5" s="8">
        <v>160000</v>
      </c>
      <c r="SY5" s="2"/>
      <c r="SZ5" s="8">
        <v>1312860</v>
      </c>
      <c r="TA5" s="2"/>
      <c r="TB5" s="8">
        <v>1312860</v>
      </c>
      <c r="TC5" s="2"/>
      <c r="TD5" s="8">
        <v>20000</v>
      </c>
      <c r="TE5" s="8">
        <v>20000</v>
      </c>
      <c r="TF5" s="8">
        <v>70344</v>
      </c>
      <c r="TG5" s="8">
        <v>70344</v>
      </c>
      <c r="TH5" s="8">
        <v>50000</v>
      </c>
      <c r="TI5" s="8">
        <v>30000</v>
      </c>
      <c r="TJ5" s="8">
        <v>30000</v>
      </c>
      <c r="TK5" s="2"/>
      <c r="TL5" s="2"/>
      <c r="TM5" s="8">
        <v>235000</v>
      </c>
      <c r="TN5" s="8">
        <v>235000</v>
      </c>
      <c r="TO5" s="8">
        <v>1472860</v>
      </c>
      <c r="TP5" s="8">
        <v>405344</v>
      </c>
      <c r="TQ5" s="8">
        <v>1878204</v>
      </c>
      <c r="TR5" s="8">
        <v>22977697</v>
      </c>
      <c r="TS5" s="8">
        <v>1904857</v>
      </c>
      <c r="TT5" s="8">
        <v>24882554</v>
      </c>
      <c r="TU5" s="8">
        <v>4478859</v>
      </c>
      <c r="TV5" s="8">
        <v>4478859</v>
      </c>
      <c r="TW5" s="6">
        <v>4478859</v>
      </c>
      <c r="TX5" s="8">
        <v>4478859</v>
      </c>
      <c r="TY5" s="8">
        <v>4478859</v>
      </c>
      <c r="TZ5" s="6">
        <v>4478859</v>
      </c>
      <c r="UA5" s="8">
        <v>949900</v>
      </c>
      <c r="UB5" s="8">
        <v>949900</v>
      </c>
      <c r="UC5" s="8">
        <v>27456556</v>
      </c>
      <c r="UD5" s="8">
        <v>2854757</v>
      </c>
      <c r="UE5" s="8">
        <v>30311313</v>
      </c>
      <c r="UF5" s="8">
        <v>16000000</v>
      </c>
      <c r="UG5" s="2" t="s">
        <v>4295</v>
      </c>
      <c r="UH5" s="2"/>
      <c r="UI5" s="2"/>
      <c r="UJ5" s="8">
        <v>9199300</v>
      </c>
      <c r="UK5" s="2"/>
      <c r="UL5" s="2" t="s">
        <v>96</v>
      </c>
      <c r="UM5" s="8">
        <v>1884718</v>
      </c>
      <c r="UN5" s="8">
        <v>4478859</v>
      </c>
      <c r="UO5" s="8">
        <v>31562877</v>
      </c>
      <c r="UP5" s="8">
        <v>1251564</v>
      </c>
      <c r="UQ5" s="8">
        <v>7034368</v>
      </c>
      <c r="UR5" s="2" t="s">
        <v>4295</v>
      </c>
      <c r="US5" s="2"/>
      <c r="UT5" s="2"/>
      <c r="UU5" s="2"/>
      <c r="UV5" s="2"/>
      <c r="UW5" s="8">
        <v>9199300</v>
      </c>
      <c r="UX5" s="2"/>
      <c r="UY5" s="2" t="s">
        <v>96</v>
      </c>
      <c r="UZ5" s="8">
        <v>12564784</v>
      </c>
      <c r="VA5" s="8">
        <v>4478859</v>
      </c>
      <c r="VB5" s="8">
        <v>33277311</v>
      </c>
      <c r="VC5" s="6">
        <v>16233668</v>
      </c>
      <c r="VD5" s="8">
        <v>2965998</v>
      </c>
      <c r="VE5" s="5">
        <v>410000</v>
      </c>
      <c r="VF5" s="5">
        <v>417500</v>
      </c>
      <c r="VG5" s="6">
        <v>244678.44</v>
      </c>
      <c r="VH5" s="2" t="s">
        <v>9</v>
      </c>
      <c r="VI5" s="2" t="s">
        <v>646</v>
      </c>
      <c r="VJ5" s="2" t="s">
        <v>98</v>
      </c>
      <c r="VK5" s="2" t="s">
        <v>185</v>
      </c>
      <c r="VL5" s="23">
        <f t="shared" si="0"/>
        <v>138</v>
      </c>
      <c r="VM5" s="17">
        <f t="shared" si="1"/>
        <v>1.1499999999999999</v>
      </c>
      <c r="VN5" s="17" t="str">
        <f t="shared" si="2"/>
        <v>NC-MR-E</v>
      </c>
      <c r="VO5" s="17" t="str">
        <f t="shared" si="15"/>
        <v>NC-MR-E-ESS</v>
      </c>
      <c r="VP5" s="57">
        <v>1</v>
      </c>
      <c r="VQ5" s="17">
        <f t="shared" si="3"/>
        <v>1.1100000000000001</v>
      </c>
      <c r="VR5" s="57">
        <f t="shared" si="4"/>
        <v>1</v>
      </c>
      <c r="VS5" s="14">
        <f t="shared" si="5"/>
        <v>1</v>
      </c>
      <c r="VT5" s="12">
        <f t="shared" si="6"/>
        <v>0.84479999999999988</v>
      </c>
      <c r="VU5" s="29">
        <f t="shared" si="7"/>
        <v>7736255.9999999991</v>
      </c>
      <c r="VV5" s="29">
        <f t="shared" si="8"/>
        <v>64468.800000000003</v>
      </c>
      <c r="VW5" s="351" t="str">
        <f t="shared" ref="VW5" si="19">IF(RANK(VV5,VV$2:VV$34,1)&lt;=ROUNDUP(80%*VW$1,0),"A","B")</f>
        <v>A</v>
      </c>
      <c r="VX5" s="12" t="str">
        <f t="shared" si="9"/>
        <v>NC-MR-ESS</v>
      </c>
      <c r="VY5" s="23">
        <f t="shared" ref="VY5" si="20">IF(RANK(VV5,VV$2:VV$34,1)&lt;=ROUNDUP(10%*VW$1,0),1,IF(RANK(VV5,VV$2:VV$34,1)&lt;=ROUNDUP(30%*VW$1,0),2,IF(RANK(VV5,VV$2:VV$34,1)&lt;=ROUNDUP(50%*VW$1,0),3,IF(RANK(VV5,VV$2:VV$34,1)&lt;=ROUNDUP(70%*VW$1,0),4,5))))</f>
        <v>1</v>
      </c>
      <c r="WA5" s="12">
        <f t="shared" si="16"/>
        <v>1</v>
      </c>
      <c r="WB5" s="12">
        <f t="shared" si="17"/>
        <v>1</v>
      </c>
      <c r="WC5" s="12">
        <f t="shared" si="17"/>
        <v>0</v>
      </c>
      <c r="WD5" s="12">
        <f t="shared" si="17"/>
        <v>0</v>
      </c>
      <c r="WE5" s="12">
        <f t="shared" si="18"/>
        <v>1</v>
      </c>
      <c r="WF5" s="12">
        <f t="shared" si="10"/>
        <v>0</v>
      </c>
      <c r="WG5" s="12">
        <f t="shared" si="11"/>
        <v>1</v>
      </c>
      <c r="WH5" s="12">
        <f t="shared" si="12"/>
        <v>0</v>
      </c>
      <c r="WI5" s="31">
        <f t="shared" si="13"/>
        <v>4</v>
      </c>
      <c r="WJ5" s="2"/>
      <c r="WK5" s="444" t="str">
        <f t="shared" si="14"/>
        <v>NC-MR-ESS-BBY-BRN-NPH-E</v>
      </c>
      <c r="WL5" s="444"/>
      <c r="WM5" s="444"/>
      <c r="WN5" s="12"/>
      <c r="WO5" s="380" t="s">
        <v>2618</v>
      </c>
      <c r="WP5" s="144">
        <f>COUNTIFS($WD$2:$WD$72,"=1",$WA$2:$WA$72,"=1")</f>
        <v>1</v>
      </c>
      <c r="WQ5" s="144">
        <f>COUNTIFS($WD$2:$WD$72,"=1",$WB$2:$WB$72,"=1")</f>
        <v>5</v>
      </c>
      <c r="WR5" s="144">
        <f>COUNTIFS($WD$2:$WD$72,"=1",$WC$2:$WC$72,"=1")</f>
        <v>0</v>
      </c>
      <c r="WS5" s="384"/>
      <c r="WT5" s="144">
        <f>COUNTIFS($WD$2:$WD$72,"=1",$WF$2:$WF$72,"=1")</f>
        <v>4</v>
      </c>
      <c r="WU5" s="144">
        <f>COUNTIFS($WD$2:$WD$72,"=1",$WG$2:$WG$72,"=1")</f>
        <v>1</v>
      </c>
      <c r="WV5" s="144">
        <f>COUNTIFS($WD$2:$WD$72,"=1",$WH$2:$WH$72,"=1")</f>
        <v>1</v>
      </c>
      <c r="WW5" s="144">
        <f>COUNTIFS($WD$2:$WD$72,"=1",$WE$2:$WE$72,"=1")</f>
        <v>6</v>
      </c>
      <c r="WX5" s="205">
        <f>COUNTIF($WD$2:$WD$72,"=1")</f>
        <v>6</v>
      </c>
    </row>
    <row r="6" spans="1:622" x14ac:dyDescent="0.25">
      <c r="A6" s="2">
        <v>9001</v>
      </c>
      <c r="B6" s="2" t="s">
        <v>5096</v>
      </c>
      <c r="C6" s="2" t="s">
        <v>5063</v>
      </c>
      <c r="D6" s="2">
        <v>10</v>
      </c>
      <c r="E6" s="2">
        <v>47.94</v>
      </c>
      <c r="F6" s="2"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 t="s">
        <v>9</v>
      </c>
      <c r="BV6" s="6">
        <v>64657.55</v>
      </c>
      <c r="BW6" s="2" t="s">
        <v>126</v>
      </c>
      <c r="BX6" s="3">
        <v>45036</v>
      </c>
      <c r="BY6" s="2" t="s">
        <v>9</v>
      </c>
      <c r="BZ6" s="2">
        <v>1</v>
      </c>
      <c r="CA6" s="2" t="s">
        <v>9</v>
      </c>
      <c r="CB6" s="2">
        <v>1</v>
      </c>
      <c r="CC6" s="2" t="s">
        <v>9</v>
      </c>
      <c r="CD6" s="2">
        <v>0</v>
      </c>
      <c r="CE6" s="2" t="s">
        <v>5097</v>
      </c>
      <c r="CF6" s="2">
        <v>1</v>
      </c>
      <c r="CG6" s="2" t="s">
        <v>10</v>
      </c>
      <c r="CH6" s="2">
        <v>0</v>
      </c>
      <c r="CI6" s="2" t="s">
        <v>10</v>
      </c>
      <c r="CJ6" s="2">
        <v>0</v>
      </c>
      <c r="CK6" s="2" t="s">
        <v>11</v>
      </c>
      <c r="CL6" s="2">
        <v>0</v>
      </c>
      <c r="CM6" s="2" t="s">
        <v>9</v>
      </c>
      <c r="CN6" s="2">
        <v>2</v>
      </c>
      <c r="CO6" s="2" t="s">
        <v>9</v>
      </c>
      <c r="CP6" s="2">
        <v>2</v>
      </c>
      <c r="CQ6" s="2" t="s">
        <v>9</v>
      </c>
      <c r="CR6" s="2">
        <v>2</v>
      </c>
      <c r="CS6" s="2" t="s">
        <v>12</v>
      </c>
      <c r="CT6" s="2" t="s">
        <v>1128</v>
      </c>
      <c r="CU6" s="2" t="s">
        <v>15</v>
      </c>
      <c r="CV6" s="2" t="s">
        <v>15</v>
      </c>
      <c r="CW6" s="2" t="s">
        <v>15</v>
      </c>
      <c r="CX6" s="2" t="s">
        <v>15</v>
      </c>
      <c r="CY6" s="2" t="s">
        <v>15</v>
      </c>
      <c r="CZ6" s="2">
        <v>1</v>
      </c>
      <c r="DA6" s="2" t="s">
        <v>772</v>
      </c>
      <c r="DB6" s="2" t="s">
        <v>17</v>
      </c>
      <c r="DC6" s="4">
        <v>0.15278</v>
      </c>
      <c r="DD6" s="2" t="s">
        <v>17</v>
      </c>
      <c r="DE6" s="2" t="s">
        <v>9</v>
      </c>
      <c r="DF6" s="2" t="s">
        <v>17</v>
      </c>
      <c r="DG6" s="2" t="s">
        <v>17</v>
      </c>
      <c r="DH6" s="2" t="s">
        <v>17</v>
      </c>
      <c r="DI6" s="2" t="s">
        <v>9</v>
      </c>
      <c r="DJ6" s="2" t="s">
        <v>17</v>
      </c>
      <c r="DK6" s="2" t="s">
        <v>17</v>
      </c>
      <c r="DL6" s="2" t="s">
        <v>17</v>
      </c>
      <c r="DM6" s="2" t="s">
        <v>17</v>
      </c>
      <c r="DN6" s="2" t="s">
        <v>2663</v>
      </c>
      <c r="DO6" s="2">
        <v>5</v>
      </c>
      <c r="DP6" s="5">
        <v>50000</v>
      </c>
      <c r="DQ6" s="5">
        <v>460000</v>
      </c>
      <c r="DR6" s="2">
        <v>0</v>
      </c>
      <c r="DS6" s="2">
        <v>8</v>
      </c>
      <c r="DT6" s="2">
        <v>0</v>
      </c>
      <c r="DU6" s="2">
        <v>6</v>
      </c>
      <c r="DV6" s="2">
        <v>0</v>
      </c>
      <c r="DW6" s="2">
        <v>0</v>
      </c>
      <c r="DX6" s="2">
        <v>1</v>
      </c>
      <c r="DY6" s="2">
        <v>0</v>
      </c>
      <c r="DZ6" s="2">
        <v>1</v>
      </c>
      <c r="EA6" s="2">
        <v>0</v>
      </c>
      <c r="EB6" s="2">
        <v>0</v>
      </c>
      <c r="EC6" s="2">
        <v>0</v>
      </c>
      <c r="ED6" s="2">
        <v>13</v>
      </c>
      <c r="EE6" s="2">
        <v>1</v>
      </c>
      <c r="EF6" s="2">
        <v>0</v>
      </c>
      <c r="EG6" s="2">
        <v>2</v>
      </c>
      <c r="EH6" s="2">
        <v>0</v>
      </c>
      <c r="EI6" s="2">
        <v>14</v>
      </c>
      <c r="EJ6" s="2">
        <v>11</v>
      </c>
      <c r="EK6" s="2">
        <v>0</v>
      </c>
      <c r="EL6" s="2" t="s">
        <v>17</v>
      </c>
      <c r="EM6" s="2" t="s">
        <v>17</v>
      </c>
      <c r="EN6" s="2" t="s">
        <v>17</v>
      </c>
      <c r="EO6" s="2" t="s">
        <v>17</v>
      </c>
      <c r="EP6" s="2" t="s">
        <v>17</v>
      </c>
      <c r="EQ6" s="2" t="s">
        <v>17</v>
      </c>
      <c r="ER6" s="2" t="s">
        <v>17</v>
      </c>
      <c r="ES6" s="2" t="s">
        <v>9</v>
      </c>
      <c r="ET6" s="2" t="s">
        <v>5098</v>
      </c>
      <c r="EU6" s="2"/>
      <c r="EV6" s="2"/>
      <c r="EW6" s="2" t="s">
        <v>9</v>
      </c>
      <c r="EX6" s="2" t="s">
        <v>21</v>
      </c>
      <c r="EY6" s="2" t="s">
        <v>5098</v>
      </c>
      <c r="EZ6" s="2" t="s">
        <v>22</v>
      </c>
      <c r="FA6" s="2" t="s">
        <v>23</v>
      </c>
      <c r="FB6" s="2">
        <v>90</v>
      </c>
      <c r="FC6" s="2" t="s">
        <v>4463</v>
      </c>
      <c r="FD6" s="2">
        <v>2017</v>
      </c>
      <c r="FE6" s="2" t="s">
        <v>26</v>
      </c>
      <c r="FF6" s="2" t="s">
        <v>4210</v>
      </c>
      <c r="FG6" s="2" t="s">
        <v>34</v>
      </c>
      <c r="FH6" s="2"/>
      <c r="FI6" s="2" t="s">
        <v>35</v>
      </c>
      <c r="FJ6" s="2" t="s">
        <v>36</v>
      </c>
      <c r="FK6" s="2">
        <v>1</v>
      </c>
      <c r="FL6" s="2" t="s">
        <v>37</v>
      </c>
      <c r="FM6" s="2" t="s">
        <v>38</v>
      </c>
      <c r="FN6" s="2" t="s">
        <v>5099</v>
      </c>
      <c r="FO6" s="2" t="s">
        <v>63</v>
      </c>
      <c r="FP6" s="2" t="s">
        <v>9</v>
      </c>
      <c r="FQ6" s="2" t="s">
        <v>17</v>
      </c>
      <c r="FR6" s="2" t="s">
        <v>17</v>
      </c>
      <c r="FS6" s="2" t="s">
        <v>9</v>
      </c>
      <c r="FT6" s="2">
        <v>0</v>
      </c>
      <c r="FU6" s="2">
        <v>0</v>
      </c>
      <c r="FV6" s="4">
        <v>0</v>
      </c>
      <c r="FW6" s="4">
        <v>0</v>
      </c>
      <c r="FX6" s="2" t="s">
        <v>65</v>
      </c>
      <c r="FY6" s="2" t="s">
        <v>66</v>
      </c>
      <c r="FZ6" s="2" t="s">
        <v>17</v>
      </c>
      <c r="GA6" s="2"/>
      <c r="GB6" s="2"/>
      <c r="GC6" s="2"/>
      <c r="GD6" s="2" t="s">
        <v>67</v>
      </c>
      <c r="GE6" s="2" t="s">
        <v>108</v>
      </c>
      <c r="GF6" s="2"/>
      <c r="GG6" s="2"/>
      <c r="GH6" s="2"/>
      <c r="GI6" s="2"/>
      <c r="GJ6" s="2">
        <v>144</v>
      </c>
      <c r="GK6" s="2"/>
      <c r="GL6" s="2"/>
      <c r="GM6" s="2"/>
      <c r="GN6" s="2"/>
      <c r="GO6" s="2"/>
      <c r="GP6" s="2"/>
      <c r="GQ6" s="2">
        <v>144</v>
      </c>
      <c r="GR6" s="2" t="s">
        <v>1197</v>
      </c>
      <c r="GS6" s="2" t="s">
        <v>70</v>
      </c>
      <c r="GT6" s="2">
        <v>1</v>
      </c>
      <c r="GU6" s="2" t="s">
        <v>5100</v>
      </c>
      <c r="GV6" s="2" t="s">
        <v>1469</v>
      </c>
      <c r="GW6" s="2" t="s">
        <v>17</v>
      </c>
      <c r="GX6" s="2">
        <v>26.648904999999999</v>
      </c>
      <c r="GY6" s="2">
        <v>-81.814145999999994</v>
      </c>
      <c r="GZ6" s="2">
        <v>26.64</v>
      </c>
      <c r="HA6" s="2" t="s">
        <v>17</v>
      </c>
      <c r="HB6" s="2">
        <v>0</v>
      </c>
      <c r="HC6" s="2" t="s">
        <v>17</v>
      </c>
      <c r="HD6" s="2" t="s">
        <v>17</v>
      </c>
      <c r="HE6" s="2">
        <v>0</v>
      </c>
      <c r="HF6" s="2">
        <v>26.652683</v>
      </c>
      <c r="HG6" s="2">
        <v>-81.813100000000006</v>
      </c>
      <c r="HH6" s="2">
        <v>0.28000000000000003</v>
      </c>
      <c r="HI6" s="2">
        <v>2</v>
      </c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 t="s">
        <v>73</v>
      </c>
      <c r="HY6" s="2" t="s">
        <v>5101</v>
      </c>
      <c r="HZ6" s="2" t="s">
        <v>5102</v>
      </c>
      <c r="IA6" s="2">
        <v>0.28000000000000003</v>
      </c>
      <c r="IB6" s="2">
        <v>4</v>
      </c>
      <c r="IC6" s="2"/>
      <c r="ID6" s="2"/>
      <c r="IE6" s="2"/>
      <c r="IF6" s="2"/>
      <c r="IG6" s="2" t="s">
        <v>1118</v>
      </c>
      <c r="IH6" s="2" t="s">
        <v>5103</v>
      </c>
      <c r="II6" s="2">
        <v>1.54</v>
      </c>
      <c r="IJ6" s="2">
        <v>1</v>
      </c>
      <c r="IK6" s="2" t="s">
        <v>5104</v>
      </c>
      <c r="IL6" s="2" t="s">
        <v>5105</v>
      </c>
      <c r="IM6" s="2">
        <v>0.93</v>
      </c>
      <c r="IN6" s="2">
        <v>3</v>
      </c>
      <c r="IO6" s="2">
        <v>2</v>
      </c>
      <c r="IP6" s="2">
        <v>8</v>
      </c>
      <c r="IQ6" s="2">
        <v>0</v>
      </c>
      <c r="IR6" s="2">
        <v>10</v>
      </c>
      <c r="IS6" s="2" t="s">
        <v>17</v>
      </c>
      <c r="IT6" s="2" t="s">
        <v>17</v>
      </c>
      <c r="IU6" s="2" t="s">
        <v>17</v>
      </c>
      <c r="IV6" s="2" t="s">
        <v>80</v>
      </c>
      <c r="IW6" s="2" t="s">
        <v>9</v>
      </c>
      <c r="IX6" s="2" t="s">
        <v>9</v>
      </c>
      <c r="IY6" s="2">
        <v>10</v>
      </c>
      <c r="IZ6" s="2">
        <v>144</v>
      </c>
      <c r="JA6" s="2"/>
      <c r="JB6" s="2"/>
      <c r="JC6" s="2"/>
      <c r="JD6" s="2"/>
      <c r="JE6" s="2"/>
      <c r="JF6" s="2"/>
      <c r="JG6" s="2"/>
      <c r="JH6" s="7">
        <v>0</v>
      </c>
      <c r="JI6" s="2">
        <v>0</v>
      </c>
      <c r="JJ6" s="7">
        <v>0</v>
      </c>
      <c r="JK6" s="2">
        <v>0</v>
      </c>
      <c r="JL6" s="7">
        <v>0</v>
      </c>
      <c r="JM6" s="2">
        <v>22</v>
      </c>
      <c r="JN6" s="2"/>
      <c r="JO6" s="2">
        <v>73</v>
      </c>
      <c r="JP6" s="2">
        <v>32</v>
      </c>
      <c r="JQ6" s="2">
        <v>17</v>
      </c>
      <c r="JR6" s="2">
        <v>0</v>
      </c>
      <c r="JS6" s="2">
        <v>0</v>
      </c>
      <c r="JT6" s="2"/>
      <c r="JU6" s="2"/>
      <c r="JV6" s="2">
        <v>144</v>
      </c>
      <c r="JW6" s="4">
        <v>1</v>
      </c>
      <c r="JX6" s="2">
        <v>144</v>
      </c>
      <c r="JY6" s="4">
        <v>0.6</v>
      </c>
      <c r="JZ6" s="2">
        <v>0</v>
      </c>
      <c r="KA6" s="2"/>
      <c r="KB6" s="2"/>
      <c r="KC6" s="2"/>
      <c r="KD6" s="2"/>
      <c r="KE6" s="2"/>
      <c r="KF6" s="2"/>
      <c r="KG6" s="2"/>
      <c r="KH6" s="2">
        <v>124</v>
      </c>
      <c r="KI6" s="2">
        <v>20</v>
      </c>
      <c r="KJ6" s="2"/>
      <c r="KK6" s="2"/>
      <c r="KL6" s="2"/>
      <c r="KM6" s="2"/>
      <c r="KN6" s="2"/>
      <c r="KO6" s="2"/>
      <c r="KP6" s="2"/>
      <c r="KQ6" s="2" t="s">
        <v>83</v>
      </c>
      <c r="KR6" s="2"/>
      <c r="KS6" s="2" t="s">
        <v>73</v>
      </c>
      <c r="KT6" s="2">
        <v>1</v>
      </c>
      <c r="KU6" s="2" t="s">
        <v>84</v>
      </c>
      <c r="KV6" s="2" t="s">
        <v>85</v>
      </c>
      <c r="KW6" s="2" t="s">
        <v>86</v>
      </c>
      <c r="KX6" s="2" t="s">
        <v>17</v>
      </c>
      <c r="KY6" s="2" t="s">
        <v>17</v>
      </c>
      <c r="KZ6" s="2" t="s">
        <v>17</v>
      </c>
      <c r="LA6" s="2" t="s">
        <v>17</v>
      </c>
      <c r="LB6" s="2" t="s">
        <v>17</v>
      </c>
      <c r="LC6" s="2" t="s">
        <v>17</v>
      </c>
      <c r="LD6" s="2" t="s">
        <v>17</v>
      </c>
      <c r="LE6" s="2" t="s">
        <v>17</v>
      </c>
      <c r="LF6" s="2" t="s">
        <v>17</v>
      </c>
      <c r="LG6" s="2" t="s">
        <v>17</v>
      </c>
      <c r="LH6" s="2" t="s">
        <v>17</v>
      </c>
      <c r="LI6" s="2" t="s">
        <v>17</v>
      </c>
      <c r="LJ6" s="2" t="s">
        <v>87</v>
      </c>
      <c r="LK6" s="2" t="s">
        <v>17</v>
      </c>
      <c r="LL6" s="2" t="s">
        <v>17</v>
      </c>
      <c r="LM6" s="2">
        <v>0</v>
      </c>
      <c r="LN6" s="2" t="s">
        <v>17</v>
      </c>
      <c r="LO6" s="2" t="s">
        <v>17</v>
      </c>
      <c r="LP6" s="2" t="s">
        <v>17</v>
      </c>
      <c r="LQ6" s="2" t="s">
        <v>17</v>
      </c>
      <c r="LR6" s="2" t="s">
        <v>17</v>
      </c>
      <c r="LS6" s="2" t="s">
        <v>17</v>
      </c>
      <c r="LT6" s="2" t="s">
        <v>17</v>
      </c>
      <c r="LU6" s="2" t="s">
        <v>17</v>
      </c>
      <c r="LV6" s="2" t="s">
        <v>9</v>
      </c>
      <c r="LW6" s="2" t="s">
        <v>9</v>
      </c>
      <c r="LX6" s="2" t="s">
        <v>9</v>
      </c>
      <c r="LY6" s="5">
        <v>10000000</v>
      </c>
      <c r="LZ6" s="5">
        <v>0</v>
      </c>
      <c r="MA6" s="5">
        <v>10000000</v>
      </c>
      <c r="MB6" s="5">
        <v>9525000</v>
      </c>
      <c r="MC6" s="5">
        <v>9525000</v>
      </c>
      <c r="MD6" s="5">
        <v>1196600</v>
      </c>
      <c r="ME6" s="5">
        <v>1196600</v>
      </c>
      <c r="MF6" s="5">
        <v>1196600</v>
      </c>
      <c r="MG6" s="5">
        <v>10721600</v>
      </c>
      <c r="MH6" s="2">
        <v>0</v>
      </c>
      <c r="MI6" s="5">
        <v>0</v>
      </c>
      <c r="MJ6" s="5">
        <v>0</v>
      </c>
      <c r="MK6" s="2">
        <v>0</v>
      </c>
      <c r="ML6" s="2">
        <v>0</v>
      </c>
      <c r="MM6" s="2">
        <v>0</v>
      </c>
      <c r="MN6" s="5">
        <v>2950000</v>
      </c>
      <c r="MO6" s="5">
        <v>0</v>
      </c>
      <c r="MP6" s="5">
        <v>4600000</v>
      </c>
      <c r="MQ6" s="5">
        <v>0</v>
      </c>
      <c r="MR6" s="5">
        <v>0</v>
      </c>
      <c r="MS6" s="5">
        <v>0</v>
      </c>
      <c r="MT6" s="5">
        <v>0</v>
      </c>
      <c r="MU6" s="5">
        <v>2500000</v>
      </c>
      <c r="MV6" s="5">
        <v>0</v>
      </c>
      <c r="MW6" s="5">
        <v>0</v>
      </c>
      <c r="MX6" s="5">
        <v>0</v>
      </c>
      <c r="MY6" s="5">
        <v>2040000</v>
      </c>
      <c r="MZ6" s="5">
        <v>0</v>
      </c>
      <c r="NA6" s="5">
        <v>1490984</v>
      </c>
      <c r="NB6" s="2" t="s">
        <v>17</v>
      </c>
      <c r="NC6" s="2"/>
      <c r="ND6" s="2"/>
      <c r="NE6" s="2"/>
      <c r="NF6" s="2"/>
      <c r="NG6" s="2"/>
      <c r="NH6" s="2"/>
      <c r="NI6" s="61">
        <v>0</v>
      </c>
      <c r="NJ6" s="61"/>
      <c r="NK6" s="61"/>
      <c r="NL6" s="61"/>
      <c r="NM6" s="2" t="s">
        <v>17</v>
      </c>
      <c r="NN6" s="2"/>
      <c r="NO6" s="2" t="s">
        <v>17</v>
      </c>
      <c r="NP6" s="2"/>
      <c r="NQ6" s="2"/>
      <c r="NR6" s="2" t="s">
        <v>17</v>
      </c>
      <c r="NS6" s="2"/>
      <c r="NT6" s="2" t="s">
        <v>9</v>
      </c>
      <c r="NU6" s="2" t="s">
        <v>450</v>
      </c>
      <c r="NV6" s="2">
        <v>5.04</v>
      </c>
      <c r="NW6" s="2" t="s">
        <v>1221</v>
      </c>
      <c r="NX6" s="2" t="s">
        <v>118</v>
      </c>
      <c r="NY6" s="2" t="s">
        <v>118</v>
      </c>
      <c r="NZ6" s="2" t="s">
        <v>118</v>
      </c>
      <c r="OA6" s="2" t="s">
        <v>17</v>
      </c>
      <c r="OB6" s="2" t="s">
        <v>119</v>
      </c>
      <c r="OC6" s="5">
        <v>17000000</v>
      </c>
      <c r="OD6" s="2" t="s">
        <v>17</v>
      </c>
      <c r="OE6" s="2" t="s">
        <v>17</v>
      </c>
      <c r="OF6" s="2" t="s">
        <v>85</v>
      </c>
      <c r="OG6" s="6">
        <v>8700000</v>
      </c>
      <c r="OH6" s="6">
        <v>0</v>
      </c>
      <c r="OI6" s="2" t="s">
        <v>93</v>
      </c>
      <c r="OJ6" s="2" t="s">
        <v>93</v>
      </c>
      <c r="OK6" s="6">
        <v>0</v>
      </c>
      <c r="OL6" s="6">
        <v>0</v>
      </c>
      <c r="OM6" s="6">
        <v>0</v>
      </c>
      <c r="ON6" s="6">
        <v>0</v>
      </c>
      <c r="OO6" s="6">
        <v>0</v>
      </c>
      <c r="OP6" s="6">
        <v>0</v>
      </c>
      <c r="OQ6" s="4">
        <v>0</v>
      </c>
      <c r="OR6" s="6">
        <v>0</v>
      </c>
      <c r="OS6" s="4">
        <v>0</v>
      </c>
      <c r="OT6" s="2" t="s">
        <v>17</v>
      </c>
      <c r="OU6" s="2" t="s">
        <v>17</v>
      </c>
      <c r="OV6" s="2"/>
      <c r="OW6" s="2" t="s">
        <v>17</v>
      </c>
      <c r="OX6" s="5">
        <v>9310688</v>
      </c>
      <c r="OY6" s="6">
        <v>64657.55</v>
      </c>
      <c r="OZ6" s="2"/>
      <c r="PA6" s="2"/>
      <c r="PB6" s="2"/>
      <c r="PC6" s="2"/>
      <c r="PD6" s="2"/>
      <c r="PE6" s="2"/>
      <c r="PF6" s="8">
        <v>18085875</v>
      </c>
      <c r="PG6" s="2"/>
      <c r="PH6" s="8">
        <v>18085875</v>
      </c>
      <c r="PI6" s="2"/>
      <c r="PJ6" s="2"/>
      <c r="PK6" s="8">
        <v>250000</v>
      </c>
      <c r="PL6" s="8">
        <v>250000</v>
      </c>
      <c r="PM6" s="2"/>
      <c r="PN6" s="2"/>
      <c r="PO6" s="2"/>
      <c r="PP6" s="2"/>
      <c r="PQ6" s="2"/>
      <c r="PR6" s="8">
        <v>18335875</v>
      </c>
      <c r="PS6" s="2"/>
      <c r="PT6" s="8">
        <v>18335875</v>
      </c>
      <c r="PU6" s="8">
        <v>2567022</v>
      </c>
      <c r="PV6" s="8">
        <v>2567022</v>
      </c>
      <c r="PW6" s="6">
        <v>2567022</v>
      </c>
      <c r="PX6" s="8">
        <v>20902897</v>
      </c>
      <c r="PY6" s="2"/>
      <c r="PZ6" s="8">
        <v>20902897</v>
      </c>
      <c r="QA6" s="8">
        <v>1045144</v>
      </c>
      <c r="QB6" s="8">
        <v>1045144</v>
      </c>
      <c r="QC6" s="6">
        <v>1045144.85</v>
      </c>
      <c r="QD6" s="8">
        <v>40000</v>
      </c>
      <c r="QE6" s="2"/>
      <c r="QF6" s="8">
        <v>40000</v>
      </c>
      <c r="QG6" s="8">
        <v>6500</v>
      </c>
      <c r="QH6" s="8">
        <v>6500</v>
      </c>
      <c r="QI6" s="8">
        <v>275000</v>
      </c>
      <c r="QJ6" s="8">
        <v>275000</v>
      </c>
      <c r="QK6" s="8">
        <v>50000</v>
      </c>
      <c r="QL6" s="8">
        <v>50000</v>
      </c>
      <c r="QM6" s="8">
        <v>200000</v>
      </c>
      <c r="QN6" s="2"/>
      <c r="QO6" s="8">
        <v>200000</v>
      </c>
      <c r="QP6" s="8">
        <v>244800</v>
      </c>
      <c r="QQ6" s="8">
        <v>244800</v>
      </c>
      <c r="QR6" s="2"/>
      <c r="QS6" s="2"/>
      <c r="QT6" s="8">
        <v>125000</v>
      </c>
      <c r="QU6" s="2"/>
      <c r="QV6" s="8">
        <v>125000</v>
      </c>
      <c r="QW6" s="8">
        <v>3500</v>
      </c>
      <c r="QX6" s="8">
        <v>3500</v>
      </c>
      <c r="QY6" s="8">
        <v>81843</v>
      </c>
      <c r="QZ6" s="8">
        <v>81843</v>
      </c>
      <c r="RA6" s="8">
        <v>3000</v>
      </c>
      <c r="RB6" s="8">
        <v>3000</v>
      </c>
      <c r="RC6" s="2"/>
      <c r="RD6" s="2"/>
      <c r="RE6" s="8">
        <v>26781</v>
      </c>
      <c r="RF6" s="8">
        <v>26781</v>
      </c>
      <c r="RG6" s="8">
        <v>50000</v>
      </c>
      <c r="RH6" s="8">
        <v>50000</v>
      </c>
      <c r="RI6" s="2"/>
      <c r="RJ6" s="2"/>
      <c r="RK6" s="8">
        <v>35000</v>
      </c>
      <c r="RL6" s="2"/>
      <c r="RM6" s="8">
        <v>35000</v>
      </c>
      <c r="RN6" s="8">
        <v>70000</v>
      </c>
      <c r="RO6" s="8">
        <v>30000</v>
      </c>
      <c r="RP6" s="8">
        <v>100000</v>
      </c>
      <c r="RQ6" s="8">
        <v>200000</v>
      </c>
      <c r="RR6" s="8">
        <v>100000</v>
      </c>
      <c r="RS6" s="8">
        <v>300000</v>
      </c>
      <c r="RT6" s="8">
        <v>7500</v>
      </c>
      <c r="RU6" s="2"/>
      <c r="RV6" s="8">
        <v>7500</v>
      </c>
      <c r="RW6" s="8">
        <v>75000</v>
      </c>
      <c r="RX6" s="8">
        <v>75000</v>
      </c>
      <c r="RY6" s="2"/>
      <c r="RZ6" s="2"/>
      <c r="SA6" s="2"/>
      <c r="SB6" s="8">
        <v>20000</v>
      </c>
      <c r="SC6" s="8">
        <v>20000</v>
      </c>
      <c r="SD6" s="8">
        <v>10000</v>
      </c>
      <c r="SE6" s="8">
        <v>5000</v>
      </c>
      <c r="SF6" s="8">
        <v>15000</v>
      </c>
      <c r="SG6" s="2"/>
      <c r="SH6" s="8">
        <v>100000</v>
      </c>
      <c r="SI6" s="8">
        <v>50000</v>
      </c>
      <c r="SJ6" s="8">
        <v>150000</v>
      </c>
      <c r="SK6" s="8">
        <v>200000</v>
      </c>
      <c r="SL6" s="8">
        <v>200000</v>
      </c>
      <c r="SM6" s="2"/>
      <c r="SN6" s="2"/>
      <c r="SO6" s="2"/>
      <c r="SP6" s="8">
        <v>1637300</v>
      </c>
      <c r="SQ6" s="8">
        <v>371624</v>
      </c>
      <c r="SR6" s="8">
        <v>2008924</v>
      </c>
      <c r="SS6" s="8">
        <v>100446</v>
      </c>
      <c r="ST6" s="2"/>
      <c r="SU6" s="8">
        <v>100446</v>
      </c>
      <c r="SV6" s="6">
        <v>100446.2</v>
      </c>
      <c r="SW6" s="8">
        <v>170000</v>
      </c>
      <c r="SX6" s="8">
        <v>170000</v>
      </c>
      <c r="SY6" s="2"/>
      <c r="SZ6" s="8">
        <v>1118812</v>
      </c>
      <c r="TA6" s="8">
        <v>602438</v>
      </c>
      <c r="TB6" s="8">
        <v>1721250</v>
      </c>
      <c r="TC6" s="8">
        <v>34000</v>
      </c>
      <c r="TD6" s="2"/>
      <c r="TE6" s="8">
        <v>34000</v>
      </c>
      <c r="TF6" s="8">
        <v>87000</v>
      </c>
      <c r="TG6" s="8">
        <v>87000</v>
      </c>
      <c r="TH6" s="2"/>
      <c r="TI6" s="8">
        <v>17400</v>
      </c>
      <c r="TJ6" s="8">
        <v>17400</v>
      </c>
      <c r="TK6" s="2"/>
      <c r="TL6" s="2"/>
      <c r="TM6" s="8">
        <v>362216</v>
      </c>
      <c r="TN6" s="8">
        <v>362216</v>
      </c>
      <c r="TO6" s="8">
        <v>1322812</v>
      </c>
      <c r="TP6" s="8">
        <v>1069054</v>
      </c>
      <c r="TQ6" s="8">
        <v>2391866</v>
      </c>
      <c r="TR6" s="8">
        <v>25008599</v>
      </c>
      <c r="TS6" s="8">
        <v>1440678</v>
      </c>
      <c r="TT6" s="8">
        <v>26449277</v>
      </c>
      <c r="TU6" s="8">
        <v>4760869</v>
      </c>
      <c r="TV6" s="8">
        <v>4760869</v>
      </c>
      <c r="TW6" s="6">
        <v>4760869</v>
      </c>
      <c r="TX6" s="8">
        <v>4760869</v>
      </c>
      <c r="TY6" s="8">
        <v>4760869</v>
      </c>
      <c r="TZ6" s="6">
        <v>4760869</v>
      </c>
      <c r="UA6" s="8">
        <v>1790000</v>
      </c>
      <c r="UB6" s="8">
        <v>1790000</v>
      </c>
      <c r="UC6" s="8">
        <v>29769468</v>
      </c>
      <c r="UD6" s="8">
        <v>3230678</v>
      </c>
      <c r="UE6" s="8">
        <v>33000146</v>
      </c>
      <c r="UF6" s="8">
        <v>17000000</v>
      </c>
      <c r="UG6" s="2" t="s">
        <v>4295</v>
      </c>
      <c r="UH6" s="2"/>
      <c r="UI6" s="2"/>
      <c r="UJ6" s="8">
        <v>10721600</v>
      </c>
      <c r="UK6" s="2"/>
      <c r="UL6" s="2" t="s">
        <v>96</v>
      </c>
      <c r="UM6" s="8">
        <v>6708757</v>
      </c>
      <c r="UN6" s="8">
        <v>4760869</v>
      </c>
      <c r="UO6" s="8">
        <v>39191226</v>
      </c>
      <c r="UP6" s="8">
        <v>6191080</v>
      </c>
      <c r="UQ6" s="8">
        <v>8700000</v>
      </c>
      <c r="UR6" s="2" t="s">
        <v>4295</v>
      </c>
      <c r="US6" s="2"/>
      <c r="UT6" s="2"/>
      <c r="UU6" s="2"/>
      <c r="UV6" s="2"/>
      <c r="UW6" s="8">
        <v>10721600</v>
      </c>
      <c r="UX6" s="2"/>
      <c r="UY6" s="2" t="s">
        <v>96</v>
      </c>
      <c r="UZ6" s="8">
        <v>13417514</v>
      </c>
      <c r="VA6" s="8">
        <v>4760869</v>
      </c>
      <c r="VB6" s="8">
        <v>37599983</v>
      </c>
      <c r="VC6" s="6">
        <v>19421600</v>
      </c>
      <c r="VD6" s="8">
        <v>4599837</v>
      </c>
      <c r="VE6" s="5">
        <v>370000</v>
      </c>
      <c r="VF6" s="5">
        <v>377500</v>
      </c>
      <c r="VG6" s="6">
        <v>216737.13</v>
      </c>
      <c r="VH6" s="2" t="s">
        <v>9</v>
      </c>
      <c r="VI6" s="2" t="s">
        <v>21</v>
      </c>
      <c r="VJ6" s="2" t="s">
        <v>98</v>
      </c>
      <c r="VK6" s="2" t="s">
        <v>5106</v>
      </c>
      <c r="VL6" s="23">
        <f t="shared" si="0"/>
        <v>164</v>
      </c>
      <c r="VM6" s="17">
        <f t="shared" si="1"/>
        <v>1.1388888888888888</v>
      </c>
      <c r="VN6" s="17" t="str">
        <f t="shared" si="2"/>
        <v>NC-MR-E</v>
      </c>
      <c r="VO6" s="17" t="str">
        <f t="shared" si="15"/>
        <v>NC-MR-E-Non</v>
      </c>
      <c r="VP6" s="57">
        <v>1</v>
      </c>
      <c r="VQ6" s="17">
        <f t="shared" si="3"/>
        <v>1.1100000000000001</v>
      </c>
      <c r="VR6" s="57">
        <f t="shared" si="4"/>
        <v>1</v>
      </c>
      <c r="VS6" s="14">
        <f t="shared" si="5"/>
        <v>1</v>
      </c>
      <c r="VT6" s="12">
        <f t="shared" si="6"/>
        <v>0.88</v>
      </c>
      <c r="VU6" s="29">
        <f t="shared" si="7"/>
        <v>9304020</v>
      </c>
      <c r="VV6" s="29">
        <f t="shared" si="8"/>
        <v>64611.25</v>
      </c>
      <c r="VW6" s="351" t="str">
        <f t="shared" ref="VW6:VW34" si="21">IF(RANK(VV6,VV$2:VV$34,1)&lt;=ROUNDUP(80%*VW$1,0),"A","B")</f>
        <v>A</v>
      </c>
      <c r="VX6" s="12" t="str">
        <f t="shared" si="9"/>
        <v>NC-MR-Non</v>
      </c>
      <c r="VY6" s="23">
        <f t="shared" ref="VY6:VY34" si="22">IF(RANK(VV6,VV$2:VV$34,1)&lt;=ROUNDUP(10%*VW$1,0),1,IF(RANK(VV6,VV$2:VV$34,1)&lt;=ROUNDUP(30%*VW$1,0),2,IF(RANK(VV6,VV$2:VV$34,1)&lt;=ROUNDUP(50%*VW$1,0),3,IF(RANK(VV6,VV$2:VV$34,1)&lt;=ROUNDUP(70%*VW$1,0),4,5))))</f>
        <v>2</v>
      </c>
      <c r="WA6" s="12">
        <f t="shared" si="16"/>
        <v>1</v>
      </c>
      <c r="WB6" s="12">
        <f t="shared" si="17"/>
        <v>1</v>
      </c>
      <c r="WC6" s="12">
        <f t="shared" si="17"/>
        <v>0</v>
      </c>
      <c r="WD6" s="12">
        <f t="shared" si="17"/>
        <v>0</v>
      </c>
      <c r="WE6" s="12">
        <f t="shared" si="18"/>
        <v>0</v>
      </c>
      <c r="WF6" s="12">
        <f t="shared" si="10"/>
        <v>0</v>
      </c>
      <c r="WG6" s="12">
        <f t="shared" si="11"/>
        <v>1</v>
      </c>
      <c r="WH6" s="12">
        <f t="shared" si="12"/>
        <v>0</v>
      </c>
      <c r="WI6" s="31">
        <f t="shared" si="13"/>
        <v>3</v>
      </c>
      <c r="WJ6" s="2"/>
      <c r="WK6" s="444" t="str">
        <f t="shared" si="14"/>
        <v>NC-MR-Non-BBY-BRN-NPH-E</v>
      </c>
      <c r="WL6" s="444"/>
      <c r="WM6" s="444"/>
      <c r="WN6" s="12"/>
      <c r="WO6" s="380" t="s">
        <v>5415</v>
      </c>
      <c r="WP6" s="144">
        <f>COUNTIFS($WF$2:$WF$72,"=1",$WA$2:$WA$72,"=1")</f>
        <v>2</v>
      </c>
      <c r="WQ6" s="144">
        <f>COUNTIFS($WF$2:$WF$72,"=1",$WB$2:$WB$72,"=1")</f>
        <v>16</v>
      </c>
      <c r="WR6" s="144">
        <f>COUNTIFS($WF$2:$WF$72,"=1",$WC$2:$WC$72,"=1")</f>
        <v>0</v>
      </c>
      <c r="WS6" s="144">
        <f>COUNTIFS($WF$2:$WF$72,"=1",$WD$2:$WD$72,"=1")</f>
        <v>4</v>
      </c>
      <c r="WT6" s="384"/>
      <c r="WU6" s="144">
        <f>COUNTIFS($WF$2:$WF$72,"=1",$WG$2:$WG$72,"=1")</f>
        <v>0</v>
      </c>
      <c r="WV6" s="144">
        <f>COUNTIFS($WF$2:$WF$72,"=1",$WH$2:$WH$72,"=1")</f>
        <v>0</v>
      </c>
      <c r="WW6" s="144">
        <f>COUNTIFS($WF$2:$WF$72,"=1",$WE$2:$WE$72,"=1")</f>
        <v>12</v>
      </c>
      <c r="WX6" s="205">
        <f>COUNTIF($WF$2:$WF$72,"=1")</f>
        <v>18</v>
      </c>
    </row>
    <row r="7" spans="1:622" x14ac:dyDescent="0.25">
      <c r="A7" s="2">
        <v>9044</v>
      </c>
      <c r="B7" s="2" t="s">
        <v>5107</v>
      </c>
      <c r="C7" s="2" t="s">
        <v>5063</v>
      </c>
      <c r="D7" s="2">
        <v>10</v>
      </c>
      <c r="E7" s="2">
        <v>46.95</v>
      </c>
      <c r="F7" s="2"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 t="s">
        <v>9</v>
      </c>
      <c r="BV7" s="6">
        <v>66015.19</v>
      </c>
      <c r="BW7" s="2" t="s">
        <v>126</v>
      </c>
      <c r="BX7" s="3">
        <v>45036</v>
      </c>
      <c r="BY7" s="2" t="s">
        <v>9</v>
      </c>
      <c r="BZ7" s="2">
        <v>1</v>
      </c>
      <c r="CA7" s="2" t="s">
        <v>9</v>
      </c>
      <c r="CB7" s="2">
        <v>1</v>
      </c>
      <c r="CC7" s="2" t="s">
        <v>9</v>
      </c>
      <c r="CD7" s="2">
        <v>0</v>
      </c>
      <c r="CE7" s="2" t="s">
        <v>5108</v>
      </c>
      <c r="CF7" s="2">
        <v>1</v>
      </c>
      <c r="CG7" s="2" t="s">
        <v>10</v>
      </c>
      <c r="CH7" s="2">
        <v>0</v>
      </c>
      <c r="CI7" s="2" t="s">
        <v>10</v>
      </c>
      <c r="CJ7" s="2">
        <v>0</v>
      </c>
      <c r="CK7" s="2" t="s">
        <v>11</v>
      </c>
      <c r="CL7" s="2">
        <v>0</v>
      </c>
      <c r="CM7" s="2" t="s">
        <v>9</v>
      </c>
      <c r="CN7" s="2">
        <v>2</v>
      </c>
      <c r="CO7" s="2" t="s">
        <v>9</v>
      </c>
      <c r="CP7" s="2">
        <v>2</v>
      </c>
      <c r="CQ7" s="2" t="s">
        <v>9</v>
      </c>
      <c r="CR7" s="2">
        <v>2</v>
      </c>
      <c r="CS7" s="2" t="s">
        <v>12</v>
      </c>
      <c r="CT7" s="2" t="s">
        <v>15</v>
      </c>
      <c r="CU7" s="2" t="s">
        <v>15</v>
      </c>
      <c r="CV7" s="2" t="s">
        <v>15</v>
      </c>
      <c r="CW7" s="2" t="s">
        <v>15</v>
      </c>
      <c r="CX7" s="2" t="s">
        <v>15</v>
      </c>
      <c r="CY7" s="2" t="s">
        <v>15</v>
      </c>
      <c r="CZ7" s="2">
        <v>0</v>
      </c>
      <c r="DA7" s="2" t="s">
        <v>234</v>
      </c>
      <c r="DB7" s="2" t="s">
        <v>17</v>
      </c>
      <c r="DC7" s="4">
        <v>0.15278</v>
      </c>
      <c r="DD7" s="2" t="s">
        <v>17</v>
      </c>
      <c r="DE7" s="2" t="s">
        <v>9</v>
      </c>
      <c r="DF7" s="2" t="s">
        <v>17</v>
      </c>
      <c r="DG7" s="2" t="s">
        <v>9</v>
      </c>
      <c r="DH7" s="2" t="s">
        <v>17</v>
      </c>
      <c r="DI7" s="2" t="s">
        <v>17</v>
      </c>
      <c r="DJ7" s="2" t="s">
        <v>17</v>
      </c>
      <c r="DK7" s="2" t="s">
        <v>17</v>
      </c>
      <c r="DL7" s="2" t="s">
        <v>17</v>
      </c>
      <c r="DM7" s="2" t="s">
        <v>17</v>
      </c>
      <c r="DN7" s="2" t="s">
        <v>2663</v>
      </c>
      <c r="DO7" s="2">
        <v>5</v>
      </c>
      <c r="DP7" s="5">
        <v>50000</v>
      </c>
      <c r="DQ7" s="5">
        <v>460000</v>
      </c>
      <c r="DR7" s="2">
        <v>0</v>
      </c>
      <c r="DS7" s="2">
        <v>7</v>
      </c>
      <c r="DT7" s="2">
        <v>0</v>
      </c>
      <c r="DU7" s="2">
        <v>6</v>
      </c>
      <c r="DV7" s="2">
        <v>0</v>
      </c>
      <c r="DW7" s="2">
        <v>0</v>
      </c>
      <c r="DX7" s="2">
        <v>1</v>
      </c>
      <c r="DY7" s="2">
        <v>0</v>
      </c>
      <c r="DZ7" s="2">
        <v>1</v>
      </c>
      <c r="EA7" s="2">
        <v>0</v>
      </c>
      <c r="EB7" s="2">
        <v>0</v>
      </c>
      <c r="EC7" s="2">
        <v>0</v>
      </c>
      <c r="ED7" s="2">
        <v>13</v>
      </c>
      <c r="EE7" s="2">
        <v>1</v>
      </c>
      <c r="EF7" s="2">
        <v>0</v>
      </c>
      <c r="EG7" s="2">
        <v>2</v>
      </c>
      <c r="EH7" s="2">
        <v>0</v>
      </c>
      <c r="EI7" s="2">
        <v>14</v>
      </c>
      <c r="EJ7" s="2">
        <v>11</v>
      </c>
      <c r="EK7" s="2">
        <v>0</v>
      </c>
      <c r="EL7" s="2" t="s">
        <v>17</v>
      </c>
      <c r="EM7" s="2" t="s">
        <v>17</v>
      </c>
      <c r="EN7" s="2" t="s">
        <v>17</v>
      </c>
      <c r="EO7" s="2" t="s">
        <v>17</v>
      </c>
      <c r="EP7" s="2" t="s">
        <v>17</v>
      </c>
      <c r="EQ7" s="2" t="s">
        <v>17</v>
      </c>
      <c r="ER7" s="2" t="s">
        <v>17</v>
      </c>
      <c r="ES7" s="2" t="s">
        <v>9</v>
      </c>
      <c r="ET7" s="2" t="s">
        <v>4791</v>
      </c>
      <c r="EU7" s="2" t="s">
        <v>5109</v>
      </c>
      <c r="EV7" s="2"/>
      <c r="EW7" s="2" t="s">
        <v>9</v>
      </c>
      <c r="EX7" s="2" t="s">
        <v>21</v>
      </c>
      <c r="EY7" s="2" t="s">
        <v>4791</v>
      </c>
      <c r="EZ7" s="2" t="s">
        <v>22</v>
      </c>
      <c r="FA7" s="2" t="s">
        <v>23</v>
      </c>
      <c r="FB7" s="2">
        <v>90</v>
      </c>
      <c r="FC7" s="2" t="s">
        <v>4463</v>
      </c>
      <c r="FD7" s="2">
        <v>2017</v>
      </c>
      <c r="FE7" s="2" t="s">
        <v>26</v>
      </c>
      <c r="FF7" s="2" t="s">
        <v>4210</v>
      </c>
      <c r="FG7" s="2" t="s">
        <v>34</v>
      </c>
      <c r="FH7" s="2"/>
      <c r="FI7" s="2" t="s">
        <v>35</v>
      </c>
      <c r="FJ7" s="2" t="s">
        <v>36</v>
      </c>
      <c r="FK7" s="2">
        <v>1</v>
      </c>
      <c r="FL7" s="2" t="s">
        <v>37</v>
      </c>
      <c r="FM7" s="2" t="s">
        <v>38</v>
      </c>
      <c r="FN7" s="2" t="s">
        <v>5110</v>
      </c>
      <c r="FO7" s="2" t="s">
        <v>63</v>
      </c>
      <c r="FP7" s="2" t="s">
        <v>9</v>
      </c>
      <c r="FQ7" s="2" t="s">
        <v>17</v>
      </c>
      <c r="FR7" s="2" t="s">
        <v>17</v>
      </c>
      <c r="FS7" s="2" t="s">
        <v>9</v>
      </c>
      <c r="FT7" s="2">
        <v>0</v>
      </c>
      <c r="FU7" s="2">
        <v>0</v>
      </c>
      <c r="FV7" s="4">
        <v>0</v>
      </c>
      <c r="FW7" s="4">
        <v>0</v>
      </c>
      <c r="FX7" s="2" t="s">
        <v>65</v>
      </c>
      <c r="FY7" s="2" t="s">
        <v>66</v>
      </c>
      <c r="FZ7" s="2" t="s">
        <v>17</v>
      </c>
      <c r="GA7" s="2"/>
      <c r="GB7" s="2"/>
      <c r="GC7" s="2"/>
      <c r="GD7" s="2" t="s">
        <v>67</v>
      </c>
      <c r="GE7" s="2" t="s">
        <v>108</v>
      </c>
      <c r="GF7" s="2"/>
      <c r="GG7" s="2"/>
      <c r="GH7" s="2"/>
      <c r="GI7" s="2"/>
      <c r="GJ7" s="2">
        <v>144</v>
      </c>
      <c r="GK7" s="2"/>
      <c r="GL7" s="2"/>
      <c r="GM7" s="2"/>
      <c r="GN7" s="2"/>
      <c r="GO7" s="2"/>
      <c r="GP7" s="2"/>
      <c r="GQ7" s="2">
        <v>144</v>
      </c>
      <c r="GR7" s="2" t="s">
        <v>1197</v>
      </c>
      <c r="GS7" s="2" t="s">
        <v>70</v>
      </c>
      <c r="GT7" s="2">
        <v>1</v>
      </c>
      <c r="GU7" s="2" t="s">
        <v>5111</v>
      </c>
      <c r="GV7" s="2" t="s">
        <v>4554</v>
      </c>
      <c r="GW7" s="2" t="s">
        <v>17</v>
      </c>
      <c r="GX7" s="2">
        <v>26.640295999999999</v>
      </c>
      <c r="GY7" s="2">
        <v>-82.037223999999995</v>
      </c>
      <c r="GZ7" s="2"/>
      <c r="HA7" s="2" t="s">
        <v>17</v>
      </c>
      <c r="HB7" s="2">
        <v>0</v>
      </c>
      <c r="HC7" s="2" t="s">
        <v>17</v>
      </c>
      <c r="HD7" s="2" t="s">
        <v>17</v>
      </c>
      <c r="HE7" s="2">
        <v>0</v>
      </c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 t="s">
        <v>73</v>
      </c>
      <c r="HY7" s="2" t="s">
        <v>5112</v>
      </c>
      <c r="HZ7" s="2" t="s">
        <v>5113</v>
      </c>
      <c r="IA7" s="2">
        <v>0.09</v>
      </c>
      <c r="IB7" s="2">
        <v>4</v>
      </c>
      <c r="IC7" s="2"/>
      <c r="ID7" s="2"/>
      <c r="IE7" s="2"/>
      <c r="IF7" s="2"/>
      <c r="IG7" s="2" t="s">
        <v>5112</v>
      </c>
      <c r="IH7" s="2" t="s">
        <v>5113</v>
      </c>
      <c r="II7" s="2">
        <v>0.09</v>
      </c>
      <c r="IJ7" s="2">
        <v>4</v>
      </c>
      <c r="IK7" s="2" t="s">
        <v>5114</v>
      </c>
      <c r="IL7" s="2" t="s">
        <v>5115</v>
      </c>
      <c r="IM7" s="2">
        <v>1.8</v>
      </c>
      <c r="IN7" s="2">
        <v>1</v>
      </c>
      <c r="IO7" s="2">
        <v>0</v>
      </c>
      <c r="IP7" s="2">
        <v>9</v>
      </c>
      <c r="IQ7" s="2">
        <v>0</v>
      </c>
      <c r="IR7" s="2">
        <v>9</v>
      </c>
      <c r="IS7" s="2" t="s">
        <v>17</v>
      </c>
      <c r="IT7" s="2" t="s">
        <v>17</v>
      </c>
      <c r="IU7" s="2" t="s">
        <v>17</v>
      </c>
      <c r="IV7" s="2" t="s">
        <v>80</v>
      </c>
      <c r="IW7" s="2" t="s">
        <v>9</v>
      </c>
      <c r="IX7" s="2" t="s">
        <v>9</v>
      </c>
      <c r="IY7" s="2">
        <v>9</v>
      </c>
      <c r="IZ7" s="2">
        <v>144</v>
      </c>
      <c r="JA7" s="2"/>
      <c r="JB7" s="2"/>
      <c r="JC7" s="2"/>
      <c r="JD7" s="2"/>
      <c r="JE7" s="2"/>
      <c r="JF7" s="2"/>
      <c r="JG7" s="2"/>
      <c r="JH7" s="7">
        <v>0</v>
      </c>
      <c r="JI7" s="2">
        <v>0</v>
      </c>
      <c r="JJ7" s="7">
        <v>0</v>
      </c>
      <c r="JK7" s="2">
        <v>0</v>
      </c>
      <c r="JL7" s="7">
        <v>0</v>
      </c>
      <c r="JM7" s="2">
        <v>22</v>
      </c>
      <c r="JN7" s="2"/>
      <c r="JO7" s="2">
        <v>73</v>
      </c>
      <c r="JP7" s="2">
        <v>32</v>
      </c>
      <c r="JQ7" s="2">
        <v>17</v>
      </c>
      <c r="JR7" s="2">
        <v>0</v>
      </c>
      <c r="JS7" s="2">
        <v>0</v>
      </c>
      <c r="JT7" s="2"/>
      <c r="JU7" s="2"/>
      <c r="JV7" s="2">
        <v>144</v>
      </c>
      <c r="JW7" s="4">
        <v>1</v>
      </c>
      <c r="JX7" s="2">
        <v>144</v>
      </c>
      <c r="JY7" s="4">
        <v>0.6</v>
      </c>
      <c r="JZ7" s="2">
        <v>0</v>
      </c>
      <c r="KA7" s="2"/>
      <c r="KB7" s="2"/>
      <c r="KC7" s="2"/>
      <c r="KD7" s="2"/>
      <c r="KE7" s="2"/>
      <c r="KF7" s="2"/>
      <c r="KG7" s="2"/>
      <c r="KH7" s="2">
        <v>124</v>
      </c>
      <c r="KI7" s="2">
        <v>20</v>
      </c>
      <c r="KJ7" s="2"/>
      <c r="KK7" s="2"/>
      <c r="KL7" s="2"/>
      <c r="KM7" s="2"/>
      <c r="KN7" s="2"/>
      <c r="KO7" s="2"/>
      <c r="KP7" s="2"/>
      <c r="KQ7" s="2" t="s">
        <v>83</v>
      </c>
      <c r="KR7" s="2"/>
      <c r="KS7" s="2" t="s">
        <v>73</v>
      </c>
      <c r="KT7" s="2">
        <v>1</v>
      </c>
      <c r="KU7" s="2" t="s">
        <v>84</v>
      </c>
      <c r="KV7" s="2" t="s">
        <v>85</v>
      </c>
      <c r="KW7" s="2" t="s">
        <v>86</v>
      </c>
      <c r="KX7" s="2" t="s">
        <v>17</v>
      </c>
      <c r="KY7" s="2" t="s">
        <v>17</v>
      </c>
      <c r="KZ7" s="2" t="s">
        <v>17</v>
      </c>
      <c r="LA7" s="2" t="s">
        <v>17</v>
      </c>
      <c r="LB7" s="2" t="s">
        <v>17</v>
      </c>
      <c r="LC7" s="2" t="s">
        <v>17</v>
      </c>
      <c r="LD7" s="2" t="s">
        <v>17</v>
      </c>
      <c r="LE7" s="2" t="s">
        <v>17</v>
      </c>
      <c r="LF7" s="2" t="s">
        <v>17</v>
      </c>
      <c r="LG7" s="2" t="s">
        <v>17</v>
      </c>
      <c r="LH7" s="2" t="s">
        <v>17</v>
      </c>
      <c r="LI7" s="2" t="s">
        <v>17</v>
      </c>
      <c r="LJ7" s="2" t="s">
        <v>87</v>
      </c>
      <c r="LK7" s="2" t="s">
        <v>17</v>
      </c>
      <c r="LL7" s="2" t="s">
        <v>17</v>
      </c>
      <c r="LM7" s="2">
        <v>0</v>
      </c>
      <c r="LN7" s="2" t="s">
        <v>17</v>
      </c>
      <c r="LO7" s="2" t="s">
        <v>17</v>
      </c>
      <c r="LP7" s="2" t="s">
        <v>17</v>
      </c>
      <c r="LQ7" s="2" t="s">
        <v>17</v>
      </c>
      <c r="LR7" s="2" t="s">
        <v>17</v>
      </c>
      <c r="LS7" s="2" t="s">
        <v>17</v>
      </c>
      <c r="LT7" s="2" t="s">
        <v>17</v>
      </c>
      <c r="LU7" s="2" t="s">
        <v>17</v>
      </c>
      <c r="LV7" s="2" t="s">
        <v>9</v>
      </c>
      <c r="LW7" s="2" t="s">
        <v>9</v>
      </c>
      <c r="LX7" s="2" t="s">
        <v>9</v>
      </c>
      <c r="LY7" s="5">
        <v>10000000</v>
      </c>
      <c r="LZ7" s="5">
        <v>0</v>
      </c>
      <c r="MA7" s="5">
        <v>10000000</v>
      </c>
      <c r="MB7" s="5">
        <v>9725000</v>
      </c>
      <c r="MC7" s="5">
        <v>9725000</v>
      </c>
      <c r="MD7" s="5">
        <v>1196600</v>
      </c>
      <c r="ME7" s="5">
        <v>1196600</v>
      </c>
      <c r="MF7" s="5">
        <v>1196600</v>
      </c>
      <c r="MG7" s="5">
        <v>10921600</v>
      </c>
      <c r="MH7" s="2">
        <v>0</v>
      </c>
      <c r="MI7" s="5">
        <v>0</v>
      </c>
      <c r="MJ7" s="5">
        <v>0</v>
      </c>
      <c r="MK7" s="2">
        <v>0</v>
      </c>
      <c r="ML7" s="2">
        <v>0</v>
      </c>
      <c r="MM7" s="2">
        <v>0</v>
      </c>
      <c r="MN7" s="5">
        <v>2950000</v>
      </c>
      <c r="MO7" s="5">
        <v>0</v>
      </c>
      <c r="MP7" s="5">
        <v>4600000</v>
      </c>
      <c r="MQ7" s="5">
        <v>0</v>
      </c>
      <c r="MR7" s="5">
        <v>0</v>
      </c>
      <c r="MS7" s="5">
        <v>0</v>
      </c>
      <c r="MT7" s="5">
        <v>0</v>
      </c>
      <c r="MU7" s="5">
        <v>2500000</v>
      </c>
      <c r="MV7" s="5">
        <v>0</v>
      </c>
      <c r="MW7" s="5">
        <v>0</v>
      </c>
      <c r="MX7" s="5">
        <v>0</v>
      </c>
      <c r="MY7" s="5">
        <v>2040000</v>
      </c>
      <c r="MZ7" s="5">
        <v>0</v>
      </c>
      <c r="NA7" s="5">
        <v>1490616</v>
      </c>
      <c r="NB7" s="2" t="s">
        <v>17</v>
      </c>
      <c r="NC7" s="2"/>
      <c r="ND7" s="2"/>
      <c r="NE7" s="2"/>
      <c r="NF7" s="2"/>
      <c r="NG7" s="2"/>
      <c r="NH7" s="2"/>
      <c r="NI7" s="61">
        <v>0</v>
      </c>
      <c r="NJ7" s="61"/>
      <c r="NK7" s="61"/>
      <c r="NL7" s="61"/>
      <c r="NM7" s="2" t="s">
        <v>17</v>
      </c>
      <c r="NN7" s="2"/>
      <c r="NO7" s="2" t="s">
        <v>9</v>
      </c>
      <c r="NP7" s="2">
        <v>33991</v>
      </c>
      <c r="NQ7" s="2" t="s">
        <v>4561</v>
      </c>
      <c r="NR7" s="2" t="s">
        <v>17</v>
      </c>
      <c r="NS7" s="2"/>
      <c r="NT7" s="2" t="s">
        <v>17</v>
      </c>
      <c r="NU7" s="2"/>
      <c r="NV7" s="2"/>
      <c r="NW7" s="2"/>
      <c r="NX7" s="2" t="s">
        <v>118</v>
      </c>
      <c r="NY7" s="2" t="s">
        <v>118</v>
      </c>
      <c r="NZ7" s="2" t="s">
        <v>118</v>
      </c>
      <c r="OA7" s="2" t="s">
        <v>17</v>
      </c>
      <c r="OB7" s="2" t="s">
        <v>119</v>
      </c>
      <c r="OC7" s="5">
        <v>17500000</v>
      </c>
      <c r="OD7" s="2" t="s">
        <v>17</v>
      </c>
      <c r="OE7" s="2" t="s">
        <v>17</v>
      </c>
      <c r="OF7" s="2" t="s">
        <v>85</v>
      </c>
      <c r="OG7" s="6">
        <v>8350000</v>
      </c>
      <c r="OH7" s="6">
        <v>0</v>
      </c>
      <c r="OI7" s="2" t="s">
        <v>93</v>
      </c>
      <c r="OJ7" s="2" t="s">
        <v>93</v>
      </c>
      <c r="OK7" s="6">
        <v>0</v>
      </c>
      <c r="OL7" s="6">
        <v>0</v>
      </c>
      <c r="OM7" s="6">
        <v>0</v>
      </c>
      <c r="ON7" s="6">
        <v>0</v>
      </c>
      <c r="OO7" s="6">
        <v>0</v>
      </c>
      <c r="OP7" s="6">
        <v>0</v>
      </c>
      <c r="OQ7" s="4">
        <v>0</v>
      </c>
      <c r="OR7" s="6">
        <v>0</v>
      </c>
      <c r="OS7" s="4">
        <v>0</v>
      </c>
      <c r="OT7" s="2" t="s">
        <v>17</v>
      </c>
      <c r="OU7" s="2" t="s">
        <v>17</v>
      </c>
      <c r="OV7" s="2"/>
      <c r="OW7" s="2" t="s">
        <v>17</v>
      </c>
      <c r="OX7" s="5">
        <v>9506188</v>
      </c>
      <c r="OY7" s="6">
        <v>66015.19</v>
      </c>
      <c r="OZ7" s="2"/>
      <c r="PA7" s="2"/>
      <c r="PB7" s="2"/>
      <c r="PC7" s="2"/>
      <c r="PD7" s="2"/>
      <c r="PE7" s="2"/>
      <c r="PF7" s="8">
        <v>17477625</v>
      </c>
      <c r="PG7" s="2"/>
      <c r="PH7" s="8">
        <v>17477625</v>
      </c>
      <c r="PI7" s="2"/>
      <c r="PJ7" s="2"/>
      <c r="PK7" s="8">
        <v>250000</v>
      </c>
      <c r="PL7" s="8">
        <v>250000</v>
      </c>
      <c r="PM7" s="2"/>
      <c r="PN7" s="2"/>
      <c r="PO7" s="2"/>
      <c r="PP7" s="2"/>
      <c r="PQ7" s="2"/>
      <c r="PR7" s="8">
        <v>17727625</v>
      </c>
      <c r="PS7" s="2"/>
      <c r="PT7" s="8">
        <v>17727625</v>
      </c>
      <c r="PU7" s="8">
        <v>2481867</v>
      </c>
      <c r="PV7" s="8">
        <v>2481867</v>
      </c>
      <c r="PW7" s="6">
        <v>2481867</v>
      </c>
      <c r="PX7" s="8">
        <v>20209492</v>
      </c>
      <c r="PY7" s="2"/>
      <c r="PZ7" s="8">
        <v>20209492</v>
      </c>
      <c r="QA7" s="8">
        <v>1010474</v>
      </c>
      <c r="QB7" s="8">
        <v>1010474</v>
      </c>
      <c r="QC7" s="6">
        <v>1010474.6</v>
      </c>
      <c r="QD7" s="8">
        <v>40000</v>
      </c>
      <c r="QE7" s="2"/>
      <c r="QF7" s="8">
        <v>40000</v>
      </c>
      <c r="QG7" s="8">
        <v>6500</v>
      </c>
      <c r="QH7" s="8">
        <v>6500</v>
      </c>
      <c r="QI7" s="8">
        <v>240000</v>
      </c>
      <c r="QJ7" s="8">
        <v>240000</v>
      </c>
      <c r="QK7" s="8">
        <v>50000</v>
      </c>
      <c r="QL7" s="8">
        <v>50000</v>
      </c>
      <c r="QM7" s="8">
        <v>200000</v>
      </c>
      <c r="QN7" s="2"/>
      <c r="QO7" s="8">
        <v>200000</v>
      </c>
      <c r="QP7" s="8">
        <v>244800</v>
      </c>
      <c r="QQ7" s="8">
        <v>244800</v>
      </c>
      <c r="QR7" s="2"/>
      <c r="QS7" s="2"/>
      <c r="QT7" s="8">
        <v>125000</v>
      </c>
      <c r="QU7" s="2"/>
      <c r="QV7" s="8">
        <v>125000</v>
      </c>
      <c r="QW7" s="8">
        <v>5000</v>
      </c>
      <c r="QX7" s="8">
        <v>5000</v>
      </c>
      <c r="QY7" s="8">
        <v>81478</v>
      </c>
      <c r="QZ7" s="8">
        <v>81478</v>
      </c>
      <c r="RA7" s="8">
        <v>3000</v>
      </c>
      <c r="RB7" s="8">
        <v>3000</v>
      </c>
      <c r="RC7" s="2"/>
      <c r="RD7" s="2"/>
      <c r="RE7" s="8">
        <v>26781</v>
      </c>
      <c r="RF7" s="8">
        <v>26781</v>
      </c>
      <c r="RG7" s="8">
        <v>40000</v>
      </c>
      <c r="RH7" s="8">
        <v>40000</v>
      </c>
      <c r="RI7" s="8">
        <v>792000</v>
      </c>
      <c r="RJ7" s="8">
        <v>792000</v>
      </c>
      <c r="RK7" s="8">
        <v>35000</v>
      </c>
      <c r="RL7" s="2"/>
      <c r="RM7" s="8">
        <v>35000</v>
      </c>
      <c r="RN7" s="8">
        <v>70000</v>
      </c>
      <c r="RO7" s="8">
        <v>30000</v>
      </c>
      <c r="RP7" s="8">
        <v>100000</v>
      </c>
      <c r="RQ7" s="8">
        <v>200000</v>
      </c>
      <c r="RR7" s="8">
        <v>80000</v>
      </c>
      <c r="RS7" s="8">
        <v>280000</v>
      </c>
      <c r="RT7" s="8">
        <v>7500</v>
      </c>
      <c r="RU7" s="2"/>
      <c r="RV7" s="8">
        <v>7500</v>
      </c>
      <c r="RW7" s="8">
        <v>50000</v>
      </c>
      <c r="RX7" s="8">
        <v>50000</v>
      </c>
      <c r="RY7" s="2"/>
      <c r="RZ7" s="2"/>
      <c r="SA7" s="2"/>
      <c r="SB7" s="8">
        <v>20000</v>
      </c>
      <c r="SC7" s="8">
        <v>20000</v>
      </c>
      <c r="SD7" s="8">
        <v>10000</v>
      </c>
      <c r="SE7" s="8">
        <v>5000</v>
      </c>
      <c r="SF7" s="8">
        <v>15000</v>
      </c>
      <c r="SG7" s="2"/>
      <c r="SH7" s="8">
        <v>100000</v>
      </c>
      <c r="SI7" s="8">
        <v>50000</v>
      </c>
      <c r="SJ7" s="8">
        <v>150000</v>
      </c>
      <c r="SK7" s="8">
        <v>200000</v>
      </c>
      <c r="SL7" s="8">
        <v>200000</v>
      </c>
      <c r="SM7" s="2"/>
      <c r="SN7" s="2"/>
      <c r="SO7" s="2"/>
      <c r="SP7" s="8">
        <v>2385800</v>
      </c>
      <c r="SQ7" s="8">
        <v>326259</v>
      </c>
      <c r="SR7" s="8">
        <v>2712059</v>
      </c>
      <c r="SS7" s="8">
        <v>135602</v>
      </c>
      <c r="ST7" s="2"/>
      <c r="SU7" s="8">
        <v>135602</v>
      </c>
      <c r="SV7" s="6">
        <v>135602.95000000001</v>
      </c>
      <c r="SW7" s="8">
        <v>175000</v>
      </c>
      <c r="SX7" s="8">
        <v>175000</v>
      </c>
      <c r="SY7" s="2"/>
      <c r="SZ7" s="8">
        <v>1151718</v>
      </c>
      <c r="TA7" s="8">
        <v>620157</v>
      </c>
      <c r="TB7" s="8">
        <v>1771875</v>
      </c>
      <c r="TC7" s="8">
        <v>34000</v>
      </c>
      <c r="TD7" s="2"/>
      <c r="TE7" s="8">
        <v>34000</v>
      </c>
      <c r="TF7" s="8">
        <v>83500</v>
      </c>
      <c r="TG7" s="8">
        <v>83500</v>
      </c>
      <c r="TH7" s="2"/>
      <c r="TI7" s="8">
        <v>16700</v>
      </c>
      <c r="TJ7" s="8">
        <v>16700</v>
      </c>
      <c r="TK7" s="2"/>
      <c r="TL7" s="2"/>
      <c r="TM7" s="8">
        <v>364216</v>
      </c>
      <c r="TN7" s="8">
        <v>364216</v>
      </c>
      <c r="TO7" s="8">
        <v>1360718</v>
      </c>
      <c r="TP7" s="8">
        <v>1084573</v>
      </c>
      <c r="TQ7" s="8">
        <v>2445291</v>
      </c>
      <c r="TR7" s="8">
        <v>25102086</v>
      </c>
      <c r="TS7" s="8">
        <v>1410832</v>
      </c>
      <c r="TT7" s="8">
        <v>26512918</v>
      </c>
      <c r="TU7" s="8">
        <v>4772325</v>
      </c>
      <c r="TV7" s="8">
        <v>4772325</v>
      </c>
      <c r="TW7" s="6">
        <v>4772325</v>
      </c>
      <c r="TX7" s="8">
        <v>4772325</v>
      </c>
      <c r="TY7" s="8">
        <v>4772325</v>
      </c>
      <c r="TZ7" s="6">
        <v>4772325</v>
      </c>
      <c r="UA7" s="8">
        <v>2500000</v>
      </c>
      <c r="UB7" s="8">
        <v>2500000</v>
      </c>
      <c r="UC7" s="8">
        <v>29874411</v>
      </c>
      <c r="UD7" s="8">
        <v>3910832</v>
      </c>
      <c r="UE7" s="8">
        <v>33785243</v>
      </c>
      <c r="UF7" s="8">
        <v>17500000</v>
      </c>
      <c r="UG7" s="2" t="s">
        <v>4295</v>
      </c>
      <c r="UH7" s="2"/>
      <c r="UI7" s="2"/>
      <c r="UJ7" s="8">
        <v>10921600</v>
      </c>
      <c r="UK7" s="2"/>
      <c r="UL7" s="2" t="s">
        <v>96</v>
      </c>
      <c r="UM7" s="8">
        <v>6707101</v>
      </c>
      <c r="UN7" s="8">
        <v>4772325</v>
      </c>
      <c r="UO7" s="8">
        <v>39901026</v>
      </c>
      <c r="UP7" s="8">
        <v>6115783</v>
      </c>
      <c r="UQ7" s="8">
        <v>8350000</v>
      </c>
      <c r="UR7" s="2" t="s">
        <v>4295</v>
      </c>
      <c r="US7" s="2"/>
      <c r="UT7" s="2"/>
      <c r="UU7" s="2"/>
      <c r="UV7" s="2"/>
      <c r="UW7" s="8">
        <v>10921600</v>
      </c>
      <c r="UX7" s="2"/>
      <c r="UY7" s="2" t="s">
        <v>96</v>
      </c>
      <c r="UZ7" s="8">
        <v>13414202</v>
      </c>
      <c r="VA7" s="8">
        <v>4772325</v>
      </c>
      <c r="VB7" s="8">
        <v>37458127</v>
      </c>
      <c r="VC7" s="6">
        <v>19271600</v>
      </c>
      <c r="VD7" s="8">
        <v>3672884</v>
      </c>
      <c r="VE7" s="5">
        <v>370000</v>
      </c>
      <c r="VF7" s="5">
        <v>377500</v>
      </c>
      <c r="VG7" s="6">
        <v>217258.63</v>
      </c>
      <c r="VH7" s="2" t="s">
        <v>9</v>
      </c>
      <c r="VI7" s="2" t="s">
        <v>21</v>
      </c>
      <c r="VJ7" s="2" t="s">
        <v>98</v>
      </c>
      <c r="VK7" s="2" t="s">
        <v>5106</v>
      </c>
      <c r="VL7" s="23">
        <f t="shared" si="0"/>
        <v>164</v>
      </c>
      <c r="VM7" s="17">
        <f t="shared" si="1"/>
        <v>1.1388888888888888</v>
      </c>
      <c r="VN7" s="17" t="str">
        <f t="shared" si="2"/>
        <v>NC-MR-E</v>
      </c>
      <c r="VO7" s="17" t="str">
        <f t="shared" si="15"/>
        <v>NC-MR-E-Non</v>
      </c>
      <c r="VP7" s="57">
        <v>1</v>
      </c>
      <c r="VQ7" s="17">
        <f t="shared" si="3"/>
        <v>1.1100000000000001</v>
      </c>
      <c r="VR7" s="57">
        <f t="shared" si="4"/>
        <v>1</v>
      </c>
      <c r="VS7" s="14">
        <f t="shared" si="5"/>
        <v>1</v>
      </c>
      <c r="VT7" s="12">
        <f t="shared" si="6"/>
        <v>0.88</v>
      </c>
      <c r="VU7" s="29">
        <f t="shared" si="7"/>
        <v>9499380.0000000019</v>
      </c>
      <c r="VV7" s="29">
        <f t="shared" si="8"/>
        <v>65967.92</v>
      </c>
      <c r="VW7" s="351" t="str">
        <f t="shared" si="21"/>
        <v>A</v>
      </c>
      <c r="VX7" s="12" t="str">
        <f t="shared" si="9"/>
        <v>NC-MR-Non</v>
      </c>
      <c r="VY7" s="23">
        <f t="shared" si="22"/>
        <v>2</v>
      </c>
      <c r="WA7" s="12">
        <f t="shared" si="16"/>
        <v>1</v>
      </c>
      <c r="WB7" s="12">
        <f t="shared" si="17"/>
        <v>1</v>
      </c>
      <c r="WC7" s="12">
        <f t="shared" si="17"/>
        <v>0</v>
      </c>
      <c r="WD7" s="12">
        <f t="shared" si="17"/>
        <v>0</v>
      </c>
      <c r="WE7" s="12">
        <f t="shared" si="18"/>
        <v>0</v>
      </c>
      <c r="WF7" s="12">
        <f t="shared" si="10"/>
        <v>0</v>
      </c>
      <c r="WG7" s="12">
        <f t="shared" si="11"/>
        <v>1</v>
      </c>
      <c r="WH7" s="12">
        <f t="shared" si="12"/>
        <v>0</v>
      </c>
      <c r="WI7" s="31">
        <f t="shared" si="13"/>
        <v>3</v>
      </c>
      <c r="WJ7" s="2"/>
      <c r="WK7" s="444" t="str">
        <f t="shared" si="14"/>
        <v>NC-MR-Non-BBY-BRN-NPH-E</v>
      </c>
      <c r="WL7" s="444"/>
      <c r="WM7" s="444"/>
      <c r="WN7" s="12"/>
      <c r="WO7" s="380" t="s">
        <v>2623</v>
      </c>
      <c r="WP7" s="144">
        <f>COUNTIFS($WG$2:$WG$72,"=1",$WA$2:$WA$72,"=1")</f>
        <v>8</v>
      </c>
      <c r="WQ7" s="144">
        <f>COUNTIFS($WG$2:$WG$72,"=1",$WB$2:$WB$72,"=1")</f>
        <v>13</v>
      </c>
      <c r="WR7" s="144">
        <f>COUNTIFS($WG$2:$WG$72,"=1",$WC$2:$WC$72,"=1")</f>
        <v>0</v>
      </c>
      <c r="WS7" s="144">
        <f>COUNTIFS($WG$2:$WG$72,"=1",$WD$2:$WD$72,"=1")</f>
        <v>1</v>
      </c>
      <c r="WT7" s="144">
        <f>COUNTIFS($WG$2:$WG$72,"=1",$WF$2:$WF$72,"=1")</f>
        <v>0</v>
      </c>
      <c r="WU7" s="384"/>
      <c r="WV7" s="144">
        <f>COUNTIFS($WG$2:$WG$72,"=1",$WH$2:$WH$72,"=1")</f>
        <v>0</v>
      </c>
      <c r="WW7" s="144">
        <f>COUNTIFS($WG$2:$WG$72,"=1",$WE$2:$WE$72,"=1")</f>
        <v>10</v>
      </c>
      <c r="WX7" s="205">
        <f>COUNTIF($WG$2:$WG$72,"=1")</f>
        <v>14</v>
      </c>
    </row>
    <row r="8" spans="1:622" x14ac:dyDescent="0.25">
      <c r="A8" s="2">
        <v>8998</v>
      </c>
      <c r="B8" s="2" t="s">
        <v>5116</v>
      </c>
      <c r="C8" s="2" t="s">
        <v>5063</v>
      </c>
      <c r="D8" s="2">
        <v>10</v>
      </c>
      <c r="E8" s="2">
        <v>30.2</v>
      </c>
      <c r="F8" s="2"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 t="s">
        <v>9</v>
      </c>
      <c r="BV8" s="6">
        <v>69663.509999999995</v>
      </c>
      <c r="BW8" s="2" t="s">
        <v>18</v>
      </c>
      <c r="BX8" s="3">
        <v>45036</v>
      </c>
      <c r="BY8" s="2" t="s">
        <v>9</v>
      </c>
      <c r="BZ8" s="2">
        <v>1</v>
      </c>
      <c r="CA8" s="2" t="s">
        <v>9</v>
      </c>
      <c r="CB8" s="2">
        <v>1</v>
      </c>
      <c r="CC8" s="2" t="s">
        <v>9</v>
      </c>
      <c r="CD8" s="2">
        <v>0</v>
      </c>
      <c r="CE8" s="2" t="s">
        <v>5118</v>
      </c>
      <c r="CF8" s="2">
        <v>1</v>
      </c>
      <c r="CG8" s="2" t="s">
        <v>10</v>
      </c>
      <c r="CH8" s="2">
        <v>0</v>
      </c>
      <c r="CI8" s="2" t="s">
        <v>10</v>
      </c>
      <c r="CJ8" s="2">
        <v>0</v>
      </c>
      <c r="CK8" s="2" t="s">
        <v>11</v>
      </c>
      <c r="CL8" s="2">
        <v>0</v>
      </c>
      <c r="CM8" s="2" t="s">
        <v>9</v>
      </c>
      <c r="CN8" s="2">
        <v>2</v>
      </c>
      <c r="CO8" s="2" t="s">
        <v>9</v>
      </c>
      <c r="CP8" s="2">
        <v>2</v>
      </c>
      <c r="CQ8" s="2" t="s">
        <v>9</v>
      </c>
      <c r="CR8" s="2">
        <v>2</v>
      </c>
      <c r="CS8" s="2" t="s">
        <v>12</v>
      </c>
      <c r="CT8" s="2" t="s">
        <v>15</v>
      </c>
      <c r="CU8" s="2" t="s">
        <v>15</v>
      </c>
      <c r="CV8" s="2" t="s">
        <v>15</v>
      </c>
      <c r="CW8" s="2" t="s">
        <v>5117</v>
      </c>
      <c r="CX8" s="2" t="s">
        <v>15</v>
      </c>
      <c r="CY8" s="2" t="s">
        <v>15</v>
      </c>
      <c r="CZ8" s="2">
        <v>0</v>
      </c>
      <c r="DA8" s="2" t="s">
        <v>234</v>
      </c>
      <c r="DB8" s="2" t="s">
        <v>17</v>
      </c>
      <c r="DC8" s="4">
        <v>0.15054000000000001</v>
      </c>
      <c r="DD8" s="2" t="s">
        <v>17</v>
      </c>
      <c r="DE8" s="2" t="s">
        <v>9</v>
      </c>
      <c r="DF8" s="2" t="s">
        <v>17</v>
      </c>
      <c r="DG8" s="2" t="s">
        <v>17</v>
      </c>
      <c r="DH8" s="2" t="s">
        <v>17</v>
      </c>
      <c r="DI8" s="2" t="s">
        <v>17</v>
      </c>
      <c r="DJ8" s="2" t="s">
        <v>17</v>
      </c>
      <c r="DK8" s="2" t="s">
        <v>17</v>
      </c>
      <c r="DL8" s="2" t="s">
        <v>17</v>
      </c>
      <c r="DM8" s="2" t="s">
        <v>9</v>
      </c>
      <c r="DN8" s="2" t="s">
        <v>2663</v>
      </c>
      <c r="DO8" s="2">
        <v>5</v>
      </c>
      <c r="DP8" s="5">
        <v>50000</v>
      </c>
      <c r="DQ8" s="5">
        <v>460000</v>
      </c>
      <c r="DR8" s="2">
        <v>0</v>
      </c>
      <c r="DS8" s="2">
        <v>7</v>
      </c>
      <c r="DT8" s="2">
        <v>0</v>
      </c>
      <c r="DU8" s="2">
        <v>6</v>
      </c>
      <c r="DV8" s="2">
        <v>0</v>
      </c>
      <c r="DW8" s="2">
        <v>0</v>
      </c>
      <c r="DX8" s="2">
        <v>1</v>
      </c>
      <c r="DY8" s="2">
        <v>0</v>
      </c>
      <c r="DZ8" s="2">
        <v>1</v>
      </c>
      <c r="EA8" s="2">
        <v>0</v>
      </c>
      <c r="EB8" s="2">
        <v>0</v>
      </c>
      <c r="EC8" s="2">
        <v>0</v>
      </c>
      <c r="ED8" s="2">
        <v>13</v>
      </c>
      <c r="EE8" s="2">
        <v>1</v>
      </c>
      <c r="EF8" s="2">
        <v>0</v>
      </c>
      <c r="EG8" s="2">
        <v>3</v>
      </c>
      <c r="EH8" s="2">
        <v>0</v>
      </c>
      <c r="EI8" s="2">
        <v>14</v>
      </c>
      <c r="EJ8" s="2">
        <v>11</v>
      </c>
      <c r="EK8" s="2">
        <v>0</v>
      </c>
      <c r="EL8" s="2" t="s">
        <v>17</v>
      </c>
      <c r="EM8" s="2" t="s">
        <v>17</v>
      </c>
      <c r="EN8" s="2" t="s">
        <v>17</v>
      </c>
      <c r="EO8" s="2" t="s">
        <v>17</v>
      </c>
      <c r="EP8" s="2" t="s">
        <v>17</v>
      </c>
      <c r="EQ8" s="2" t="s">
        <v>17</v>
      </c>
      <c r="ER8" s="2" t="s">
        <v>17</v>
      </c>
      <c r="ES8" s="2" t="s">
        <v>17</v>
      </c>
      <c r="ET8" s="2" t="s">
        <v>5119</v>
      </c>
      <c r="EU8" s="2" t="s">
        <v>5120</v>
      </c>
      <c r="EV8" s="2"/>
      <c r="EW8" s="2" t="s">
        <v>9</v>
      </c>
      <c r="EX8" s="2" t="s">
        <v>1523</v>
      </c>
      <c r="EY8" s="2" t="s">
        <v>5119</v>
      </c>
      <c r="EZ8" s="2" t="s">
        <v>1276</v>
      </c>
      <c r="FA8" s="2" t="s">
        <v>1277</v>
      </c>
      <c r="FB8" s="2">
        <v>144</v>
      </c>
      <c r="FC8" s="2" t="s">
        <v>5121</v>
      </c>
      <c r="FD8" s="2">
        <v>2020</v>
      </c>
      <c r="FE8" s="2" t="s">
        <v>26</v>
      </c>
      <c r="FF8" s="2" t="s">
        <v>4210</v>
      </c>
      <c r="FG8" s="2" t="s">
        <v>1797</v>
      </c>
      <c r="FH8" s="2"/>
      <c r="FI8" s="2" t="s">
        <v>1454</v>
      </c>
      <c r="FJ8" s="2" t="s">
        <v>1455</v>
      </c>
      <c r="FK8" s="2">
        <v>1</v>
      </c>
      <c r="FL8" s="2" t="s">
        <v>1528</v>
      </c>
      <c r="FM8" s="2" t="s">
        <v>1529</v>
      </c>
      <c r="FN8" s="2" t="s">
        <v>5122</v>
      </c>
      <c r="FO8" s="2" t="s">
        <v>63</v>
      </c>
      <c r="FP8" s="2" t="s">
        <v>9</v>
      </c>
      <c r="FQ8" s="2" t="s">
        <v>17</v>
      </c>
      <c r="FR8" s="2" t="s">
        <v>17</v>
      </c>
      <c r="FS8" s="2" t="s">
        <v>9</v>
      </c>
      <c r="FT8" s="2">
        <v>0</v>
      </c>
      <c r="FU8" s="2">
        <v>0</v>
      </c>
      <c r="FV8" s="4">
        <v>0</v>
      </c>
      <c r="FW8" s="4">
        <v>0</v>
      </c>
      <c r="FX8" s="2" t="s">
        <v>65</v>
      </c>
      <c r="FY8" s="2" t="s">
        <v>66</v>
      </c>
      <c r="FZ8" s="2" t="s">
        <v>17</v>
      </c>
      <c r="GA8" s="2"/>
      <c r="GB8" s="2"/>
      <c r="GC8" s="2"/>
      <c r="GD8" s="2" t="s">
        <v>67</v>
      </c>
      <c r="GE8" s="2" t="s">
        <v>2684</v>
      </c>
      <c r="GF8" s="2"/>
      <c r="GG8" s="2"/>
      <c r="GH8" s="2"/>
      <c r="GI8" s="2"/>
      <c r="GJ8" s="2"/>
      <c r="GK8" s="2">
        <v>93</v>
      </c>
      <c r="GL8" s="2"/>
      <c r="GM8" s="2"/>
      <c r="GN8" s="2"/>
      <c r="GO8" s="2"/>
      <c r="GP8" s="2"/>
      <c r="GQ8" s="2">
        <v>93</v>
      </c>
      <c r="GR8" s="2" t="s">
        <v>668</v>
      </c>
      <c r="GS8" s="2" t="s">
        <v>70</v>
      </c>
      <c r="GT8" s="2">
        <v>1</v>
      </c>
      <c r="GU8" s="2" t="s">
        <v>5123</v>
      </c>
      <c r="GV8" s="2" t="s">
        <v>668</v>
      </c>
      <c r="GW8" s="2" t="s">
        <v>17</v>
      </c>
      <c r="GX8" s="2">
        <v>27.343222000000001</v>
      </c>
      <c r="GY8" s="2">
        <v>-82.540844000000007</v>
      </c>
      <c r="GZ8" s="2"/>
      <c r="HA8" s="2" t="s">
        <v>17</v>
      </c>
      <c r="HB8" s="2">
        <v>0</v>
      </c>
      <c r="HC8" s="2" t="s">
        <v>17</v>
      </c>
      <c r="HD8" s="2"/>
      <c r="HE8" s="2">
        <v>0</v>
      </c>
      <c r="HF8" s="2"/>
      <c r="HG8" s="2"/>
      <c r="HH8" s="2"/>
      <c r="HI8" s="2"/>
      <c r="HJ8" s="2"/>
      <c r="HK8" s="2"/>
      <c r="HL8" s="2"/>
      <c r="HM8" s="2"/>
      <c r="HN8" s="2"/>
      <c r="HO8" s="2"/>
      <c r="HP8" s="2">
        <v>27.337719</v>
      </c>
      <c r="HQ8" s="2">
        <v>-82.540417000000005</v>
      </c>
      <c r="HR8" s="2">
        <v>0.38</v>
      </c>
      <c r="HS8" s="2">
        <v>5.5</v>
      </c>
      <c r="HT8" s="2"/>
      <c r="HU8" s="2"/>
      <c r="HV8" s="2"/>
      <c r="HW8" s="2"/>
      <c r="HX8" s="2" t="s">
        <v>73</v>
      </c>
      <c r="HY8" s="2" t="s">
        <v>5124</v>
      </c>
      <c r="HZ8" s="2" t="s">
        <v>5125</v>
      </c>
      <c r="IA8" s="2">
        <v>0.35</v>
      </c>
      <c r="IB8" s="2">
        <v>3.5</v>
      </c>
      <c r="IC8" s="2"/>
      <c r="ID8" s="2"/>
      <c r="IE8" s="2"/>
      <c r="IF8" s="2"/>
      <c r="IG8" s="2" t="s">
        <v>5124</v>
      </c>
      <c r="IH8" s="2" t="s">
        <v>5125</v>
      </c>
      <c r="II8" s="2">
        <v>0.35</v>
      </c>
      <c r="IJ8" s="2">
        <v>3.5</v>
      </c>
      <c r="IK8" s="2" t="s">
        <v>5126</v>
      </c>
      <c r="IL8" s="2" t="s">
        <v>5127</v>
      </c>
      <c r="IM8" s="2">
        <v>0.14000000000000001</v>
      </c>
      <c r="IN8" s="2">
        <v>4</v>
      </c>
      <c r="IO8" s="2">
        <v>5.5</v>
      </c>
      <c r="IP8" s="2">
        <v>11</v>
      </c>
      <c r="IQ8" s="2">
        <v>0</v>
      </c>
      <c r="IR8" s="2">
        <v>16.5</v>
      </c>
      <c r="IS8" s="2" t="s">
        <v>17</v>
      </c>
      <c r="IT8" s="2" t="s">
        <v>17</v>
      </c>
      <c r="IU8" s="2" t="s">
        <v>17</v>
      </c>
      <c r="IV8" s="2" t="s">
        <v>80</v>
      </c>
      <c r="IW8" s="2" t="s">
        <v>9</v>
      </c>
      <c r="IX8" s="2" t="s">
        <v>9</v>
      </c>
      <c r="IY8" s="2">
        <v>16.5</v>
      </c>
      <c r="IZ8" s="2">
        <v>93</v>
      </c>
      <c r="JA8" s="2"/>
      <c r="JB8" s="2"/>
      <c r="JC8" s="2"/>
      <c r="JD8" s="2"/>
      <c r="JE8" s="2"/>
      <c r="JF8" s="2"/>
      <c r="JG8" s="2"/>
      <c r="JH8" s="7">
        <v>0</v>
      </c>
      <c r="JI8" s="2">
        <v>0</v>
      </c>
      <c r="JJ8" s="7">
        <v>0</v>
      </c>
      <c r="JK8" s="2">
        <v>0</v>
      </c>
      <c r="JL8" s="7">
        <v>0</v>
      </c>
      <c r="JM8" s="2">
        <v>14</v>
      </c>
      <c r="JN8" s="2"/>
      <c r="JO8" s="2">
        <v>45</v>
      </c>
      <c r="JP8" s="2">
        <v>26</v>
      </c>
      <c r="JQ8" s="2">
        <v>8</v>
      </c>
      <c r="JR8" s="2">
        <v>0</v>
      </c>
      <c r="JS8" s="2">
        <v>0</v>
      </c>
      <c r="JT8" s="2"/>
      <c r="JU8" s="2"/>
      <c r="JV8" s="2">
        <v>93</v>
      </c>
      <c r="JW8" s="4">
        <v>1</v>
      </c>
      <c r="JX8" s="2">
        <v>93</v>
      </c>
      <c r="JY8" s="4">
        <v>0.6</v>
      </c>
      <c r="JZ8" s="2">
        <v>0</v>
      </c>
      <c r="KA8" s="2"/>
      <c r="KB8" s="2"/>
      <c r="KC8" s="2"/>
      <c r="KD8" s="2"/>
      <c r="KE8" s="2"/>
      <c r="KF8" s="2"/>
      <c r="KG8" s="2"/>
      <c r="KH8" s="2">
        <v>69</v>
      </c>
      <c r="KI8" s="2"/>
      <c r="KJ8" s="2"/>
      <c r="KK8" s="2">
        <v>16</v>
      </c>
      <c r="KL8" s="2">
        <v>8</v>
      </c>
      <c r="KM8" s="2"/>
      <c r="KN8" s="2"/>
      <c r="KO8" s="2"/>
      <c r="KP8" s="2"/>
      <c r="KQ8" s="2" t="s">
        <v>83</v>
      </c>
      <c r="KR8" s="2" t="s">
        <v>73</v>
      </c>
      <c r="KS8" s="2"/>
      <c r="KT8" s="2">
        <v>1</v>
      </c>
      <c r="KU8" s="2" t="s">
        <v>84</v>
      </c>
      <c r="KV8" s="2" t="s">
        <v>85</v>
      </c>
      <c r="KW8" s="2" t="s">
        <v>86</v>
      </c>
      <c r="KX8" s="2" t="s">
        <v>17</v>
      </c>
      <c r="KY8" s="2" t="s">
        <v>17</v>
      </c>
      <c r="KZ8" s="2" t="s">
        <v>17</v>
      </c>
      <c r="LA8" s="2" t="s">
        <v>17</v>
      </c>
      <c r="LB8" s="2" t="s">
        <v>17</v>
      </c>
      <c r="LC8" s="2" t="s">
        <v>17</v>
      </c>
      <c r="LD8" s="2" t="s">
        <v>17</v>
      </c>
      <c r="LE8" s="2" t="s">
        <v>17</v>
      </c>
      <c r="LF8" s="2" t="s">
        <v>17</v>
      </c>
      <c r="LG8" s="2" t="s">
        <v>17</v>
      </c>
      <c r="LH8" s="2" t="s">
        <v>17</v>
      </c>
      <c r="LI8" s="2" t="s">
        <v>17</v>
      </c>
      <c r="LJ8" s="2" t="s">
        <v>87</v>
      </c>
      <c r="LK8" s="2" t="s">
        <v>17</v>
      </c>
      <c r="LL8" s="2" t="s">
        <v>17</v>
      </c>
      <c r="LM8" s="2">
        <v>0</v>
      </c>
      <c r="LN8" s="2" t="s">
        <v>17</v>
      </c>
      <c r="LO8" s="2" t="s">
        <v>9</v>
      </c>
      <c r="LP8" s="2" t="s">
        <v>9</v>
      </c>
      <c r="LQ8" s="2" t="s">
        <v>17</v>
      </c>
      <c r="LR8" s="2" t="s">
        <v>9</v>
      </c>
      <c r="LS8" s="2" t="s">
        <v>17</v>
      </c>
      <c r="LT8" s="2" t="s">
        <v>17</v>
      </c>
      <c r="LU8" s="2" t="s">
        <v>17</v>
      </c>
      <c r="LV8" s="2" t="s">
        <v>17</v>
      </c>
      <c r="LW8" s="2" t="s">
        <v>17</v>
      </c>
      <c r="LX8" s="2" t="s">
        <v>17</v>
      </c>
      <c r="LY8" s="5">
        <v>9765000</v>
      </c>
      <c r="LZ8" s="5">
        <v>0</v>
      </c>
      <c r="MA8" s="5">
        <v>9765000</v>
      </c>
      <c r="MB8" s="5">
        <v>9765000</v>
      </c>
      <c r="MC8" s="5">
        <v>9765000</v>
      </c>
      <c r="MD8" s="5">
        <v>892100</v>
      </c>
      <c r="ME8" s="5">
        <v>892100</v>
      </c>
      <c r="MF8" s="5">
        <v>892100</v>
      </c>
      <c r="MG8" s="5">
        <v>10657100</v>
      </c>
      <c r="MH8" s="2">
        <v>0</v>
      </c>
      <c r="MI8" s="5">
        <v>0</v>
      </c>
      <c r="MJ8" s="5">
        <v>0</v>
      </c>
      <c r="MK8" s="2">
        <v>0</v>
      </c>
      <c r="ML8" s="2">
        <v>0</v>
      </c>
      <c r="MM8" s="2">
        <v>0</v>
      </c>
      <c r="MN8" s="5">
        <v>2950000</v>
      </c>
      <c r="MO8" s="5">
        <v>0</v>
      </c>
      <c r="MP8" s="5">
        <v>4600000</v>
      </c>
      <c r="MQ8" s="5">
        <v>0</v>
      </c>
      <c r="MR8" s="5">
        <v>0</v>
      </c>
      <c r="MS8" s="5">
        <v>0</v>
      </c>
      <c r="MT8" s="5">
        <v>0</v>
      </c>
      <c r="MU8" s="5">
        <v>2500000</v>
      </c>
      <c r="MV8" s="5">
        <v>0</v>
      </c>
      <c r="MW8" s="5">
        <v>0</v>
      </c>
      <c r="MX8" s="5">
        <v>0</v>
      </c>
      <c r="MY8" s="5">
        <v>2040000</v>
      </c>
      <c r="MZ8" s="5">
        <v>0</v>
      </c>
      <c r="NA8" s="5">
        <v>1595157</v>
      </c>
      <c r="NB8" s="2" t="s">
        <v>17</v>
      </c>
      <c r="NC8" s="2"/>
      <c r="ND8" s="2"/>
      <c r="NE8" s="2"/>
      <c r="NF8" s="2"/>
      <c r="NG8" s="2"/>
      <c r="NH8" s="2"/>
      <c r="NI8" s="61">
        <v>0</v>
      </c>
      <c r="NJ8" s="61"/>
      <c r="NK8" s="61"/>
      <c r="NL8" s="61"/>
      <c r="NM8" s="2" t="s">
        <v>17</v>
      </c>
      <c r="NN8" s="2"/>
      <c r="NO8" s="2" t="s">
        <v>17</v>
      </c>
      <c r="NP8" s="2"/>
      <c r="NQ8" s="2"/>
      <c r="NR8" s="2" t="s">
        <v>17</v>
      </c>
      <c r="NS8" s="2"/>
      <c r="NT8" s="2" t="s">
        <v>17</v>
      </c>
      <c r="NU8" s="2"/>
      <c r="NV8" s="2"/>
      <c r="NW8" s="2"/>
      <c r="NX8" s="2" t="s">
        <v>118</v>
      </c>
      <c r="NY8" s="2" t="s">
        <v>118</v>
      </c>
      <c r="NZ8" s="2" t="s">
        <v>118</v>
      </c>
      <c r="OA8" s="2" t="s">
        <v>17</v>
      </c>
      <c r="OB8" s="2" t="s">
        <v>5089</v>
      </c>
      <c r="OC8" s="2"/>
      <c r="OD8" s="2" t="s">
        <v>17</v>
      </c>
      <c r="OE8" s="2" t="s">
        <v>17</v>
      </c>
      <c r="OF8" s="2" t="s">
        <v>85</v>
      </c>
      <c r="OG8" s="6">
        <v>11826000</v>
      </c>
      <c r="OH8" s="6">
        <v>0</v>
      </c>
      <c r="OI8" s="2" t="s">
        <v>93</v>
      </c>
      <c r="OJ8" s="2" t="s">
        <v>93</v>
      </c>
      <c r="OK8" s="6">
        <v>0</v>
      </c>
      <c r="OL8" s="6">
        <v>0</v>
      </c>
      <c r="OM8" s="6">
        <v>0</v>
      </c>
      <c r="ON8" s="6">
        <v>0</v>
      </c>
      <c r="OO8" s="6">
        <v>0</v>
      </c>
      <c r="OP8" s="6">
        <v>0</v>
      </c>
      <c r="OQ8" s="4">
        <v>0</v>
      </c>
      <c r="OR8" s="6">
        <v>0</v>
      </c>
      <c r="OS8" s="4">
        <v>0</v>
      </c>
      <c r="OT8" s="2" t="s">
        <v>17</v>
      </c>
      <c r="OU8" s="2" t="s">
        <v>9</v>
      </c>
      <c r="OV8" s="2" t="s">
        <v>5128</v>
      </c>
      <c r="OW8" s="2" t="s">
        <v>9</v>
      </c>
      <c r="OX8" s="5">
        <v>6478706</v>
      </c>
      <c r="OY8" s="6">
        <v>69663.509999999995</v>
      </c>
      <c r="OZ8" s="2"/>
      <c r="PA8" s="2"/>
      <c r="PB8" s="2"/>
      <c r="PC8" s="2"/>
      <c r="PD8" s="2"/>
      <c r="PE8" s="2"/>
      <c r="PF8" s="8">
        <v>24018951</v>
      </c>
      <c r="PG8" s="8">
        <v>454734</v>
      </c>
      <c r="PH8" s="8">
        <v>24473685</v>
      </c>
      <c r="PI8" s="2"/>
      <c r="PJ8" s="2"/>
      <c r="PK8" s="2"/>
      <c r="PL8" s="2"/>
      <c r="PM8" s="2"/>
      <c r="PN8" s="2"/>
      <c r="PO8" s="2"/>
      <c r="PP8" s="2"/>
      <c r="PQ8" s="2"/>
      <c r="PR8" s="8">
        <v>24018951</v>
      </c>
      <c r="PS8" s="8">
        <v>454734</v>
      </c>
      <c r="PT8" s="8">
        <v>24473685</v>
      </c>
      <c r="PU8" s="8">
        <v>3426315</v>
      </c>
      <c r="PV8" s="8">
        <v>3426315</v>
      </c>
      <c r="PW8" s="6">
        <v>3426315</v>
      </c>
      <c r="PX8" s="8">
        <v>27445266</v>
      </c>
      <c r="PY8" s="8">
        <v>454734</v>
      </c>
      <c r="PZ8" s="8">
        <v>27900000</v>
      </c>
      <c r="QA8" s="8" t="s">
        <v>5363</v>
      </c>
      <c r="QB8" s="8">
        <v>1395000</v>
      </c>
      <c r="QC8" s="6">
        <v>1395000</v>
      </c>
      <c r="QD8" s="8">
        <v>40000</v>
      </c>
      <c r="QE8" s="2"/>
      <c r="QF8" s="8">
        <v>40000</v>
      </c>
      <c r="QG8" s="8">
        <v>15000</v>
      </c>
      <c r="QH8" s="8">
        <v>15000</v>
      </c>
      <c r="QI8" s="8">
        <v>600000</v>
      </c>
      <c r="QJ8" s="8">
        <v>600000</v>
      </c>
      <c r="QK8" s="8">
        <v>50000</v>
      </c>
      <c r="QL8" s="8">
        <v>50000</v>
      </c>
      <c r="QM8" s="8">
        <v>348750</v>
      </c>
      <c r="QN8" s="2"/>
      <c r="QO8" s="8">
        <v>348750</v>
      </c>
      <c r="QP8" s="8">
        <v>250000</v>
      </c>
      <c r="QQ8" s="8">
        <v>250000</v>
      </c>
      <c r="QR8" s="2"/>
      <c r="QS8" s="2"/>
      <c r="QT8" s="8">
        <v>100000</v>
      </c>
      <c r="QU8" s="2"/>
      <c r="QV8" s="8">
        <v>100000</v>
      </c>
      <c r="QW8" s="8">
        <v>15000</v>
      </c>
      <c r="QX8" s="8">
        <v>15000</v>
      </c>
      <c r="QY8" s="8">
        <v>143564</v>
      </c>
      <c r="QZ8" s="8">
        <v>143564</v>
      </c>
      <c r="RA8" s="8">
        <v>3000</v>
      </c>
      <c r="RB8" s="8">
        <v>3000</v>
      </c>
      <c r="RC8" s="8">
        <v>216543</v>
      </c>
      <c r="RD8" s="8">
        <v>216543</v>
      </c>
      <c r="RE8" s="8">
        <v>27000</v>
      </c>
      <c r="RF8" s="8">
        <v>27000</v>
      </c>
      <c r="RG8" s="8">
        <v>20000</v>
      </c>
      <c r="RH8" s="8">
        <v>20000</v>
      </c>
      <c r="RI8" s="8">
        <v>400000</v>
      </c>
      <c r="RJ8" s="8">
        <v>400000</v>
      </c>
      <c r="RK8" s="8">
        <v>145000</v>
      </c>
      <c r="RL8" s="2"/>
      <c r="RM8" s="8">
        <v>145000</v>
      </c>
      <c r="RN8" s="2"/>
      <c r="RO8" s="8">
        <v>111600</v>
      </c>
      <c r="RP8" s="8">
        <v>111600</v>
      </c>
      <c r="RQ8" s="8">
        <v>280000</v>
      </c>
      <c r="RR8" s="8">
        <v>372000</v>
      </c>
      <c r="RS8" s="8">
        <v>652000</v>
      </c>
      <c r="RT8" s="8">
        <v>10000</v>
      </c>
      <c r="RU8" s="2"/>
      <c r="RV8" s="8">
        <v>10000</v>
      </c>
      <c r="RW8" s="8">
        <v>100000</v>
      </c>
      <c r="RX8" s="8">
        <v>100000</v>
      </c>
      <c r="RY8" s="2"/>
      <c r="RZ8" s="8">
        <v>93000</v>
      </c>
      <c r="SA8" s="8">
        <v>93000</v>
      </c>
      <c r="SB8" s="8">
        <v>15000</v>
      </c>
      <c r="SC8" s="8">
        <v>15000</v>
      </c>
      <c r="SD8" s="8">
        <v>45000</v>
      </c>
      <c r="SE8" s="2"/>
      <c r="SF8" s="8">
        <v>45000</v>
      </c>
      <c r="SG8" s="2"/>
      <c r="SH8" s="8">
        <v>157500</v>
      </c>
      <c r="SI8" s="2"/>
      <c r="SJ8" s="8">
        <v>157500</v>
      </c>
      <c r="SK8" s="8">
        <v>200000</v>
      </c>
      <c r="SL8" s="8">
        <v>200000</v>
      </c>
      <c r="SM8" s="8">
        <v>307500</v>
      </c>
      <c r="SN8" s="2"/>
      <c r="SO8" s="8">
        <v>307500</v>
      </c>
      <c r="SP8" s="8">
        <v>2998750</v>
      </c>
      <c r="SQ8" s="8">
        <v>1066707</v>
      </c>
      <c r="SR8" s="8">
        <v>4065457</v>
      </c>
      <c r="SS8" s="8">
        <v>141688</v>
      </c>
      <c r="ST8" s="2"/>
      <c r="SU8" s="8">
        <v>141688</v>
      </c>
      <c r="SV8" s="6">
        <v>203272.85</v>
      </c>
      <c r="SW8" s="8">
        <v>210000</v>
      </c>
      <c r="SX8" s="8">
        <v>210000</v>
      </c>
      <c r="SY8" s="2"/>
      <c r="SZ8" s="8">
        <v>1289722</v>
      </c>
      <c r="TA8" s="8">
        <v>452192</v>
      </c>
      <c r="TB8" s="8">
        <v>1741914</v>
      </c>
      <c r="TC8" s="2"/>
      <c r="TD8" s="2"/>
      <c r="TE8" s="2"/>
      <c r="TF8" s="8">
        <v>48260</v>
      </c>
      <c r="TG8" s="8">
        <v>48260</v>
      </c>
      <c r="TH8" s="2"/>
      <c r="TI8" s="8">
        <v>15000</v>
      </c>
      <c r="TJ8" s="8">
        <v>15000</v>
      </c>
      <c r="TK8" s="2"/>
      <c r="TL8" s="2"/>
      <c r="TM8" s="8">
        <v>360821</v>
      </c>
      <c r="TN8" s="8">
        <v>360821</v>
      </c>
      <c r="TO8" s="8">
        <v>1499722</v>
      </c>
      <c r="TP8" s="8">
        <v>876273</v>
      </c>
      <c r="TQ8" s="8">
        <v>2375995</v>
      </c>
      <c r="TR8" s="8">
        <v>33457689</v>
      </c>
      <c r="TS8" s="8">
        <v>2420451</v>
      </c>
      <c r="TT8" s="8">
        <v>35878140</v>
      </c>
      <c r="TU8" s="8">
        <v>6421237</v>
      </c>
      <c r="TV8" s="8">
        <v>6421237</v>
      </c>
      <c r="TW8" s="6">
        <v>6458065</v>
      </c>
      <c r="TX8" s="8">
        <v>6421237</v>
      </c>
      <c r="TY8" s="8">
        <v>6421237</v>
      </c>
      <c r="TZ8" s="6">
        <v>6458065</v>
      </c>
      <c r="UA8" s="2">
        <v>0</v>
      </c>
      <c r="UB8" s="2"/>
      <c r="UC8" s="8">
        <v>39878926</v>
      </c>
      <c r="UD8" s="8">
        <v>2420451</v>
      </c>
      <c r="UE8" s="8">
        <v>42299377</v>
      </c>
      <c r="UF8" s="8">
        <v>21000000</v>
      </c>
      <c r="UG8" s="2" t="s">
        <v>4220</v>
      </c>
      <c r="UH8" s="8">
        <v>7000000</v>
      </c>
      <c r="UI8" s="2" t="s">
        <v>180</v>
      </c>
      <c r="UJ8" s="8">
        <v>10657100</v>
      </c>
      <c r="UK8" s="2"/>
      <c r="UL8" s="2" t="s">
        <v>96</v>
      </c>
      <c r="UM8" s="8">
        <v>2225022</v>
      </c>
      <c r="UN8" s="8">
        <v>6421237</v>
      </c>
      <c r="UO8" s="8">
        <v>47303359</v>
      </c>
      <c r="UP8" s="8">
        <v>5003982</v>
      </c>
      <c r="UQ8" s="8">
        <v>4826000</v>
      </c>
      <c r="UR8" s="2" t="s">
        <v>95</v>
      </c>
      <c r="US8" s="8">
        <v>7000000</v>
      </c>
      <c r="UT8" s="2" t="s">
        <v>180</v>
      </c>
      <c r="UU8" s="2"/>
      <c r="UV8" s="2"/>
      <c r="UW8" s="8">
        <v>10657100</v>
      </c>
      <c r="UX8" s="2"/>
      <c r="UY8" s="2" t="s">
        <v>96</v>
      </c>
      <c r="UZ8" s="8">
        <v>14833477</v>
      </c>
      <c r="VA8" s="8">
        <v>6421237</v>
      </c>
      <c r="VB8" s="8">
        <v>43737814</v>
      </c>
      <c r="VC8" s="6">
        <v>22483100</v>
      </c>
      <c r="VD8" s="8">
        <v>1438437</v>
      </c>
      <c r="VE8" s="5">
        <v>420000</v>
      </c>
      <c r="VF8" s="5">
        <v>435000</v>
      </c>
      <c r="VG8" s="6">
        <v>454832.01</v>
      </c>
      <c r="VH8" s="2" t="s">
        <v>17</v>
      </c>
      <c r="VI8" s="387" t="s">
        <v>1275</v>
      </c>
      <c r="VJ8" s="2" t="s">
        <v>98</v>
      </c>
      <c r="VK8" s="2" t="s">
        <v>5129</v>
      </c>
      <c r="VL8" s="23">
        <f t="shared" si="0"/>
        <v>125</v>
      </c>
      <c r="VM8" s="17">
        <f t="shared" si="1"/>
        <v>1.3440860215053763</v>
      </c>
      <c r="VN8" s="17" t="str">
        <f t="shared" si="2"/>
        <v>NC-HR-F</v>
      </c>
      <c r="VO8" s="17" t="str">
        <f t="shared" si="15"/>
        <v>NC-HR-F-ESS</v>
      </c>
      <c r="VP8" s="57">
        <v>1</v>
      </c>
      <c r="VQ8" s="17">
        <f t="shared" si="3"/>
        <v>1</v>
      </c>
      <c r="VR8" s="57">
        <f t="shared" si="4"/>
        <v>1</v>
      </c>
      <c r="VS8" s="14">
        <f t="shared" si="5"/>
        <v>0.87</v>
      </c>
      <c r="VT8" s="12">
        <f t="shared" si="6"/>
        <v>0.83519999999999994</v>
      </c>
      <c r="VU8" s="29">
        <f t="shared" si="7"/>
        <v>7095483.3599999994</v>
      </c>
      <c r="VV8" s="29">
        <f t="shared" si="8"/>
        <v>76295.520000000004</v>
      </c>
      <c r="VW8" s="351" t="str">
        <f t="shared" si="21"/>
        <v>A</v>
      </c>
      <c r="VX8" s="12" t="str">
        <f t="shared" si="9"/>
        <v>NC-HR-ESS</v>
      </c>
      <c r="VY8" s="23">
        <f t="shared" si="22"/>
        <v>3</v>
      </c>
      <c r="WA8" s="12">
        <f t="shared" si="16"/>
        <v>0</v>
      </c>
      <c r="WB8" s="12">
        <f t="shared" si="17"/>
        <v>0</v>
      </c>
      <c r="WC8" s="12">
        <f t="shared" si="17"/>
        <v>0</v>
      </c>
      <c r="WD8" s="12">
        <f t="shared" si="17"/>
        <v>1</v>
      </c>
      <c r="WE8" s="12">
        <f t="shared" si="18"/>
        <v>1</v>
      </c>
      <c r="WF8" s="12">
        <f t="shared" si="10"/>
        <v>0</v>
      </c>
      <c r="WG8" s="12">
        <f t="shared" si="11"/>
        <v>0</v>
      </c>
      <c r="WH8" s="12">
        <f t="shared" si="12"/>
        <v>1</v>
      </c>
      <c r="WI8" s="31">
        <f t="shared" si="13"/>
        <v>3</v>
      </c>
      <c r="WJ8" s="2"/>
      <c r="WK8" s="444" t="str">
        <f t="shared" si="14"/>
        <v>NC-HR-ESS-BBN-BRN-PHA-F</v>
      </c>
      <c r="WL8" s="444"/>
      <c r="WM8" s="444"/>
      <c r="WN8" s="12"/>
      <c r="WO8" s="380" t="s">
        <v>2621</v>
      </c>
      <c r="WP8" s="144">
        <f>COUNTIFS($WH$2:$WH$72,"=1",$WA$2:$WA$72,"=1")</f>
        <v>0</v>
      </c>
      <c r="WQ8" s="144">
        <f>COUNTIFS($WH$2:$WH$72,"=1",$WB$2:$WB$72,"=1")</f>
        <v>0</v>
      </c>
      <c r="WR8" s="144">
        <f>COUNTIFS($WH$2:$WH$72,"=1",$WC$2:$WC$72,"=1")</f>
        <v>0</v>
      </c>
      <c r="WS8" s="144">
        <f>COUNTIFS($WH$2:$WH$72,"=1",$WD$2:$WD$72,"=1")</f>
        <v>1</v>
      </c>
      <c r="WT8" s="144">
        <f>COUNTIFS($WH$2:$WH$72,"=1",$WF$2:$WF$72,"=1")</f>
        <v>0</v>
      </c>
      <c r="WU8" s="144">
        <f>COUNTIFS($WH$2:$WH$72,"=1",$WG$2:$WG$72,"=1")</f>
        <v>0</v>
      </c>
      <c r="WV8" s="384"/>
      <c r="WW8" s="144">
        <f>COUNTIFS($WH$2:$WH$72,"=1",$WE$2:$WE$72,"=1")</f>
        <v>1</v>
      </c>
      <c r="WX8" s="205">
        <f>COUNTIF($WH$2:$WH$72,"=1")</f>
        <v>1</v>
      </c>
    </row>
    <row r="9" spans="1:622" x14ac:dyDescent="0.25">
      <c r="A9" s="2">
        <v>9062</v>
      </c>
      <c r="B9" s="2" t="s">
        <v>5130</v>
      </c>
      <c r="C9" s="2" t="s">
        <v>5063</v>
      </c>
      <c r="D9" s="2">
        <v>10</v>
      </c>
      <c r="E9" s="2">
        <v>41.22</v>
      </c>
      <c r="F9" s="2"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 t="s">
        <v>9</v>
      </c>
      <c r="BV9" s="6">
        <v>70804.62</v>
      </c>
      <c r="BW9" s="2" t="s">
        <v>18</v>
      </c>
      <c r="BX9" s="3">
        <v>45036</v>
      </c>
      <c r="BY9" s="2" t="s">
        <v>9</v>
      </c>
      <c r="BZ9" s="2">
        <v>1</v>
      </c>
      <c r="CA9" s="2" t="s">
        <v>9</v>
      </c>
      <c r="CB9" s="2">
        <v>1</v>
      </c>
      <c r="CC9" s="2" t="s">
        <v>9</v>
      </c>
      <c r="CD9" s="2">
        <v>0</v>
      </c>
      <c r="CE9" s="2" t="s">
        <v>5131</v>
      </c>
      <c r="CF9" s="2">
        <v>1</v>
      </c>
      <c r="CG9" s="2" t="s">
        <v>10</v>
      </c>
      <c r="CH9" s="2">
        <v>0</v>
      </c>
      <c r="CI9" s="2" t="s">
        <v>10</v>
      </c>
      <c r="CJ9" s="2">
        <v>0</v>
      </c>
      <c r="CK9" s="2" t="s">
        <v>11</v>
      </c>
      <c r="CL9" s="2">
        <v>0</v>
      </c>
      <c r="CM9" s="2" t="s">
        <v>9</v>
      </c>
      <c r="CN9" s="2">
        <v>2</v>
      </c>
      <c r="CO9" s="2" t="s">
        <v>9</v>
      </c>
      <c r="CP9" s="2">
        <v>2</v>
      </c>
      <c r="CQ9" s="2" t="s">
        <v>9</v>
      </c>
      <c r="CR9" s="2">
        <v>2</v>
      </c>
      <c r="CS9" s="2" t="s">
        <v>12</v>
      </c>
      <c r="CT9" s="2" t="s">
        <v>2008</v>
      </c>
      <c r="CU9" s="2" t="s">
        <v>1608</v>
      </c>
      <c r="CV9" s="2" t="s">
        <v>435</v>
      </c>
      <c r="CW9" s="2" t="s">
        <v>15</v>
      </c>
      <c r="CX9" s="2" t="s">
        <v>15</v>
      </c>
      <c r="CY9" s="2" t="s">
        <v>15</v>
      </c>
      <c r="CZ9" s="2">
        <v>3</v>
      </c>
      <c r="DA9" s="2" t="s">
        <v>436</v>
      </c>
      <c r="DB9" s="2" t="s">
        <v>17</v>
      </c>
      <c r="DC9" s="4">
        <v>0.15384999999999999</v>
      </c>
      <c r="DD9" s="2" t="s">
        <v>17</v>
      </c>
      <c r="DE9" s="2" t="s">
        <v>9</v>
      </c>
      <c r="DF9" s="2" t="s">
        <v>17</v>
      </c>
      <c r="DG9" s="2" t="s">
        <v>17</v>
      </c>
      <c r="DH9" s="2" t="s">
        <v>17</v>
      </c>
      <c r="DI9" s="2" t="s">
        <v>9</v>
      </c>
      <c r="DJ9" s="2" t="s">
        <v>17</v>
      </c>
      <c r="DK9" s="2" t="s">
        <v>17</v>
      </c>
      <c r="DL9" s="2" t="s">
        <v>17</v>
      </c>
      <c r="DM9" s="2" t="s">
        <v>17</v>
      </c>
      <c r="DN9" s="2" t="s">
        <v>2663</v>
      </c>
      <c r="DO9" s="2">
        <v>5</v>
      </c>
      <c r="DP9" s="5">
        <v>75000</v>
      </c>
      <c r="DQ9" s="5">
        <v>610000</v>
      </c>
      <c r="DR9" s="2">
        <v>0</v>
      </c>
      <c r="DS9" s="2">
        <v>8</v>
      </c>
      <c r="DT9" s="2">
        <v>0</v>
      </c>
      <c r="DU9" s="2">
        <v>6</v>
      </c>
      <c r="DV9" s="2">
        <v>0</v>
      </c>
      <c r="DW9" s="2">
        <v>0</v>
      </c>
      <c r="DX9" s="2">
        <v>1</v>
      </c>
      <c r="DY9" s="2">
        <v>3</v>
      </c>
      <c r="DZ9" s="2">
        <v>1</v>
      </c>
      <c r="EA9" s="2">
        <v>0</v>
      </c>
      <c r="EB9" s="2">
        <v>0</v>
      </c>
      <c r="EC9" s="2">
        <v>0</v>
      </c>
      <c r="ED9" s="2">
        <v>13</v>
      </c>
      <c r="EE9" s="2">
        <v>1</v>
      </c>
      <c r="EF9" s="2">
        <v>0</v>
      </c>
      <c r="EG9" s="2">
        <v>3</v>
      </c>
      <c r="EH9" s="2">
        <v>0</v>
      </c>
      <c r="EI9" s="2">
        <v>14</v>
      </c>
      <c r="EJ9" s="2">
        <v>11</v>
      </c>
      <c r="EK9" s="2">
        <v>0</v>
      </c>
      <c r="EL9" s="2" t="s">
        <v>17</v>
      </c>
      <c r="EM9" s="2" t="s">
        <v>17</v>
      </c>
      <c r="EN9" s="2" t="s">
        <v>17</v>
      </c>
      <c r="EO9" s="2" t="s">
        <v>17</v>
      </c>
      <c r="EP9" s="2" t="s">
        <v>17</v>
      </c>
      <c r="EQ9" s="2" t="s">
        <v>17</v>
      </c>
      <c r="ER9" s="2" t="s">
        <v>17</v>
      </c>
      <c r="ES9" s="2" t="s">
        <v>17</v>
      </c>
      <c r="ET9" s="2" t="s">
        <v>5132</v>
      </c>
      <c r="EU9" s="2"/>
      <c r="EV9" s="2"/>
      <c r="EW9" s="2" t="s">
        <v>9</v>
      </c>
      <c r="EX9" s="2" t="s">
        <v>1231</v>
      </c>
      <c r="EY9" s="2" t="s">
        <v>5132</v>
      </c>
      <c r="EZ9" s="2" t="s">
        <v>1237</v>
      </c>
      <c r="FA9" s="2" t="s">
        <v>1238</v>
      </c>
      <c r="FB9" s="2">
        <v>60</v>
      </c>
      <c r="FC9" s="2" t="s">
        <v>3972</v>
      </c>
      <c r="FD9" s="2">
        <v>2021</v>
      </c>
      <c r="FE9" s="2" t="s">
        <v>26</v>
      </c>
      <c r="FF9" s="2" t="s">
        <v>4210</v>
      </c>
      <c r="FG9" s="2" t="s">
        <v>812</v>
      </c>
      <c r="FH9" s="2"/>
      <c r="FI9" s="2" t="s">
        <v>948</v>
      </c>
      <c r="FJ9" s="2" t="s">
        <v>1239</v>
      </c>
      <c r="FK9" s="2">
        <v>1</v>
      </c>
      <c r="FL9" s="2" t="s">
        <v>1240</v>
      </c>
      <c r="FM9" s="2" t="s">
        <v>479</v>
      </c>
      <c r="FN9" s="2" t="s">
        <v>5133</v>
      </c>
      <c r="FO9" s="2" t="s">
        <v>63</v>
      </c>
      <c r="FP9" s="2" t="s">
        <v>9</v>
      </c>
      <c r="FQ9" s="2" t="s">
        <v>17</v>
      </c>
      <c r="FR9" s="2" t="s">
        <v>17</v>
      </c>
      <c r="FS9" s="2" t="s">
        <v>9</v>
      </c>
      <c r="FT9" s="2">
        <v>0</v>
      </c>
      <c r="FU9" s="2">
        <v>0</v>
      </c>
      <c r="FV9" s="4">
        <v>0</v>
      </c>
      <c r="FW9" s="4">
        <v>0</v>
      </c>
      <c r="FX9" s="2" t="s">
        <v>65</v>
      </c>
      <c r="FY9" s="2" t="s">
        <v>66</v>
      </c>
      <c r="FZ9" s="2" t="s">
        <v>17</v>
      </c>
      <c r="GA9" s="2"/>
      <c r="GB9" s="2"/>
      <c r="GC9" s="2"/>
      <c r="GD9" s="2" t="s">
        <v>67</v>
      </c>
      <c r="GE9" s="2" t="s">
        <v>68</v>
      </c>
      <c r="GF9" s="2">
        <v>104</v>
      </c>
      <c r="GG9" s="2">
        <v>104</v>
      </c>
      <c r="GH9" s="2"/>
      <c r="GI9" s="2"/>
      <c r="GJ9" s="2"/>
      <c r="GK9" s="2"/>
      <c r="GL9" s="2"/>
      <c r="GM9" s="2"/>
      <c r="GN9" s="2"/>
      <c r="GO9" s="2"/>
      <c r="GP9" s="2"/>
      <c r="GQ9" s="2">
        <v>104</v>
      </c>
      <c r="GR9" s="2" t="s">
        <v>2826</v>
      </c>
      <c r="GS9" s="2" t="s">
        <v>2686</v>
      </c>
      <c r="GT9" s="2">
        <v>1</v>
      </c>
      <c r="GU9" s="2" t="s">
        <v>5134</v>
      </c>
      <c r="GV9" s="2" t="s">
        <v>2838</v>
      </c>
      <c r="GW9" s="2" t="s">
        <v>17</v>
      </c>
      <c r="GX9" s="2">
        <v>28.497671</v>
      </c>
      <c r="GY9" s="2">
        <v>-81.400372000000004</v>
      </c>
      <c r="GZ9" s="2"/>
      <c r="HA9" s="2" t="s">
        <v>17</v>
      </c>
      <c r="HB9" s="2">
        <v>0</v>
      </c>
      <c r="HC9" s="2" t="s">
        <v>17</v>
      </c>
      <c r="HD9" s="2"/>
      <c r="HE9" s="2">
        <v>0</v>
      </c>
      <c r="HF9" s="2">
        <v>28.497883999999999</v>
      </c>
      <c r="HG9" s="2">
        <v>-81.400919999999999</v>
      </c>
      <c r="HH9" s="2">
        <v>0.04</v>
      </c>
      <c r="HI9" s="2">
        <v>6</v>
      </c>
      <c r="HJ9" s="2">
        <v>28.4968</v>
      </c>
      <c r="HK9" s="2">
        <v>-81.397052000000002</v>
      </c>
      <c r="HL9" s="2">
        <v>0.23</v>
      </c>
      <c r="HM9" s="2">
        <v>28.497485999999999</v>
      </c>
      <c r="HN9" s="2">
        <v>-81.396698999999998</v>
      </c>
      <c r="HO9" s="2">
        <v>0.22</v>
      </c>
      <c r="HP9" s="2"/>
      <c r="HQ9" s="2"/>
      <c r="HR9" s="2"/>
      <c r="HS9" s="2"/>
      <c r="HT9" s="2"/>
      <c r="HU9" s="2"/>
      <c r="HV9" s="2"/>
      <c r="HW9" s="2"/>
      <c r="HX9" s="2" t="s">
        <v>73</v>
      </c>
      <c r="HY9" s="2" t="s">
        <v>316</v>
      </c>
      <c r="HZ9" s="2" t="s">
        <v>5135</v>
      </c>
      <c r="IA9" s="2">
        <v>0.11</v>
      </c>
      <c r="IB9" s="2">
        <v>4</v>
      </c>
      <c r="IC9" s="2"/>
      <c r="ID9" s="2"/>
      <c r="IE9" s="2"/>
      <c r="IF9" s="2"/>
      <c r="IG9" s="2" t="s">
        <v>112</v>
      </c>
      <c r="IH9" s="2" t="s">
        <v>5136</v>
      </c>
      <c r="II9" s="2">
        <v>1.1499999999999999</v>
      </c>
      <c r="IJ9" s="2">
        <v>2</v>
      </c>
      <c r="IK9" s="2" t="s">
        <v>5137</v>
      </c>
      <c r="IL9" s="2" t="s">
        <v>5138</v>
      </c>
      <c r="IM9" s="2">
        <v>0.87</v>
      </c>
      <c r="IN9" s="2">
        <v>3</v>
      </c>
      <c r="IO9" s="2">
        <v>6</v>
      </c>
      <c r="IP9" s="2">
        <v>9</v>
      </c>
      <c r="IQ9" s="2">
        <v>0</v>
      </c>
      <c r="IR9" s="2">
        <v>15</v>
      </c>
      <c r="IS9" s="2" t="s">
        <v>17</v>
      </c>
      <c r="IT9" s="2" t="s">
        <v>17</v>
      </c>
      <c r="IU9" s="2" t="s">
        <v>17</v>
      </c>
      <c r="IV9" s="2" t="s">
        <v>9</v>
      </c>
      <c r="IW9" s="2" t="s">
        <v>9</v>
      </c>
      <c r="IX9" s="2" t="s">
        <v>9</v>
      </c>
      <c r="IY9" s="2">
        <v>15</v>
      </c>
      <c r="IZ9" s="2">
        <v>104</v>
      </c>
      <c r="JA9" s="2"/>
      <c r="JB9" s="2"/>
      <c r="JC9" s="2"/>
      <c r="JD9" s="2"/>
      <c r="JE9" s="2"/>
      <c r="JF9" s="2"/>
      <c r="JG9" s="2"/>
      <c r="JH9" s="7">
        <v>0</v>
      </c>
      <c r="JI9" s="2">
        <v>0</v>
      </c>
      <c r="JJ9" s="7">
        <v>0</v>
      </c>
      <c r="JK9" s="2">
        <v>0</v>
      </c>
      <c r="JL9" s="7">
        <v>0</v>
      </c>
      <c r="JM9" s="2">
        <v>16</v>
      </c>
      <c r="JN9" s="2">
        <v>16</v>
      </c>
      <c r="JO9" s="2">
        <v>41</v>
      </c>
      <c r="JP9" s="2"/>
      <c r="JQ9" s="2">
        <v>31</v>
      </c>
      <c r="JR9" s="2">
        <v>0</v>
      </c>
      <c r="JS9" s="2">
        <v>0</v>
      </c>
      <c r="JT9" s="2"/>
      <c r="JU9" s="2"/>
      <c r="JV9" s="2">
        <v>104</v>
      </c>
      <c r="JW9" s="4">
        <v>1</v>
      </c>
      <c r="JX9" s="2">
        <v>104</v>
      </c>
      <c r="JY9" s="4">
        <v>0.59807999999999995</v>
      </c>
      <c r="JZ9" s="2">
        <v>0</v>
      </c>
      <c r="KA9" s="2"/>
      <c r="KB9" s="2"/>
      <c r="KC9" s="2"/>
      <c r="KD9" s="2"/>
      <c r="KE9" s="2"/>
      <c r="KF9" s="2"/>
      <c r="KG9" s="2"/>
      <c r="KH9" s="2">
        <v>52</v>
      </c>
      <c r="KI9" s="2"/>
      <c r="KJ9" s="2"/>
      <c r="KK9" s="2">
        <v>52</v>
      </c>
      <c r="KL9" s="2"/>
      <c r="KM9" s="2"/>
      <c r="KN9" s="2"/>
      <c r="KO9" s="2"/>
      <c r="KP9" s="2"/>
      <c r="KQ9" s="2" t="s">
        <v>83</v>
      </c>
      <c r="KR9" s="2" t="s">
        <v>73</v>
      </c>
      <c r="KS9" s="2"/>
      <c r="KT9" s="2">
        <v>3</v>
      </c>
      <c r="KU9" s="2" t="s">
        <v>84</v>
      </c>
      <c r="KV9" s="2" t="s">
        <v>85</v>
      </c>
      <c r="KW9" s="2" t="s">
        <v>86</v>
      </c>
      <c r="KX9" s="2" t="s">
        <v>17</v>
      </c>
      <c r="KY9" s="2" t="s">
        <v>17</v>
      </c>
      <c r="KZ9" s="2" t="s">
        <v>17</v>
      </c>
      <c r="LA9" s="2" t="s">
        <v>17</v>
      </c>
      <c r="LB9" s="2" t="s">
        <v>17</v>
      </c>
      <c r="LC9" s="2" t="s">
        <v>17</v>
      </c>
      <c r="LD9" s="2" t="s">
        <v>17</v>
      </c>
      <c r="LE9" s="2" t="s">
        <v>17</v>
      </c>
      <c r="LF9" s="2" t="s">
        <v>17</v>
      </c>
      <c r="LG9" s="2" t="s">
        <v>17</v>
      </c>
      <c r="LH9" s="2" t="s">
        <v>17</v>
      </c>
      <c r="LI9" s="2" t="s">
        <v>17</v>
      </c>
      <c r="LJ9" s="2" t="s">
        <v>87</v>
      </c>
      <c r="LK9" s="2" t="s">
        <v>17</v>
      </c>
      <c r="LL9" s="2" t="s">
        <v>17</v>
      </c>
      <c r="LM9" s="2">
        <v>0</v>
      </c>
      <c r="LN9" s="2" t="s">
        <v>17</v>
      </c>
      <c r="LO9" s="2" t="s">
        <v>9</v>
      </c>
      <c r="LP9" s="2" t="s">
        <v>9</v>
      </c>
      <c r="LQ9" s="2" t="s">
        <v>17</v>
      </c>
      <c r="LR9" s="2" t="s">
        <v>9</v>
      </c>
      <c r="LS9" s="2" t="s">
        <v>17</v>
      </c>
      <c r="LT9" s="2" t="s">
        <v>17</v>
      </c>
      <c r="LU9" s="2" t="s">
        <v>17</v>
      </c>
      <c r="LV9" s="2" t="s">
        <v>17</v>
      </c>
      <c r="LW9" s="2" t="s">
        <v>17</v>
      </c>
      <c r="LX9" s="2" t="s">
        <v>17</v>
      </c>
      <c r="LY9" s="5">
        <v>10000000</v>
      </c>
      <c r="LZ9" s="5">
        <v>0</v>
      </c>
      <c r="MA9" s="5">
        <v>10000000</v>
      </c>
      <c r="MB9" s="5">
        <v>8000000</v>
      </c>
      <c r="MC9" s="5">
        <v>8000000</v>
      </c>
      <c r="MD9" s="5">
        <v>952300</v>
      </c>
      <c r="ME9" s="5">
        <v>952300</v>
      </c>
      <c r="MF9" s="5">
        <v>952300</v>
      </c>
      <c r="MG9" s="5">
        <v>8952300</v>
      </c>
      <c r="MH9" s="2">
        <v>0</v>
      </c>
      <c r="MI9" s="5">
        <v>0</v>
      </c>
      <c r="MJ9" s="5">
        <v>0</v>
      </c>
      <c r="MK9" s="2">
        <v>0</v>
      </c>
      <c r="ML9" s="2">
        <v>0</v>
      </c>
      <c r="MM9" s="2">
        <v>0</v>
      </c>
      <c r="MN9" s="5">
        <v>2950000</v>
      </c>
      <c r="MO9" s="5">
        <v>0</v>
      </c>
      <c r="MP9" s="5">
        <v>4600000</v>
      </c>
      <c r="MQ9" s="5">
        <v>0</v>
      </c>
      <c r="MR9" s="5">
        <v>0</v>
      </c>
      <c r="MS9" s="5">
        <v>0</v>
      </c>
      <c r="MT9" s="5">
        <v>0</v>
      </c>
      <c r="MU9" s="5">
        <v>2500000</v>
      </c>
      <c r="MV9" s="5">
        <v>0</v>
      </c>
      <c r="MW9" s="5">
        <v>0</v>
      </c>
      <c r="MX9" s="5">
        <v>0</v>
      </c>
      <c r="MY9" s="5">
        <v>0</v>
      </c>
      <c r="MZ9" s="5">
        <v>0</v>
      </c>
      <c r="NA9" s="5">
        <v>1453186</v>
      </c>
      <c r="NB9" s="2" t="s">
        <v>17</v>
      </c>
      <c r="NC9" s="2"/>
      <c r="ND9" s="2"/>
      <c r="NE9" s="2"/>
      <c r="NF9" s="2"/>
      <c r="NG9" s="2"/>
      <c r="NH9" s="2"/>
      <c r="NI9" s="61">
        <v>0</v>
      </c>
      <c r="NJ9" s="61"/>
      <c r="NK9" s="61"/>
      <c r="NL9" s="61"/>
      <c r="NM9" s="2" t="s">
        <v>17</v>
      </c>
      <c r="NN9" s="2"/>
      <c r="NO9" s="2" t="s">
        <v>17</v>
      </c>
      <c r="NP9" s="2"/>
      <c r="NQ9" s="2"/>
      <c r="NR9" s="2" t="s">
        <v>17</v>
      </c>
      <c r="NS9" s="2"/>
      <c r="NT9" s="2" t="s">
        <v>9</v>
      </c>
      <c r="NU9" s="2" t="s">
        <v>450</v>
      </c>
      <c r="NV9" s="2">
        <v>145.02000000000001</v>
      </c>
      <c r="NW9" s="2" t="s">
        <v>3011</v>
      </c>
      <c r="NX9" s="2" t="s">
        <v>118</v>
      </c>
      <c r="NY9" s="2" t="s">
        <v>118</v>
      </c>
      <c r="NZ9" s="2" t="s">
        <v>118</v>
      </c>
      <c r="OA9" s="2" t="s">
        <v>17</v>
      </c>
      <c r="OB9" s="2" t="s">
        <v>119</v>
      </c>
      <c r="OC9" s="5">
        <v>17000000</v>
      </c>
      <c r="OD9" s="2" t="s">
        <v>17</v>
      </c>
      <c r="OE9" s="2" t="s">
        <v>17</v>
      </c>
      <c r="OF9" s="2" t="s">
        <v>85</v>
      </c>
      <c r="OG9" s="6">
        <v>6850000</v>
      </c>
      <c r="OH9" s="6">
        <v>0</v>
      </c>
      <c r="OI9" s="2" t="s">
        <v>93</v>
      </c>
      <c r="OJ9" s="2" t="s">
        <v>93</v>
      </c>
      <c r="OK9" s="6">
        <v>0</v>
      </c>
      <c r="OL9" s="6">
        <v>0</v>
      </c>
      <c r="OM9" s="6">
        <v>0</v>
      </c>
      <c r="ON9" s="6">
        <v>0</v>
      </c>
      <c r="OO9" s="6">
        <v>0</v>
      </c>
      <c r="OP9" s="6">
        <v>0</v>
      </c>
      <c r="OQ9" s="4">
        <v>0</v>
      </c>
      <c r="OR9" s="6">
        <v>0</v>
      </c>
      <c r="OS9" s="4">
        <v>0</v>
      </c>
      <c r="OT9" s="2" t="s">
        <v>17</v>
      </c>
      <c r="OU9" s="2" t="s">
        <v>17</v>
      </c>
      <c r="OV9" s="2"/>
      <c r="OW9" s="2" t="s">
        <v>17</v>
      </c>
      <c r="OX9" s="5">
        <v>7363680</v>
      </c>
      <c r="OY9" s="6">
        <v>70804.62</v>
      </c>
      <c r="OZ9" s="2"/>
      <c r="PA9" s="2"/>
      <c r="PB9" s="2"/>
      <c r="PC9" s="2"/>
      <c r="PD9" s="2"/>
      <c r="PE9" s="2"/>
      <c r="PF9" s="8">
        <v>14953900</v>
      </c>
      <c r="PG9" s="2"/>
      <c r="PH9" s="8">
        <v>14953900</v>
      </c>
      <c r="PI9" s="2"/>
      <c r="PJ9" s="2"/>
      <c r="PK9" s="8">
        <v>82582</v>
      </c>
      <c r="PL9" s="8">
        <v>82582</v>
      </c>
      <c r="PM9" s="8">
        <v>1440000</v>
      </c>
      <c r="PN9" s="8">
        <v>360000</v>
      </c>
      <c r="PO9" s="8">
        <v>1800000</v>
      </c>
      <c r="PP9" s="2"/>
      <c r="PQ9" s="2"/>
      <c r="PR9" s="8">
        <v>16476482</v>
      </c>
      <c r="PS9" s="8">
        <v>360000</v>
      </c>
      <c r="PT9" s="8">
        <v>16836482</v>
      </c>
      <c r="PU9" s="8">
        <v>2345546</v>
      </c>
      <c r="PV9" s="8">
        <v>2345546</v>
      </c>
      <c r="PW9" s="6">
        <v>2357107</v>
      </c>
      <c r="PX9" s="8">
        <v>18822028</v>
      </c>
      <c r="PY9" s="8">
        <v>360000</v>
      </c>
      <c r="PZ9" s="8">
        <v>19182028</v>
      </c>
      <c r="QA9" s="8">
        <v>954972</v>
      </c>
      <c r="QB9" s="8">
        <v>954972</v>
      </c>
      <c r="QC9" s="6">
        <v>959101.4</v>
      </c>
      <c r="QD9" s="8">
        <v>25000</v>
      </c>
      <c r="QE9" s="8">
        <v>25000</v>
      </c>
      <c r="QF9" s="8">
        <v>50000</v>
      </c>
      <c r="QG9" s="8">
        <v>6500</v>
      </c>
      <c r="QH9" s="8">
        <v>6500</v>
      </c>
      <c r="QI9" s="8">
        <v>375000</v>
      </c>
      <c r="QJ9" s="8">
        <v>375000</v>
      </c>
      <c r="QK9" s="8">
        <v>75000</v>
      </c>
      <c r="QL9" s="8">
        <v>75000</v>
      </c>
      <c r="QM9" s="8">
        <v>115814</v>
      </c>
      <c r="QN9" s="2"/>
      <c r="QO9" s="8">
        <v>115814</v>
      </c>
      <c r="QP9" s="8">
        <v>125654</v>
      </c>
      <c r="QQ9" s="8">
        <v>125654</v>
      </c>
      <c r="QR9" s="8">
        <v>3500</v>
      </c>
      <c r="QS9" s="8">
        <v>3500</v>
      </c>
      <c r="QT9" s="8">
        <v>90000</v>
      </c>
      <c r="QU9" s="8">
        <v>20000</v>
      </c>
      <c r="QV9" s="8">
        <v>110000</v>
      </c>
      <c r="QW9" s="8">
        <v>10000</v>
      </c>
      <c r="QX9" s="8">
        <v>10000</v>
      </c>
      <c r="QY9" s="8">
        <v>130787</v>
      </c>
      <c r="QZ9" s="8">
        <v>130787</v>
      </c>
      <c r="RA9" s="8">
        <v>3000</v>
      </c>
      <c r="RB9" s="8">
        <v>3000</v>
      </c>
      <c r="RC9" s="8">
        <v>125000</v>
      </c>
      <c r="RD9" s="8">
        <v>125000</v>
      </c>
      <c r="RE9" s="8">
        <v>30000</v>
      </c>
      <c r="RF9" s="8">
        <v>30000</v>
      </c>
      <c r="RG9" s="8">
        <v>30000</v>
      </c>
      <c r="RH9" s="8">
        <v>30000</v>
      </c>
      <c r="RI9" s="8">
        <v>652000</v>
      </c>
      <c r="RJ9" s="8">
        <v>652000</v>
      </c>
      <c r="RK9" s="8">
        <v>30000</v>
      </c>
      <c r="RL9" s="2"/>
      <c r="RM9" s="8">
        <v>30000</v>
      </c>
      <c r="RN9" s="8">
        <v>41600</v>
      </c>
      <c r="RO9" s="2"/>
      <c r="RP9" s="8">
        <v>41600</v>
      </c>
      <c r="RQ9" s="8">
        <v>385050</v>
      </c>
      <c r="RR9" s="8">
        <v>236950</v>
      </c>
      <c r="RS9" s="8">
        <v>622000</v>
      </c>
      <c r="RT9" s="2"/>
      <c r="RU9" s="8">
        <v>5000</v>
      </c>
      <c r="RV9" s="8">
        <v>5000</v>
      </c>
      <c r="RW9" s="8">
        <v>50000</v>
      </c>
      <c r="RX9" s="8">
        <v>50000</v>
      </c>
      <c r="RY9" s="2"/>
      <c r="RZ9" s="8">
        <v>15000</v>
      </c>
      <c r="SA9" s="8">
        <v>15000</v>
      </c>
      <c r="SB9" s="2" t="s">
        <v>5367</v>
      </c>
      <c r="SC9" s="8">
        <v>2500</v>
      </c>
      <c r="SD9" s="2"/>
      <c r="SE9" s="8">
        <v>10000</v>
      </c>
      <c r="SF9" s="8">
        <v>10000</v>
      </c>
      <c r="SG9" s="2"/>
      <c r="SH9" s="8">
        <v>114704</v>
      </c>
      <c r="SI9" s="8">
        <v>12566</v>
      </c>
      <c r="SJ9" s="8">
        <v>127270</v>
      </c>
      <c r="SK9" s="8">
        <v>576160</v>
      </c>
      <c r="SL9" s="8">
        <v>576160</v>
      </c>
      <c r="SM9" s="8">
        <v>150000</v>
      </c>
      <c r="SN9" s="2"/>
      <c r="SO9" s="8">
        <v>150000</v>
      </c>
      <c r="SP9" s="8">
        <v>2805982</v>
      </c>
      <c r="SQ9" s="8">
        <v>665803</v>
      </c>
      <c r="SR9" s="8">
        <v>3471785</v>
      </c>
      <c r="SS9" s="8">
        <v>98167</v>
      </c>
      <c r="ST9" s="8">
        <v>5208</v>
      </c>
      <c r="SU9" s="8">
        <v>103375</v>
      </c>
      <c r="SV9" s="6">
        <v>173589.25</v>
      </c>
      <c r="SW9" s="8">
        <v>120000</v>
      </c>
      <c r="SX9" s="8">
        <v>120000</v>
      </c>
      <c r="SY9" s="2"/>
      <c r="SZ9" s="8">
        <v>1092000</v>
      </c>
      <c r="TA9" s="8">
        <v>364000</v>
      </c>
      <c r="TB9" s="8">
        <v>1456000</v>
      </c>
      <c r="TC9" s="2"/>
      <c r="TD9" s="8">
        <v>435523</v>
      </c>
      <c r="TE9" s="8">
        <v>435523</v>
      </c>
      <c r="TF9" s="8">
        <v>58500</v>
      </c>
      <c r="TG9" s="8">
        <v>58500</v>
      </c>
      <c r="TH9" s="2"/>
      <c r="TI9" s="8">
        <v>25000</v>
      </c>
      <c r="TJ9" s="8">
        <v>25000</v>
      </c>
      <c r="TK9" s="2"/>
      <c r="TL9" s="2"/>
      <c r="TM9" s="2"/>
      <c r="TN9" s="2"/>
      <c r="TO9" s="8">
        <v>1212000</v>
      </c>
      <c r="TP9" s="8">
        <v>883023</v>
      </c>
      <c r="TQ9" s="8">
        <v>2095023</v>
      </c>
      <c r="TR9" s="8">
        <v>23893149</v>
      </c>
      <c r="TS9" s="8">
        <v>1914034</v>
      </c>
      <c r="TT9" s="8">
        <v>25807183</v>
      </c>
      <c r="TU9" s="8">
        <v>4549428</v>
      </c>
      <c r="TV9" s="8">
        <v>4549428</v>
      </c>
      <c r="TW9" s="6">
        <v>4645292</v>
      </c>
      <c r="TX9" s="8">
        <v>4549428</v>
      </c>
      <c r="TY9" s="8">
        <v>4549428</v>
      </c>
      <c r="TZ9" s="6">
        <v>4645292</v>
      </c>
      <c r="UA9" s="8">
        <v>2000000</v>
      </c>
      <c r="UB9" s="8">
        <v>2000000</v>
      </c>
      <c r="UC9" s="8">
        <v>28442577</v>
      </c>
      <c r="UD9" s="8">
        <v>3914034</v>
      </c>
      <c r="UE9" s="8">
        <v>32356611</v>
      </c>
      <c r="UF9" s="8">
        <v>17000000</v>
      </c>
      <c r="UG9" s="2" t="s">
        <v>4295</v>
      </c>
      <c r="UH9" s="8">
        <v>1000000</v>
      </c>
      <c r="UI9" s="2" t="s">
        <v>1316</v>
      </c>
      <c r="UJ9" s="8">
        <v>8952300</v>
      </c>
      <c r="UK9" s="2"/>
      <c r="UL9" s="2" t="s">
        <v>96</v>
      </c>
      <c r="UM9" s="8">
        <v>2673595</v>
      </c>
      <c r="UN9" s="8">
        <v>4300000</v>
      </c>
      <c r="UO9" s="8">
        <v>33925895</v>
      </c>
      <c r="UP9" s="8">
        <v>1569284</v>
      </c>
      <c r="UQ9" s="8">
        <v>5850000</v>
      </c>
      <c r="UR9" s="2" t="s">
        <v>4295</v>
      </c>
      <c r="US9" s="8">
        <v>1000000</v>
      </c>
      <c r="UT9" s="2" t="s">
        <v>1316</v>
      </c>
      <c r="UU9" s="2"/>
      <c r="UV9" s="2"/>
      <c r="UW9" s="8">
        <v>8952300</v>
      </c>
      <c r="UX9" s="2"/>
      <c r="UY9" s="2" t="s">
        <v>96</v>
      </c>
      <c r="UZ9" s="8">
        <v>13367974</v>
      </c>
      <c r="VA9" s="8">
        <v>4300000</v>
      </c>
      <c r="VB9" s="8">
        <v>33470274</v>
      </c>
      <c r="VC9" s="6">
        <v>15802300</v>
      </c>
      <c r="VD9" s="8">
        <v>1113663</v>
      </c>
      <c r="VE9" s="5">
        <v>370000</v>
      </c>
      <c r="VF9" s="5">
        <v>377500</v>
      </c>
      <c r="VG9" s="6">
        <v>291890.49</v>
      </c>
      <c r="VH9" s="2" t="s">
        <v>9</v>
      </c>
      <c r="VI9" s="388" t="s">
        <v>1231</v>
      </c>
      <c r="VJ9" s="2" t="s">
        <v>98</v>
      </c>
      <c r="VK9" s="2" t="s">
        <v>1247</v>
      </c>
      <c r="VL9" s="23">
        <f t="shared" si="0"/>
        <v>156</v>
      </c>
      <c r="VM9" s="17">
        <f t="shared" si="1"/>
        <v>1.5</v>
      </c>
      <c r="VN9" s="17" t="str">
        <f t="shared" si="2"/>
        <v>NC-GA-F</v>
      </c>
      <c r="VO9" s="17" t="str">
        <f t="shared" si="15"/>
        <v>NC-GA-F-ESS</v>
      </c>
      <c r="VP9" s="57">
        <v>1</v>
      </c>
      <c r="VQ9" s="17">
        <f t="shared" si="3"/>
        <v>1.1100000000000001</v>
      </c>
      <c r="VR9" s="57">
        <f t="shared" si="4"/>
        <v>1</v>
      </c>
      <c r="VS9" s="14">
        <f t="shared" si="5"/>
        <v>1</v>
      </c>
      <c r="VT9" s="12">
        <f t="shared" si="6"/>
        <v>0.85440000000000005</v>
      </c>
      <c r="VU9" s="29">
        <f t="shared" si="7"/>
        <v>7587072</v>
      </c>
      <c r="VV9" s="29">
        <f t="shared" si="8"/>
        <v>72952.62</v>
      </c>
      <c r="VW9" s="351" t="str">
        <f t="shared" si="21"/>
        <v>A</v>
      </c>
      <c r="VX9" s="12" t="str">
        <f t="shared" si="9"/>
        <v>NC-GA-ESS</v>
      </c>
      <c r="VY9" s="23">
        <f t="shared" si="22"/>
        <v>2</v>
      </c>
      <c r="WA9" s="12">
        <f t="shared" si="16"/>
        <v>0</v>
      </c>
      <c r="WB9" s="12">
        <f t="shared" si="17"/>
        <v>1</v>
      </c>
      <c r="WC9" s="12">
        <f t="shared" si="17"/>
        <v>0</v>
      </c>
      <c r="WD9" s="12">
        <f t="shared" si="17"/>
        <v>0</v>
      </c>
      <c r="WE9" s="12">
        <f t="shared" si="18"/>
        <v>1</v>
      </c>
      <c r="WF9" s="12">
        <f t="shared" si="10"/>
        <v>1</v>
      </c>
      <c r="WG9" s="12">
        <f t="shared" si="11"/>
        <v>0</v>
      </c>
      <c r="WH9" s="12">
        <f t="shared" si="12"/>
        <v>0</v>
      </c>
      <c r="WI9" s="31">
        <f t="shared" si="13"/>
        <v>3</v>
      </c>
      <c r="WJ9" s="2"/>
      <c r="WK9" s="444" t="str">
        <f t="shared" si="14"/>
        <v>NC-GA-ESS-BBY-BRN-NPH-F</v>
      </c>
      <c r="WL9" s="444"/>
      <c r="WM9" s="444"/>
      <c r="WN9" s="12"/>
      <c r="WO9" s="380" t="s">
        <v>2628</v>
      </c>
      <c r="WP9" s="144">
        <f>COUNTIFS($WE$2:$WE$72,"=1",$WA$2:$WA$72,"=1")</f>
        <v>7</v>
      </c>
      <c r="WQ9" s="144">
        <f>COUNTIFS($WE$2:$WE$72,"=1",$WB$2:$WB$72,"=1")</f>
        <v>20</v>
      </c>
      <c r="WR9" s="144">
        <f>COUNTIFS($WE$2:$WE$72,"=1",$WC$2:$WC$72,"=1")</f>
        <v>0</v>
      </c>
      <c r="WS9" s="144">
        <f>COUNTIFS($WE$2:$WE$72,"=1",$WD$2:$WD$72,"=1")</f>
        <v>6</v>
      </c>
      <c r="WT9" s="144">
        <f>COUNTIFS($WE$2:$WE$72,"=1",$WF$2:$WF$72,"=1")</f>
        <v>12</v>
      </c>
      <c r="WU9" s="144">
        <f>COUNTIFS($WE$2:$WE$72,"=1",$WG$2:$WG$72,"=1")</f>
        <v>10</v>
      </c>
      <c r="WV9" s="144">
        <f>COUNTIFS($WE$2:$WE$72,"=1",$WH$2:$WH$72,"=1")</f>
        <v>1</v>
      </c>
      <c r="WW9" s="384"/>
      <c r="WX9" s="205">
        <f>COUNTIF($WE$2:$WE$72,"=1")</f>
        <v>23</v>
      </c>
    </row>
    <row r="10" spans="1:622" x14ac:dyDescent="0.25">
      <c r="A10" s="2">
        <v>9016</v>
      </c>
      <c r="B10" s="2" t="s">
        <v>5139</v>
      </c>
      <c r="C10" s="2" t="s">
        <v>5063</v>
      </c>
      <c r="D10" s="2">
        <v>10</v>
      </c>
      <c r="E10" s="2">
        <v>47.88</v>
      </c>
      <c r="F10" s="2"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 t="s">
        <v>9</v>
      </c>
      <c r="BV10" s="6">
        <v>72172.02</v>
      </c>
      <c r="BW10" s="2" t="s">
        <v>18</v>
      </c>
      <c r="BX10" s="3">
        <v>45036</v>
      </c>
      <c r="BY10" s="2" t="s">
        <v>9</v>
      </c>
      <c r="BZ10" s="2">
        <v>1</v>
      </c>
      <c r="CA10" s="2" t="s">
        <v>9</v>
      </c>
      <c r="CB10" s="2">
        <v>1</v>
      </c>
      <c r="CC10" s="2" t="s">
        <v>9</v>
      </c>
      <c r="CD10" s="2">
        <v>0</v>
      </c>
      <c r="CE10" s="2" t="s">
        <v>1919</v>
      </c>
      <c r="CF10" s="2">
        <v>1</v>
      </c>
      <c r="CG10" s="2" t="s">
        <v>10</v>
      </c>
      <c r="CH10" s="2">
        <v>0</v>
      </c>
      <c r="CI10" s="2" t="s">
        <v>10</v>
      </c>
      <c r="CJ10" s="2">
        <v>0</v>
      </c>
      <c r="CK10" s="2" t="s">
        <v>11</v>
      </c>
      <c r="CL10" s="2">
        <v>0</v>
      </c>
      <c r="CM10" s="2" t="s">
        <v>9</v>
      </c>
      <c r="CN10" s="2">
        <v>2</v>
      </c>
      <c r="CO10" s="2" t="s">
        <v>9</v>
      </c>
      <c r="CP10" s="2">
        <v>2</v>
      </c>
      <c r="CQ10" s="2" t="s">
        <v>9</v>
      </c>
      <c r="CR10" s="2">
        <v>2</v>
      </c>
      <c r="CS10" s="2" t="s">
        <v>12</v>
      </c>
      <c r="CT10" s="2" t="s">
        <v>538</v>
      </c>
      <c r="CU10" s="2" t="s">
        <v>15</v>
      </c>
      <c r="CV10" s="2" t="s">
        <v>15</v>
      </c>
      <c r="CW10" s="2" t="s">
        <v>15</v>
      </c>
      <c r="CX10" s="2" t="s">
        <v>15</v>
      </c>
      <c r="CY10" s="2" t="s">
        <v>15</v>
      </c>
      <c r="CZ10" s="2">
        <v>1</v>
      </c>
      <c r="DA10" s="2" t="s">
        <v>3047</v>
      </c>
      <c r="DB10" s="2" t="s">
        <v>17</v>
      </c>
      <c r="DC10" s="4">
        <v>0.15232000000000001</v>
      </c>
      <c r="DD10" s="2" t="s">
        <v>17</v>
      </c>
      <c r="DE10" s="2" t="s">
        <v>9</v>
      </c>
      <c r="DF10" s="2" t="s">
        <v>17</v>
      </c>
      <c r="DG10" s="2" t="s">
        <v>17</v>
      </c>
      <c r="DH10" s="2" t="s">
        <v>17</v>
      </c>
      <c r="DI10" s="2" t="s">
        <v>9</v>
      </c>
      <c r="DJ10" s="2" t="s">
        <v>17</v>
      </c>
      <c r="DK10" s="2" t="s">
        <v>17</v>
      </c>
      <c r="DL10" s="2" t="s">
        <v>17</v>
      </c>
      <c r="DM10" s="2" t="s">
        <v>17</v>
      </c>
      <c r="DN10" s="2" t="s">
        <v>2663</v>
      </c>
      <c r="DO10" s="2">
        <v>5</v>
      </c>
      <c r="DP10" s="5">
        <v>50000</v>
      </c>
      <c r="DQ10" s="5">
        <v>460000</v>
      </c>
      <c r="DR10" s="2">
        <v>0</v>
      </c>
      <c r="DS10" s="2">
        <v>5</v>
      </c>
      <c r="DT10" s="2">
        <v>0</v>
      </c>
      <c r="DU10" s="2">
        <v>5</v>
      </c>
      <c r="DV10" s="2">
        <v>0</v>
      </c>
      <c r="DW10" s="2">
        <v>0</v>
      </c>
      <c r="DX10" s="2">
        <v>1</v>
      </c>
      <c r="DY10" s="2">
        <v>0</v>
      </c>
      <c r="DZ10" s="2">
        <v>1</v>
      </c>
      <c r="EA10" s="2">
        <v>0</v>
      </c>
      <c r="EB10" s="2">
        <v>0</v>
      </c>
      <c r="EC10" s="2">
        <v>0</v>
      </c>
      <c r="ED10" s="2">
        <v>13</v>
      </c>
      <c r="EE10" s="2">
        <v>1</v>
      </c>
      <c r="EF10" s="2">
        <v>0</v>
      </c>
      <c r="EG10" s="2">
        <v>3</v>
      </c>
      <c r="EH10" s="2">
        <v>0</v>
      </c>
      <c r="EI10" s="2">
        <v>9</v>
      </c>
      <c r="EJ10" s="2">
        <v>11</v>
      </c>
      <c r="EK10" s="2">
        <v>0</v>
      </c>
      <c r="EL10" s="2" t="s">
        <v>17</v>
      </c>
      <c r="EM10" s="2" t="s">
        <v>17</v>
      </c>
      <c r="EN10" s="2" t="s">
        <v>17</v>
      </c>
      <c r="EO10" s="2" t="s">
        <v>17</v>
      </c>
      <c r="EP10" s="2" t="s">
        <v>17</v>
      </c>
      <c r="EQ10" s="2" t="s">
        <v>17</v>
      </c>
      <c r="ER10" s="2" t="s">
        <v>17</v>
      </c>
      <c r="ES10" s="2" t="s">
        <v>17</v>
      </c>
      <c r="ET10" s="2" t="s">
        <v>1920</v>
      </c>
      <c r="EU10" s="2" t="s">
        <v>1921</v>
      </c>
      <c r="EV10" s="2"/>
      <c r="EW10" s="2" t="s">
        <v>9</v>
      </c>
      <c r="EX10" s="2" t="s">
        <v>1922</v>
      </c>
      <c r="EY10" s="2" t="s">
        <v>1920</v>
      </c>
      <c r="EZ10" s="2" t="s">
        <v>4605</v>
      </c>
      <c r="FA10" s="2" t="s">
        <v>330</v>
      </c>
      <c r="FB10" s="2">
        <v>220</v>
      </c>
      <c r="FC10" s="2" t="s">
        <v>4606</v>
      </c>
      <c r="FD10" s="2">
        <v>2012</v>
      </c>
      <c r="FE10" s="2" t="s">
        <v>26</v>
      </c>
      <c r="FF10" s="2" t="s">
        <v>4210</v>
      </c>
      <c r="FG10" s="2" t="s">
        <v>656</v>
      </c>
      <c r="FH10" s="2"/>
      <c r="FI10" s="2" t="s">
        <v>1929</v>
      </c>
      <c r="FJ10" s="2" t="s">
        <v>1930</v>
      </c>
      <c r="FK10" s="2">
        <v>1</v>
      </c>
      <c r="FL10" s="2" t="s">
        <v>1931</v>
      </c>
      <c r="FM10" s="2" t="s">
        <v>1932</v>
      </c>
      <c r="FN10" s="2" t="s">
        <v>1948</v>
      </c>
      <c r="FO10" s="2" t="s">
        <v>63</v>
      </c>
      <c r="FP10" s="2" t="s">
        <v>9</v>
      </c>
      <c r="FQ10" s="2" t="s">
        <v>17</v>
      </c>
      <c r="FR10" s="2" t="s">
        <v>17</v>
      </c>
      <c r="FS10" s="2" t="s">
        <v>9</v>
      </c>
      <c r="FT10" s="2">
        <v>0</v>
      </c>
      <c r="FU10" s="2">
        <v>0</v>
      </c>
      <c r="FV10" s="4">
        <v>0</v>
      </c>
      <c r="FW10" s="4">
        <v>0</v>
      </c>
      <c r="FX10" s="2" t="s">
        <v>65</v>
      </c>
      <c r="FY10" s="2" t="s">
        <v>66</v>
      </c>
      <c r="FZ10" s="2" t="s">
        <v>9</v>
      </c>
      <c r="GA10" s="2">
        <v>99</v>
      </c>
      <c r="GB10" s="2" t="s">
        <v>9</v>
      </c>
      <c r="GC10" s="2" t="s">
        <v>85</v>
      </c>
      <c r="GD10" s="2" t="s">
        <v>67</v>
      </c>
      <c r="GE10" s="2" t="s">
        <v>68</v>
      </c>
      <c r="GF10" s="2">
        <v>116</v>
      </c>
      <c r="GG10" s="2">
        <v>116</v>
      </c>
      <c r="GH10" s="2"/>
      <c r="GI10" s="2"/>
      <c r="GJ10" s="2"/>
      <c r="GK10" s="2"/>
      <c r="GL10" s="2">
        <v>35</v>
      </c>
      <c r="GM10" s="2"/>
      <c r="GN10" s="2"/>
      <c r="GO10" s="2"/>
      <c r="GP10" s="2"/>
      <c r="GQ10" s="2">
        <v>151</v>
      </c>
      <c r="GR10" s="2" t="s">
        <v>1197</v>
      </c>
      <c r="GS10" s="2" t="s">
        <v>70</v>
      </c>
      <c r="GT10" s="2">
        <v>1</v>
      </c>
      <c r="GU10" s="2" t="s">
        <v>4608</v>
      </c>
      <c r="GV10" s="2" t="s">
        <v>1469</v>
      </c>
      <c r="GW10" s="2" t="s">
        <v>9</v>
      </c>
      <c r="GX10" s="2">
        <v>26.633524000000001</v>
      </c>
      <c r="GY10" s="2">
        <v>-81.849917000000005</v>
      </c>
      <c r="GZ10" s="2" t="s">
        <v>4609</v>
      </c>
      <c r="HA10" s="2" t="s">
        <v>9</v>
      </c>
      <c r="HB10" s="2">
        <v>3</v>
      </c>
      <c r="HC10" s="2" t="s">
        <v>17</v>
      </c>
      <c r="HD10" s="2"/>
      <c r="HE10" s="2">
        <v>0</v>
      </c>
      <c r="HF10" s="2">
        <v>26.633817000000001</v>
      </c>
      <c r="HG10" s="2">
        <v>-81.849534000000006</v>
      </c>
      <c r="HH10" s="2">
        <v>0.03</v>
      </c>
      <c r="HI10" s="2">
        <v>2</v>
      </c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 t="s">
        <v>73</v>
      </c>
      <c r="HY10" s="2" t="s">
        <v>316</v>
      </c>
      <c r="HZ10" s="2" t="s">
        <v>4546</v>
      </c>
      <c r="IA10" s="2">
        <v>1.68</v>
      </c>
      <c r="IB10" s="2">
        <v>1</v>
      </c>
      <c r="IC10" s="2"/>
      <c r="ID10" s="2"/>
      <c r="IE10" s="2"/>
      <c r="IF10" s="2"/>
      <c r="IG10" s="2" t="s">
        <v>4547</v>
      </c>
      <c r="IH10" s="2" t="s">
        <v>5140</v>
      </c>
      <c r="II10" s="2">
        <v>0.72</v>
      </c>
      <c r="IJ10" s="2">
        <v>3</v>
      </c>
      <c r="IK10" s="2" t="s">
        <v>5141</v>
      </c>
      <c r="IL10" s="2" t="s">
        <v>5142</v>
      </c>
      <c r="IM10" s="2">
        <v>0.2</v>
      </c>
      <c r="IN10" s="2">
        <v>4</v>
      </c>
      <c r="IO10" s="2">
        <v>2</v>
      </c>
      <c r="IP10" s="2">
        <v>8</v>
      </c>
      <c r="IQ10" s="2">
        <v>3</v>
      </c>
      <c r="IR10" s="2">
        <v>13</v>
      </c>
      <c r="IS10" s="2" t="s">
        <v>17</v>
      </c>
      <c r="IT10" s="2" t="s">
        <v>17</v>
      </c>
      <c r="IU10" s="2" t="s">
        <v>17</v>
      </c>
      <c r="IV10" s="2" t="s">
        <v>80</v>
      </c>
      <c r="IW10" s="2" t="s">
        <v>9</v>
      </c>
      <c r="IX10" s="2" t="s">
        <v>9</v>
      </c>
      <c r="IY10" s="2">
        <v>10</v>
      </c>
      <c r="IZ10" s="2">
        <v>151</v>
      </c>
      <c r="JA10" s="2"/>
      <c r="JB10" s="2"/>
      <c r="JC10" s="2"/>
      <c r="JD10" s="2"/>
      <c r="JE10" s="2"/>
      <c r="JF10" s="2"/>
      <c r="JG10" s="2"/>
      <c r="JH10" s="7">
        <v>0</v>
      </c>
      <c r="JI10" s="2">
        <v>0</v>
      </c>
      <c r="JJ10" s="7">
        <v>0</v>
      </c>
      <c r="JK10" s="2">
        <v>0</v>
      </c>
      <c r="JL10" s="7">
        <v>0</v>
      </c>
      <c r="JM10" s="2">
        <v>23</v>
      </c>
      <c r="JN10" s="2">
        <v>62</v>
      </c>
      <c r="JO10" s="2">
        <v>32</v>
      </c>
      <c r="JP10" s="2"/>
      <c r="JQ10" s="2">
        <v>4</v>
      </c>
      <c r="JR10" s="2">
        <v>30</v>
      </c>
      <c r="JS10" s="2">
        <v>30</v>
      </c>
      <c r="JT10" s="2"/>
      <c r="JU10" s="2"/>
      <c r="JV10" s="2">
        <v>121</v>
      </c>
      <c r="JW10" s="4">
        <v>0.80132000000000003</v>
      </c>
      <c r="JX10" s="2">
        <v>151</v>
      </c>
      <c r="JY10" s="4">
        <v>0.49835000000000002</v>
      </c>
      <c r="JZ10" s="2">
        <v>0</v>
      </c>
      <c r="KA10" s="2"/>
      <c r="KB10" s="2"/>
      <c r="KC10" s="2"/>
      <c r="KD10" s="2"/>
      <c r="KE10" s="2"/>
      <c r="KF10" s="2"/>
      <c r="KG10" s="2"/>
      <c r="KH10" s="2">
        <v>60</v>
      </c>
      <c r="KI10" s="2">
        <v>52</v>
      </c>
      <c r="KJ10" s="2"/>
      <c r="KK10" s="2"/>
      <c r="KL10" s="2">
        <v>2</v>
      </c>
      <c r="KM10" s="2">
        <v>32</v>
      </c>
      <c r="KN10" s="2"/>
      <c r="KO10" s="2">
        <v>5</v>
      </c>
      <c r="KP10" s="2"/>
      <c r="KQ10" s="2" t="s">
        <v>83</v>
      </c>
      <c r="KR10" s="2" t="s">
        <v>73</v>
      </c>
      <c r="KS10" s="2"/>
      <c r="KT10" s="2">
        <v>20</v>
      </c>
      <c r="KU10" s="2" t="s">
        <v>84</v>
      </c>
      <c r="KV10" s="2" t="s">
        <v>85</v>
      </c>
      <c r="KW10" s="2" t="s">
        <v>86</v>
      </c>
      <c r="KX10" s="2" t="s">
        <v>17</v>
      </c>
      <c r="KY10" s="2" t="s">
        <v>17</v>
      </c>
      <c r="KZ10" s="2" t="s">
        <v>17</v>
      </c>
      <c r="LA10" s="2" t="s">
        <v>17</v>
      </c>
      <c r="LB10" s="2" t="s">
        <v>17</v>
      </c>
      <c r="LC10" s="2" t="s">
        <v>17</v>
      </c>
      <c r="LD10" s="2" t="s">
        <v>17</v>
      </c>
      <c r="LE10" s="2" t="s">
        <v>17</v>
      </c>
      <c r="LF10" s="2" t="s">
        <v>17</v>
      </c>
      <c r="LG10" s="2" t="s">
        <v>17</v>
      </c>
      <c r="LH10" s="2" t="s">
        <v>17</v>
      </c>
      <c r="LI10" s="2" t="s">
        <v>17</v>
      </c>
      <c r="LJ10" s="2" t="s">
        <v>87</v>
      </c>
      <c r="LK10" s="2" t="s">
        <v>17</v>
      </c>
      <c r="LL10" s="2" t="s">
        <v>17</v>
      </c>
      <c r="LM10" s="2">
        <v>0</v>
      </c>
      <c r="LN10" s="2" t="s">
        <v>17</v>
      </c>
      <c r="LO10" s="2" t="s">
        <v>17</v>
      </c>
      <c r="LP10" s="2" t="s">
        <v>9</v>
      </c>
      <c r="LQ10" s="2" t="s">
        <v>9</v>
      </c>
      <c r="LR10" s="2" t="s">
        <v>9</v>
      </c>
      <c r="LS10" s="2" t="s">
        <v>17</v>
      </c>
      <c r="LT10" s="2" t="s">
        <v>17</v>
      </c>
      <c r="LU10" s="2" t="s">
        <v>17</v>
      </c>
      <c r="LV10" s="2" t="s">
        <v>17</v>
      </c>
      <c r="LW10" s="2" t="s">
        <v>17</v>
      </c>
      <c r="LX10" s="2" t="s">
        <v>17</v>
      </c>
      <c r="LY10" s="5">
        <v>10000000</v>
      </c>
      <c r="LZ10" s="5">
        <v>4548002</v>
      </c>
      <c r="MA10" s="5">
        <v>10000000</v>
      </c>
      <c r="MB10" s="5">
        <v>10000000</v>
      </c>
      <c r="MC10" s="5">
        <v>10000000</v>
      </c>
      <c r="MD10" s="5">
        <v>1427000</v>
      </c>
      <c r="ME10" s="5">
        <v>1427000</v>
      </c>
      <c r="MF10" s="5">
        <v>1427000</v>
      </c>
      <c r="MG10" s="5">
        <v>11427000</v>
      </c>
      <c r="MH10" s="2">
        <v>0</v>
      </c>
      <c r="MI10" s="5">
        <v>0</v>
      </c>
      <c r="MJ10" s="5">
        <v>0</v>
      </c>
      <c r="MK10" s="2">
        <v>0</v>
      </c>
      <c r="ML10" s="2">
        <v>0</v>
      </c>
      <c r="MM10" s="2">
        <v>0</v>
      </c>
      <c r="MN10" s="5">
        <v>2950000</v>
      </c>
      <c r="MO10" s="5">
        <v>0</v>
      </c>
      <c r="MP10" s="5">
        <v>4600000</v>
      </c>
      <c r="MQ10" s="5">
        <v>0</v>
      </c>
      <c r="MR10" s="5">
        <v>0</v>
      </c>
      <c r="MS10" s="5">
        <v>0</v>
      </c>
      <c r="MT10" s="5">
        <v>0</v>
      </c>
      <c r="MU10" s="5">
        <v>2500000</v>
      </c>
      <c r="MV10" s="5">
        <v>0</v>
      </c>
      <c r="MW10" s="5">
        <v>0</v>
      </c>
      <c r="MX10" s="5">
        <v>0</v>
      </c>
      <c r="MY10" s="5">
        <v>2040000</v>
      </c>
      <c r="MZ10" s="5">
        <v>0</v>
      </c>
      <c r="NA10" s="5">
        <v>2614878</v>
      </c>
      <c r="NB10" s="2" t="s">
        <v>9</v>
      </c>
      <c r="NC10" s="2"/>
      <c r="ND10" s="2"/>
      <c r="NE10" s="2"/>
      <c r="NF10" s="2"/>
      <c r="NG10" s="2"/>
      <c r="NH10" s="2"/>
      <c r="NI10" s="61">
        <v>0</v>
      </c>
      <c r="NJ10" s="61"/>
      <c r="NK10" s="61"/>
      <c r="NL10" s="61"/>
      <c r="NM10" s="2" t="s">
        <v>17</v>
      </c>
      <c r="NN10" s="2"/>
      <c r="NO10" s="2" t="s">
        <v>17</v>
      </c>
      <c r="NP10" s="2"/>
      <c r="NQ10" s="2"/>
      <c r="NR10" s="2" t="s">
        <v>17</v>
      </c>
      <c r="NS10" s="2"/>
      <c r="NT10" s="2" t="s">
        <v>9</v>
      </c>
      <c r="NU10" s="2" t="s">
        <v>450</v>
      </c>
      <c r="NV10" s="2">
        <v>6</v>
      </c>
      <c r="NW10" s="2" t="s">
        <v>1221</v>
      </c>
      <c r="NX10" s="2" t="s">
        <v>118</v>
      </c>
      <c r="NY10" s="2" t="s">
        <v>118</v>
      </c>
      <c r="NZ10" s="2" t="s">
        <v>118</v>
      </c>
      <c r="OA10" s="2" t="s">
        <v>17</v>
      </c>
      <c r="OB10" s="2" t="s">
        <v>119</v>
      </c>
      <c r="OC10" s="5">
        <v>35000000</v>
      </c>
      <c r="OD10" s="2" t="s">
        <v>17</v>
      </c>
      <c r="OE10" s="2" t="s">
        <v>17</v>
      </c>
      <c r="OF10" s="2" t="s">
        <v>85</v>
      </c>
      <c r="OG10" s="6">
        <v>19359000</v>
      </c>
      <c r="OH10" s="6">
        <v>0</v>
      </c>
      <c r="OI10" s="2" t="s">
        <v>93</v>
      </c>
      <c r="OJ10" s="2" t="s">
        <v>93</v>
      </c>
      <c r="OK10" s="6">
        <v>0</v>
      </c>
      <c r="OL10" s="6">
        <v>0</v>
      </c>
      <c r="OM10" s="6">
        <v>0</v>
      </c>
      <c r="ON10" s="6">
        <v>0</v>
      </c>
      <c r="OO10" s="6">
        <v>0</v>
      </c>
      <c r="OP10" s="6">
        <v>0</v>
      </c>
      <c r="OQ10" s="4">
        <v>0</v>
      </c>
      <c r="OR10" s="6">
        <v>0</v>
      </c>
      <c r="OS10" s="4">
        <v>0</v>
      </c>
      <c r="OT10" s="2" t="s">
        <v>9</v>
      </c>
      <c r="OU10" s="2" t="s">
        <v>9</v>
      </c>
      <c r="OV10" s="2" t="s">
        <v>1951</v>
      </c>
      <c r="OW10" s="2" t="s">
        <v>17</v>
      </c>
      <c r="OX10" s="5">
        <v>8732815</v>
      </c>
      <c r="OY10" s="6">
        <v>72172.02</v>
      </c>
      <c r="OZ10" s="2"/>
      <c r="PA10" s="2"/>
      <c r="PB10" s="2"/>
      <c r="PC10" s="2"/>
      <c r="PD10" s="2"/>
      <c r="PE10" s="2"/>
      <c r="PF10" s="8">
        <v>33396339</v>
      </c>
      <c r="PG10" s="2"/>
      <c r="PH10" s="8">
        <v>33396339</v>
      </c>
      <c r="PI10" s="2"/>
      <c r="PJ10" s="2"/>
      <c r="PK10" s="8">
        <v>1315789</v>
      </c>
      <c r="PL10" s="8">
        <v>1315789</v>
      </c>
      <c r="PM10" s="8">
        <v>6223239</v>
      </c>
      <c r="PN10" s="2"/>
      <c r="PO10" s="8">
        <v>6223239</v>
      </c>
      <c r="PP10" s="2"/>
      <c r="PQ10" s="2"/>
      <c r="PR10" s="8">
        <v>40935367</v>
      </c>
      <c r="PS10" s="2"/>
      <c r="PT10" s="8">
        <v>40935367</v>
      </c>
      <c r="PU10" s="8">
        <v>5730951</v>
      </c>
      <c r="PV10" s="8">
        <v>5730951</v>
      </c>
      <c r="PW10" s="6">
        <v>5730951</v>
      </c>
      <c r="PX10" s="8">
        <v>46666318</v>
      </c>
      <c r="PY10" s="2"/>
      <c r="PZ10" s="8">
        <v>46666318</v>
      </c>
      <c r="QA10" s="8">
        <v>2333315</v>
      </c>
      <c r="QB10" s="8">
        <v>2333315</v>
      </c>
      <c r="QC10" s="6">
        <v>2333315.9</v>
      </c>
      <c r="QD10" s="8">
        <v>9778</v>
      </c>
      <c r="QE10" s="8">
        <v>20222</v>
      </c>
      <c r="QF10" s="8">
        <v>30000</v>
      </c>
      <c r="QG10" s="8" t="s">
        <v>5378</v>
      </c>
      <c r="QH10" s="8">
        <v>13680</v>
      </c>
      <c r="QI10" s="8">
        <v>1009606</v>
      </c>
      <c r="QJ10" s="8">
        <v>1009606</v>
      </c>
      <c r="QK10" s="8">
        <v>319869</v>
      </c>
      <c r="QL10" s="8">
        <v>319869</v>
      </c>
      <c r="QM10" s="8">
        <v>113750</v>
      </c>
      <c r="QN10" s="8">
        <v>113750</v>
      </c>
      <c r="QO10" s="8">
        <v>227500</v>
      </c>
      <c r="QP10" s="2"/>
      <c r="QQ10" s="2"/>
      <c r="QR10" s="2"/>
      <c r="QS10" s="2"/>
      <c r="QT10" s="8">
        <v>125000</v>
      </c>
      <c r="QU10" s="2"/>
      <c r="QV10" s="8">
        <v>125000</v>
      </c>
      <c r="QW10" s="8">
        <v>7038</v>
      </c>
      <c r="QX10" s="8">
        <v>7038</v>
      </c>
      <c r="QY10" s="8">
        <v>241339</v>
      </c>
      <c r="QZ10" s="8">
        <v>241339</v>
      </c>
      <c r="RA10" s="8">
        <v>3000</v>
      </c>
      <c r="RB10" s="8">
        <v>3000</v>
      </c>
      <c r="RC10" s="8">
        <v>225000</v>
      </c>
      <c r="RD10" s="8">
        <v>225000</v>
      </c>
      <c r="RE10" s="8">
        <v>26781</v>
      </c>
      <c r="RF10" s="8">
        <v>26781</v>
      </c>
      <c r="RG10" s="2"/>
      <c r="RH10" s="2"/>
      <c r="RI10" s="2"/>
      <c r="RJ10" s="2"/>
      <c r="RK10" s="8">
        <v>20898</v>
      </c>
      <c r="RL10" s="8">
        <v>43222</v>
      </c>
      <c r="RM10" s="8">
        <v>64120</v>
      </c>
      <c r="RN10" s="8">
        <v>700288</v>
      </c>
      <c r="RO10" s="8">
        <v>700288</v>
      </c>
      <c r="RP10" s="8">
        <v>1400576</v>
      </c>
      <c r="RQ10" s="8">
        <v>151556</v>
      </c>
      <c r="RR10" s="8">
        <v>313444</v>
      </c>
      <c r="RS10" s="8">
        <v>465000</v>
      </c>
      <c r="RT10" s="8">
        <v>3520</v>
      </c>
      <c r="RU10" s="8">
        <v>7280</v>
      </c>
      <c r="RV10" s="8">
        <v>10800</v>
      </c>
      <c r="RW10" s="8">
        <v>360000</v>
      </c>
      <c r="RX10" s="8">
        <v>360000</v>
      </c>
      <c r="RY10" s="2"/>
      <c r="RZ10" s="2"/>
      <c r="SA10" s="2"/>
      <c r="SB10" s="8">
        <v>35175</v>
      </c>
      <c r="SC10" s="8">
        <v>35175</v>
      </c>
      <c r="SD10" s="8">
        <v>25300</v>
      </c>
      <c r="SE10" s="2"/>
      <c r="SF10" s="8">
        <v>25300</v>
      </c>
      <c r="SG10" s="2"/>
      <c r="SH10" s="8">
        <v>67500</v>
      </c>
      <c r="SI10" s="8">
        <v>67500</v>
      </c>
      <c r="SJ10" s="8">
        <v>135000</v>
      </c>
      <c r="SK10" s="2"/>
      <c r="SL10" s="2"/>
      <c r="SM10" s="8">
        <v>467500</v>
      </c>
      <c r="SN10" s="2"/>
      <c r="SO10" s="8">
        <v>467500</v>
      </c>
      <c r="SP10" s="8">
        <v>3061237</v>
      </c>
      <c r="SQ10" s="8">
        <v>2131047</v>
      </c>
      <c r="SR10" s="8">
        <v>5192284</v>
      </c>
      <c r="SS10" s="8">
        <v>150000</v>
      </c>
      <c r="ST10" s="2"/>
      <c r="SU10" s="8">
        <v>150000</v>
      </c>
      <c r="SV10" s="6">
        <v>259614.2</v>
      </c>
      <c r="SW10" s="8">
        <v>403781</v>
      </c>
      <c r="SX10" s="8">
        <v>403781</v>
      </c>
      <c r="SY10" s="2"/>
      <c r="SZ10" s="8">
        <v>424459</v>
      </c>
      <c r="TA10" s="8">
        <v>1812741</v>
      </c>
      <c r="TB10" s="8">
        <v>2237200</v>
      </c>
      <c r="TC10" s="2"/>
      <c r="TD10" s="2"/>
      <c r="TE10" s="2"/>
      <c r="TF10" s="8">
        <v>88590</v>
      </c>
      <c r="TG10" s="8">
        <v>88590</v>
      </c>
      <c r="TH10" s="2"/>
      <c r="TI10" s="8">
        <v>159000</v>
      </c>
      <c r="TJ10" s="8">
        <v>159000</v>
      </c>
      <c r="TK10" s="2"/>
      <c r="TL10" s="2"/>
      <c r="TM10" s="8">
        <v>350000</v>
      </c>
      <c r="TN10" s="8">
        <v>350000</v>
      </c>
      <c r="TO10" s="8">
        <v>828240</v>
      </c>
      <c r="TP10" s="8">
        <v>2410331</v>
      </c>
      <c r="TQ10" s="8">
        <v>3238571</v>
      </c>
      <c r="TR10" s="8">
        <v>53039110</v>
      </c>
      <c r="TS10" s="8">
        <v>4541378</v>
      </c>
      <c r="TT10" s="8">
        <v>57580488</v>
      </c>
      <c r="TU10" s="8">
        <v>10364487</v>
      </c>
      <c r="TV10" s="8">
        <v>10364487</v>
      </c>
      <c r="TW10" s="6">
        <v>10364487</v>
      </c>
      <c r="TX10" s="8">
        <v>10364487</v>
      </c>
      <c r="TY10" s="8">
        <v>10364487</v>
      </c>
      <c r="TZ10" s="6">
        <v>10364487</v>
      </c>
      <c r="UA10" s="2">
        <v>125</v>
      </c>
      <c r="UB10" s="2">
        <v>125</v>
      </c>
      <c r="UC10" s="8">
        <v>63403597</v>
      </c>
      <c r="UD10" s="8">
        <v>4541503</v>
      </c>
      <c r="UE10" s="8">
        <v>67945100</v>
      </c>
      <c r="UF10" s="8">
        <v>35000000</v>
      </c>
      <c r="UG10" s="2" t="s">
        <v>4295</v>
      </c>
      <c r="UH10" s="8" t="s">
        <v>5375</v>
      </c>
      <c r="UI10" s="2" t="s">
        <v>413</v>
      </c>
      <c r="UJ10" s="8">
        <v>11427000</v>
      </c>
      <c r="UK10" s="2"/>
      <c r="UL10" s="2" t="s">
        <v>96</v>
      </c>
      <c r="UM10" s="8">
        <v>4967771</v>
      </c>
      <c r="UN10" s="8">
        <v>10364487</v>
      </c>
      <c r="UO10" s="8">
        <v>77259258</v>
      </c>
      <c r="UP10" s="8">
        <v>9314158</v>
      </c>
      <c r="UQ10" s="8">
        <v>8859000</v>
      </c>
      <c r="UR10" s="2" t="s">
        <v>4295</v>
      </c>
      <c r="US10" s="8" t="s">
        <v>5375</v>
      </c>
      <c r="UT10" s="2" t="s">
        <v>413</v>
      </c>
      <c r="UU10" s="2"/>
      <c r="UV10" s="2"/>
      <c r="UW10" s="8">
        <v>11427000</v>
      </c>
      <c r="UX10" s="2"/>
      <c r="UY10" s="2" t="s">
        <v>96</v>
      </c>
      <c r="UZ10" s="8">
        <v>24838857</v>
      </c>
      <c r="VA10" s="8">
        <v>10364487</v>
      </c>
      <c r="VB10" s="8">
        <v>70989344</v>
      </c>
      <c r="VC10" s="6">
        <v>35786000</v>
      </c>
      <c r="VD10" s="8">
        <v>3044244</v>
      </c>
      <c r="VE10" s="5">
        <v>370000</v>
      </c>
      <c r="VF10" s="5">
        <v>385000</v>
      </c>
      <c r="VG10" s="6">
        <v>449966.72</v>
      </c>
      <c r="VH10" s="2" t="s">
        <v>17</v>
      </c>
      <c r="VI10" s="388" t="s">
        <v>1922</v>
      </c>
      <c r="VJ10" s="2" t="s">
        <v>98</v>
      </c>
      <c r="VK10" s="2" t="s">
        <v>4549</v>
      </c>
      <c r="VL10" s="23">
        <f t="shared" si="0"/>
        <v>286</v>
      </c>
      <c r="VM10" s="17">
        <f t="shared" si="1"/>
        <v>1.8940397350993377</v>
      </c>
      <c r="VN10" s="17" t="str">
        <f t="shared" si="2"/>
        <v>NC-GA-F</v>
      </c>
      <c r="VO10" s="17" t="str">
        <f t="shared" si="15"/>
        <v>NC-GA-F-ESS</v>
      </c>
      <c r="VP10" s="57">
        <v>1</v>
      </c>
      <c r="VQ10" s="17">
        <f t="shared" si="3"/>
        <v>1.1100000000000001</v>
      </c>
      <c r="VR10" s="57">
        <f t="shared" si="4"/>
        <v>1</v>
      </c>
      <c r="VS10" s="14">
        <f t="shared" si="5"/>
        <v>0.87</v>
      </c>
      <c r="VT10" s="12">
        <f t="shared" si="6"/>
        <v>0.8788768211920529</v>
      </c>
      <c r="VU10" s="29">
        <f t="shared" si="7"/>
        <v>8487313.4622516558</v>
      </c>
      <c r="VV10" s="29">
        <f t="shared" si="8"/>
        <v>70143.09</v>
      </c>
      <c r="VW10" s="351" t="str">
        <f t="shared" si="21"/>
        <v>A</v>
      </c>
      <c r="VX10" s="12" t="str">
        <f t="shared" si="9"/>
        <v>NC-GA-ESS</v>
      </c>
      <c r="VY10" s="23">
        <f t="shared" si="22"/>
        <v>2</v>
      </c>
      <c r="WA10" s="12">
        <f t="shared" si="16"/>
        <v>0</v>
      </c>
      <c r="WB10" s="12">
        <f t="shared" si="17"/>
        <v>1</v>
      </c>
      <c r="WC10" s="12">
        <f t="shared" si="17"/>
        <v>0</v>
      </c>
      <c r="WD10" s="12">
        <f t="shared" si="17"/>
        <v>1</v>
      </c>
      <c r="WE10" s="12">
        <f t="shared" si="18"/>
        <v>1</v>
      </c>
      <c r="WF10" s="12">
        <f t="shared" si="10"/>
        <v>1</v>
      </c>
      <c r="WG10" s="12">
        <f t="shared" si="11"/>
        <v>0</v>
      </c>
      <c r="WH10" s="12">
        <f t="shared" si="12"/>
        <v>0</v>
      </c>
      <c r="WI10" s="31">
        <f t="shared" si="13"/>
        <v>4</v>
      </c>
      <c r="WJ10" s="2"/>
      <c r="WK10" s="444" t="str">
        <f t="shared" si="14"/>
        <v>NC-GA-ESS-BBY-BRN-PHA-F</v>
      </c>
      <c r="WL10" s="444"/>
      <c r="WM10" s="444"/>
      <c r="WN10" s="12"/>
      <c r="WO10" s="381" t="s">
        <v>4945</v>
      </c>
      <c r="WP10" s="206">
        <f>COUNTIF($WA$2:$WA$72,"=1")</f>
        <v>10</v>
      </c>
      <c r="WQ10" s="204">
        <f>COUNTIF($WB$2:$WB$72,"=1")</f>
        <v>29</v>
      </c>
      <c r="WR10" s="204">
        <f>COUNTIF($WC$2:$WC$72,"=1")</f>
        <v>0</v>
      </c>
      <c r="WS10" s="204">
        <f>COUNTIF($WD$2:$WD$72,"=1")</f>
        <v>6</v>
      </c>
      <c r="WT10" s="204">
        <f>COUNTIF($WF$2:$WF$72,"=1")</f>
        <v>18</v>
      </c>
      <c r="WU10" s="204">
        <f>COUNTIF($WG$2:$WG$72,"=1")</f>
        <v>14</v>
      </c>
      <c r="WV10" s="204">
        <f>COUNTIF($WH$2:$WH$72,"=1")</f>
        <v>1</v>
      </c>
      <c r="WW10" s="208">
        <f>COUNTIF($WE$2:$WE$72,"=1")</f>
        <v>23</v>
      </c>
      <c r="WX10" s="385"/>
    </row>
    <row r="11" spans="1:622" x14ac:dyDescent="0.25">
      <c r="A11" s="2">
        <v>8993</v>
      </c>
      <c r="B11" s="2" t="s">
        <v>5143</v>
      </c>
      <c r="C11" s="2" t="s">
        <v>5063</v>
      </c>
      <c r="D11" s="2">
        <v>10</v>
      </c>
      <c r="E11" s="2">
        <v>42.17</v>
      </c>
      <c r="F11" s="2"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 t="s">
        <v>9</v>
      </c>
      <c r="BV11" s="6">
        <v>73496.240000000005</v>
      </c>
      <c r="BW11" s="2" t="s">
        <v>126</v>
      </c>
      <c r="BX11" s="3">
        <v>45036</v>
      </c>
      <c r="BY11" s="2" t="s">
        <v>9</v>
      </c>
      <c r="BZ11" s="2">
        <v>1</v>
      </c>
      <c r="CA11" s="2" t="s">
        <v>9</v>
      </c>
      <c r="CB11" s="2">
        <v>1</v>
      </c>
      <c r="CC11" s="2" t="s">
        <v>9</v>
      </c>
      <c r="CD11" s="2">
        <v>0</v>
      </c>
      <c r="CE11" s="2" t="s">
        <v>4761</v>
      </c>
      <c r="CF11" s="2">
        <v>1</v>
      </c>
      <c r="CG11" s="2" t="s">
        <v>10</v>
      </c>
      <c r="CH11" s="2">
        <v>0</v>
      </c>
      <c r="CI11" s="2" t="s">
        <v>10</v>
      </c>
      <c r="CJ11" s="2">
        <v>0</v>
      </c>
      <c r="CK11" s="2" t="s">
        <v>11</v>
      </c>
      <c r="CL11" s="2">
        <v>0</v>
      </c>
      <c r="CM11" s="2" t="s">
        <v>9</v>
      </c>
      <c r="CN11" s="2">
        <v>2</v>
      </c>
      <c r="CO11" s="2" t="s">
        <v>9</v>
      </c>
      <c r="CP11" s="2">
        <v>2</v>
      </c>
      <c r="CQ11" s="2" t="s">
        <v>9</v>
      </c>
      <c r="CR11" s="2">
        <v>2</v>
      </c>
      <c r="CS11" s="2" t="s">
        <v>12</v>
      </c>
      <c r="CT11" s="2" t="s">
        <v>1608</v>
      </c>
      <c r="CU11" s="2" t="s">
        <v>1608</v>
      </c>
      <c r="CV11" s="2" t="s">
        <v>3890</v>
      </c>
      <c r="CW11" s="2" t="s">
        <v>15</v>
      </c>
      <c r="CX11" s="2" t="s">
        <v>15</v>
      </c>
      <c r="CY11" s="2" t="s">
        <v>15</v>
      </c>
      <c r="CZ11" s="2">
        <v>3</v>
      </c>
      <c r="DA11" s="2" t="s">
        <v>4353</v>
      </c>
      <c r="DB11" s="2" t="s">
        <v>17</v>
      </c>
      <c r="DC11" s="4">
        <v>0.15038000000000001</v>
      </c>
      <c r="DD11" s="2" t="s">
        <v>17</v>
      </c>
      <c r="DE11" s="2" t="s">
        <v>9</v>
      </c>
      <c r="DF11" s="2" t="s">
        <v>17</v>
      </c>
      <c r="DG11" s="2" t="s">
        <v>17</v>
      </c>
      <c r="DH11" s="2" t="s">
        <v>17</v>
      </c>
      <c r="DI11" s="2" t="s">
        <v>9</v>
      </c>
      <c r="DJ11" s="2" t="s">
        <v>17</v>
      </c>
      <c r="DK11" s="2" t="s">
        <v>17</v>
      </c>
      <c r="DL11" s="2" t="s">
        <v>17</v>
      </c>
      <c r="DM11" s="2" t="s">
        <v>17</v>
      </c>
      <c r="DN11" s="2" t="s">
        <v>2663</v>
      </c>
      <c r="DO11" s="2">
        <v>5</v>
      </c>
      <c r="DP11" s="5">
        <v>75000</v>
      </c>
      <c r="DQ11" s="5">
        <v>610000</v>
      </c>
      <c r="DR11" s="2">
        <v>0</v>
      </c>
      <c r="DS11" s="2">
        <v>5</v>
      </c>
      <c r="DT11" s="2">
        <v>0</v>
      </c>
      <c r="DU11" s="2">
        <v>6</v>
      </c>
      <c r="DV11" s="2">
        <v>0</v>
      </c>
      <c r="DW11" s="2">
        <v>0</v>
      </c>
      <c r="DX11" s="2">
        <v>1</v>
      </c>
      <c r="DY11" s="2">
        <v>3</v>
      </c>
      <c r="DZ11" s="2">
        <v>1</v>
      </c>
      <c r="EA11" s="2">
        <v>0</v>
      </c>
      <c r="EB11" s="2">
        <v>0</v>
      </c>
      <c r="EC11" s="2">
        <v>0</v>
      </c>
      <c r="ED11" s="2">
        <v>13</v>
      </c>
      <c r="EE11" s="2">
        <v>1</v>
      </c>
      <c r="EF11" s="2">
        <v>0</v>
      </c>
      <c r="EG11" s="2">
        <v>2</v>
      </c>
      <c r="EH11" s="2">
        <v>0</v>
      </c>
      <c r="EI11" s="2">
        <v>14</v>
      </c>
      <c r="EJ11" s="2">
        <v>11</v>
      </c>
      <c r="EK11" s="2">
        <v>0</v>
      </c>
      <c r="EL11" s="2" t="s">
        <v>17</v>
      </c>
      <c r="EM11" s="2" t="s">
        <v>17</v>
      </c>
      <c r="EN11" s="2" t="s">
        <v>17</v>
      </c>
      <c r="EO11" s="2" t="s">
        <v>17</v>
      </c>
      <c r="EP11" s="2" t="s">
        <v>17</v>
      </c>
      <c r="EQ11" s="2" t="s">
        <v>17</v>
      </c>
      <c r="ER11" s="2" t="s">
        <v>17</v>
      </c>
      <c r="ES11" s="2" t="s">
        <v>17</v>
      </c>
      <c r="ET11" s="2" t="s">
        <v>4762</v>
      </c>
      <c r="EU11" s="2"/>
      <c r="EV11" s="2"/>
      <c r="EW11" s="2" t="s">
        <v>9</v>
      </c>
      <c r="EX11" s="2" t="s">
        <v>1018</v>
      </c>
      <c r="EY11" s="2" t="s">
        <v>4762</v>
      </c>
      <c r="EZ11" s="2" t="s">
        <v>1019</v>
      </c>
      <c r="FA11" s="2" t="s">
        <v>1020</v>
      </c>
      <c r="FB11" s="2">
        <v>96</v>
      </c>
      <c r="FC11" s="2" t="s">
        <v>4763</v>
      </c>
      <c r="FD11" s="2">
        <v>2022</v>
      </c>
      <c r="FE11" s="2" t="s">
        <v>26</v>
      </c>
      <c r="FF11" s="2" t="s">
        <v>4210</v>
      </c>
      <c r="FG11" s="2" t="s">
        <v>1024</v>
      </c>
      <c r="FH11" s="2"/>
      <c r="FI11" s="2" t="s">
        <v>1025</v>
      </c>
      <c r="FJ11" s="2" t="s">
        <v>1026</v>
      </c>
      <c r="FK11" s="2">
        <v>1</v>
      </c>
      <c r="FL11" s="2" t="s">
        <v>1027</v>
      </c>
      <c r="FM11" s="2" t="s">
        <v>510</v>
      </c>
      <c r="FN11" s="2" t="s">
        <v>4765</v>
      </c>
      <c r="FO11" s="2" t="s">
        <v>63</v>
      </c>
      <c r="FP11" s="2" t="s">
        <v>9</v>
      </c>
      <c r="FQ11" s="2" t="s">
        <v>17</v>
      </c>
      <c r="FR11" s="2" t="s">
        <v>17</v>
      </c>
      <c r="FS11" s="2" t="s">
        <v>9</v>
      </c>
      <c r="FT11" s="2">
        <v>0</v>
      </c>
      <c r="FU11" s="2">
        <v>0</v>
      </c>
      <c r="FV11" s="4">
        <v>0</v>
      </c>
      <c r="FW11" s="4">
        <v>0</v>
      </c>
      <c r="FX11" s="2" t="s">
        <v>65</v>
      </c>
      <c r="FY11" s="2" t="s">
        <v>66</v>
      </c>
      <c r="FZ11" s="2" t="s">
        <v>17</v>
      </c>
      <c r="GA11" s="2"/>
      <c r="GB11" s="2"/>
      <c r="GC11" s="2"/>
      <c r="GD11" s="2" t="s">
        <v>67</v>
      </c>
      <c r="GE11" s="2" t="s">
        <v>1612</v>
      </c>
      <c r="GF11" s="2"/>
      <c r="GG11" s="2"/>
      <c r="GH11" s="2"/>
      <c r="GI11" s="2"/>
      <c r="GJ11" s="2">
        <v>133</v>
      </c>
      <c r="GK11" s="2"/>
      <c r="GL11" s="2"/>
      <c r="GM11" s="2"/>
      <c r="GN11" s="2"/>
      <c r="GO11" s="2"/>
      <c r="GP11" s="2"/>
      <c r="GQ11" s="2">
        <v>133</v>
      </c>
      <c r="GR11" s="2" t="s">
        <v>2826</v>
      </c>
      <c r="GS11" s="2" t="s">
        <v>2686</v>
      </c>
      <c r="GT11" s="2">
        <v>1</v>
      </c>
      <c r="GU11" s="2" t="s">
        <v>5144</v>
      </c>
      <c r="GV11" s="2" t="s">
        <v>510</v>
      </c>
      <c r="GW11" s="2" t="s">
        <v>17</v>
      </c>
      <c r="GX11" s="2">
        <v>28.557047000000001</v>
      </c>
      <c r="GY11" s="2">
        <v>-81.424132</v>
      </c>
      <c r="GZ11" s="2"/>
      <c r="HA11" s="2" t="s">
        <v>17</v>
      </c>
      <c r="HB11" s="2">
        <v>0</v>
      </c>
      <c r="HC11" s="2" t="s">
        <v>17</v>
      </c>
      <c r="HD11" s="2" t="s">
        <v>17</v>
      </c>
      <c r="HE11" s="2">
        <v>0</v>
      </c>
      <c r="HF11" s="2">
        <v>28.559856</v>
      </c>
      <c r="HG11" s="2">
        <v>-81.422933999999998</v>
      </c>
      <c r="HH11" s="2">
        <v>0.21</v>
      </c>
      <c r="HI11" s="2">
        <v>6</v>
      </c>
      <c r="HJ11" s="2">
        <v>28.559946</v>
      </c>
      <c r="HK11" s="2">
        <v>-81.422980999999993</v>
      </c>
      <c r="HL11" s="2">
        <v>0.22</v>
      </c>
      <c r="HM11" s="2">
        <v>28.552883000000001</v>
      </c>
      <c r="HN11" s="2">
        <v>-81.424250999999998</v>
      </c>
      <c r="HO11" s="2">
        <v>0.28999999999999998</v>
      </c>
      <c r="HP11" s="2"/>
      <c r="HQ11" s="2"/>
      <c r="HR11" s="2"/>
      <c r="HS11" s="2"/>
      <c r="HT11" s="2"/>
      <c r="HU11" s="2"/>
      <c r="HV11" s="2"/>
      <c r="HW11" s="2"/>
      <c r="HX11" s="2" t="s">
        <v>73</v>
      </c>
      <c r="HY11" s="2" t="s">
        <v>4767</v>
      </c>
      <c r="HZ11" s="2" t="s">
        <v>4768</v>
      </c>
      <c r="IA11" s="2">
        <v>0.57999999999999996</v>
      </c>
      <c r="IB11" s="2">
        <v>3</v>
      </c>
      <c r="IC11" s="2" t="s">
        <v>4769</v>
      </c>
      <c r="ID11" s="2" t="s">
        <v>4770</v>
      </c>
      <c r="IE11" s="2">
        <v>0.47</v>
      </c>
      <c r="IF11" s="2">
        <v>3.5</v>
      </c>
      <c r="IG11" s="2"/>
      <c r="IH11" s="2"/>
      <c r="II11" s="2"/>
      <c r="IJ11" s="2"/>
      <c r="IK11" s="2" t="s">
        <v>4771</v>
      </c>
      <c r="IL11" s="2" t="s">
        <v>4772</v>
      </c>
      <c r="IM11" s="2">
        <v>0.69</v>
      </c>
      <c r="IN11" s="2">
        <v>3.5</v>
      </c>
      <c r="IO11" s="2">
        <v>6</v>
      </c>
      <c r="IP11" s="2">
        <v>10</v>
      </c>
      <c r="IQ11" s="2">
        <v>0</v>
      </c>
      <c r="IR11" s="2">
        <v>16</v>
      </c>
      <c r="IS11" s="2" t="s">
        <v>17</v>
      </c>
      <c r="IT11" s="2" t="s">
        <v>17</v>
      </c>
      <c r="IU11" s="2" t="s">
        <v>17</v>
      </c>
      <c r="IV11" s="2" t="s">
        <v>9</v>
      </c>
      <c r="IW11" s="2" t="s">
        <v>9</v>
      </c>
      <c r="IX11" s="2" t="s">
        <v>9</v>
      </c>
      <c r="IY11" s="2">
        <v>16</v>
      </c>
      <c r="IZ11" s="2">
        <v>133</v>
      </c>
      <c r="JA11" s="2"/>
      <c r="JB11" s="2"/>
      <c r="JC11" s="2"/>
      <c r="JD11" s="2"/>
      <c r="JE11" s="2"/>
      <c r="JF11" s="2"/>
      <c r="JG11" s="2"/>
      <c r="JH11" s="7">
        <v>0</v>
      </c>
      <c r="JI11" s="2">
        <v>0</v>
      </c>
      <c r="JJ11" s="7">
        <v>0</v>
      </c>
      <c r="JK11" s="2">
        <v>0</v>
      </c>
      <c r="JL11" s="7">
        <v>0</v>
      </c>
      <c r="JM11" s="2">
        <v>20</v>
      </c>
      <c r="JN11" s="2"/>
      <c r="JO11" s="2">
        <v>53</v>
      </c>
      <c r="JP11" s="2">
        <v>60</v>
      </c>
      <c r="JQ11" s="2"/>
      <c r="JR11" s="2">
        <v>0</v>
      </c>
      <c r="JS11" s="2">
        <v>0</v>
      </c>
      <c r="JT11" s="2"/>
      <c r="JU11" s="2"/>
      <c r="JV11" s="2">
        <v>133</v>
      </c>
      <c r="JW11" s="4">
        <v>1</v>
      </c>
      <c r="JX11" s="2">
        <v>133</v>
      </c>
      <c r="JY11" s="4">
        <v>0.6</v>
      </c>
      <c r="JZ11" s="2">
        <v>0</v>
      </c>
      <c r="KA11" s="2"/>
      <c r="KB11" s="2"/>
      <c r="KC11" s="2"/>
      <c r="KD11" s="2"/>
      <c r="KE11" s="2"/>
      <c r="KF11" s="2"/>
      <c r="KG11" s="2"/>
      <c r="KH11" s="2">
        <v>69</v>
      </c>
      <c r="KI11" s="2"/>
      <c r="KJ11" s="2"/>
      <c r="KK11" s="2">
        <v>64</v>
      </c>
      <c r="KL11" s="2"/>
      <c r="KM11" s="2"/>
      <c r="KN11" s="2"/>
      <c r="KO11" s="2"/>
      <c r="KP11" s="2"/>
      <c r="KQ11" s="2" t="s">
        <v>83</v>
      </c>
      <c r="KR11" s="2"/>
      <c r="KS11" s="2" t="s">
        <v>73</v>
      </c>
      <c r="KT11" s="2">
        <v>1</v>
      </c>
      <c r="KU11" s="2" t="s">
        <v>84</v>
      </c>
      <c r="KV11" s="2" t="s">
        <v>85</v>
      </c>
      <c r="KW11" s="2" t="s">
        <v>530</v>
      </c>
      <c r="KX11" s="2" t="s">
        <v>17</v>
      </c>
      <c r="KY11" s="2" t="s">
        <v>17</v>
      </c>
      <c r="KZ11" s="2" t="s">
        <v>17</v>
      </c>
      <c r="LA11" s="2" t="s">
        <v>17</v>
      </c>
      <c r="LB11" s="2" t="s">
        <v>17</v>
      </c>
      <c r="LC11" s="2" t="s">
        <v>17</v>
      </c>
      <c r="LD11" s="2" t="s">
        <v>17</v>
      </c>
      <c r="LE11" s="2" t="s">
        <v>17</v>
      </c>
      <c r="LF11" s="2" t="s">
        <v>17</v>
      </c>
      <c r="LG11" s="2" t="s">
        <v>17</v>
      </c>
      <c r="LH11" s="2" t="s">
        <v>17</v>
      </c>
      <c r="LI11" s="2" t="s">
        <v>17</v>
      </c>
      <c r="LJ11" s="2" t="s">
        <v>87</v>
      </c>
      <c r="LK11" s="2" t="s">
        <v>17</v>
      </c>
      <c r="LL11" s="2" t="s">
        <v>17</v>
      </c>
      <c r="LM11" s="2">
        <v>0</v>
      </c>
      <c r="LN11" s="2" t="s">
        <v>17</v>
      </c>
      <c r="LO11" s="2" t="s">
        <v>17</v>
      </c>
      <c r="LP11" s="2" t="s">
        <v>17</v>
      </c>
      <c r="LQ11" s="2" t="s">
        <v>17</v>
      </c>
      <c r="LR11" s="2" t="s">
        <v>17</v>
      </c>
      <c r="LS11" s="2" t="s">
        <v>17</v>
      </c>
      <c r="LT11" s="2" t="s">
        <v>9</v>
      </c>
      <c r="LU11" s="2" t="s">
        <v>9</v>
      </c>
      <c r="LV11" s="2" t="s">
        <v>17</v>
      </c>
      <c r="LW11" s="2" t="s">
        <v>9</v>
      </c>
      <c r="LX11" s="2" t="s">
        <v>17</v>
      </c>
      <c r="LY11" s="5">
        <v>10000000</v>
      </c>
      <c r="LZ11" s="5">
        <v>0</v>
      </c>
      <c r="MA11" s="5">
        <v>10000000</v>
      </c>
      <c r="MB11" s="5">
        <v>10000000</v>
      </c>
      <c r="MC11" s="5">
        <v>10000000</v>
      </c>
      <c r="MD11" s="5">
        <v>1220800</v>
      </c>
      <c r="ME11" s="5">
        <v>600000</v>
      </c>
      <c r="MF11" s="5">
        <v>600000</v>
      </c>
      <c r="MG11" s="5">
        <v>10600000</v>
      </c>
      <c r="MH11" s="2">
        <v>0</v>
      </c>
      <c r="MI11" s="5">
        <v>0</v>
      </c>
      <c r="MJ11" s="5">
        <v>0</v>
      </c>
      <c r="MK11" s="2">
        <v>0</v>
      </c>
      <c r="ML11" s="2">
        <v>0</v>
      </c>
      <c r="MM11" s="2">
        <v>0</v>
      </c>
      <c r="MN11" s="5">
        <v>2950000</v>
      </c>
      <c r="MO11" s="5">
        <v>0</v>
      </c>
      <c r="MP11" s="5">
        <v>4600000</v>
      </c>
      <c r="MQ11" s="5">
        <v>0</v>
      </c>
      <c r="MR11" s="5">
        <v>0</v>
      </c>
      <c r="MS11" s="5">
        <v>0</v>
      </c>
      <c r="MT11" s="5">
        <v>0</v>
      </c>
      <c r="MU11" s="5">
        <v>2500000</v>
      </c>
      <c r="MV11" s="5">
        <v>0</v>
      </c>
      <c r="MW11" s="5">
        <v>0</v>
      </c>
      <c r="MX11" s="5">
        <v>0</v>
      </c>
      <c r="MY11" s="5">
        <v>0</v>
      </c>
      <c r="MZ11" s="5">
        <v>0</v>
      </c>
      <c r="NA11" s="5">
        <v>2347564</v>
      </c>
      <c r="NB11" s="2" t="s">
        <v>9</v>
      </c>
      <c r="NC11" s="2"/>
      <c r="ND11" s="2"/>
      <c r="NE11" s="2"/>
      <c r="NF11" s="2"/>
      <c r="NG11" s="2"/>
      <c r="NH11" s="2"/>
      <c r="NI11" s="61">
        <v>0</v>
      </c>
      <c r="NJ11" s="61"/>
      <c r="NK11" s="61"/>
      <c r="NL11" s="61"/>
      <c r="NM11" s="2" t="s">
        <v>17</v>
      </c>
      <c r="NN11" s="2"/>
      <c r="NO11" s="2" t="s">
        <v>17</v>
      </c>
      <c r="NP11" s="2"/>
      <c r="NQ11" s="2"/>
      <c r="NR11" s="2" t="s">
        <v>17</v>
      </c>
      <c r="NS11" s="2"/>
      <c r="NT11" s="2" t="s">
        <v>9</v>
      </c>
      <c r="NU11" s="2" t="s">
        <v>450</v>
      </c>
      <c r="NV11" s="2">
        <v>187</v>
      </c>
      <c r="NW11" s="2" t="s">
        <v>3011</v>
      </c>
      <c r="NX11" s="2" t="s">
        <v>118</v>
      </c>
      <c r="NY11" s="2" t="s">
        <v>118</v>
      </c>
      <c r="NZ11" s="2" t="s">
        <v>118</v>
      </c>
      <c r="OA11" s="2" t="s">
        <v>17</v>
      </c>
      <c r="OB11" s="2" t="s">
        <v>119</v>
      </c>
      <c r="OC11" s="5">
        <v>27000000</v>
      </c>
      <c r="OD11" s="2" t="s">
        <v>17</v>
      </c>
      <c r="OE11" s="2" t="s">
        <v>17</v>
      </c>
      <c r="OF11" s="2" t="s">
        <v>85</v>
      </c>
      <c r="OG11" s="6">
        <v>10200000</v>
      </c>
      <c r="OH11" s="6">
        <v>0</v>
      </c>
      <c r="OI11" s="2" t="s">
        <v>93</v>
      </c>
      <c r="OJ11" s="2" t="s">
        <v>93</v>
      </c>
      <c r="OK11" s="6">
        <v>0</v>
      </c>
      <c r="OL11" s="6">
        <v>0</v>
      </c>
      <c r="OM11" s="6">
        <v>0</v>
      </c>
      <c r="ON11" s="6">
        <v>0</v>
      </c>
      <c r="OO11" s="6">
        <v>0</v>
      </c>
      <c r="OP11" s="6">
        <v>0</v>
      </c>
      <c r="OQ11" s="4">
        <v>0</v>
      </c>
      <c r="OR11" s="6">
        <v>0</v>
      </c>
      <c r="OS11" s="4">
        <v>0</v>
      </c>
      <c r="OT11" s="2" t="s">
        <v>17</v>
      </c>
      <c r="OU11" s="2" t="s">
        <v>17</v>
      </c>
      <c r="OV11" s="2"/>
      <c r="OW11" s="2" t="s">
        <v>17</v>
      </c>
      <c r="OX11" s="5">
        <v>9775000</v>
      </c>
      <c r="OY11" s="6">
        <v>73496.240000000005</v>
      </c>
      <c r="OZ11" s="2"/>
      <c r="PA11" s="2"/>
      <c r="PB11" s="2"/>
      <c r="PC11" s="2"/>
      <c r="PD11" s="2"/>
      <c r="PE11" s="2"/>
      <c r="PF11" s="8">
        <v>23844400</v>
      </c>
      <c r="PG11" s="2"/>
      <c r="PH11" s="8">
        <v>23844400</v>
      </c>
      <c r="PI11" s="2"/>
      <c r="PJ11" s="2"/>
      <c r="PK11" s="2"/>
      <c r="PL11" s="2"/>
      <c r="PM11" s="8">
        <v>3250000</v>
      </c>
      <c r="PN11" s="2"/>
      <c r="PO11" s="8">
        <v>3250000</v>
      </c>
      <c r="PP11" s="8">
        <v>301587</v>
      </c>
      <c r="PQ11" s="8">
        <v>301587</v>
      </c>
      <c r="PR11" s="8">
        <v>27395987</v>
      </c>
      <c r="PS11" s="2"/>
      <c r="PT11" s="8">
        <v>27395987</v>
      </c>
      <c r="PU11" s="8">
        <v>3275438</v>
      </c>
      <c r="PV11" s="8">
        <v>3275438</v>
      </c>
      <c r="PW11" s="6">
        <v>3835438</v>
      </c>
      <c r="PX11" s="8">
        <v>30671425</v>
      </c>
      <c r="PY11" s="2"/>
      <c r="PZ11" s="8">
        <v>30671425</v>
      </c>
      <c r="QA11" s="8">
        <v>1333571</v>
      </c>
      <c r="QB11" s="8">
        <v>1333571</v>
      </c>
      <c r="QC11" s="6">
        <v>1533571.25</v>
      </c>
      <c r="QD11" s="8">
        <v>25000</v>
      </c>
      <c r="QE11" s="2"/>
      <c r="QF11" s="8">
        <v>25000</v>
      </c>
      <c r="QG11" s="8">
        <v>5500</v>
      </c>
      <c r="QH11" s="8">
        <v>5500</v>
      </c>
      <c r="QI11" s="8">
        <v>250000</v>
      </c>
      <c r="QJ11" s="8">
        <v>250000</v>
      </c>
      <c r="QK11" s="8">
        <v>100000</v>
      </c>
      <c r="QL11" s="8">
        <v>100000</v>
      </c>
      <c r="QM11" s="8">
        <v>332500</v>
      </c>
      <c r="QN11" s="2"/>
      <c r="QO11" s="8">
        <v>332500</v>
      </c>
      <c r="QP11" s="8">
        <v>300000</v>
      </c>
      <c r="QQ11" s="8">
        <v>300000</v>
      </c>
      <c r="QR11" s="8">
        <v>5250</v>
      </c>
      <c r="QS11" s="8">
        <v>5250</v>
      </c>
      <c r="QT11" s="8">
        <v>150000</v>
      </c>
      <c r="QU11" s="2"/>
      <c r="QV11" s="8">
        <v>150000</v>
      </c>
      <c r="QW11" s="8">
        <v>10000</v>
      </c>
      <c r="QX11" s="8">
        <v>10000</v>
      </c>
      <c r="QY11" s="8">
        <v>196200</v>
      </c>
      <c r="QZ11" s="8">
        <v>196200</v>
      </c>
      <c r="RA11" s="8">
        <v>3000</v>
      </c>
      <c r="RB11" s="8">
        <v>3000</v>
      </c>
      <c r="RC11" s="2"/>
      <c r="RD11" s="2"/>
      <c r="RE11" s="8">
        <v>35089</v>
      </c>
      <c r="RF11" s="8">
        <v>35089</v>
      </c>
      <c r="RG11" s="8">
        <v>25000</v>
      </c>
      <c r="RH11" s="8">
        <v>25000</v>
      </c>
      <c r="RI11" s="8">
        <v>181479</v>
      </c>
      <c r="RJ11" s="8">
        <v>181479</v>
      </c>
      <c r="RK11" s="8">
        <v>30000</v>
      </c>
      <c r="RL11" s="2"/>
      <c r="RM11" s="8">
        <v>30000</v>
      </c>
      <c r="RN11" s="2"/>
      <c r="RO11" s="2"/>
      <c r="RP11" s="2"/>
      <c r="RQ11" s="8">
        <v>295000</v>
      </c>
      <c r="RR11" s="2"/>
      <c r="RS11" s="8">
        <v>295000</v>
      </c>
      <c r="RT11" s="8">
        <v>5500</v>
      </c>
      <c r="RU11" s="2"/>
      <c r="RV11" s="8">
        <v>5500</v>
      </c>
      <c r="RW11" s="8">
        <v>100000</v>
      </c>
      <c r="RX11" s="8">
        <v>100000</v>
      </c>
      <c r="RY11" s="8">
        <v>30000</v>
      </c>
      <c r="RZ11" s="2"/>
      <c r="SA11" s="8">
        <v>30000</v>
      </c>
      <c r="SB11" s="2"/>
      <c r="SC11" s="2"/>
      <c r="SD11" s="8">
        <v>30000</v>
      </c>
      <c r="SE11" s="2"/>
      <c r="SF11" s="8">
        <v>30000</v>
      </c>
      <c r="SG11" s="2"/>
      <c r="SH11" s="8">
        <v>100000</v>
      </c>
      <c r="SI11" s="2"/>
      <c r="SJ11" s="8">
        <v>100000</v>
      </c>
      <c r="SK11" s="8">
        <v>372400</v>
      </c>
      <c r="SL11" s="8">
        <v>372400</v>
      </c>
      <c r="SM11" s="8">
        <v>100000</v>
      </c>
      <c r="SN11" s="8">
        <v>593950</v>
      </c>
      <c r="SO11" s="8">
        <v>693950</v>
      </c>
      <c r="SP11" s="8">
        <v>2347629</v>
      </c>
      <c r="SQ11" s="8">
        <v>928239</v>
      </c>
      <c r="SR11" s="8">
        <v>3275868</v>
      </c>
      <c r="SS11" s="8">
        <v>100000</v>
      </c>
      <c r="ST11" s="2"/>
      <c r="SU11" s="8">
        <v>100000</v>
      </c>
      <c r="SV11" s="6">
        <v>163793.4</v>
      </c>
      <c r="SW11" s="8">
        <v>240000</v>
      </c>
      <c r="SX11" s="8">
        <v>240000</v>
      </c>
      <c r="SY11" s="2"/>
      <c r="SZ11" s="8">
        <v>1800000</v>
      </c>
      <c r="TA11" s="8">
        <v>600000</v>
      </c>
      <c r="TB11" s="8">
        <v>2400000</v>
      </c>
      <c r="TC11" s="2"/>
      <c r="TD11" s="2"/>
      <c r="TE11" s="2"/>
      <c r="TF11" s="8">
        <v>83000</v>
      </c>
      <c r="TG11" s="8">
        <v>83000</v>
      </c>
      <c r="TH11" s="2"/>
      <c r="TI11" s="8">
        <v>15000</v>
      </c>
      <c r="TJ11" s="8">
        <v>15000</v>
      </c>
      <c r="TK11" s="2"/>
      <c r="TL11" s="2"/>
      <c r="TM11" s="8">
        <v>106000</v>
      </c>
      <c r="TN11" s="8">
        <v>106000</v>
      </c>
      <c r="TO11" s="8">
        <v>2040000</v>
      </c>
      <c r="TP11" s="8">
        <v>804000</v>
      </c>
      <c r="TQ11" s="8">
        <v>2844000</v>
      </c>
      <c r="TR11" s="8">
        <v>36492625</v>
      </c>
      <c r="TS11" s="8">
        <v>1732239</v>
      </c>
      <c r="TT11" s="8">
        <v>38224864</v>
      </c>
      <c r="TU11" s="8">
        <v>6880475</v>
      </c>
      <c r="TV11" s="8">
        <v>6880475</v>
      </c>
      <c r="TW11" s="6">
        <v>6880475</v>
      </c>
      <c r="TX11" s="8">
        <v>6880475</v>
      </c>
      <c r="TY11" s="8">
        <v>6880475</v>
      </c>
      <c r="TZ11" s="6">
        <v>6880475</v>
      </c>
      <c r="UA11" s="8">
        <v>3325000</v>
      </c>
      <c r="UB11" s="8">
        <v>3325000</v>
      </c>
      <c r="UC11" s="8">
        <v>43373100</v>
      </c>
      <c r="UD11" s="8">
        <v>5057239</v>
      </c>
      <c r="UE11" s="8">
        <v>48430339</v>
      </c>
      <c r="UF11" s="8">
        <v>27000000</v>
      </c>
      <c r="UG11" s="2" t="s">
        <v>4295</v>
      </c>
      <c r="UH11" s="2"/>
      <c r="UI11" s="2"/>
      <c r="UJ11" s="8">
        <v>10600000</v>
      </c>
      <c r="UK11" s="2"/>
      <c r="UL11" s="2" t="s">
        <v>96</v>
      </c>
      <c r="UM11" s="8">
        <v>5516223</v>
      </c>
      <c r="UN11" s="8">
        <v>6000000</v>
      </c>
      <c r="UO11" s="8">
        <v>49116223</v>
      </c>
      <c r="UP11" s="8">
        <v>685884</v>
      </c>
      <c r="UQ11" s="8">
        <v>10200000</v>
      </c>
      <c r="UR11" s="2" t="s">
        <v>95</v>
      </c>
      <c r="US11" s="2"/>
      <c r="UT11" s="2"/>
      <c r="UU11" s="2"/>
      <c r="UV11" s="2"/>
      <c r="UW11" s="8">
        <v>10600000</v>
      </c>
      <c r="UX11" s="2"/>
      <c r="UY11" s="2" t="s">
        <v>96</v>
      </c>
      <c r="UZ11" s="8">
        <v>22064891</v>
      </c>
      <c r="VA11" s="8">
        <v>6000000</v>
      </c>
      <c r="VB11" s="8">
        <v>48864891</v>
      </c>
      <c r="VC11" s="6">
        <v>20800000</v>
      </c>
      <c r="VD11" s="8">
        <v>434552</v>
      </c>
      <c r="VE11" s="5">
        <v>370000</v>
      </c>
      <c r="VF11" s="5">
        <v>377500</v>
      </c>
      <c r="VG11" s="6">
        <v>339137.89</v>
      </c>
      <c r="VH11" s="2" t="s">
        <v>9</v>
      </c>
      <c r="VI11" s="388" t="s">
        <v>1050</v>
      </c>
      <c r="VJ11" s="2" t="s">
        <v>98</v>
      </c>
      <c r="VK11" s="2" t="s">
        <v>1051</v>
      </c>
      <c r="VL11" s="23">
        <f t="shared" si="0"/>
        <v>197</v>
      </c>
      <c r="VM11" s="17">
        <f t="shared" si="1"/>
        <v>1.481203007518797</v>
      </c>
      <c r="VN11" s="17" t="str">
        <f t="shared" si="2"/>
        <v>NC-MR-E</v>
      </c>
      <c r="VO11" s="17" t="str">
        <f t="shared" si="15"/>
        <v>NC-MR-E-Non</v>
      </c>
      <c r="VP11" s="57">
        <v>1</v>
      </c>
      <c r="VQ11" s="17">
        <f t="shared" si="3"/>
        <v>1.1100000000000001</v>
      </c>
      <c r="VR11" s="57">
        <f t="shared" si="4"/>
        <v>1</v>
      </c>
      <c r="VS11" s="14">
        <f t="shared" si="5"/>
        <v>1</v>
      </c>
      <c r="VT11" s="12">
        <f t="shared" si="6"/>
        <v>0.88</v>
      </c>
      <c r="VU11" s="29">
        <f t="shared" si="7"/>
        <v>9768000.0000000019</v>
      </c>
      <c r="VV11" s="29">
        <f t="shared" si="8"/>
        <v>73443.61</v>
      </c>
      <c r="VW11" s="351" t="str">
        <f t="shared" si="21"/>
        <v>A</v>
      </c>
      <c r="VX11" s="12" t="str">
        <f t="shared" si="9"/>
        <v>NC-MR-Non</v>
      </c>
      <c r="VY11" s="23">
        <f t="shared" si="22"/>
        <v>2</v>
      </c>
      <c r="WA11" s="12">
        <f t="shared" si="16"/>
        <v>1</v>
      </c>
      <c r="WB11" s="12">
        <f t="shared" si="17"/>
        <v>1</v>
      </c>
      <c r="WC11" s="12">
        <f t="shared" si="17"/>
        <v>0</v>
      </c>
      <c r="WD11" s="12">
        <f t="shared" si="17"/>
        <v>0</v>
      </c>
      <c r="WE11" s="12">
        <f t="shared" si="18"/>
        <v>0</v>
      </c>
      <c r="WF11" s="12">
        <f t="shared" si="10"/>
        <v>0</v>
      </c>
      <c r="WG11" s="12">
        <f t="shared" si="11"/>
        <v>1</v>
      </c>
      <c r="WH11" s="12">
        <f t="shared" si="12"/>
        <v>0</v>
      </c>
      <c r="WI11" s="31">
        <f t="shared" si="13"/>
        <v>3</v>
      </c>
      <c r="WJ11" s="2"/>
      <c r="WK11" s="444" t="str">
        <f t="shared" ref="WK11:WK34" si="23">VX11&amp;"-"&amp;IF(VQ11&gt;1,"BBY","BBN")&amp;"-"&amp;IF(VR11=1,"BRN","BRY")&amp;"-"&amp;IF(VS11=1,"NPH","PHA")&amp;"-"&amp;IF(BW11="Family","F","E")</f>
        <v>NC-MR-Non-BBY-BRN-NPH-E</v>
      </c>
      <c r="WL11" s="444"/>
      <c r="WM11" s="444"/>
    </row>
    <row r="12" spans="1:622" x14ac:dyDescent="0.25">
      <c r="A12" s="2">
        <v>9035</v>
      </c>
      <c r="B12" s="2" t="s">
        <v>5145</v>
      </c>
      <c r="C12" s="2" t="s">
        <v>5063</v>
      </c>
      <c r="D12" s="2">
        <v>9</v>
      </c>
      <c r="E12" s="2">
        <v>39.380000000000003</v>
      </c>
      <c r="F12" s="2"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 t="s">
        <v>9</v>
      </c>
      <c r="BV12" s="6">
        <v>74122.600000000006</v>
      </c>
      <c r="BW12" s="2" t="s">
        <v>18</v>
      </c>
      <c r="BX12" s="3">
        <v>45036</v>
      </c>
      <c r="BY12" s="2" t="s">
        <v>9</v>
      </c>
      <c r="BZ12" s="2">
        <v>1</v>
      </c>
      <c r="CA12" s="2" t="s">
        <v>9</v>
      </c>
      <c r="CB12" s="2">
        <v>1</v>
      </c>
      <c r="CC12" s="2" t="s">
        <v>9</v>
      </c>
      <c r="CD12" s="2">
        <v>0</v>
      </c>
      <c r="CE12" s="2" t="s">
        <v>5148</v>
      </c>
      <c r="CF12" s="2">
        <v>1</v>
      </c>
      <c r="CG12" s="2" t="s">
        <v>10</v>
      </c>
      <c r="CH12" s="2">
        <v>0</v>
      </c>
      <c r="CI12" s="2" t="s">
        <v>10</v>
      </c>
      <c r="CJ12" s="2">
        <v>0</v>
      </c>
      <c r="CK12" s="2" t="s">
        <v>11</v>
      </c>
      <c r="CL12" s="2">
        <v>0</v>
      </c>
      <c r="CM12" s="2" t="s">
        <v>9</v>
      </c>
      <c r="CN12" s="2">
        <v>2</v>
      </c>
      <c r="CO12" s="2" t="s">
        <v>9</v>
      </c>
      <c r="CP12" s="2">
        <v>2</v>
      </c>
      <c r="CQ12" s="2" t="s">
        <v>9</v>
      </c>
      <c r="CR12" s="2">
        <v>2</v>
      </c>
      <c r="CS12" s="2" t="s">
        <v>12</v>
      </c>
      <c r="CT12" s="2" t="s">
        <v>1620</v>
      </c>
      <c r="CU12" s="2" t="s">
        <v>189</v>
      </c>
      <c r="CV12" s="2" t="s">
        <v>5146</v>
      </c>
      <c r="CW12" s="2" t="s">
        <v>15</v>
      </c>
      <c r="CX12" s="2" t="s">
        <v>15</v>
      </c>
      <c r="CY12" s="2" t="s">
        <v>15</v>
      </c>
      <c r="CZ12" s="2">
        <v>3</v>
      </c>
      <c r="DA12" s="2" t="s">
        <v>5147</v>
      </c>
      <c r="DB12" s="2" t="s">
        <v>17</v>
      </c>
      <c r="DC12" s="4">
        <v>0.1</v>
      </c>
      <c r="DD12" s="2" t="s">
        <v>17</v>
      </c>
      <c r="DE12" s="2" t="s">
        <v>9</v>
      </c>
      <c r="DF12" s="2" t="s">
        <v>9</v>
      </c>
      <c r="DG12" s="2" t="s">
        <v>17</v>
      </c>
      <c r="DH12" s="2" t="s">
        <v>17</v>
      </c>
      <c r="DI12" s="2" t="s">
        <v>17</v>
      </c>
      <c r="DJ12" s="2" t="s">
        <v>17</v>
      </c>
      <c r="DK12" s="2" t="s">
        <v>17</v>
      </c>
      <c r="DL12" s="2" t="s">
        <v>17</v>
      </c>
      <c r="DM12" s="2" t="s">
        <v>17</v>
      </c>
      <c r="DN12" s="2" t="s">
        <v>2663</v>
      </c>
      <c r="DO12" s="2">
        <v>5</v>
      </c>
      <c r="DP12" s="5">
        <v>50000</v>
      </c>
      <c r="DQ12" s="5">
        <v>460000</v>
      </c>
      <c r="DR12" s="2">
        <v>0</v>
      </c>
      <c r="DS12" s="2">
        <v>2</v>
      </c>
      <c r="DT12" s="2">
        <v>0</v>
      </c>
      <c r="DU12" s="2">
        <v>6</v>
      </c>
      <c r="DV12" s="2">
        <v>0</v>
      </c>
      <c r="DW12" s="2">
        <v>0</v>
      </c>
      <c r="DX12" s="2">
        <v>1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13</v>
      </c>
      <c r="EE12" s="2">
        <v>1</v>
      </c>
      <c r="EF12" s="2">
        <v>0</v>
      </c>
      <c r="EG12" s="2">
        <v>3</v>
      </c>
      <c r="EH12" s="2">
        <v>0</v>
      </c>
      <c r="EI12" s="2">
        <v>14</v>
      </c>
      <c r="EJ12" s="2">
        <v>11</v>
      </c>
      <c r="EK12" s="2">
        <v>0</v>
      </c>
      <c r="EL12" s="2" t="s">
        <v>17</v>
      </c>
      <c r="EM12" s="2" t="s">
        <v>17</v>
      </c>
      <c r="EN12" s="2" t="s">
        <v>17</v>
      </c>
      <c r="EO12" s="2" t="s">
        <v>17</v>
      </c>
      <c r="EP12" s="2" t="s">
        <v>17</v>
      </c>
      <c r="EQ12" s="2" t="s">
        <v>17</v>
      </c>
      <c r="ER12" s="2" t="s">
        <v>17</v>
      </c>
      <c r="ES12" s="2" t="s">
        <v>17</v>
      </c>
      <c r="ET12" s="2" t="s">
        <v>1446</v>
      </c>
      <c r="EU12" s="2" t="s">
        <v>5149</v>
      </c>
      <c r="EV12" s="2" t="s">
        <v>1214</v>
      </c>
      <c r="EW12" s="2" t="s">
        <v>9</v>
      </c>
      <c r="EX12" s="2" t="s">
        <v>1447</v>
      </c>
      <c r="EY12" s="2" t="s">
        <v>1446</v>
      </c>
      <c r="EZ12" s="2" t="s">
        <v>5150</v>
      </c>
      <c r="FA12" s="2" t="s">
        <v>1449</v>
      </c>
      <c r="FB12" s="2">
        <v>60</v>
      </c>
      <c r="FC12" s="2" t="s">
        <v>1234</v>
      </c>
      <c r="FD12" s="2">
        <v>2010</v>
      </c>
      <c r="FE12" s="2" t="s">
        <v>26</v>
      </c>
      <c r="FF12" s="2" t="s">
        <v>4210</v>
      </c>
      <c r="FG12" s="2" t="s">
        <v>5151</v>
      </c>
      <c r="FH12" s="2"/>
      <c r="FI12" s="2" t="s">
        <v>1454</v>
      </c>
      <c r="FJ12" s="2" t="s">
        <v>1455</v>
      </c>
      <c r="FK12" s="2">
        <v>1</v>
      </c>
      <c r="FL12" s="2" t="s">
        <v>1456</v>
      </c>
      <c r="FM12" s="2" t="s">
        <v>1529</v>
      </c>
      <c r="FN12" s="2" t="s">
        <v>5152</v>
      </c>
      <c r="FO12" s="2" t="s">
        <v>63</v>
      </c>
      <c r="FP12" s="2" t="s">
        <v>9</v>
      </c>
      <c r="FQ12" s="2" t="s">
        <v>17</v>
      </c>
      <c r="FR12" s="2" t="s">
        <v>17</v>
      </c>
      <c r="FS12" s="2" t="s">
        <v>9</v>
      </c>
      <c r="FT12" s="2">
        <v>0</v>
      </c>
      <c r="FU12" s="2">
        <v>0</v>
      </c>
      <c r="FV12" s="4">
        <v>0</v>
      </c>
      <c r="FW12" s="4">
        <v>0</v>
      </c>
      <c r="FX12" s="2" t="s">
        <v>65</v>
      </c>
      <c r="FY12" s="2" t="s">
        <v>66</v>
      </c>
      <c r="FZ12" s="2" t="s">
        <v>17</v>
      </c>
      <c r="GA12" s="2"/>
      <c r="GB12" s="2"/>
      <c r="GC12" s="2"/>
      <c r="GD12" s="2" t="s">
        <v>67</v>
      </c>
      <c r="GE12" s="2" t="s">
        <v>68</v>
      </c>
      <c r="GF12" s="2">
        <v>72</v>
      </c>
      <c r="GG12" s="2">
        <v>72</v>
      </c>
      <c r="GH12" s="2"/>
      <c r="GI12" s="2"/>
      <c r="GJ12" s="2"/>
      <c r="GK12" s="2"/>
      <c r="GL12" s="2"/>
      <c r="GM12" s="2"/>
      <c r="GN12" s="2"/>
      <c r="GO12" s="2"/>
      <c r="GP12" s="2"/>
      <c r="GQ12" s="2">
        <v>72</v>
      </c>
      <c r="GR12" s="2" t="s">
        <v>1197</v>
      </c>
      <c r="GS12" s="2" t="s">
        <v>70</v>
      </c>
      <c r="GT12" s="2">
        <v>1</v>
      </c>
      <c r="GU12" s="2" t="s">
        <v>5153</v>
      </c>
      <c r="GV12" s="2" t="s">
        <v>1469</v>
      </c>
      <c r="GW12" s="2" t="s">
        <v>9</v>
      </c>
      <c r="GX12" s="2">
        <v>26.652068</v>
      </c>
      <c r="GY12" s="2">
        <v>-81.832767000000004</v>
      </c>
      <c r="GZ12" s="2" t="s">
        <v>5154</v>
      </c>
      <c r="HA12" s="2" t="s">
        <v>17</v>
      </c>
      <c r="HB12" s="2">
        <v>0</v>
      </c>
      <c r="HC12" s="2" t="s">
        <v>17</v>
      </c>
      <c r="HD12" s="2"/>
      <c r="HE12" s="2">
        <v>0</v>
      </c>
      <c r="HF12" s="2">
        <v>26.648582000000001</v>
      </c>
      <c r="HG12" s="2">
        <v>-81.833983000000003</v>
      </c>
      <c r="HH12" s="2">
        <v>0.24</v>
      </c>
      <c r="HI12" s="2">
        <v>5.5</v>
      </c>
      <c r="HJ12" s="2">
        <v>26.648423000000001</v>
      </c>
      <c r="HK12" s="2">
        <v>-81.833620999999994</v>
      </c>
      <c r="HL12" s="2">
        <v>0.25</v>
      </c>
      <c r="HM12" s="2">
        <v>26.648150999999999</v>
      </c>
      <c r="HN12" s="2">
        <v>-81.828309000000004</v>
      </c>
      <c r="HO12" s="2">
        <v>0.4</v>
      </c>
      <c r="HP12" s="2"/>
      <c r="HQ12" s="2"/>
      <c r="HR12" s="2"/>
      <c r="HS12" s="2"/>
      <c r="HT12" s="2"/>
      <c r="HU12" s="2"/>
      <c r="HV12" s="2"/>
      <c r="HW12" s="2"/>
      <c r="HX12" s="2" t="s">
        <v>73</v>
      </c>
      <c r="HY12" s="2" t="s">
        <v>5155</v>
      </c>
      <c r="HZ12" s="2" t="s">
        <v>5156</v>
      </c>
      <c r="IA12" s="2">
        <v>0.99</v>
      </c>
      <c r="IB12" s="2">
        <v>2.5</v>
      </c>
      <c r="IC12" s="2"/>
      <c r="ID12" s="2"/>
      <c r="IE12" s="2"/>
      <c r="IF12" s="2"/>
      <c r="IG12" s="2" t="s">
        <v>224</v>
      </c>
      <c r="IH12" s="2" t="s">
        <v>5157</v>
      </c>
      <c r="II12" s="2">
        <v>1.1000000000000001</v>
      </c>
      <c r="IJ12" s="2">
        <v>2</v>
      </c>
      <c r="IK12" s="2" t="s">
        <v>5158</v>
      </c>
      <c r="IL12" s="2" t="s">
        <v>5159</v>
      </c>
      <c r="IM12" s="2">
        <v>0.37</v>
      </c>
      <c r="IN12" s="2">
        <v>4</v>
      </c>
      <c r="IO12" s="2">
        <v>5.5</v>
      </c>
      <c r="IP12" s="2">
        <v>8.5</v>
      </c>
      <c r="IQ12" s="2">
        <v>0</v>
      </c>
      <c r="IR12" s="2">
        <v>14</v>
      </c>
      <c r="IS12" s="2" t="s">
        <v>17</v>
      </c>
      <c r="IT12" s="2" t="s">
        <v>17</v>
      </c>
      <c r="IU12" s="2" t="s">
        <v>17</v>
      </c>
      <c r="IV12" s="2" t="s">
        <v>80</v>
      </c>
      <c r="IW12" s="2" t="s">
        <v>9</v>
      </c>
      <c r="IX12" s="2" t="s">
        <v>9</v>
      </c>
      <c r="IY12" s="2">
        <v>14</v>
      </c>
      <c r="IZ12" s="2">
        <v>72</v>
      </c>
      <c r="JA12" s="2"/>
      <c r="JB12" s="2"/>
      <c r="JC12" s="2"/>
      <c r="JD12" s="7">
        <v>0.1</v>
      </c>
      <c r="JE12" s="2"/>
      <c r="JF12" s="2"/>
      <c r="JG12" s="7">
        <v>0.9</v>
      </c>
      <c r="JH12" s="7">
        <v>0</v>
      </c>
      <c r="JI12" s="2">
        <v>72</v>
      </c>
      <c r="JJ12" s="7">
        <v>1</v>
      </c>
      <c r="JK12" s="2">
        <v>72</v>
      </c>
      <c r="JL12" s="7">
        <v>1</v>
      </c>
      <c r="JM12" s="2"/>
      <c r="JN12" s="2"/>
      <c r="JO12" s="2"/>
      <c r="JP12" s="2"/>
      <c r="JQ12" s="2"/>
      <c r="JR12" s="2">
        <v>0</v>
      </c>
      <c r="JS12" s="2">
        <v>0</v>
      </c>
      <c r="JT12" s="2"/>
      <c r="JU12" s="2"/>
      <c r="JV12" s="2">
        <v>0</v>
      </c>
      <c r="JW12" s="4">
        <v>0</v>
      </c>
      <c r="JX12" s="2">
        <v>0</v>
      </c>
      <c r="JY12" s="4">
        <v>0</v>
      </c>
      <c r="JZ12" s="2">
        <v>72</v>
      </c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>
        <v>36</v>
      </c>
      <c r="KL12" s="2">
        <v>36</v>
      </c>
      <c r="KM12" s="2"/>
      <c r="KN12" s="2"/>
      <c r="KO12" s="2"/>
      <c r="KP12" s="2"/>
      <c r="KQ12" s="2" t="s">
        <v>83</v>
      </c>
      <c r="KR12" s="2" t="s">
        <v>73</v>
      </c>
      <c r="KS12" s="2"/>
      <c r="KT12" s="2">
        <v>3</v>
      </c>
      <c r="KU12" s="2" t="s">
        <v>84</v>
      </c>
      <c r="KV12" s="2" t="s">
        <v>85</v>
      </c>
      <c r="KW12" s="2" t="s">
        <v>86</v>
      </c>
      <c r="KX12" s="2" t="s">
        <v>17</v>
      </c>
      <c r="KY12" s="2" t="s">
        <v>17</v>
      </c>
      <c r="KZ12" s="2" t="s">
        <v>17</v>
      </c>
      <c r="LA12" s="2" t="s">
        <v>17</v>
      </c>
      <c r="LB12" s="2" t="s">
        <v>17</v>
      </c>
      <c r="LC12" s="2" t="s">
        <v>17</v>
      </c>
      <c r="LD12" s="2" t="s">
        <v>17</v>
      </c>
      <c r="LE12" s="2" t="s">
        <v>17</v>
      </c>
      <c r="LF12" s="2" t="s">
        <v>17</v>
      </c>
      <c r="LG12" s="2" t="s">
        <v>17</v>
      </c>
      <c r="LH12" s="2" t="s">
        <v>17</v>
      </c>
      <c r="LI12" s="2" t="s">
        <v>17</v>
      </c>
      <c r="LJ12" s="2" t="s">
        <v>87</v>
      </c>
      <c r="LK12" s="2" t="s">
        <v>17</v>
      </c>
      <c r="LL12" s="2" t="s">
        <v>17</v>
      </c>
      <c r="LM12" s="2">
        <v>0</v>
      </c>
      <c r="LN12" s="2" t="s">
        <v>9</v>
      </c>
      <c r="LO12" s="2" t="s">
        <v>9</v>
      </c>
      <c r="LP12" s="2" t="s">
        <v>17</v>
      </c>
      <c r="LQ12" s="2" t="s">
        <v>17</v>
      </c>
      <c r="LR12" s="2" t="s">
        <v>9</v>
      </c>
      <c r="LS12" s="2" t="s">
        <v>17</v>
      </c>
      <c r="LT12" s="2" t="s">
        <v>17</v>
      </c>
      <c r="LU12" s="2" t="s">
        <v>17</v>
      </c>
      <c r="LV12" s="2" t="s">
        <v>17</v>
      </c>
      <c r="LW12" s="2" t="s">
        <v>17</v>
      </c>
      <c r="LX12" s="2" t="s">
        <v>17</v>
      </c>
      <c r="LY12" s="5">
        <v>7560000</v>
      </c>
      <c r="LZ12" s="5">
        <v>0</v>
      </c>
      <c r="MA12" s="5">
        <v>7560000</v>
      </c>
      <c r="MB12" s="5">
        <v>5798000</v>
      </c>
      <c r="MC12" s="5">
        <v>5798000</v>
      </c>
      <c r="MD12" s="5">
        <v>776400</v>
      </c>
      <c r="ME12" s="5">
        <v>776400</v>
      </c>
      <c r="MF12" s="5">
        <v>776400</v>
      </c>
      <c r="MG12" s="5">
        <v>6574400</v>
      </c>
      <c r="MH12" s="2">
        <v>0</v>
      </c>
      <c r="MI12" s="5">
        <v>0</v>
      </c>
      <c r="MJ12" s="5">
        <v>0</v>
      </c>
      <c r="MK12" s="2">
        <v>0</v>
      </c>
      <c r="ML12" s="2">
        <v>0</v>
      </c>
      <c r="MM12" s="2">
        <v>0</v>
      </c>
      <c r="MN12" s="5">
        <v>2950000</v>
      </c>
      <c r="MO12" s="5">
        <v>0</v>
      </c>
      <c r="MP12" s="5">
        <v>4600000</v>
      </c>
      <c r="MQ12" s="5">
        <v>0</v>
      </c>
      <c r="MR12" s="5">
        <v>0</v>
      </c>
      <c r="MS12" s="5">
        <v>0</v>
      </c>
      <c r="MT12" s="5">
        <v>0</v>
      </c>
      <c r="MU12" s="5">
        <v>2475000</v>
      </c>
      <c r="MV12" s="5">
        <v>0</v>
      </c>
      <c r="MW12" s="5">
        <v>0</v>
      </c>
      <c r="MX12" s="5">
        <v>0</v>
      </c>
      <c r="MY12" s="5">
        <v>2040000</v>
      </c>
      <c r="MZ12" s="5">
        <v>0</v>
      </c>
      <c r="NA12" s="5">
        <v>1143426</v>
      </c>
      <c r="NB12" s="2" t="s">
        <v>17</v>
      </c>
      <c r="NC12" s="2"/>
      <c r="ND12" s="2"/>
      <c r="NE12" s="2"/>
      <c r="NF12" s="2"/>
      <c r="NG12" s="2"/>
      <c r="NH12" s="2"/>
      <c r="NI12" s="61">
        <v>0</v>
      </c>
      <c r="NJ12" s="61"/>
      <c r="NK12" s="61"/>
      <c r="NL12" s="61"/>
      <c r="NM12" s="2" t="s">
        <v>9</v>
      </c>
      <c r="NN12" s="2" t="s">
        <v>5160</v>
      </c>
      <c r="NO12" s="2" t="s">
        <v>17</v>
      </c>
      <c r="NP12" s="2"/>
      <c r="NQ12" s="2"/>
      <c r="NR12" s="2" t="s">
        <v>17</v>
      </c>
      <c r="NS12" s="2"/>
      <c r="NT12" s="2" t="s">
        <v>17</v>
      </c>
      <c r="NU12" s="2"/>
      <c r="NV12" s="2"/>
      <c r="NW12" s="2"/>
      <c r="NX12" s="2" t="s">
        <v>118</v>
      </c>
      <c r="NY12" s="2" t="s">
        <v>118</v>
      </c>
      <c r="NZ12" s="2" t="s">
        <v>118</v>
      </c>
      <c r="OA12" s="2" t="s">
        <v>17</v>
      </c>
      <c r="OB12" s="2" t="s">
        <v>119</v>
      </c>
      <c r="OC12" s="5">
        <v>11500000</v>
      </c>
      <c r="OD12" s="2" t="s">
        <v>17</v>
      </c>
      <c r="OE12" s="2" t="s">
        <v>17</v>
      </c>
      <c r="OF12" s="2" t="s">
        <v>85</v>
      </c>
      <c r="OG12" s="6">
        <v>4950000</v>
      </c>
      <c r="OH12" s="6">
        <v>0</v>
      </c>
      <c r="OI12" s="2" t="s">
        <v>93</v>
      </c>
      <c r="OJ12" s="2" t="s">
        <v>93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4">
        <v>0</v>
      </c>
      <c r="OR12" s="6">
        <v>0</v>
      </c>
      <c r="OS12" s="4">
        <v>0</v>
      </c>
      <c r="OT12" s="2" t="s">
        <v>17</v>
      </c>
      <c r="OU12" s="2" t="s">
        <v>17</v>
      </c>
      <c r="OV12" s="2"/>
      <c r="OW12" s="2" t="s">
        <v>17</v>
      </c>
      <c r="OX12" s="5">
        <v>5336827</v>
      </c>
      <c r="OY12" s="6">
        <v>74122.600000000006</v>
      </c>
      <c r="OZ12" s="2"/>
      <c r="PA12" s="2"/>
      <c r="PB12" s="2"/>
      <c r="PC12" s="2"/>
      <c r="PD12" s="2"/>
      <c r="PE12" s="2"/>
      <c r="PF12" s="8">
        <v>12975000</v>
      </c>
      <c r="PG12" s="2"/>
      <c r="PH12" s="8">
        <v>12975000</v>
      </c>
      <c r="PI12" s="2"/>
      <c r="PJ12" s="2"/>
      <c r="PK12" s="2"/>
      <c r="PL12" s="2"/>
      <c r="PM12" s="2"/>
      <c r="PN12" s="2"/>
      <c r="PO12" s="2"/>
      <c r="PP12" s="2"/>
      <c r="PQ12" s="2"/>
      <c r="PR12" s="8">
        <v>12975000</v>
      </c>
      <c r="PS12" s="2"/>
      <c r="PT12" s="8">
        <v>12975000</v>
      </c>
      <c r="PU12" s="8">
        <v>1815000</v>
      </c>
      <c r="PV12" s="8">
        <v>1815000</v>
      </c>
      <c r="PW12" s="6">
        <v>1816500</v>
      </c>
      <c r="PX12" s="8">
        <v>14790000</v>
      </c>
      <c r="PY12" s="2"/>
      <c r="PZ12" s="8">
        <v>14790000</v>
      </c>
      <c r="QA12" s="8">
        <v>734000</v>
      </c>
      <c r="QB12" s="8">
        <v>734000</v>
      </c>
      <c r="QC12" s="6">
        <v>739500</v>
      </c>
      <c r="QD12" s="8">
        <v>17500</v>
      </c>
      <c r="QE12" s="8">
        <v>17500</v>
      </c>
      <c r="QF12" s="8">
        <v>35000</v>
      </c>
      <c r="QG12" s="8">
        <v>15000</v>
      </c>
      <c r="QH12" s="8">
        <v>15000</v>
      </c>
      <c r="QI12" s="8">
        <v>280000</v>
      </c>
      <c r="QJ12" s="8">
        <v>280000</v>
      </c>
      <c r="QK12" s="8">
        <v>50000</v>
      </c>
      <c r="QL12" s="8">
        <v>50000</v>
      </c>
      <c r="QM12" s="8">
        <v>54000</v>
      </c>
      <c r="QN12" s="2"/>
      <c r="QO12" s="8">
        <v>54000</v>
      </c>
      <c r="QP12" s="8">
        <v>140000</v>
      </c>
      <c r="QQ12" s="8">
        <v>140000</v>
      </c>
      <c r="QR12" s="2"/>
      <c r="QS12" s="2"/>
      <c r="QT12" s="8">
        <v>100000</v>
      </c>
      <c r="QU12" s="2"/>
      <c r="QV12" s="8">
        <v>100000</v>
      </c>
      <c r="QW12" s="8">
        <v>15000</v>
      </c>
      <c r="QX12" s="8">
        <v>15000</v>
      </c>
      <c r="QY12" s="8">
        <v>102908</v>
      </c>
      <c r="QZ12" s="8">
        <v>102908</v>
      </c>
      <c r="RA12" s="8">
        <v>3000</v>
      </c>
      <c r="RB12" s="8">
        <v>3000</v>
      </c>
      <c r="RC12" s="8">
        <v>227850</v>
      </c>
      <c r="RD12" s="8">
        <v>227850</v>
      </c>
      <c r="RE12" s="8">
        <v>30239</v>
      </c>
      <c r="RF12" s="8">
        <v>30239</v>
      </c>
      <c r="RG12" s="8">
        <v>22060</v>
      </c>
      <c r="RH12" s="8">
        <v>22060</v>
      </c>
      <c r="RI12" s="2"/>
      <c r="RJ12" s="2"/>
      <c r="RK12" s="8">
        <v>111200</v>
      </c>
      <c r="RL12" s="2"/>
      <c r="RM12" s="8">
        <v>111200</v>
      </c>
      <c r="RN12" s="8">
        <v>128000</v>
      </c>
      <c r="RO12" s="2"/>
      <c r="RP12" s="8">
        <v>128000</v>
      </c>
      <c r="RQ12" s="8">
        <v>340000</v>
      </c>
      <c r="RR12" s="8">
        <v>70000</v>
      </c>
      <c r="RS12" s="8">
        <v>410000</v>
      </c>
      <c r="RT12" s="2"/>
      <c r="RU12" s="8">
        <v>4900</v>
      </c>
      <c r="RV12" s="8">
        <v>4900</v>
      </c>
      <c r="RW12" s="8">
        <v>10000</v>
      </c>
      <c r="RX12" s="8">
        <v>10000</v>
      </c>
      <c r="RY12" s="2"/>
      <c r="RZ12" s="2"/>
      <c r="SA12" s="2"/>
      <c r="SB12" s="8">
        <v>10000</v>
      </c>
      <c r="SC12" s="8">
        <v>10000</v>
      </c>
      <c r="SD12" s="8">
        <v>15000</v>
      </c>
      <c r="SE12" s="8">
        <v>10000</v>
      </c>
      <c r="SF12" s="8">
        <v>25000</v>
      </c>
      <c r="SG12" s="2"/>
      <c r="SH12" s="8">
        <v>125000</v>
      </c>
      <c r="SI12" s="8">
        <v>30000</v>
      </c>
      <c r="SJ12" s="8">
        <v>155000</v>
      </c>
      <c r="SK12" s="8">
        <v>313472</v>
      </c>
      <c r="SL12" s="8">
        <v>313472</v>
      </c>
      <c r="SM12" s="2"/>
      <c r="SN12" s="2"/>
      <c r="SO12" s="2"/>
      <c r="SP12" s="8">
        <v>1736232</v>
      </c>
      <c r="SQ12" s="8">
        <v>506397</v>
      </c>
      <c r="SR12" s="8">
        <v>2242629</v>
      </c>
      <c r="SS12" s="8">
        <v>100000</v>
      </c>
      <c r="ST12" s="2"/>
      <c r="SU12" s="8">
        <v>100000</v>
      </c>
      <c r="SV12" s="6">
        <v>112131.45</v>
      </c>
      <c r="SW12" s="8">
        <v>90000</v>
      </c>
      <c r="SX12" s="8">
        <v>90000</v>
      </c>
      <c r="SY12" s="2"/>
      <c r="SZ12" s="8">
        <v>1000000</v>
      </c>
      <c r="TA12" s="2"/>
      <c r="TB12" s="8">
        <v>1000000</v>
      </c>
      <c r="TC12" s="8">
        <v>80000</v>
      </c>
      <c r="TD12" s="2"/>
      <c r="TE12" s="8">
        <v>80000</v>
      </c>
      <c r="TF12" s="8">
        <v>49500</v>
      </c>
      <c r="TG12" s="8">
        <v>49500</v>
      </c>
      <c r="TH12" s="2"/>
      <c r="TI12" s="8">
        <v>51995</v>
      </c>
      <c r="TJ12" s="8">
        <v>51995</v>
      </c>
      <c r="TK12" s="2"/>
      <c r="TL12" s="2"/>
      <c r="TM12" s="8">
        <v>440000</v>
      </c>
      <c r="TN12" s="8">
        <v>440000</v>
      </c>
      <c r="TO12" s="8">
        <v>1170000</v>
      </c>
      <c r="TP12" s="8">
        <v>541495</v>
      </c>
      <c r="TQ12" s="8">
        <v>1711495</v>
      </c>
      <c r="TR12" s="8">
        <v>18530232</v>
      </c>
      <c r="TS12" s="8">
        <v>1047892</v>
      </c>
      <c r="TT12" s="8">
        <v>19578124</v>
      </c>
      <c r="TU12" s="8">
        <v>3495000</v>
      </c>
      <c r="TV12" s="8">
        <v>3495000</v>
      </c>
      <c r="TW12" s="6">
        <v>3524062</v>
      </c>
      <c r="TX12" s="8">
        <v>3495000</v>
      </c>
      <c r="TY12" s="8">
        <v>3495000</v>
      </c>
      <c r="TZ12" s="6">
        <v>3524062</v>
      </c>
      <c r="UA12" s="8">
        <v>400000</v>
      </c>
      <c r="UB12" s="8">
        <v>400000</v>
      </c>
      <c r="UC12" s="8">
        <v>22025232</v>
      </c>
      <c r="UD12" s="8">
        <v>1447892</v>
      </c>
      <c r="UE12" s="8">
        <v>23473124</v>
      </c>
      <c r="UF12" s="8">
        <v>11500000</v>
      </c>
      <c r="UG12" s="2" t="s">
        <v>4295</v>
      </c>
      <c r="UH12" s="2"/>
      <c r="UI12" s="2"/>
      <c r="UJ12" s="8">
        <v>6574400</v>
      </c>
      <c r="UK12" s="2"/>
      <c r="UL12" s="2" t="s">
        <v>96</v>
      </c>
      <c r="UM12" s="8">
        <v>3521048</v>
      </c>
      <c r="UN12" s="8">
        <v>3495000</v>
      </c>
      <c r="UO12" s="8">
        <v>25090448</v>
      </c>
      <c r="UP12" s="8">
        <v>1617324</v>
      </c>
      <c r="UQ12" s="8">
        <v>4950000</v>
      </c>
      <c r="UR12" s="2" t="s">
        <v>4295</v>
      </c>
      <c r="US12" s="2"/>
      <c r="UT12" s="2"/>
      <c r="UU12" s="2"/>
      <c r="UV12" s="2"/>
      <c r="UW12" s="8">
        <v>6574400</v>
      </c>
      <c r="UX12" s="2">
        <v>0</v>
      </c>
      <c r="UY12" s="2" t="s">
        <v>96</v>
      </c>
      <c r="UZ12" s="8">
        <v>10060136</v>
      </c>
      <c r="VA12" s="8">
        <v>3495000</v>
      </c>
      <c r="VB12" s="8">
        <v>25079536</v>
      </c>
      <c r="VC12" s="6">
        <v>11524400</v>
      </c>
      <c r="VD12" s="8">
        <v>1606412</v>
      </c>
      <c r="VE12" s="5">
        <v>370000</v>
      </c>
      <c r="VF12" s="5">
        <v>377500</v>
      </c>
      <c r="VG12" s="6">
        <v>320460.06</v>
      </c>
      <c r="VH12" s="2" t="s">
        <v>9</v>
      </c>
      <c r="VI12" s="388" t="s">
        <v>1447</v>
      </c>
      <c r="VJ12" s="2" t="s">
        <v>98</v>
      </c>
      <c r="VK12" s="2" t="s">
        <v>5161</v>
      </c>
      <c r="VL12" s="23">
        <f t="shared" si="0"/>
        <v>180</v>
      </c>
      <c r="VM12" s="17">
        <f t="shared" si="1"/>
        <v>2.5</v>
      </c>
      <c r="VN12" s="17" t="str">
        <f t="shared" si="2"/>
        <v>NC-GA-F</v>
      </c>
      <c r="VO12" s="17" t="str">
        <f t="shared" si="15"/>
        <v>NC-GA-F-ESS</v>
      </c>
      <c r="VP12" s="57">
        <v>1</v>
      </c>
      <c r="VQ12" s="17">
        <f t="shared" si="3"/>
        <v>1.1100000000000001</v>
      </c>
      <c r="VR12" s="57">
        <f t="shared" si="4"/>
        <v>1</v>
      </c>
      <c r="VS12" s="14">
        <f t="shared" si="5"/>
        <v>1</v>
      </c>
      <c r="VT12" s="12">
        <f t="shared" si="6"/>
        <v>0.85439999999999994</v>
      </c>
      <c r="VU12" s="29">
        <f t="shared" si="7"/>
        <v>5498730.432</v>
      </c>
      <c r="VV12" s="29">
        <f t="shared" si="8"/>
        <v>76371.259999999995</v>
      </c>
      <c r="VW12" s="351" t="str">
        <f t="shared" si="21"/>
        <v>A</v>
      </c>
      <c r="VX12" s="12" t="str">
        <f t="shared" si="9"/>
        <v>NC-GA-ESS</v>
      </c>
      <c r="VY12" s="23">
        <f t="shared" si="22"/>
        <v>3</v>
      </c>
      <c r="WA12" s="12">
        <f t="shared" si="16"/>
        <v>0</v>
      </c>
      <c r="WB12" s="12">
        <f t="shared" si="17"/>
        <v>1</v>
      </c>
      <c r="WC12" s="12">
        <f t="shared" si="17"/>
        <v>0</v>
      </c>
      <c r="WD12" s="12">
        <f t="shared" si="17"/>
        <v>0</v>
      </c>
      <c r="WE12" s="12">
        <f t="shared" si="18"/>
        <v>1</v>
      </c>
      <c r="WF12" s="12">
        <f t="shared" si="10"/>
        <v>1</v>
      </c>
      <c r="WG12" s="12">
        <f t="shared" si="11"/>
        <v>0</v>
      </c>
      <c r="WH12" s="12">
        <f t="shared" si="12"/>
        <v>0</v>
      </c>
      <c r="WI12" s="31">
        <f t="shared" si="13"/>
        <v>3</v>
      </c>
      <c r="WJ12" s="2"/>
      <c r="WK12" s="444" t="str">
        <f t="shared" si="23"/>
        <v>NC-GA-ESS-BBY-BRN-NPH-F</v>
      </c>
      <c r="WL12" s="444"/>
      <c r="WM12" s="444"/>
    </row>
    <row r="13" spans="1:622" x14ac:dyDescent="0.25">
      <c r="A13" s="2">
        <v>9034</v>
      </c>
      <c r="B13" s="2" t="s">
        <v>5162</v>
      </c>
      <c r="C13" s="2" t="s">
        <v>5063</v>
      </c>
      <c r="D13" s="2">
        <v>9</v>
      </c>
      <c r="E13" s="2">
        <v>36.5</v>
      </c>
      <c r="F13" s="2"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 t="s">
        <v>9</v>
      </c>
      <c r="BV13" s="6">
        <v>74367.42</v>
      </c>
      <c r="BW13" s="2" t="s">
        <v>18</v>
      </c>
      <c r="BX13" s="3">
        <v>45036</v>
      </c>
      <c r="BY13" s="2" t="s">
        <v>9</v>
      </c>
      <c r="BZ13" s="2">
        <v>1</v>
      </c>
      <c r="CA13" s="2" t="s">
        <v>9</v>
      </c>
      <c r="CB13" s="2">
        <v>1</v>
      </c>
      <c r="CC13" s="2" t="s">
        <v>9</v>
      </c>
      <c r="CD13" s="2">
        <v>0</v>
      </c>
      <c r="CE13" s="2" t="s">
        <v>4658</v>
      </c>
      <c r="CF13" s="2">
        <v>1</v>
      </c>
      <c r="CG13" s="2" t="s">
        <v>10</v>
      </c>
      <c r="CH13" s="2">
        <v>0</v>
      </c>
      <c r="CI13" s="2" t="s">
        <v>10</v>
      </c>
      <c r="CJ13" s="2">
        <v>0</v>
      </c>
      <c r="CK13" s="2" t="s">
        <v>11</v>
      </c>
      <c r="CL13" s="2">
        <v>0</v>
      </c>
      <c r="CM13" s="2" t="s">
        <v>9</v>
      </c>
      <c r="CN13" s="2">
        <v>2</v>
      </c>
      <c r="CO13" s="2" t="s">
        <v>9</v>
      </c>
      <c r="CP13" s="2">
        <v>2</v>
      </c>
      <c r="CQ13" s="2" t="s">
        <v>9</v>
      </c>
      <c r="CR13" s="2">
        <v>2</v>
      </c>
      <c r="CS13" s="2" t="s">
        <v>12</v>
      </c>
      <c r="CT13" s="2" t="s">
        <v>15</v>
      </c>
      <c r="CU13" s="2" t="s">
        <v>15</v>
      </c>
      <c r="CV13" s="2" t="s">
        <v>15</v>
      </c>
      <c r="CW13" s="2" t="s">
        <v>15</v>
      </c>
      <c r="CX13" s="2" t="s">
        <v>15</v>
      </c>
      <c r="CY13" s="2" t="s">
        <v>15</v>
      </c>
      <c r="CZ13" s="2">
        <v>0</v>
      </c>
      <c r="DA13" s="2" t="s">
        <v>234</v>
      </c>
      <c r="DB13" s="2" t="s">
        <v>17</v>
      </c>
      <c r="DC13" s="4">
        <v>0.1</v>
      </c>
      <c r="DD13" s="2" t="s">
        <v>17</v>
      </c>
      <c r="DE13" s="2" t="s">
        <v>9</v>
      </c>
      <c r="DF13" s="2" t="s">
        <v>17</v>
      </c>
      <c r="DG13" s="2" t="s">
        <v>17</v>
      </c>
      <c r="DH13" s="2" t="s">
        <v>17</v>
      </c>
      <c r="DI13" s="2" t="s">
        <v>9</v>
      </c>
      <c r="DJ13" s="2" t="s">
        <v>17</v>
      </c>
      <c r="DK13" s="2" t="s">
        <v>17</v>
      </c>
      <c r="DL13" s="2" t="s">
        <v>17</v>
      </c>
      <c r="DM13" s="2" t="s">
        <v>17</v>
      </c>
      <c r="DN13" s="2" t="s">
        <v>2663</v>
      </c>
      <c r="DO13" s="2">
        <v>5</v>
      </c>
      <c r="DP13" s="5">
        <v>37500</v>
      </c>
      <c r="DQ13" s="5">
        <v>460000</v>
      </c>
      <c r="DR13" s="2">
        <v>0</v>
      </c>
      <c r="DS13" s="2">
        <v>2</v>
      </c>
      <c r="DT13" s="2">
        <v>0</v>
      </c>
      <c r="DU13" s="2">
        <v>6</v>
      </c>
      <c r="DV13" s="2">
        <v>0</v>
      </c>
      <c r="DW13" s="2">
        <v>0</v>
      </c>
      <c r="DX13" s="2">
        <v>1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13</v>
      </c>
      <c r="EE13" s="2">
        <v>1</v>
      </c>
      <c r="EF13" s="2">
        <v>0</v>
      </c>
      <c r="EG13" s="2">
        <v>3</v>
      </c>
      <c r="EH13" s="2">
        <v>0</v>
      </c>
      <c r="EI13" s="2">
        <v>13</v>
      </c>
      <c r="EJ13" s="2">
        <v>11</v>
      </c>
      <c r="EK13" s="2">
        <v>0</v>
      </c>
      <c r="EL13" s="2" t="s">
        <v>17</v>
      </c>
      <c r="EM13" s="2" t="s">
        <v>17</v>
      </c>
      <c r="EN13" s="2" t="s">
        <v>17</v>
      </c>
      <c r="EO13" s="2" t="s">
        <v>17</v>
      </c>
      <c r="EP13" s="2" t="s">
        <v>17</v>
      </c>
      <c r="EQ13" s="2" t="s">
        <v>17</v>
      </c>
      <c r="ER13" s="2" t="s">
        <v>17</v>
      </c>
      <c r="ES13" s="2" t="s">
        <v>17</v>
      </c>
      <c r="ET13" s="2" t="s">
        <v>1446</v>
      </c>
      <c r="EU13" s="2" t="s">
        <v>4659</v>
      </c>
      <c r="EV13" s="2" t="s">
        <v>4660</v>
      </c>
      <c r="EW13" s="2" t="s">
        <v>9</v>
      </c>
      <c r="EX13" s="2" t="s">
        <v>1447</v>
      </c>
      <c r="EY13" s="2" t="s">
        <v>1446</v>
      </c>
      <c r="EZ13" s="2" t="s">
        <v>5150</v>
      </c>
      <c r="FA13" s="2" t="s">
        <v>1449</v>
      </c>
      <c r="FB13" s="2">
        <v>60</v>
      </c>
      <c r="FC13" s="2" t="s">
        <v>375</v>
      </c>
      <c r="FD13" s="2">
        <v>2010</v>
      </c>
      <c r="FE13" s="2" t="s">
        <v>26</v>
      </c>
      <c r="FF13" s="2" t="s">
        <v>4210</v>
      </c>
      <c r="FG13" s="2" t="s">
        <v>5151</v>
      </c>
      <c r="FH13" s="2"/>
      <c r="FI13" s="2" t="s">
        <v>1454</v>
      </c>
      <c r="FJ13" s="2" t="s">
        <v>1455</v>
      </c>
      <c r="FK13" s="2">
        <v>1</v>
      </c>
      <c r="FL13" s="2" t="s">
        <v>1456</v>
      </c>
      <c r="FM13" s="2" t="s">
        <v>1529</v>
      </c>
      <c r="FN13" s="2" t="s">
        <v>4666</v>
      </c>
      <c r="FO13" s="2" t="s">
        <v>63</v>
      </c>
      <c r="FP13" s="2" t="s">
        <v>9</v>
      </c>
      <c r="FQ13" s="2" t="s">
        <v>17</v>
      </c>
      <c r="FR13" s="2" t="s">
        <v>17</v>
      </c>
      <c r="FS13" s="2" t="s">
        <v>9</v>
      </c>
      <c r="FT13" s="2">
        <v>0</v>
      </c>
      <c r="FU13" s="2">
        <v>0</v>
      </c>
      <c r="FV13" s="4">
        <v>0</v>
      </c>
      <c r="FW13" s="4">
        <v>0</v>
      </c>
      <c r="FX13" s="2" t="s">
        <v>65</v>
      </c>
      <c r="FY13" s="2" t="s">
        <v>66</v>
      </c>
      <c r="FZ13" s="2" t="s">
        <v>17</v>
      </c>
      <c r="GA13" s="2"/>
      <c r="GB13" s="2"/>
      <c r="GC13" s="2"/>
      <c r="GD13" s="2" t="s">
        <v>67</v>
      </c>
      <c r="GE13" s="2" t="s">
        <v>68</v>
      </c>
      <c r="GF13" s="2">
        <v>80</v>
      </c>
      <c r="GG13" s="2">
        <v>80</v>
      </c>
      <c r="GH13" s="2"/>
      <c r="GI13" s="2"/>
      <c r="GJ13" s="2"/>
      <c r="GK13" s="2"/>
      <c r="GL13" s="2"/>
      <c r="GM13" s="2"/>
      <c r="GN13" s="2"/>
      <c r="GO13" s="2"/>
      <c r="GP13" s="2"/>
      <c r="GQ13" s="2">
        <v>80</v>
      </c>
      <c r="GR13" s="2" t="s">
        <v>1112</v>
      </c>
      <c r="GS13" s="2" t="s">
        <v>70</v>
      </c>
      <c r="GT13" s="2">
        <v>2</v>
      </c>
      <c r="GU13" s="2" t="s">
        <v>5163</v>
      </c>
      <c r="GV13" s="2" t="s">
        <v>1497</v>
      </c>
      <c r="GW13" s="2" t="s">
        <v>17</v>
      </c>
      <c r="GX13" s="2">
        <v>26.416374000000001</v>
      </c>
      <c r="GY13" s="2">
        <v>-81.428310999999994</v>
      </c>
      <c r="GZ13" s="2"/>
      <c r="HA13" s="2" t="s">
        <v>17</v>
      </c>
      <c r="HB13" s="2">
        <v>0</v>
      </c>
      <c r="HC13" s="2" t="s">
        <v>17</v>
      </c>
      <c r="HD13" s="2"/>
      <c r="HE13" s="2">
        <v>0</v>
      </c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 t="s">
        <v>73</v>
      </c>
      <c r="HY13" s="2"/>
      <c r="HZ13" s="2"/>
      <c r="IA13" s="2"/>
      <c r="IB13" s="2"/>
      <c r="IC13" s="2" t="s">
        <v>4668</v>
      </c>
      <c r="ID13" s="2" t="s">
        <v>5164</v>
      </c>
      <c r="IE13" s="2">
        <v>0.72</v>
      </c>
      <c r="IF13" s="2">
        <v>3</v>
      </c>
      <c r="IG13" s="2" t="s">
        <v>224</v>
      </c>
      <c r="IH13" s="2" t="s">
        <v>5165</v>
      </c>
      <c r="II13" s="2">
        <v>0.73</v>
      </c>
      <c r="IJ13" s="2">
        <v>3</v>
      </c>
      <c r="IK13" s="2" t="s">
        <v>4669</v>
      </c>
      <c r="IL13" s="2" t="s">
        <v>5166</v>
      </c>
      <c r="IM13" s="2">
        <v>0.23</v>
      </c>
      <c r="IN13" s="2">
        <v>4</v>
      </c>
      <c r="IO13" s="2">
        <v>0</v>
      </c>
      <c r="IP13" s="2">
        <v>10</v>
      </c>
      <c r="IQ13" s="2">
        <v>0</v>
      </c>
      <c r="IR13" s="2">
        <v>10</v>
      </c>
      <c r="IS13" s="2" t="s">
        <v>17</v>
      </c>
      <c r="IT13" s="2" t="s">
        <v>17</v>
      </c>
      <c r="IU13" s="2" t="s">
        <v>17</v>
      </c>
      <c r="IV13" s="2" t="s">
        <v>80</v>
      </c>
      <c r="IW13" s="2" t="s">
        <v>9</v>
      </c>
      <c r="IX13" s="2" t="s">
        <v>9</v>
      </c>
      <c r="IY13" s="2">
        <v>10</v>
      </c>
      <c r="IZ13" s="2">
        <v>80</v>
      </c>
      <c r="JA13" s="7">
        <v>0.1</v>
      </c>
      <c r="JB13" s="7">
        <v>0.1</v>
      </c>
      <c r="JC13" s="7">
        <v>0.1</v>
      </c>
      <c r="JD13" s="2"/>
      <c r="JE13" s="2"/>
      <c r="JF13" s="2"/>
      <c r="JG13" s="7">
        <v>0.9</v>
      </c>
      <c r="JH13" s="7">
        <v>0</v>
      </c>
      <c r="JI13" s="2">
        <v>80</v>
      </c>
      <c r="JJ13" s="7">
        <v>1</v>
      </c>
      <c r="JK13" s="2">
        <v>80</v>
      </c>
      <c r="JL13" s="7">
        <v>1</v>
      </c>
      <c r="JM13" s="2"/>
      <c r="JN13" s="2"/>
      <c r="JO13" s="2"/>
      <c r="JP13" s="2"/>
      <c r="JQ13" s="2"/>
      <c r="JR13" s="2">
        <v>0</v>
      </c>
      <c r="JS13" s="2">
        <v>0</v>
      </c>
      <c r="JT13" s="2"/>
      <c r="JU13" s="2"/>
      <c r="JV13" s="2">
        <v>0</v>
      </c>
      <c r="JW13" s="4">
        <v>0</v>
      </c>
      <c r="JX13" s="2">
        <v>0</v>
      </c>
      <c r="JY13" s="4">
        <v>0</v>
      </c>
      <c r="JZ13" s="2">
        <v>80</v>
      </c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>
        <v>40</v>
      </c>
      <c r="KL13" s="2">
        <v>40</v>
      </c>
      <c r="KM13" s="2"/>
      <c r="KN13" s="2"/>
      <c r="KO13" s="2"/>
      <c r="KP13" s="2"/>
      <c r="KQ13" s="2" t="s">
        <v>83</v>
      </c>
      <c r="KR13" s="2" t="s">
        <v>73</v>
      </c>
      <c r="KS13" s="2"/>
      <c r="KT13" s="2">
        <v>3</v>
      </c>
      <c r="KU13" s="2" t="s">
        <v>84</v>
      </c>
      <c r="KV13" s="2" t="s">
        <v>85</v>
      </c>
      <c r="KW13" s="2" t="s">
        <v>86</v>
      </c>
      <c r="KX13" s="2" t="s">
        <v>17</v>
      </c>
      <c r="KY13" s="2" t="s">
        <v>17</v>
      </c>
      <c r="KZ13" s="2" t="s">
        <v>17</v>
      </c>
      <c r="LA13" s="2" t="s">
        <v>17</v>
      </c>
      <c r="LB13" s="2" t="s">
        <v>17</v>
      </c>
      <c r="LC13" s="2" t="s">
        <v>17</v>
      </c>
      <c r="LD13" s="2" t="s">
        <v>17</v>
      </c>
      <c r="LE13" s="2" t="s">
        <v>17</v>
      </c>
      <c r="LF13" s="2" t="s">
        <v>17</v>
      </c>
      <c r="LG13" s="2" t="s">
        <v>17</v>
      </c>
      <c r="LH13" s="2" t="s">
        <v>17</v>
      </c>
      <c r="LI13" s="2" t="s">
        <v>17</v>
      </c>
      <c r="LJ13" s="2" t="s">
        <v>87</v>
      </c>
      <c r="LK13" s="2" t="s">
        <v>17</v>
      </c>
      <c r="LL13" s="2" t="s">
        <v>17</v>
      </c>
      <c r="LM13" s="2">
        <v>0</v>
      </c>
      <c r="LN13" s="2" t="s">
        <v>17</v>
      </c>
      <c r="LO13" s="2" t="s">
        <v>17</v>
      </c>
      <c r="LP13" s="2" t="s">
        <v>9</v>
      </c>
      <c r="LQ13" s="2" t="s">
        <v>17</v>
      </c>
      <c r="LR13" s="2" t="s">
        <v>9</v>
      </c>
      <c r="LS13" s="2" t="s">
        <v>9</v>
      </c>
      <c r="LT13" s="2" t="s">
        <v>17</v>
      </c>
      <c r="LU13" s="2" t="s">
        <v>17</v>
      </c>
      <c r="LV13" s="2" t="s">
        <v>17</v>
      </c>
      <c r="LW13" s="2" t="s">
        <v>17</v>
      </c>
      <c r="LX13" s="2" t="s">
        <v>17</v>
      </c>
      <c r="LY13" s="5">
        <v>8400000</v>
      </c>
      <c r="LZ13" s="5">
        <v>0</v>
      </c>
      <c r="MA13" s="5">
        <v>8400000</v>
      </c>
      <c r="MB13" s="5">
        <v>6950000</v>
      </c>
      <c r="MC13" s="5">
        <v>6950000</v>
      </c>
      <c r="MD13" s="5">
        <v>1079600</v>
      </c>
      <c r="ME13" s="5">
        <v>1079600</v>
      </c>
      <c r="MF13" s="5">
        <v>1079600</v>
      </c>
      <c r="MG13" s="5">
        <v>8029600</v>
      </c>
      <c r="MH13" s="2">
        <v>0</v>
      </c>
      <c r="MI13" s="5">
        <v>0</v>
      </c>
      <c r="MJ13" s="5">
        <v>0</v>
      </c>
      <c r="MK13" s="2">
        <v>0</v>
      </c>
      <c r="ML13" s="2">
        <v>0</v>
      </c>
      <c r="MM13" s="2">
        <v>0</v>
      </c>
      <c r="MN13" s="5">
        <v>2950000</v>
      </c>
      <c r="MO13" s="5">
        <v>0</v>
      </c>
      <c r="MP13" s="5">
        <v>4600000</v>
      </c>
      <c r="MQ13" s="5">
        <v>0</v>
      </c>
      <c r="MR13" s="5">
        <v>0</v>
      </c>
      <c r="MS13" s="5">
        <v>0</v>
      </c>
      <c r="MT13" s="5">
        <v>0</v>
      </c>
      <c r="MU13" s="5">
        <v>2500000</v>
      </c>
      <c r="MV13" s="5">
        <v>0</v>
      </c>
      <c r="MW13" s="5">
        <v>0</v>
      </c>
      <c r="MX13" s="5">
        <v>0</v>
      </c>
      <c r="MY13" s="5">
        <v>2040000</v>
      </c>
      <c r="MZ13" s="5">
        <v>0</v>
      </c>
      <c r="NA13" s="5">
        <v>1308737</v>
      </c>
      <c r="NB13" s="2" t="s">
        <v>17</v>
      </c>
      <c r="NC13" s="2"/>
      <c r="ND13" s="2"/>
      <c r="NE13" s="2"/>
      <c r="NF13" s="2"/>
      <c r="NG13" s="2"/>
      <c r="NH13" s="2"/>
      <c r="NI13" s="61">
        <v>0</v>
      </c>
      <c r="NJ13" s="61"/>
      <c r="NK13" s="61"/>
      <c r="NL13" s="61"/>
      <c r="NM13" s="2" t="s">
        <v>17</v>
      </c>
      <c r="NN13" s="2"/>
      <c r="NO13" s="2" t="s">
        <v>17</v>
      </c>
      <c r="NP13" s="2"/>
      <c r="NQ13" s="2"/>
      <c r="NR13" s="2" t="s">
        <v>17</v>
      </c>
      <c r="NS13" s="2"/>
      <c r="NT13" s="2" t="s">
        <v>9</v>
      </c>
      <c r="NU13" s="2" t="s">
        <v>450</v>
      </c>
      <c r="NV13" s="2">
        <v>112.04</v>
      </c>
      <c r="NW13" s="2" t="s">
        <v>4512</v>
      </c>
      <c r="NX13" s="2" t="s">
        <v>118</v>
      </c>
      <c r="NY13" s="2" t="s">
        <v>118</v>
      </c>
      <c r="NZ13" s="2" t="s">
        <v>118</v>
      </c>
      <c r="OA13" s="2" t="s">
        <v>17</v>
      </c>
      <c r="OB13" s="2" t="s">
        <v>119</v>
      </c>
      <c r="OC13" s="5">
        <v>13200000</v>
      </c>
      <c r="OD13" s="2" t="s">
        <v>17</v>
      </c>
      <c r="OE13" s="2" t="s">
        <v>17</v>
      </c>
      <c r="OF13" s="2" t="s">
        <v>85</v>
      </c>
      <c r="OG13" s="6">
        <v>5700000</v>
      </c>
      <c r="OH13" s="6">
        <v>0</v>
      </c>
      <c r="OI13" s="2" t="s">
        <v>93</v>
      </c>
      <c r="OJ13" s="2" t="s">
        <v>93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4">
        <v>0</v>
      </c>
      <c r="OR13" s="6">
        <v>0</v>
      </c>
      <c r="OS13" s="4">
        <v>0</v>
      </c>
      <c r="OT13" s="2" t="s">
        <v>17</v>
      </c>
      <c r="OU13" s="2" t="s">
        <v>9</v>
      </c>
      <c r="OV13" s="2" t="s">
        <v>4670</v>
      </c>
      <c r="OW13" s="2" t="s">
        <v>17</v>
      </c>
      <c r="OX13" s="5">
        <v>5949393</v>
      </c>
      <c r="OY13" s="6">
        <v>74367.42</v>
      </c>
      <c r="OZ13" s="2"/>
      <c r="PA13" s="2"/>
      <c r="PB13" s="2"/>
      <c r="PC13" s="2"/>
      <c r="PD13" s="2"/>
      <c r="PE13" s="2"/>
      <c r="PF13" s="8">
        <v>15600000</v>
      </c>
      <c r="PG13" s="2"/>
      <c r="PH13" s="8">
        <v>15600000</v>
      </c>
      <c r="PI13" s="2"/>
      <c r="PJ13" s="2"/>
      <c r="PK13" s="2"/>
      <c r="PL13" s="2"/>
      <c r="PM13" s="2"/>
      <c r="PN13" s="2"/>
      <c r="PO13" s="2"/>
      <c r="PP13" s="2"/>
      <c r="PQ13" s="2"/>
      <c r="PR13" s="8">
        <v>15600000</v>
      </c>
      <c r="PS13" s="2"/>
      <c r="PT13" s="8">
        <v>15600000</v>
      </c>
      <c r="PU13" s="8">
        <v>2180000</v>
      </c>
      <c r="PV13" s="8">
        <v>2180000</v>
      </c>
      <c r="PW13" s="6">
        <v>2184000</v>
      </c>
      <c r="PX13" s="8">
        <v>17780000</v>
      </c>
      <c r="PY13" s="2"/>
      <c r="PZ13" s="8">
        <v>17780000</v>
      </c>
      <c r="QA13" s="8">
        <v>889000</v>
      </c>
      <c r="QB13" s="8">
        <v>889000</v>
      </c>
      <c r="QC13" s="6">
        <v>889000</v>
      </c>
      <c r="QD13" s="8">
        <v>17500</v>
      </c>
      <c r="QE13" s="8">
        <v>17500</v>
      </c>
      <c r="QF13" s="8">
        <v>35000</v>
      </c>
      <c r="QG13" s="8">
        <v>15000</v>
      </c>
      <c r="QH13" s="8">
        <v>15000</v>
      </c>
      <c r="QI13" s="8">
        <v>280000</v>
      </c>
      <c r="QJ13" s="8">
        <v>280000</v>
      </c>
      <c r="QK13" s="8">
        <v>50000</v>
      </c>
      <c r="QL13" s="8">
        <v>50000</v>
      </c>
      <c r="QM13" s="8">
        <v>87000</v>
      </c>
      <c r="QN13" s="2"/>
      <c r="QO13" s="8">
        <v>87000</v>
      </c>
      <c r="QP13" s="8">
        <v>121500</v>
      </c>
      <c r="QQ13" s="8">
        <v>121500</v>
      </c>
      <c r="QR13" s="2"/>
      <c r="QS13" s="2"/>
      <c r="QT13" s="8">
        <v>150000</v>
      </c>
      <c r="QU13" s="8">
        <v>50000</v>
      </c>
      <c r="QV13" s="8">
        <v>200000</v>
      </c>
      <c r="QW13" s="8" t="s">
        <v>5365</v>
      </c>
      <c r="QX13" s="8">
        <v>15000</v>
      </c>
      <c r="QY13" s="8">
        <v>178000</v>
      </c>
      <c r="QZ13" s="8">
        <v>178000</v>
      </c>
      <c r="RA13" s="8">
        <v>3000</v>
      </c>
      <c r="RB13" s="8">
        <v>3000</v>
      </c>
      <c r="RC13" s="8">
        <v>220000</v>
      </c>
      <c r="RD13" s="8">
        <v>220000</v>
      </c>
      <c r="RE13" s="8">
        <v>30239</v>
      </c>
      <c r="RF13" s="8">
        <v>30239</v>
      </c>
      <c r="RG13" s="8">
        <v>30000</v>
      </c>
      <c r="RH13" s="8">
        <v>30000</v>
      </c>
      <c r="RI13" s="2"/>
      <c r="RJ13" s="2"/>
      <c r="RK13" s="8">
        <v>50000</v>
      </c>
      <c r="RL13" s="2"/>
      <c r="RM13" s="8">
        <v>50000</v>
      </c>
      <c r="RN13" s="8">
        <v>80000</v>
      </c>
      <c r="RO13" s="2"/>
      <c r="RP13" s="8">
        <v>80000</v>
      </c>
      <c r="RQ13" s="8">
        <v>340000</v>
      </c>
      <c r="RR13" s="8">
        <v>95000</v>
      </c>
      <c r="RS13" s="8">
        <v>435000</v>
      </c>
      <c r="RT13" s="2"/>
      <c r="RU13" s="8">
        <v>5000</v>
      </c>
      <c r="RV13" s="8">
        <v>5000</v>
      </c>
      <c r="RW13" s="8">
        <v>10000</v>
      </c>
      <c r="RX13" s="8">
        <v>10000</v>
      </c>
      <c r="RY13" s="2"/>
      <c r="RZ13" s="2"/>
      <c r="SA13" s="2"/>
      <c r="SB13" s="8">
        <v>25000</v>
      </c>
      <c r="SC13" s="8">
        <v>25000</v>
      </c>
      <c r="SD13" s="8">
        <v>15000</v>
      </c>
      <c r="SE13" s="8">
        <v>10000</v>
      </c>
      <c r="SF13" s="8">
        <v>25000</v>
      </c>
      <c r="SG13" s="2"/>
      <c r="SH13" s="8">
        <v>130000</v>
      </c>
      <c r="SI13" s="8">
        <v>30000</v>
      </c>
      <c r="SJ13" s="8">
        <v>160000</v>
      </c>
      <c r="SK13" s="2"/>
      <c r="SL13" s="2"/>
      <c r="SM13" s="2"/>
      <c r="SN13" s="2"/>
      <c r="SO13" s="2"/>
      <c r="SP13" s="8">
        <v>1401000</v>
      </c>
      <c r="SQ13" s="8">
        <v>653739</v>
      </c>
      <c r="SR13" s="8">
        <v>2054739</v>
      </c>
      <c r="SS13" s="8">
        <v>91000</v>
      </c>
      <c r="ST13" s="2"/>
      <c r="SU13" s="8">
        <v>91000</v>
      </c>
      <c r="SV13" s="6">
        <v>102736.95</v>
      </c>
      <c r="SW13" s="8">
        <v>100000</v>
      </c>
      <c r="SX13" s="8">
        <v>100000</v>
      </c>
      <c r="SY13" s="2"/>
      <c r="SZ13" s="8">
        <v>1100000</v>
      </c>
      <c r="TA13" s="2"/>
      <c r="TB13" s="8">
        <v>1100000</v>
      </c>
      <c r="TC13" s="8">
        <v>80000</v>
      </c>
      <c r="TD13" s="2"/>
      <c r="TE13" s="8">
        <v>80000</v>
      </c>
      <c r="TF13" s="8">
        <v>62000</v>
      </c>
      <c r="TG13" s="8">
        <v>62000</v>
      </c>
      <c r="TH13" s="2"/>
      <c r="TI13" s="8">
        <v>50000</v>
      </c>
      <c r="TJ13" s="8">
        <v>50000</v>
      </c>
      <c r="TK13" s="2"/>
      <c r="TL13" s="2"/>
      <c r="TM13" s="8">
        <v>440000</v>
      </c>
      <c r="TN13" s="8">
        <v>440000</v>
      </c>
      <c r="TO13" s="8">
        <v>1280000</v>
      </c>
      <c r="TP13" s="8">
        <v>552000</v>
      </c>
      <c r="TQ13" s="8">
        <v>1832000</v>
      </c>
      <c r="TR13" s="8">
        <v>21441000</v>
      </c>
      <c r="TS13" s="8">
        <v>1205739</v>
      </c>
      <c r="TT13" s="8">
        <v>22646739</v>
      </c>
      <c r="TU13" s="8">
        <v>4050000</v>
      </c>
      <c r="TV13" s="8">
        <v>4050000</v>
      </c>
      <c r="TW13" s="6">
        <v>4076413</v>
      </c>
      <c r="TX13" s="8">
        <v>4050000</v>
      </c>
      <c r="TY13" s="8">
        <v>4050000</v>
      </c>
      <c r="TZ13" s="6">
        <v>4076413</v>
      </c>
      <c r="UA13" s="8">
        <v>400000</v>
      </c>
      <c r="UB13" s="8">
        <v>400000</v>
      </c>
      <c r="UC13" s="8">
        <v>25491000</v>
      </c>
      <c r="UD13" s="8">
        <v>1605739</v>
      </c>
      <c r="UE13" s="8">
        <v>27096739</v>
      </c>
      <c r="UF13" s="8">
        <v>13200000</v>
      </c>
      <c r="UG13" s="2" t="s">
        <v>4295</v>
      </c>
      <c r="UH13" s="2"/>
      <c r="UI13" s="2"/>
      <c r="UJ13" s="8">
        <v>8029600</v>
      </c>
      <c r="UK13" s="2"/>
      <c r="UL13" s="2" t="s">
        <v>96</v>
      </c>
      <c r="UM13" s="8">
        <v>4030103</v>
      </c>
      <c r="UN13" s="8">
        <v>4050000</v>
      </c>
      <c r="UO13" s="8">
        <v>29309703</v>
      </c>
      <c r="UP13" s="8">
        <v>2212964</v>
      </c>
      <c r="UQ13" s="8">
        <v>5700000</v>
      </c>
      <c r="UR13" s="2" t="s">
        <v>4295</v>
      </c>
      <c r="US13" s="2"/>
      <c r="UT13" s="2"/>
      <c r="UU13" s="2"/>
      <c r="UV13" s="2"/>
      <c r="UW13" s="8">
        <v>8029600</v>
      </c>
      <c r="UX13" s="2"/>
      <c r="UY13" s="2" t="s">
        <v>96</v>
      </c>
      <c r="UZ13" s="8">
        <v>11514581</v>
      </c>
      <c r="VA13" s="8">
        <v>4050000</v>
      </c>
      <c r="VB13" s="8">
        <v>29294181</v>
      </c>
      <c r="VC13" s="6">
        <v>13729600</v>
      </c>
      <c r="VD13" s="8">
        <v>2197442</v>
      </c>
      <c r="VE13" s="5">
        <v>370000</v>
      </c>
      <c r="VF13" s="5">
        <v>385000</v>
      </c>
      <c r="VG13" s="6">
        <v>333709.24</v>
      </c>
      <c r="VH13" s="2" t="s">
        <v>9</v>
      </c>
      <c r="VI13" s="388" t="s">
        <v>1447</v>
      </c>
      <c r="VJ13" s="2" t="s">
        <v>98</v>
      </c>
      <c r="VK13" s="2" t="s">
        <v>5167</v>
      </c>
      <c r="VL13" s="23">
        <f t="shared" si="0"/>
        <v>200</v>
      </c>
      <c r="VM13" s="17">
        <f t="shared" si="1"/>
        <v>2.5</v>
      </c>
      <c r="VN13" s="17" t="str">
        <f t="shared" si="2"/>
        <v>NC-GA-F</v>
      </c>
      <c r="VO13" s="17" t="str">
        <f t="shared" si="15"/>
        <v>NC-GA-F-ESS</v>
      </c>
      <c r="VP13" s="57">
        <v>1</v>
      </c>
      <c r="VQ13" s="17">
        <f t="shared" si="3"/>
        <v>1.1100000000000001</v>
      </c>
      <c r="VR13" s="57">
        <f t="shared" si="4"/>
        <v>1</v>
      </c>
      <c r="VS13" s="14">
        <f t="shared" si="5"/>
        <v>0.87</v>
      </c>
      <c r="VT13" s="12">
        <f t="shared" si="6"/>
        <v>0.85440000000000005</v>
      </c>
      <c r="VU13" s="29">
        <f t="shared" si="7"/>
        <v>5734403.8560000015</v>
      </c>
      <c r="VV13" s="29">
        <f t="shared" si="8"/>
        <v>71680.05</v>
      </c>
      <c r="VW13" s="351" t="str">
        <f t="shared" si="21"/>
        <v>A</v>
      </c>
      <c r="VX13" s="12" t="str">
        <f t="shared" si="9"/>
        <v>NC-GA-ESS</v>
      </c>
      <c r="VY13" s="23">
        <f t="shared" si="22"/>
        <v>2</v>
      </c>
      <c r="WA13" s="12">
        <f t="shared" si="16"/>
        <v>0</v>
      </c>
      <c r="WB13" s="12">
        <f t="shared" si="17"/>
        <v>1</v>
      </c>
      <c r="WC13" s="12">
        <f t="shared" si="17"/>
        <v>0</v>
      </c>
      <c r="WD13" s="12">
        <f t="shared" si="17"/>
        <v>1</v>
      </c>
      <c r="WE13" s="12">
        <f t="shared" si="18"/>
        <v>1</v>
      </c>
      <c r="WF13" s="12">
        <f t="shared" si="10"/>
        <v>1</v>
      </c>
      <c r="WG13" s="12">
        <f t="shared" si="11"/>
        <v>0</v>
      </c>
      <c r="WH13" s="12">
        <f t="shared" si="12"/>
        <v>0</v>
      </c>
      <c r="WI13" s="31">
        <f t="shared" si="13"/>
        <v>4</v>
      </c>
      <c r="WJ13" s="2"/>
      <c r="WK13" s="444" t="str">
        <f t="shared" si="23"/>
        <v>NC-GA-ESS-BBY-BRN-PHA-F</v>
      </c>
      <c r="WL13" s="444"/>
      <c r="WM13" s="444"/>
    </row>
    <row r="14" spans="1:622" x14ac:dyDescent="0.25">
      <c r="A14" s="2">
        <v>8988</v>
      </c>
      <c r="B14" s="2" t="s">
        <v>5168</v>
      </c>
      <c r="C14" s="2" t="s">
        <v>5063</v>
      </c>
      <c r="D14" s="2">
        <v>10</v>
      </c>
      <c r="E14" s="2">
        <v>35.78</v>
      </c>
      <c r="F14" s="2"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 t="s">
        <v>9</v>
      </c>
      <c r="BV14" s="6">
        <v>75374.509999999995</v>
      </c>
      <c r="BW14" s="2" t="s">
        <v>18</v>
      </c>
      <c r="BX14" s="3">
        <v>45036</v>
      </c>
      <c r="BY14" s="2" t="s">
        <v>9</v>
      </c>
      <c r="BZ14" s="2">
        <v>1</v>
      </c>
      <c r="CA14" s="2" t="s">
        <v>9</v>
      </c>
      <c r="CB14" s="2">
        <v>1</v>
      </c>
      <c r="CC14" s="2" t="s">
        <v>9</v>
      </c>
      <c r="CD14" s="2">
        <v>0</v>
      </c>
      <c r="CE14" s="2" t="s">
        <v>103</v>
      </c>
      <c r="CF14" s="2">
        <v>1</v>
      </c>
      <c r="CG14" s="2" t="s">
        <v>10</v>
      </c>
      <c r="CH14" s="2">
        <v>0</v>
      </c>
      <c r="CI14" s="2" t="s">
        <v>10</v>
      </c>
      <c r="CJ14" s="2">
        <v>0</v>
      </c>
      <c r="CK14" s="2" t="s">
        <v>11</v>
      </c>
      <c r="CL14" s="2">
        <v>0</v>
      </c>
      <c r="CM14" s="2" t="s">
        <v>9</v>
      </c>
      <c r="CN14" s="2">
        <v>2</v>
      </c>
      <c r="CO14" s="2" t="s">
        <v>9</v>
      </c>
      <c r="CP14" s="2">
        <v>2</v>
      </c>
      <c r="CQ14" s="2" t="s">
        <v>9</v>
      </c>
      <c r="CR14" s="2">
        <v>2</v>
      </c>
      <c r="CS14" s="2" t="s">
        <v>12</v>
      </c>
      <c r="CT14" s="2" t="s">
        <v>101</v>
      </c>
      <c r="CU14" s="2" t="s">
        <v>1505</v>
      </c>
      <c r="CV14" s="2" t="s">
        <v>15</v>
      </c>
      <c r="CW14" s="2" t="s">
        <v>15</v>
      </c>
      <c r="CX14" s="2" t="s">
        <v>15</v>
      </c>
      <c r="CY14" s="2" t="s">
        <v>15</v>
      </c>
      <c r="CZ14" s="2">
        <v>2</v>
      </c>
      <c r="DA14" s="2" t="s">
        <v>1506</v>
      </c>
      <c r="DB14" s="2" t="s">
        <v>17</v>
      </c>
      <c r="DC14" s="4">
        <v>0.15789</v>
      </c>
      <c r="DD14" s="2" t="s">
        <v>17</v>
      </c>
      <c r="DE14" s="2" t="s">
        <v>9</v>
      </c>
      <c r="DF14" s="2" t="s">
        <v>17</v>
      </c>
      <c r="DG14" s="2" t="s">
        <v>9</v>
      </c>
      <c r="DH14" s="2" t="s">
        <v>17</v>
      </c>
      <c r="DI14" s="2" t="s">
        <v>17</v>
      </c>
      <c r="DJ14" s="2" t="s">
        <v>17</v>
      </c>
      <c r="DK14" s="2" t="s">
        <v>17</v>
      </c>
      <c r="DL14" s="2" t="s">
        <v>17</v>
      </c>
      <c r="DM14" s="2" t="s">
        <v>17</v>
      </c>
      <c r="DN14" s="2" t="s">
        <v>2663</v>
      </c>
      <c r="DO14" s="2">
        <v>5</v>
      </c>
      <c r="DP14" s="5">
        <v>20000</v>
      </c>
      <c r="DQ14" s="5">
        <v>460000</v>
      </c>
      <c r="DR14" s="2">
        <v>0</v>
      </c>
      <c r="DS14" s="2">
        <v>8</v>
      </c>
      <c r="DT14" s="2">
        <v>0</v>
      </c>
      <c r="DU14" s="2">
        <v>6</v>
      </c>
      <c r="DV14" s="2">
        <v>0</v>
      </c>
      <c r="DW14" s="2">
        <v>0</v>
      </c>
      <c r="DX14" s="2">
        <v>0</v>
      </c>
      <c r="DY14" s="2">
        <v>0</v>
      </c>
      <c r="DZ14" s="2">
        <v>1</v>
      </c>
      <c r="EA14" s="2">
        <v>0</v>
      </c>
      <c r="EB14" s="2">
        <v>0</v>
      </c>
      <c r="EC14" s="2">
        <v>0</v>
      </c>
      <c r="ED14" s="2">
        <v>13</v>
      </c>
      <c r="EE14" s="2">
        <v>1</v>
      </c>
      <c r="EF14" s="2">
        <v>0</v>
      </c>
      <c r="EG14" s="2">
        <v>3</v>
      </c>
      <c r="EH14" s="2">
        <v>0</v>
      </c>
      <c r="EI14" s="2">
        <v>14</v>
      </c>
      <c r="EJ14" s="2">
        <v>11</v>
      </c>
      <c r="EK14" s="2">
        <v>0</v>
      </c>
      <c r="EL14" s="2" t="s">
        <v>17</v>
      </c>
      <c r="EM14" s="2" t="s">
        <v>17</v>
      </c>
      <c r="EN14" s="2" t="s">
        <v>17</v>
      </c>
      <c r="EO14" s="2" t="s">
        <v>17</v>
      </c>
      <c r="EP14" s="2" t="s">
        <v>17</v>
      </c>
      <c r="EQ14" s="2" t="s">
        <v>17</v>
      </c>
      <c r="ER14" s="2" t="s">
        <v>17</v>
      </c>
      <c r="ES14" s="2" t="s">
        <v>9</v>
      </c>
      <c r="ET14" s="2" t="s">
        <v>104</v>
      </c>
      <c r="EU14" s="2"/>
      <c r="EV14" s="2"/>
      <c r="EW14" s="2" t="s">
        <v>9</v>
      </c>
      <c r="EX14" s="2" t="s">
        <v>21</v>
      </c>
      <c r="EY14" s="2" t="s">
        <v>104</v>
      </c>
      <c r="EZ14" s="2" t="s">
        <v>22</v>
      </c>
      <c r="FA14" s="2" t="s">
        <v>23</v>
      </c>
      <c r="FB14" s="2">
        <v>90</v>
      </c>
      <c r="FC14" s="2" t="s">
        <v>5169</v>
      </c>
      <c r="FD14" s="2">
        <v>2017</v>
      </c>
      <c r="FE14" s="2" t="s">
        <v>26</v>
      </c>
      <c r="FF14" s="2" t="s">
        <v>4210</v>
      </c>
      <c r="FG14" s="2" t="s">
        <v>34</v>
      </c>
      <c r="FH14" s="2"/>
      <c r="FI14" s="2" t="s">
        <v>35</v>
      </c>
      <c r="FJ14" s="2" t="s">
        <v>36</v>
      </c>
      <c r="FK14" s="2">
        <v>1</v>
      </c>
      <c r="FL14" s="2" t="s">
        <v>37</v>
      </c>
      <c r="FM14" s="2" t="s">
        <v>38</v>
      </c>
      <c r="FN14" s="2" t="s">
        <v>107</v>
      </c>
      <c r="FO14" s="2" t="s">
        <v>63</v>
      </c>
      <c r="FP14" s="2" t="s">
        <v>9</v>
      </c>
      <c r="FQ14" s="2" t="s">
        <v>17</v>
      </c>
      <c r="FR14" s="2" t="s">
        <v>17</v>
      </c>
      <c r="FS14" s="2" t="s">
        <v>9</v>
      </c>
      <c r="FT14" s="2">
        <v>0</v>
      </c>
      <c r="FU14" s="2">
        <v>0</v>
      </c>
      <c r="FV14" s="4">
        <v>0</v>
      </c>
      <c r="FW14" s="4">
        <v>0</v>
      </c>
      <c r="FX14" s="2" t="s">
        <v>65</v>
      </c>
      <c r="FY14" s="2" t="s">
        <v>66</v>
      </c>
      <c r="FZ14" s="2" t="s">
        <v>17</v>
      </c>
      <c r="GA14" s="2"/>
      <c r="GB14" s="2"/>
      <c r="GC14" s="2"/>
      <c r="GD14" s="2" t="s">
        <v>67</v>
      </c>
      <c r="GE14" s="2" t="s">
        <v>1612</v>
      </c>
      <c r="GF14" s="2"/>
      <c r="GG14" s="2"/>
      <c r="GH14" s="2"/>
      <c r="GI14" s="2">
        <v>95</v>
      </c>
      <c r="GJ14" s="2"/>
      <c r="GK14" s="2"/>
      <c r="GL14" s="2"/>
      <c r="GM14" s="2"/>
      <c r="GN14" s="2"/>
      <c r="GO14" s="2"/>
      <c r="GP14" s="2"/>
      <c r="GQ14" s="2">
        <v>95</v>
      </c>
      <c r="GR14" s="2" t="s">
        <v>109</v>
      </c>
      <c r="GS14" s="2" t="s">
        <v>70</v>
      </c>
      <c r="GT14" s="2">
        <v>2</v>
      </c>
      <c r="GU14" s="2" t="s">
        <v>110</v>
      </c>
      <c r="GV14" s="2" t="s">
        <v>111</v>
      </c>
      <c r="GW14" s="2" t="s">
        <v>17</v>
      </c>
      <c r="GX14" s="2">
        <v>28.281918999999998</v>
      </c>
      <c r="GY14" s="2">
        <v>-81.350295000000003</v>
      </c>
      <c r="GZ14" s="2"/>
      <c r="HA14" s="2" t="s">
        <v>17</v>
      </c>
      <c r="HB14" s="2">
        <v>0</v>
      </c>
      <c r="HC14" s="2" t="s">
        <v>17</v>
      </c>
      <c r="HD14" s="2" t="s">
        <v>17</v>
      </c>
      <c r="HE14" s="2">
        <v>0</v>
      </c>
      <c r="HF14" s="2">
        <v>28.281963000000001</v>
      </c>
      <c r="HG14" s="2">
        <v>-81.348332999999997</v>
      </c>
      <c r="HH14" s="2">
        <v>0.11</v>
      </c>
      <c r="HI14" s="2">
        <v>4</v>
      </c>
      <c r="HJ14" s="2">
        <v>28.281797000000001</v>
      </c>
      <c r="HK14" s="2">
        <v>-81.347396000000003</v>
      </c>
      <c r="HL14" s="2">
        <v>0.18</v>
      </c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 t="s">
        <v>73</v>
      </c>
      <c r="HY14" s="2" t="s">
        <v>112</v>
      </c>
      <c r="HZ14" s="2" t="s">
        <v>113</v>
      </c>
      <c r="IA14" s="2">
        <v>0.22</v>
      </c>
      <c r="IB14" s="2">
        <v>4</v>
      </c>
      <c r="IC14" s="2" t="s">
        <v>5170</v>
      </c>
      <c r="ID14" s="2" t="s">
        <v>5171</v>
      </c>
      <c r="IE14" s="2">
        <v>0.6</v>
      </c>
      <c r="IF14" s="2">
        <v>3</v>
      </c>
      <c r="IG14" s="2" t="s">
        <v>112</v>
      </c>
      <c r="IH14" s="2" t="s">
        <v>116</v>
      </c>
      <c r="II14" s="2">
        <v>0.22</v>
      </c>
      <c r="IJ14" s="2">
        <v>4</v>
      </c>
      <c r="IK14" s="2"/>
      <c r="IL14" s="2"/>
      <c r="IM14" s="2"/>
      <c r="IN14" s="2"/>
      <c r="IO14" s="2">
        <v>4</v>
      </c>
      <c r="IP14" s="2">
        <v>11</v>
      </c>
      <c r="IQ14" s="2">
        <v>0</v>
      </c>
      <c r="IR14" s="2">
        <v>15</v>
      </c>
      <c r="IS14" s="2" t="s">
        <v>17</v>
      </c>
      <c r="IT14" s="2" t="s">
        <v>17</v>
      </c>
      <c r="IU14" s="2" t="s">
        <v>17</v>
      </c>
      <c r="IV14" s="2" t="s">
        <v>80</v>
      </c>
      <c r="IW14" s="2" t="s">
        <v>9</v>
      </c>
      <c r="IX14" s="2" t="s">
        <v>9</v>
      </c>
      <c r="IY14" s="2">
        <v>15</v>
      </c>
      <c r="IZ14" s="2">
        <v>95</v>
      </c>
      <c r="JA14" s="2"/>
      <c r="JB14" s="2"/>
      <c r="JC14" s="2"/>
      <c r="JD14" s="2"/>
      <c r="JE14" s="2"/>
      <c r="JF14" s="2"/>
      <c r="JG14" s="2"/>
      <c r="JH14" s="7">
        <v>0</v>
      </c>
      <c r="JI14" s="2">
        <v>0</v>
      </c>
      <c r="JJ14" s="7">
        <v>0</v>
      </c>
      <c r="JK14" s="2">
        <v>0</v>
      </c>
      <c r="JL14" s="7">
        <v>0</v>
      </c>
      <c r="JM14" s="2">
        <v>15</v>
      </c>
      <c r="JN14" s="2"/>
      <c r="JO14" s="2">
        <v>50</v>
      </c>
      <c r="JP14" s="2">
        <v>17</v>
      </c>
      <c r="JQ14" s="2">
        <v>13</v>
      </c>
      <c r="JR14" s="2">
        <v>0</v>
      </c>
      <c r="JS14" s="2">
        <v>0</v>
      </c>
      <c r="JT14" s="2"/>
      <c r="JU14" s="2"/>
      <c r="JV14" s="2">
        <v>95</v>
      </c>
      <c r="JW14" s="4">
        <v>1</v>
      </c>
      <c r="JX14" s="2">
        <v>95</v>
      </c>
      <c r="JY14" s="4">
        <v>0.59789000000000003</v>
      </c>
      <c r="JZ14" s="2">
        <v>0</v>
      </c>
      <c r="KA14" s="2"/>
      <c r="KB14" s="2"/>
      <c r="KC14" s="2"/>
      <c r="KD14" s="2"/>
      <c r="KE14" s="2"/>
      <c r="KF14" s="2"/>
      <c r="KG14" s="2"/>
      <c r="KH14" s="2">
        <v>11</v>
      </c>
      <c r="KI14" s="2">
        <v>72</v>
      </c>
      <c r="KJ14" s="2"/>
      <c r="KK14" s="2"/>
      <c r="KL14" s="2">
        <v>12</v>
      </c>
      <c r="KM14" s="2"/>
      <c r="KN14" s="2"/>
      <c r="KO14" s="2"/>
      <c r="KP14" s="2"/>
      <c r="KQ14" s="2" t="s">
        <v>83</v>
      </c>
      <c r="KR14" s="2" t="s">
        <v>73</v>
      </c>
      <c r="KS14" s="2"/>
      <c r="KT14" s="2">
        <v>1</v>
      </c>
      <c r="KU14" s="2" t="s">
        <v>84</v>
      </c>
      <c r="KV14" s="2" t="s">
        <v>85</v>
      </c>
      <c r="KW14" s="2" t="s">
        <v>86</v>
      </c>
      <c r="KX14" s="2" t="s">
        <v>17</v>
      </c>
      <c r="KY14" s="2" t="s">
        <v>17</v>
      </c>
      <c r="KZ14" s="2" t="s">
        <v>17</v>
      </c>
      <c r="LA14" s="2" t="s">
        <v>17</v>
      </c>
      <c r="LB14" s="2" t="s">
        <v>17</v>
      </c>
      <c r="LC14" s="2" t="s">
        <v>17</v>
      </c>
      <c r="LD14" s="2" t="s">
        <v>17</v>
      </c>
      <c r="LE14" s="2" t="s">
        <v>17</v>
      </c>
      <c r="LF14" s="2" t="s">
        <v>17</v>
      </c>
      <c r="LG14" s="2" t="s">
        <v>17</v>
      </c>
      <c r="LH14" s="2" t="s">
        <v>17</v>
      </c>
      <c r="LI14" s="2" t="s">
        <v>17</v>
      </c>
      <c r="LJ14" s="2" t="s">
        <v>87</v>
      </c>
      <c r="LK14" s="2" t="s">
        <v>17</v>
      </c>
      <c r="LL14" s="2" t="s">
        <v>17</v>
      </c>
      <c r="LM14" s="2">
        <v>0</v>
      </c>
      <c r="LN14" s="2" t="s">
        <v>17</v>
      </c>
      <c r="LO14" s="2" t="s">
        <v>9</v>
      </c>
      <c r="LP14" s="2" t="s">
        <v>9</v>
      </c>
      <c r="LQ14" s="2" t="s">
        <v>17</v>
      </c>
      <c r="LR14" s="2" t="s">
        <v>9</v>
      </c>
      <c r="LS14" s="2" t="s">
        <v>17</v>
      </c>
      <c r="LT14" s="2" t="s">
        <v>17</v>
      </c>
      <c r="LU14" s="2" t="s">
        <v>17</v>
      </c>
      <c r="LV14" s="2" t="s">
        <v>17</v>
      </c>
      <c r="LW14" s="2" t="s">
        <v>17</v>
      </c>
      <c r="LX14" s="2" t="s">
        <v>17</v>
      </c>
      <c r="LY14" s="5">
        <v>9975000</v>
      </c>
      <c r="LZ14" s="5">
        <v>0</v>
      </c>
      <c r="MA14" s="5">
        <v>9975000</v>
      </c>
      <c r="MB14" s="5">
        <v>8420000</v>
      </c>
      <c r="MC14" s="5">
        <v>8420000</v>
      </c>
      <c r="MD14" s="5">
        <v>925400</v>
      </c>
      <c r="ME14" s="5">
        <v>925400</v>
      </c>
      <c r="MF14" s="5">
        <v>925400</v>
      </c>
      <c r="MG14" s="5">
        <v>9345400</v>
      </c>
      <c r="MH14" s="2">
        <v>0</v>
      </c>
      <c r="MI14" s="5">
        <v>0</v>
      </c>
      <c r="MJ14" s="5">
        <v>0</v>
      </c>
      <c r="MK14" s="2">
        <v>0</v>
      </c>
      <c r="ML14" s="2">
        <v>0</v>
      </c>
      <c r="MM14" s="2">
        <v>0</v>
      </c>
      <c r="MN14" s="5">
        <v>2950000</v>
      </c>
      <c r="MO14" s="5">
        <v>0</v>
      </c>
      <c r="MP14" s="5">
        <v>4600000</v>
      </c>
      <c r="MQ14" s="5">
        <v>0</v>
      </c>
      <c r="MR14" s="5">
        <v>0</v>
      </c>
      <c r="MS14" s="5">
        <v>0</v>
      </c>
      <c r="MT14" s="5">
        <v>0</v>
      </c>
      <c r="MU14" s="5">
        <v>2500000</v>
      </c>
      <c r="MV14" s="5">
        <v>0</v>
      </c>
      <c r="MW14" s="5">
        <v>0</v>
      </c>
      <c r="MX14" s="5">
        <v>0</v>
      </c>
      <c r="MY14" s="5">
        <v>2040000</v>
      </c>
      <c r="MZ14" s="5">
        <v>0</v>
      </c>
      <c r="NA14" s="5">
        <v>1397998</v>
      </c>
      <c r="NB14" s="2" t="s">
        <v>17</v>
      </c>
      <c r="NC14" s="2"/>
      <c r="ND14" s="2"/>
      <c r="NE14" s="2"/>
      <c r="NF14" s="2"/>
      <c r="NG14" s="2"/>
      <c r="NH14" s="2"/>
      <c r="NI14" s="61">
        <v>0</v>
      </c>
      <c r="NJ14" s="61"/>
      <c r="NK14" s="61"/>
      <c r="NL14" s="61"/>
      <c r="NM14" s="2" t="s">
        <v>17</v>
      </c>
      <c r="NN14" s="2"/>
      <c r="NO14" s="2" t="s">
        <v>9</v>
      </c>
      <c r="NP14" s="2">
        <v>34744</v>
      </c>
      <c r="NQ14" s="2" t="s">
        <v>117</v>
      </c>
      <c r="NR14" s="2" t="s">
        <v>17</v>
      </c>
      <c r="NS14" s="2"/>
      <c r="NT14" s="2" t="s">
        <v>17</v>
      </c>
      <c r="NU14" s="2"/>
      <c r="NV14" s="2"/>
      <c r="NW14" s="2"/>
      <c r="NX14" s="2" t="s">
        <v>118</v>
      </c>
      <c r="NY14" s="2" t="s">
        <v>118</v>
      </c>
      <c r="NZ14" s="2" t="s">
        <v>118</v>
      </c>
      <c r="OA14" s="2" t="s">
        <v>17</v>
      </c>
      <c r="OB14" s="2" t="s">
        <v>119</v>
      </c>
      <c r="OC14" s="5">
        <v>15500000</v>
      </c>
      <c r="OD14" s="2" t="s">
        <v>17</v>
      </c>
      <c r="OE14" s="2" t="s">
        <v>17</v>
      </c>
      <c r="OF14" s="2" t="s">
        <v>85</v>
      </c>
      <c r="OG14" s="6">
        <v>6930000</v>
      </c>
      <c r="OH14" s="6">
        <v>0</v>
      </c>
      <c r="OI14" s="2" t="s">
        <v>93</v>
      </c>
      <c r="OJ14" s="2" t="s">
        <v>93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4">
        <v>0</v>
      </c>
      <c r="OR14" s="6">
        <v>0</v>
      </c>
      <c r="OS14" s="4">
        <v>0</v>
      </c>
      <c r="OT14" s="2" t="s">
        <v>17</v>
      </c>
      <c r="OU14" s="2" t="s">
        <v>17</v>
      </c>
      <c r="OV14" s="2"/>
      <c r="OW14" s="2" t="s">
        <v>17</v>
      </c>
      <c r="OX14" s="5">
        <v>7160579</v>
      </c>
      <c r="OY14" s="6">
        <v>75374.509999999995</v>
      </c>
      <c r="OZ14" s="2"/>
      <c r="PA14" s="2"/>
      <c r="PB14" s="2"/>
      <c r="PC14" s="2"/>
      <c r="PD14" s="2"/>
      <c r="PE14" s="2"/>
      <c r="PF14" s="8">
        <v>15085500</v>
      </c>
      <c r="PG14" s="2"/>
      <c r="PH14" s="8">
        <v>15085500</v>
      </c>
      <c r="PI14" s="2"/>
      <c r="PJ14" s="2"/>
      <c r="PK14" s="8">
        <v>200000</v>
      </c>
      <c r="PL14" s="8">
        <v>200000</v>
      </c>
      <c r="PM14" s="2"/>
      <c r="PN14" s="2"/>
      <c r="PO14" s="2"/>
      <c r="PP14" s="2"/>
      <c r="PQ14" s="2"/>
      <c r="PR14" s="8">
        <v>15285500</v>
      </c>
      <c r="PS14" s="2"/>
      <c r="PT14" s="8">
        <v>15285500</v>
      </c>
      <c r="PU14" s="8">
        <v>2139970</v>
      </c>
      <c r="PV14" s="8">
        <v>2139970</v>
      </c>
      <c r="PW14" s="6">
        <v>2139970</v>
      </c>
      <c r="PX14" s="8">
        <v>17425470</v>
      </c>
      <c r="PY14" s="2"/>
      <c r="PZ14" s="8">
        <v>17425470</v>
      </c>
      <c r="QA14" s="8">
        <v>871273</v>
      </c>
      <c r="QB14" s="8">
        <v>871273</v>
      </c>
      <c r="QC14" s="6">
        <v>871273.5</v>
      </c>
      <c r="QD14" s="8">
        <v>40000</v>
      </c>
      <c r="QE14" s="2"/>
      <c r="QF14" s="8">
        <v>40000</v>
      </c>
      <c r="QG14" s="8">
        <v>6500</v>
      </c>
      <c r="QH14" s="8">
        <v>6500</v>
      </c>
      <c r="QI14" s="8">
        <v>275000</v>
      </c>
      <c r="QJ14" s="8">
        <v>275000</v>
      </c>
      <c r="QK14" s="8">
        <v>50000</v>
      </c>
      <c r="QL14" s="8">
        <v>50000</v>
      </c>
      <c r="QM14" s="8">
        <v>120000</v>
      </c>
      <c r="QN14" s="2"/>
      <c r="QO14" s="8">
        <v>120000</v>
      </c>
      <c r="QP14" s="8">
        <v>142500</v>
      </c>
      <c r="QQ14" s="8">
        <v>142500</v>
      </c>
      <c r="QR14" s="2"/>
      <c r="QS14" s="2"/>
      <c r="QT14" s="8">
        <v>125000</v>
      </c>
      <c r="QU14" s="2"/>
      <c r="QV14" s="8">
        <v>125000</v>
      </c>
      <c r="QW14" s="8">
        <v>3500</v>
      </c>
      <c r="QX14" s="8">
        <v>3500</v>
      </c>
      <c r="QY14" s="8">
        <v>76890</v>
      </c>
      <c r="QZ14" s="8">
        <v>76890</v>
      </c>
      <c r="RA14" s="8">
        <v>3000</v>
      </c>
      <c r="RB14" s="8">
        <v>3000</v>
      </c>
      <c r="RC14" s="2"/>
      <c r="RD14" s="2"/>
      <c r="RE14" s="8">
        <v>26781</v>
      </c>
      <c r="RF14" s="8">
        <v>26781</v>
      </c>
      <c r="RG14" s="8">
        <v>40000</v>
      </c>
      <c r="RH14" s="8">
        <v>40000</v>
      </c>
      <c r="RI14" s="8">
        <v>2044492</v>
      </c>
      <c r="RJ14" s="8">
        <v>2044492</v>
      </c>
      <c r="RK14" s="8">
        <v>35000</v>
      </c>
      <c r="RL14" s="2"/>
      <c r="RM14" s="8">
        <v>35000</v>
      </c>
      <c r="RN14" s="8">
        <v>55000</v>
      </c>
      <c r="RO14" s="8">
        <v>20000</v>
      </c>
      <c r="RP14" s="8">
        <v>75000</v>
      </c>
      <c r="RQ14" s="8">
        <v>220000</v>
      </c>
      <c r="RR14" s="8">
        <v>80000</v>
      </c>
      <c r="RS14" s="8">
        <v>300000</v>
      </c>
      <c r="RT14" s="8">
        <v>7500</v>
      </c>
      <c r="RU14" s="2"/>
      <c r="RV14" s="8">
        <v>7500</v>
      </c>
      <c r="RW14" s="8">
        <v>50000</v>
      </c>
      <c r="RX14" s="8">
        <v>50000</v>
      </c>
      <c r="RY14" s="2"/>
      <c r="RZ14" s="8">
        <v>76000</v>
      </c>
      <c r="SA14" s="8">
        <v>76000</v>
      </c>
      <c r="SB14" s="8">
        <v>20000</v>
      </c>
      <c r="SC14" s="8">
        <v>20000</v>
      </c>
      <c r="SD14" s="8">
        <v>10000</v>
      </c>
      <c r="SE14" s="8">
        <v>5000</v>
      </c>
      <c r="SF14" s="8">
        <v>15000</v>
      </c>
      <c r="SG14" s="2"/>
      <c r="SH14" s="8">
        <v>100000</v>
      </c>
      <c r="SI14" s="8">
        <v>50000</v>
      </c>
      <c r="SJ14" s="8">
        <v>150000</v>
      </c>
      <c r="SK14" s="8">
        <v>200000</v>
      </c>
      <c r="SL14" s="8">
        <v>200000</v>
      </c>
      <c r="SM14" s="2"/>
      <c r="SN14" s="2"/>
      <c r="SO14" s="2"/>
      <c r="SP14" s="8">
        <v>3494492</v>
      </c>
      <c r="SQ14" s="8">
        <v>387671</v>
      </c>
      <c r="SR14" s="8">
        <v>3882163</v>
      </c>
      <c r="SS14" s="8">
        <v>194108</v>
      </c>
      <c r="ST14" s="2"/>
      <c r="SU14" s="8">
        <v>194108</v>
      </c>
      <c r="SV14" s="6">
        <v>194108.15</v>
      </c>
      <c r="SW14" s="8">
        <v>155000</v>
      </c>
      <c r="SX14" s="8">
        <v>155000</v>
      </c>
      <c r="SY14" s="2"/>
      <c r="SZ14" s="8">
        <v>1020093</v>
      </c>
      <c r="TA14" s="8">
        <v>549282</v>
      </c>
      <c r="TB14" s="8">
        <v>1569375</v>
      </c>
      <c r="TC14" s="8">
        <v>31000</v>
      </c>
      <c r="TD14" s="2"/>
      <c r="TE14" s="8">
        <v>31000</v>
      </c>
      <c r="TF14" s="8">
        <v>69300</v>
      </c>
      <c r="TG14" s="8">
        <v>69300</v>
      </c>
      <c r="TH14" s="2"/>
      <c r="TI14" s="8">
        <v>13860</v>
      </c>
      <c r="TJ14" s="8">
        <v>13860</v>
      </c>
      <c r="TK14" s="2"/>
      <c r="TL14" s="2"/>
      <c r="TM14" s="8">
        <v>353454</v>
      </c>
      <c r="TN14" s="8">
        <v>353454</v>
      </c>
      <c r="TO14" s="8">
        <v>1206093</v>
      </c>
      <c r="TP14" s="8">
        <v>985896</v>
      </c>
      <c r="TQ14" s="8">
        <v>2191989</v>
      </c>
      <c r="TR14" s="8">
        <v>23191436</v>
      </c>
      <c r="TS14" s="8">
        <v>1373567</v>
      </c>
      <c r="TT14" s="8">
        <v>24565003</v>
      </c>
      <c r="TU14" s="8">
        <v>4421700</v>
      </c>
      <c r="TV14" s="8">
        <v>4421700</v>
      </c>
      <c r="TW14" s="6">
        <v>4421700</v>
      </c>
      <c r="TX14" s="8">
        <v>4421700</v>
      </c>
      <c r="TY14" s="8">
        <v>4421700</v>
      </c>
      <c r="TZ14" s="6">
        <v>4421700</v>
      </c>
      <c r="UA14" s="8">
        <v>975000</v>
      </c>
      <c r="UB14" s="8">
        <v>975000</v>
      </c>
      <c r="UC14" s="8">
        <v>27613136</v>
      </c>
      <c r="UD14" s="8">
        <v>2348567</v>
      </c>
      <c r="UE14" s="8">
        <v>29961703</v>
      </c>
      <c r="UF14" s="8">
        <v>15500000</v>
      </c>
      <c r="UG14" s="2" t="s">
        <v>4295</v>
      </c>
      <c r="UH14" s="2"/>
      <c r="UI14" s="2"/>
      <c r="UJ14" s="8">
        <v>9345400</v>
      </c>
      <c r="UK14" s="2"/>
      <c r="UL14" s="2" t="s">
        <v>96</v>
      </c>
      <c r="UM14" s="8">
        <v>6360254</v>
      </c>
      <c r="UN14" s="8">
        <v>4421700</v>
      </c>
      <c r="UO14" s="8">
        <v>35627354</v>
      </c>
      <c r="UP14" s="8">
        <v>5665651</v>
      </c>
      <c r="UQ14" s="8">
        <v>6930000</v>
      </c>
      <c r="UR14" s="2" t="s">
        <v>4295</v>
      </c>
      <c r="US14" s="2"/>
      <c r="UT14" s="2"/>
      <c r="UU14" s="2"/>
      <c r="UV14" s="2"/>
      <c r="UW14" s="8">
        <v>9345400</v>
      </c>
      <c r="UX14" s="2"/>
      <c r="UY14" s="2" t="s">
        <v>96</v>
      </c>
      <c r="UZ14" s="8">
        <v>12720509</v>
      </c>
      <c r="VA14" s="8">
        <v>4421700</v>
      </c>
      <c r="VB14" s="8">
        <v>33417609</v>
      </c>
      <c r="VC14" s="6">
        <v>16275400</v>
      </c>
      <c r="VD14" s="8">
        <v>3455906</v>
      </c>
      <c r="VE14" s="5">
        <v>410000</v>
      </c>
      <c r="VF14" s="5">
        <v>417500</v>
      </c>
      <c r="VG14" s="6">
        <v>305123.19</v>
      </c>
      <c r="VH14" s="2" t="s">
        <v>9</v>
      </c>
      <c r="VI14" s="388" t="s">
        <v>21</v>
      </c>
      <c r="VJ14" s="2" t="s">
        <v>98</v>
      </c>
      <c r="VK14" s="2" t="s">
        <v>5106</v>
      </c>
      <c r="VL14" s="23">
        <f t="shared" si="0"/>
        <v>191</v>
      </c>
      <c r="VM14" s="17">
        <f t="shared" si="1"/>
        <v>2.0105263157894737</v>
      </c>
      <c r="VN14" s="17" t="str">
        <f t="shared" si="2"/>
        <v>NC-MR-F</v>
      </c>
      <c r="VO14" s="17" t="str">
        <f t="shared" si="15"/>
        <v>NC-MR-F-ESS</v>
      </c>
      <c r="VP14" s="57">
        <v>1</v>
      </c>
      <c r="VQ14" s="17">
        <f t="shared" si="3"/>
        <v>1.1100000000000001</v>
      </c>
      <c r="VR14" s="57">
        <f t="shared" si="4"/>
        <v>1</v>
      </c>
      <c r="VS14" s="14">
        <f t="shared" si="5"/>
        <v>1</v>
      </c>
      <c r="VT14" s="12">
        <f t="shared" si="6"/>
        <v>0.84479999999999988</v>
      </c>
      <c r="VU14" s="29">
        <f t="shared" si="7"/>
        <v>7895669.7599999988</v>
      </c>
      <c r="VV14" s="29">
        <f t="shared" si="8"/>
        <v>83112.31</v>
      </c>
      <c r="VW14" s="351" t="str">
        <f t="shared" si="21"/>
        <v>A</v>
      </c>
      <c r="VX14" s="12" t="str">
        <f t="shared" si="9"/>
        <v>NC-MR-ESS</v>
      </c>
      <c r="VY14" s="23">
        <f t="shared" si="22"/>
        <v>4</v>
      </c>
      <c r="WA14" s="12">
        <f t="shared" si="16"/>
        <v>0</v>
      </c>
      <c r="WB14" s="12">
        <f t="shared" si="17"/>
        <v>1</v>
      </c>
      <c r="WC14" s="12">
        <f t="shared" si="17"/>
        <v>0</v>
      </c>
      <c r="WD14" s="12">
        <f t="shared" si="17"/>
        <v>0</v>
      </c>
      <c r="WE14" s="12">
        <f t="shared" si="18"/>
        <v>1</v>
      </c>
      <c r="WF14" s="12">
        <f t="shared" si="10"/>
        <v>0</v>
      </c>
      <c r="WG14" s="12">
        <f t="shared" si="11"/>
        <v>1</v>
      </c>
      <c r="WH14" s="12">
        <f t="shared" si="12"/>
        <v>0</v>
      </c>
      <c r="WI14" s="31">
        <f t="shared" si="13"/>
        <v>3</v>
      </c>
      <c r="WJ14" s="2"/>
      <c r="WK14" s="444" t="str">
        <f t="shared" si="23"/>
        <v>NC-MR-ESS-BBY-BRN-NPH-F</v>
      </c>
      <c r="WL14" s="444"/>
      <c r="WM14" s="444"/>
    </row>
    <row r="15" spans="1:622" x14ac:dyDescent="0.25">
      <c r="A15" s="2">
        <v>9033</v>
      </c>
      <c r="B15" s="2" t="s">
        <v>5172</v>
      </c>
      <c r="C15" s="2" t="s">
        <v>5063</v>
      </c>
      <c r="D15" s="2">
        <v>10</v>
      </c>
      <c r="E15" s="2">
        <v>38.049999999999997</v>
      </c>
      <c r="F15" s="2"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 t="s">
        <v>9</v>
      </c>
      <c r="BV15" s="6">
        <v>76705</v>
      </c>
      <c r="BW15" s="2" t="s">
        <v>126</v>
      </c>
      <c r="BX15" s="3">
        <v>45036</v>
      </c>
      <c r="BY15" s="2" t="s">
        <v>9</v>
      </c>
      <c r="BZ15" s="2">
        <v>1</v>
      </c>
      <c r="CA15" s="2" t="s">
        <v>9</v>
      </c>
      <c r="CB15" s="2">
        <v>1</v>
      </c>
      <c r="CC15" s="2" t="s">
        <v>9</v>
      </c>
      <c r="CD15" s="2">
        <v>0</v>
      </c>
      <c r="CE15" s="2" t="s">
        <v>2817</v>
      </c>
      <c r="CF15" s="2">
        <v>1</v>
      </c>
      <c r="CG15" s="2" t="s">
        <v>10</v>
      </c>
      <c r="CH15" s="2">
        <v>0</v>
      </c>
      <c r="CI15" s="2" t="s">
        <v>10</v>
      </c>
      <c r="CJ15" s="2">
        <v>0</v>
      </c>
      <c r="CK15" s="2" t="s">
        <v>11</v>
      </c>
      <c r="CL15" s="2">
        <v>0</v>
      </c>
      <c r="CM15" s="2" t="s">
        <v>9</v>
      </c>
      <c r="CN15" s="2">
        <v>2</v>
      </c>
      <c r="CO15" s="2" t="s">
        <v>9</v>
      </c>
      <c r="CP15" s="2">
        <v>2</v>
      </c>
      <c r="CQ15" s="2" t="s">
        <v>9</v>
      </c>
      <c r="CR15" s="2">
        <v>2</v>
      </c>
      <c r="CS15" s="2" t="s">
        <v>12</v>
      </c>
      <c r="CT15" s="2" t="s">
        <v>187</v>
      </c>
      <c r="CU15" s="2" t="s">
        <v>1505</v>
      </c>
      <c r="CV15" s="2" t="s">
        <v>15</v>
      </c>
      <c r="CW15" s="2" t="s">
        <v>15</v>
      </c>
      <c r="CX15" s="2" t="s">
        <v>15</v>
      </c>
      <c r="CY15" s="2" t="s">
        <v>15</v>
      </c>
      <c r="CZ15" s="2">
        <v>2</v>
      </c>
      <c r="DA15" s="2" t="s">
        <v>787</v>
      </c>
      <c r="DB15" s="2" t="s">
        <v>17</v>
      </c>
      <c r="DC15" s="4">
        <v>0.1</v>
      </c>
      <c r="DD15" s="2" t="s">
        <v>17</v>
      </c>
      <c r="DE15" s="2" t="s">
        <v>9</v>
      </c>
      <c r="DF15" s="2" t="s">
        <v>17</v>
      </c>
      <c r="DG15" s="2" t="s">
        <v>9</v>
      </c>
      <c r="DH15" s="2" t="s">
        <v>17</v>
      </c>
      <c r="DI15" s="2" t="s">
        <v>17</v>
      </c>
      <c r="DJ15" s="2" t="s">
        <v>17</v>
      </c>
      <c r="DK15" s="2" t="s">
        <v>17</v>
      </c>
      <c r="DL15" s="2" t="s">
        <v>17</v>
      </c>
      <c r="DM15" s="2" t="s">
        <v>17</v>
      </c>
      <c r="DN15" s="2" t="s">
        <v>2663</v>
      </c>
      <c r="DO15" s="2">
        <v>5</v>
      </c>
      <c r="DP15" s="5">
        <v>75000</v>
      </c>
      <c r="DQ15" s="5">
        <v>610000</v>
      </c>
      <c r="DR15" s="2">
        <v>0</v>
      </c>
      <c r="DS15" s="2">
        <v>6</v>
      </c>
      <c r="DT15" s="2">
        <v>0</v>
      </c>
      <c r="DU15" s="2">
        <v>6</v>
      </c>
      <c r="DV15" s="2">
        <v>0</v>
      </c>
      <c r="DW15" s="2">
        <v>0</v>
      </c>
      <c r="DX15" s="2">
        <v>1</v>
      </c>
      <c r="DY15" s="2">
        <v>4</v>
      </c>
      <c r="DZ15" s="2">
        <v>0</v>
      </c>
      <c r="EA15" s="2">
        <v>0</v>
      </c>
      <c r="EB15" s="2">
        <v>0</v>
      </c>
      <c r="EC15" s="2">
        <v>0</v>
      </c>
      <c r="ED15" s="2">
        <v>13</v>
      </c>
      <c r="EE15" s="2">
        <v>1</v>
      </c>
      <c r="EF15" s="2">
        <v>0</v>
      </c>
      <c r="EG15" s="2">
        <v>2</v>
      </c>
      <c r="EH15" s="2">
        <v>0</v>
      </c>
      <c r="EI15" s="2">
        <v>14</v>
      </c>
      <c r="EJ15" s="2">
        <v>11</v>
      </c>
      <c r="EK15" s="2">
        <v>0</v>
      </c>
      <c r="EL15" s="2" t="s">
        <v>17</v>
      </c>
      <c r="EM15" s="2" t="s">
        <v>17</v>
      </c>
      <c r="EN15" s="2" t="s">
        <v>17</v>
      </c>
      <c r="EO15" s="2" t="s">
        <v>17</v>
      </c>
      <c r="EP15" s="2" t="s">
        <v>17</v>
      </c>
      <c r="EQ15" s="2" t="s">
        <v>17</v>
      </c>
      <c r="ER15" s="2" t="s">
        <v>17</v>
      </c>
      <c r="ES15" s="2" t="s">
        <v>17</v>
      </c>
      <c r="ET15" s="2" t="s">
        <v>1172</v>
      </c>
      <c r="EU15" s="2"/>
      <c r="EV15" s="2"/>
      <c r="EW15" s="2" t="s">
        <v>9</v>
      </c>
      <c r="EX15" s="2" t="s">
        <v>1173</v>
      </c>
      <c r="EY15" s="2" t="s">
        <v>1172</v>
      </c>
      <c r="EZ15" s="2" t="s">
        <v>1176</v>
      </c>
      <c r="FA15" s="2" t="s">
        <v>1175</v>
      </c>
      <c r="FB15" s="2">
        <v>120</v>
      </c>
      <c r="FC15" s="2" t="s">
        <v>2659</v>
      </c>
      <c r="FD15" s="2">
        <v>2020</v>
      </c>
      <c r="FE15" s="2" t="s">
        <v>26</v>
      </c>
      <c r="FF15" s="2" t="s">
        <v>4210</v>
      </c>
      <c r="FG15" s="2" t="s">
        <v>3856</v>
      </c>
      <c r="FH15" s="2"/>
      <c r="FI15" s="2" t="s">
        <v>1180</v>
      </c>
      <c r="FJ15" s="2" t="s">
        <v>1181</v>
      </c>
      <c r="FK15" s="2">
        <v>1</v>
      </c>
      <c r="FL15" s="2" t="s">
        <v>1182</v>
      </c>
      <c r="FM15" s="2" t="s">
        <v>299</v>
      </c>
      <c r="FN15" s="2" t="s">
        <v>2825</v>
      </c>
      <c r="FO15" s="2" t="s">
        <v>63</v>
      </c>
      <c r="FP15" s="2" t="s">
        <v>9</v>
      </c>
      <c r="FQ15" s="2" t="s">
        <v>17</v>
      </c>
      <c r="FR15" s="2" t="s">
        <v>17</v>
      </c>
      <c r="FS15" s="2" t="s">
        <v>9</v>
      </c>
      <c r="FT15" s="2">
        <v>0</v>
      </c>
      <c r="FU15" s="2">
        <v>0</v>
      </c>
      <c r="FV15" s="4">
        <v>0</v>
      </c>
      <c r="FW15" s="4">
        <v>0</v>
      </c>
      <c r="FX15" s="2" t="s">
        <v>65</v>
      </c>
      <c r="FY15" s="2" t="s">
        <v>66</v>
      </c>
      <c r="FZ15" s="2" t="s">
        <v>9</v>
      </c>
      <c r="GA15" s="2">
        <v>3</v>
      </c>
      <c r="GB15" s="2" t="s">
        <v>9</v>
      </c>
      <c r="GC15" s="2" t="s">
        <v>85</v>
      </c>
      <c r="GD15" s="2" t="s">
        <v>67</v>
      </c>
      <c r="GE15" s="2" t="s">
        <v>68</v>
      </c>
      <c r="GF15" s="2">
        <v>120</v>
      </c>
      <c r="GG15" s="2">
        <v>120</v>
      </c>
      <c r="GH15" s="2"/>
      <c r="GI15" s="2"/>
      <c r="GJ15" s="2"/>
      <c r="GK15" s="2"/>
      <c r="GL15" s="2"/>
      <c r="GM15" s="2"/>
      <c r="GN15" s="2"/>
      <c r="GO15" s="2"/>
      <c r="GP15" s="2"/>
      <c r="GQ15" s="2">
        <v>120</v>
      </c>
      <c r="GR15" s="2" t="s">
        <v>2826</v>
      </c>
      <c r="GS15" s="2" t="s">
        <v>2686</v>
      </c>
      <c r="GT15" s="2">
        <v>1</v>
      </c>
      <c r="GU15" s="2" t="s">
        <v>2827</v>
      </c>
      <c r="GV15" s="2" t="s">
        <v>2828</v>
      </c>
      <c r="GW15" s="2" t="s">
        <v>9</v>
      </c>
      <c r="GX15" s="2">
        <v>28.537089000000002</v>
      </c>
      <c r="GY15" s="2">
        <v>-81.283202000000003</v>
      </c>
      <c r="GZ15" s="2" t="s">
        <v>2829</v>
      </c>
      <c r="HA15" s="2" t="s">
        <v>17</v>
      </c>
      <c r="HB15" s="2">
        <v>0</v>
      </c>
      <c r="HC15" s="2" t="s">
        <v>17</v>
      </c>
      <c r="HD15" s="2" t="s">
        <v>17</v>
      </c>
      <c r="HE15" s="2">
        <v>0</v>
      </c>
      <c r="HF15" s="2">
        <v>28.537479000000001</v>
      </c>
      <c r="HG15" s="2">
        <v>-81.285650000000004</v>
      </c>
      <c r="HH15" s="2">
        <v>0.15</v>
      </c>
      <c r="HI15" s="2">
        <v>4</v>
      </c>
      <c r="HJ15" s="2">
        <v>28.538039000000001</v>
      </c>
      <c r="HK15" s="2">
        <v>-81.285874000000007</v>
      </c>
      <c r="HL15" s="2">
        <v>0.17</v>
      </c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 t="s">
        <v>73</v>
      </c>
      <c r="HY15" s="2" t="s">
        <v>316</v>
      </c>
      <c r="HZ15" s="2" t="s">
        <v>2830</v>
      </c>
      <c r="IA15" s="2">
        <v>0.21</v>
      </c>
      <c r="IB15" s="2">
        <v>4</v>
      </c>
      <c r="IC15" s="2" t="s">
        <v>2831</v>
      </c>
      <c r="ID15" s="2" t="s">
        <v>2832</v>
      </c>
      <c r="IE15" s="2">
        <v>0.21</v>
      </c>
      <c r="IF15" s="2">
        <v>4</v>
      </c>
      <c r="IG15" s="2"/>
      <c r="IH15" s="2"/>
      <c r="II15" s="2"/>
      <c r="IJ15" s="2"/>
      <c r="IK15" s="2" t="s">
        <v>2833</v>
      </c>
      <c r="IL15" s="2" t="s">
        <v>2834</v>
      </c>
      <c r="IM15" s="2">
        <v>1.03</v>
      </c>
      <c r="IN15" s="2">
        <v>2.5</v>
      </c>
      <c r="IO15" s="2">
        <v>4</v>
      </c>
      <c r="IP15" s="2">
        <v>10.5</v>
      </c>
      <c r="IQ15" s="2">
        <v>0</v>
      </c>
      <c r="IR15" s="2">
        <v>14.5</v>
      </c>
      <c r="IS15" s="2" t="s">
        <v>17</v>
      </c>
      <c r="IT15" s="2" t="s">
        <v>17</v>
      </c>
      <c r="IU15" s="2" t="s">
        <v>17</v>
      </c>
      <c r="IV15" s="2" t="s">
        <v>9</v>
      </c>
      <c r="IW15" s="2" t="s">
        <v>9</v>
      </c>
      <c r="IX15" s="2" t="s">
        <v>9</v>
      </c>
      <c r="IY15" s="2">
        <v>14.5</v>
      </c>
      <c r="IZ15" s="2">
        <v>120</v>
      </c>
      <c r="JA15" s="2"/>
      <c r="JB15" s="2"/>
      <c r="JC15" s="2"/>
      <c r="JD15" s="7">
        <v>0.1</v>
      </c>
      <c r="JE15" s="2"/>
      <c r="JF15" s="2"/>
      <c r="JG15" s="7">
        <v>0.9</v>
      </c>
      <c r="JH15" s="7">
        <v>0</v>
      </c>
      <c r="JI15" s="2">
        <v>120</v>
      </c>
      <c r="JJ15" s="7">
        <v>1</v>
      </c>
      <c r="JK15" s="2">
        <v>120</v>
      </c>
      <c r="JL15" s="7">
        <v>1</v>
      </c>
      <c r="JM15" s="2"/>
      <c r="JN15" s="2"/>
      <c r="JO15" s="2"/>
      <c r="JP15" s="2"/>
      <c r="JQ15" s="2"/>
      <c r="JR15" s="2">
        <v>0</v>
      </c>
      <c r="JS15" s="2">
        <v>0</v>
      </c>
      <c r="JT15" s="2"/>
      <c r="JU15" s="2"/>
      <c r="JV15" s="2">
        <v>0</v>
      </c>
      <c r="JW15" s="4">
        <v>0</v>
      </c>
      <c r="JX15" s="2">
        <v>0</v>
      </c>
      <c r="JY15" s="4">
        <v>0</v>
      </c>
      <c r="JZ15" s="2">
        <v>120</v>
      </c>
      <c r="KA15" s="2"/>
      <c r="KB15" s="2"/>
      <c r="KC15" s="2"/>
      <c r="KD15" s="2"/>
      <c r="KE15" s="2"/>
      <c r="KF15" s="2"/>
      <c r="KG15" s="2"/>
      <c r="KH15" s="2">
        <v>60</v>
      </c>
      <c r="KI15" s="2"/>
      <c r="KJ15" s="2"/>
      <c r="KK15" s="2">
        <v>47</v>
      </c>
      <c r="KL15" s="2">
        <v>13</v>
      </c>
      <c r="KM15" s="2"/>
      <c r="KN15" s="2"/>
      <c r="KO15" s="2"/>
      <c r="KP15" s="2"/>
      <c r="KQ15" s="2" t="s">
        <v>83</v>
      </c>
      <c r="KR15" s="2"/>
      <c r="KS15" s="2" t="s">
        <v>73</v>
      </c>
      <c r="KT15" s="2">
        <v>2</v>
      </c>
      <c r="KU15" s="2" t="s">
        <v>84</v>
      </c>
      <c r="KV15" s="2" t="s">
        <v>85</v>
      </c>
      <c r="KW15" s="2" t="s">
        <v>86</v>
      </c>
      <c r="KX15" s="2" t="s">
        <v>17</v>
      </c>
      <c r="KY15" s="2" t="s">
        <v>17</v>
      </c>
      <c r="KZ15" s="2" t="s">
        <v>17</v>
      </c>
      <c r="LA15" s="2" t="s">
        <v>17</v>
      </c>
      <c r="LB15" s="2" t="s">
        <v>17</v>
      </c>
      <c r="LC15" s="2" t="s">
        <v>17</v>
      </c>
      <c r="LD15" s="2" t="s">
        <v>17</v>
      </c>
      <c r="LE15" s="2" t="s">
        <v>17</v>
      </c>
      <c r="LF15" s="2" t="s">
        <v>17</v>
      </c>
      <c r="LG15" s="2" t="s">
        <v>17</v>
      </c>
      <c r="LH15" s="2" t="s">
        <v>17</v>
      </c>
      <c r="LI15" s="2" t="s">
        <v>17</v>
      </c>
      <c r="LJ15" s="2" t="s">
        <v>87</v>
      </c>
      <c r="LK15" s="2" t="s">
        <v>17</v>
      </c>
      <c r="LL15" s="2" t="s">
        <v>17</v>
      </c>
      <c r="LM15" s="2">
        <v>0</v>
      </c>
      <c r="LN15" s="2" t="s">
        <v>17</v>
      </c>
      <c r="LO15" s="2" t="s">
        <v>17</v>
      </c>
      <c r="LP15" s="2" t="s">
        <v>17</v>
      </c>
      <c r="LQ15" s="2" t="s">
        <v>17</v>
      </c>
      <c r="LR15" s="2" t="s">
        <v>17</v>
      </c>
      <c r="LS15" s="2" t="s">
        <v>17</v>
      </c>
      <c r="LT15" s="2" t="s">
        <v>9</v>
      </c>
      <c r="LU15" s="2" t="s">
        <v>9</v>
      </c>
      <c r="LV15" s="2" t="s">
        <v>17</v>
      </c>
      <c r="LW15" s="2" t="s">
        <v>17</v>
      </c>
      <c r="LX15" s="2" t="s">
        <v>9</v>
      </c>
      <c r="LY15" s="5">
        <v>10000000</v>
      </c>
      <c r="LZ15" s="5">
        <v>0</v>
      </c>
      <c r="MA15" s="5">
        <v>10000000</v>
      </c>
      <c r="MB15" s="5">
        <v>10000000</v>
      </c>
      <c r="MC15" s="5">
        <v>10000000</v>
      </c>
      <c r="MD15" s="5">
        <v>1058400</v>
      </c>
      <c r="ME15" s="5">
        <v>1058400</v>
      </c>
      <c r="MF15" s="5">
        <v>1058400</v>
      </c>
      <c r="MG15" s="5">
        <v>11058400</v>
      </c>
      <c r="MH15" s="2">
        <v>0</v>
      </c>
      <c r="MI15" s="5">
        <v>0</v>
      </c>
      <c r="MJ15" s="5">
        <v>0</v>
      </c>
      <c r="MK15" s="2">
        <v>0</v>
      </c>
      <c r="ML15" s="2">
        <v>0</v>
      </c>
      <c r="MM15" s="2">
        <v>0</v>
      </c>
      <c r="MN15" s="5">
        <v>2950000</v>
      </c>
      <c r="MO15" s="5">
        <v>0</v>
      </c>
      <c r="MP15" s="5">
        <v>4600000</v>
      </c>
      <c r="MQ15" s="5">
        <v>0</v>
      </c>
      <c r="MR15" s="5">
        <v>0</v>
      </c>
      <c r="MS15" s="5">
        <v>0</v>
      </c>
      <c r="MT15" s="5">
        <v>0</v>
      </c>
      <c r="MU15" s="5">
        <v>2500000</v>
      </c>
      <c r="MV15" s="5">
        <v>0</v>
      </c>
      <c r="MW15" s="5">
        <v>0</v>
      </c>
      <c r="MX15" s="5">
        <v>0</v>
      </c>
      <c r="MY15" s="5">
        <v>0</v>
      </c>
      <c r="MZ15" s="5">
        <v>0</v>
      </c>
      <c r="NA15" s="5">
        <v>1435767</v>
      </c>
      <c r="NB15" s="2" t="s">
        <v>17</v>
      </c>
      <c r="NC15" s="2"/>
      <c r="ND15" s="2"/>
      <c r="NE15" s="2"/>
      <c r="NF15" s="2"/>
      <c r="NG15" s="2"/>
      <c r="NH15" s="2"/>
      <c r="NI15" s="61">
        <v>0</v>
      </c>
      <c r="NJ15" s="61"/>
      <c r="NK15" s="61"/>
      <c r="NL15" s="61"/>
      <c r="NM15" s="2" t="s">
        <v>17</v>
      </c>
      <c r="NN15" s="2"/>
      <c r="NO15" s="2" t="s">
        <v>9</v>
      </c>
      <c r="NP15" s="2">
        <v>32822</v>
      </c>
      <c r="NQ15" s="2" t="s">
        <v>2835</v>
      </c>
      <c r="NR15" s="2" t="s">
        <v>17</v>
      </c>
      <c r="NS15" s="2"/>
      <c r="NT15" s="2" t="s">
        <v>17</v>
      </c>
      <c r="NU15" s="2"/>
      <c r="NV15" s="2"/>
      <c r="NW15" s="2"/>
      <c r="NX15" s="2" t="s">
        <v>118</v>
      </c>
      <c r="NY15" s="2" t="s">
        <v>118</v>
      </c>
      <c r="NZ15" s="2" t="s">
        <v>118</v>
      </c>
      <c r="OA15" s="2" t="s">
        <v>17</v>
      </c>
      <c r="OB15" s="2" t="s">
        <v>119</v>
      </c>
      <c r="OC15" s="5">
        <v>15000000</v>
      </c>
      <c r="OD15" s="2" t="s">
        <v>17</v>
      </c>
      <c r="OE15" s="2" t="s">
        <v>17</v>
      </c>
      <c r="OF15" s="2" t="s">
        <v>85</v>
      </c>
      <c r="OG15" s="6">
        <v>3380000</v>
      </c>
      <c r="OH15" s="6">
        <v>0</v>
      </c>
      <c r="OI15" s="2" t="s">
        <v>93</v>
      </c>
      <c r="OJ15" s="2" t="s">
        <v>93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4">
        <v>0</v>
      </c>
      <c r="OR15" s="6">
        <v>0</v>
      </c>
      <c r="OS15" s="4">
        <v>0</v>
      </c>
      <c r="OT15" s="2" t="s">
        <v>17</v>
      </c>
      <c r="OU15" s="2" t="s">
        <v>17</v>
      </c>
      <c r="OV15" s="2"/>
      <c r="OW15" s="2" t="s">
        <v>17</v>
      </c>
      <c r="OX15" s="5">
        <v>9204600</v>
      </c>
      <c r="OY15" s="6">
        <v>76705</v>
      </c>
      <c r="OZ15" s="2"/>
      <c r="PA15" s="2"/>
      <c r="PB15" s="2"/>
      <c r="PC15" s="2"/>
      <c r="PD15" s="2"/>
      <c r="PE15" s="2"/>
      <c r="PF15" s="8">
        <v>15876000</v>
      </c>
      <c r="PG15" s="2"/>
      <c r="PH15" s="8">
        <v>15876000</v>
      </c>
      <c r="PI15" s="2"/>
      <c r="PJ15" s="2"/>
      <c r="PK15" s="2"/>
      <c r="PL15" s="2"/>
      <c r="PM15" s="2"/>
      <c r="PN15" s="8">
        <v>324000</v>
      </c>
      <c r="PO15" s="8">
        <v>324000</v>
      </c>
      <c r="PP15" s="2"/>
      <c r="PQ15" s="2"/>
      <c r="PR15" s="8">
        <v>15876000</v>
      </c>
      <c r="PS15" s="8">
        <v>324000</v>
      </c>
      <c r="PT15" s="8">
        <v>16200000</v>
      </c>
      <c r="PU15" s="8">
        <v>2268000</v>
      </c>
      <c r="PV15" s="8">
        <v>2268000</v>
      </c>
      <c r="PW15" s="6">
        <v>2268000</v>
      </c>
      <c r="PX15" s="8">
        <v>18144000</v>
      </c>
      <c r="PY15" s="8">
        <v>324000</v>
      </c>
      <c r="PZ15" s="8">
        <v>18468000</v>
      </c>
      <c r="QA15" s="8">
        <v>923400</v>
      </c>
      <c r="QB15" s="8">
        <v>923400</v>
      </c>
      <c r="QC15" s="6">
        <v>923400</v>
      </c>
      <c r="QD15" s="8">
        <v>15000</v>
      </c>
      <c r="QE15" s="8">
        <v>10000</v>
      </c>
      <c r="QF15" s="8">
        <v>25000</v>
      </c>
      <c r="QG15" s="8">
        <v>9000</v>
      </c>
      <c r="QH15" s="8">
        <v>9000</v>
      </c>
      <c r="QI15" s="8">
        <v>200000</v>
      </c>
      <c r="QJ15" s="8">
        <v>200000</v>
      </c>
      <c r="QK15" s="8">
        <v>50000</v>
      </c>
      <c r="QL15" s="8">
        <v>50000</v>
      </c>
      <c r="QM15" s="2"/>
      <c r="QN15" s="2"/>
      <c r="QO15" s="2"/>
      <c r="QP15" s="8">
        <v>240000</v>
      </c>
      <c r="QQ15" s="8">
        <v>240000</v>
      </c>
      <c r="QR15" s="2"/>
      <c r="QS15" s="2"/>
      <c r="QT15" s="8">
        <v>200000</v>
      </c>
      <c r="QU15" s="2"/>
      <c r="QV15" s="8">
        <v>200000</v>
      </c>
      <c r="QW15" s="8">
        <v>65000</v>
      </c>
      <c r="QX15" s="8">
        <v>65000</v>
      </c>
      <c r="QY15" s="8">
        <v>128288</v>
      </c>
      <c r="QZ15" s="8">
        <v>128288</v>
      </c>
      <c r="RA15" s="8">
        <v>3000</v>
      </c>
      <c r="RB15" s="8">
        <v>3000</v>
      </c>
      <c r="RC15" s="2"/>
      <c r="RD15" s="2"/>
      <c r="RE15" s="8">
        <v>35918</v>
      </c>
      <c r="RF15" s="8">
        <v>35918</v>
      </c>
      <c r="RG15" s="8">
        <v>25000</v>
      </c>
      <c r="RH15" s="8">
        <v>25000</v>
      </c>
      <c r="RI15" s="8">
        <v>420720</v>
      </c>
      <c r="RJ15" s="8">
        <v>420720</v>
      </c>
      <c r="RK15" s="2"/>
      <c r="RL15" s="2"/>
      <c r="RM15" s="2"/>
      <c r="RN15" s="8">
        <v>136800</v>
      </c>
      <c r="RO15" s="2"/>
      <c r="RP15" s="8">
        <v>136800</v>
      </c>
      <c r="RQ15" s="8">
        <v>150000</v>
      </c>
      <c r="RR15" s="8">
        <v>150000</v>
      </c>
      <c r="RS15" s="8">
        <v>300000</v>
      </c>
      <c r="RT15" s="8">
        <v>8000</v>
      </c>
      <c r="RU15" s="2"/>
      <c r="RV15" s="8">
        <v>8000</v>
      </c>
      <c r="RW15" s="8">
        <v>35000</v>
      </c>
      <c r="RX15" s="8">
        <v>35000</v>
      </c>
      <c r="RY15" s="8">
        <v>54000</v>
      </c>
      <c r="RZ15" s="8">
        <v>54000</v>
      </c>
      <c r="SA15" s="8">
        <v>108000</v>
      </c>
      <c r="SB15" s="8">
        <v>18000</v>
      </c>
      <c r="SC15" s="8">
        <v>18000</v>
      </c>
      <c r="SD15" s="8">
        <v>120000</v>
      </c>
      <c r="SE15" s="2"/>
      <c r="SF15" s="8">
        <v>120000</v>
      </c>
      <c r="SG15" s="2"/>
      <c r="SH15" s="8">
        <v>59500</v>
      </c>
      <c r="SI15" s="8">
        <v>10500</v>
      </c>
      <c r="SJ15" s="8">
        <v>70000</v>
      </c>
      <c r="SK15" s="2"/>
      <c r="SL15" s="2"/>
      <c r="SM15" s="8">
        <v>965300</v>
      </c>
      <c r="SN15" s="8">
        <v>274500</v>
      </c>
      <c r="SO15" s="8">
        <v>1239800</v>
      </c>
      <c r="SP15" s="8">
        <v>2736320</v>
      </c>
      <c r="SQ15" s="8">
        <v>701206</v>
      </c>
      <c r="SR15" s="8">
        <v>3437526</v>
      </c>
      <c r="SS15" s="8">
        <v>171876</v>
      </c>
      <c r="ST15" s="2"/>
      <c r="SU15" s="8">
        <v>171876</v>
      </c>
      <c r="SV15" s="6">
        <v>171876.3</v>
      </c>
      <c r="SW15" s="8" t="s">
        <v>5368</v>
      </c>
      <c r="SX15" s="8">
        <v>139753</v>
      </c>
      <c r="SY15" s="2"/>
      <c r="SZ15" s="8">
        <v>1027554</v>
      </c>
      <c r="TA15" s="8">
        <v>440380</v>
      </c>
      <c r="TB15" s="8">
        <v>1467934</v>
      </c>
      <c r="TC15" s="2"/>
      <c r="TD15" s="2"/>
      <c r="TE15" s="2"/>
      <c r="TF15" s="8">
        <v>33800</v>
      </c>
      <c r="TG15" s="8">
        <v>33800</v>
      </c>
      <c r="TH15" s="2"/>
      <c r="TI15" s="2"/>
      <c r="TJ15" s="2"/>
      <c r="TK15" s="2"/>
      <c r="TL15" s="8">
        <v>43200</v>
      </c>
      <c r="TM15" s="8">
        <v>129704</v>
      </c>
      <c r="TN15" s="8">
        <v>172904</v>
      </c>
      <c r="TO15" s="8">
        <v>1168581</v>
      </c>
      <c r="TP15" s="8">
        <v>645810</v>
      </c>
      <c r="TQ15" s="8">
        <v>1814391</v>
      </c>
      <c r="TR15" s="8">
        <v>23144177</v>
      </c>
      <c r="TS15" s="8">
        <v>1671016</v>
      </c>
      <c r="TT15" s="8">
        <v>24815193</v>
      </c>
      <c r="TU15" s="8">
        <v>4466734</v>
      </c>
      <c r="TV15" s="8">
        <v>4466734</v>
      </c>
      <c r="TW15" s="6">
        <v>4466734</v>
      </c>
      <c r="TX15" s="8">
        <v>4466734</v>
      </c>
      <c r="TY15" s="8">
        <v>4466734</v>
      </c>
      <c r="TZ15" s="6">
        <v>4466734</v>
      </c>
      <c r="UA15" s="8">
        <v>1600000</v>
      </c>
      <c r="UB15" s="8">
        <v>1600000</v>
      </c>
      <c r="UC15" s="8">
        <v>27610911</v>
      </c>
      <c r="UD15" s="8">
        <v>3271016</v>
      </c>
      <c r="UE15" s="8">
        <v>30881927</v>
      </c>
      <c r="UF15" s="8">
        <v>15000000</v>
      </c>
      <c r="UG15" s="2" t="s">
        <v>4295</v>
      </c>
      <c r="UH15" s="2"/>
      <c r="UI15" s="2"/>
      <c r="UJ15" s="8">
        <v>11058400</v>
      </c>
      <c r="UK15" s="2"/>
      <c r="UL15" s="2" t="s">
        <v>96</v>
      </c>
      <c r="UM15" s="8">
        <v>2045763</v>
      </c>
      <c r="UN15" s="8">
        <v>2777764</v>
      </c>
      <c r="UO15" s="8">
        <v>30881927</v>
      </c>
      <c r="UP15" s="2">
        <v>0</v>
      </c>
      <c r="UQ15" s="8">
        <v>3380000</v>
      </c>
      <c r="UR15" s="2" t="s">
        <v>4295</v>
      </c>
      <c r="US15" s="2"/>
      <c r="UT15" s="2"/>
      <c r="UU15" s="2"/>
      <c r="UV15" s="2"/>
      <c r="UW15" s="8">
        <v>11058400</v>
      </c>
      <c r="UX15" s="2"/>
      <c r="UY15" s="2" t="s">
        <v>96</v>
      </c>
      <c r="UZ15" s="8">
        <v>13638418</v>
      </c>
      <c r="VA15" s="8">
        <v>2805109</v>
      </c>
      <c r="VB15" s="8">
        <v>30881927</v>
      </c>
      <c r="VC15" s="6">
        <v>14438400</v>
      </c>
      <c r="VD15" s="2">
        <v>0</v>
      </c>
      <c r="VE15" s="5">
        <v>370000</v>
      </c>
      <c r="VF15" s="5">
        <v>377500</v>
      </c>
      <c r="VG15" s="6">
        <v>244016.06</v>
      </c>
      <c r="VH15" s="2" t="s">
        <v>9</v>
      </c>
      <c r="VI15" s="388" t="s">
        <v>1173</v>
      </c>
      <c r="VJ15" s="2" t="s">
        <v>98</v>
      </c>
      <c r="VK15" s="2" t="s">
        <v>5173</v>
      </c>
      <c r="VL15" s="23">
        <f t="shared" si="0"/>
        <v>193</v>
      </c>
      <c r="VM15" s="17">
        <f t="shared" si="1"/>
        <v>1.6083333333333334</v>
      </c>
      <c r="VN15" s="17" t="str">
        <f t="shared" si="2"/>
        <v>NC-GA-E</v>
      </c>
      <c r="VO15" s="17" t="str">
        <f t="shared" si="15"/>
        <v>NC-GA-E-ESS</v>
      </c>
      <c r="VP15" s="57">
        <v>1</v>
      </c>
      <c r="VQ15" s="17">
        <f t="shared" si="3"/>
        <v>1.1100000000000001</v>
      </c>
      <c r="VR15" s="57">
        <f t="shared" si="4"/>
        <v>1</v>
      </c>
      <c r="VS15" s="14">
        <f t="shared" si="5"/>
        <v>1</v>
      </c>
      <c r="VT15" s="12">
        <f t="shared" si="6"/>
        <v>0.85439999999999994</v>
      </c>
      <c r="VU15" s="29">
        <f t="shared" si="7"/>
        <v>9483840</v>
      </c>
      <c r="VV15" s="29">
        <f t="shared" si="8"/>
        <v>79032</v>
      </c>
      <c r="VW15" s="351" t="str">
        <f t="shared" si="21"/>
        <v>A</v>
      </c>
      <c r="VX15" s="12" t="str">
        <f t="shared" si="9"/>
        <v>NC-GA-ESS</v>
      </c>
      <c r="VY15" s="23">
        <f t="shared" si="22"/>
        <v>3</v>
      </c>
      <c r="WA15" s="12">
        <f t="shared" si="16"/>
        <v>1</v>
      </c>
      <c r="WB15" s="12">
        <f t="shared" si="17"/>
        <v>1</v>
      </c>
      <c r="WC15" s="12">
        <f t="shared" si="17"/>
        <v>0</v>
      </c>
      <c r="WD15" s="12">
        <f t="shared" si="17"/>
        <v>0</v>
      </c>
      <c r="WE15" s="12">
        <f t="shared" si="18"/>
        <v>1</v>
      </c>
      <c r="WF15" s="12">
        <f t="shared" si="10"/>
        <v>1</v>
      </c>
      <c r="WG15" s="12">
        <f t="shared" si="11"/>
        <v>0</v>
      </c>
      <c r="WH15" s="12">
        <f t="shared" si="12"/>
        <v>0</v>
      </c>
      <c r="WI15" s="31">
        <f t="shared" si="13"/>
        <v>4</v>
      </c>
      <c r="WJ15" s="2"/>
      <c r="WK15" s="444" t="str">
        <f t="shared" si="23"/>
        <v>NC-GA-ESS-BBY-BRN-NPH-E</v>
      </c>
      <c r="WL15" s="444"/>
      <c r="WM15" s="444"/>
    </row>
    <row r="16" spans="1:622" x14ac:dyDescent="0.25">
      <c r="A16" s="2">
        <v>9070</v>
      </c>
      <c r="B16" s="2" t="s">
        <v>5174</v>
      </c>
      <c r="C16" s="2" t="s">
        <v>5063</v>
      </c>
      <c r="D16" s="2">
        <v>10</v>
      </c>
      <c r="E16" s="2">
        <v>38.049999999999997</v>
      </c>
      <c r="F16" s="2"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 t="s">
        <v>9</v>
      </c>
      <c r="BV16" s="6">
        <v>76705</v>
      </c>
      <c r="BW16" s="2" t="s">
        <v>18</v>
      </c>
      <c r="BX16" s="3">
        <v>45036</v>
      </c>
      <c r="BY16" s="2" t="s">
        <v>9</v>
      </c>
      <c r="BZ16" s="2">
        <v>1</v>
      </c>
      <c r="CA16" s="2" t="s">
        <v>9</v>
      </c>
      <c r="CB16" s="2">
        <v>1</v>
      </c>
      <c r="CC16" s="2" t="s">
        <v>9</v>
      </c>
      <c r="CD16" s="2">
        <v>0</v>
      </c>
      <c r="CE16" s="2" t="s">
        <v>5176</v>
      </c>
      <c r="CF16" s="2">
        <v>1</v>
      </c>
      <c r="CG16" s="2" t="s">
        <v>10</v>
      </c>
      <c r="CH16" s="2">
        <v>0</v>
      </c>
      <c r="CI16" s="2" t="s">
        <v>10</v>
      </c>
      <c r="CJ16" s="2">
        <v>0</v>
      </c>
      <c r="CK16" s="2" t="s">
        <v>11</v>
      </c>
      <c r="CL16" s="2">
        <v>0</v>
      </c>
      <c r="CM16" s="2" t="s">
        <v>9</v>
      </c>
      <c r="CN16" s="2">
        <v>2</v>
      </c>
      <c r="CO16" s="2" t="s">
        <v>9</v>
      </c>
      <c r="CP16" s="2">
        <v>2</v>
      </c>
      <c r="CQ16" s="2" t="s">
        <v>9</v>
      </c>
      <c r="CR16" s="2">
        <v>2</v>
      </c>
      <c r="CS16" s="2" t="s">
        <v>12</v>
      </c>
      <c r="CT16" s="2" t="s">
        <v>15</v>
      </c>
      <c r="CU16" s="2" t="s">
        <v>15</v>
      </c>
      <c r="CV16" s="2" t="s">
        <v>15</v>
      </c>
      <c r="CW16" s="2" t="s">
        <v>5175</v>
      </c>
      <c r="CX16" s="2" t="s">
        <v>15</v>
      </c>
      <c r="CY16" s="2" t="s">
        <v>15</v>
      </c>
      <c r="CZ16" s="2">
        <v>0</v>
      </c>
      <c r="DA16" s="2" t="s">
        <v>234</v>
      </c>
      <c r="DB16" s="2" t="s">
        <v>17</v>
      </c>
      <c r="DC16" s="4">
        <v>0.15833</v>
      </c>
      <c r="DD16" s="2" t="s">
        <v>17</v>
      </c>
      <c r="DE16" s="2" t="s">
        <v>9</v>
      </c>
      <c r="DF16" s="2" t="s">
        <v>17</v>
      </c>
      <c r="DG16" s="2" t="s">
        <v>17</v>
      </c>
      <c r="DH16" s="2" t="s">
        <v>17</v>
      </c>
      <c r="DI16" s="2" t="s">
        <v>9</v>
      </c>
      <c r="DJ16" s="2" t="s">
        <v>17</v>
      </c>
      <c r="DK16" s="2" t="s">
        <v>17</v>
      </c>
      <c r="DL16" s="2" t="s">
        <v>17</v>
      </c>
      <c r="DM16" s="2" t="s">
        <v>17</v>
      </c>
      <c r="DN16" s="2" t="s">
        <v>2663</v>
      </c>
      <c r="DO16" s="2">
        <v>5</v>
      </c>
      <c r="DP16" s="5">
        <v>50000</v>
      </c>
      <c r="DQ16" s="5">
        <v>460000</v>
      </c>
      <c r="DR16" s="2">
        <v>0</v>
      </c>
      <c r="DS16" s="2">
        <v>7</v>
      </c>
      <c r="DT16" s="2">
        <v>0</v>
      </c>
      <c r="DU16" s="2">
        <v>6</v>
      </c>
      <c r="DV16" s="2">
        <v>0</v>
      </c>
      <c r="DW16" s="2">
        <v>0</v>
      </c>
      <c r="DX16" s="2">
        <v>1</v>
      </c>
      <c r="DY16" s="2">
        <v>0</v>
      </c>
      <c r="DZ16" s="2">
        <v>1</v>
      </c>
      <c r="EA16" s="2">
        <v>0</v>
      </c>
      <c r="EB16" s="2">
        <v>0</v>
      </c>
      <c r="EC16" s="2">
        <v>0</v>
      </c>
      <c r="ED16" s="2">
        <v>13</v>
      </c>
      <c r="EE16" s="2">
        <v>1</v>
      </c>
      <c r="EF16" s="2">
        <v>0</v>
      </c>
      <c r="EG16" s="2">
        <v>3</v>
      </c>
      <c r="EH16" s="2">
        <v>0</v>
      </c>
      <c r="EI16" s="2">
        <v>12</v>
      </c>
      <c r="EJ16" s="2">
        <v>11</v>
      </c>
      <c r="EK16" s="2">
        <v>0</v>
      </c>
      <c r="EL16" s="2" t="s">
        <v>17</v>
      </c>
      <c r="EM16" s="2" t="s">
        <v>17</v>
      </c>
      <c r="EN16" s="2" t="s">
        <v>17</v>
      </c>
      <c r="EO16" s="2" t="s">
        <v>17</v>
      </c>
      <c r="EP16" s="2" t="s">
        <v>17</v>
      </c>
      <c r="EQ16" s="2" t="s">
        <v>17</v>
      </c>
      <c r="ER16" s="2" t="s">
        <v>17</v>
      </c>
      <c r="ES16" s="2" t="s">
        <v>17</v>
      </c>
      <c r="ET16" s="2" t="s">
        <v>5177</v>
      </c>
      <c r="EU16" s="2"/>
      <c r="EV16" s="2"/>
      <c r="EW16" s="2" t="s">
        <v>9</v>
      </c>
      <c r="EX16" s="2" t="s">
        <v>1125</v>
      </c>
      <c r="EY16" s="2" t="s">
        <v>5177</v>
      </c>
      <c r="EZ16" s="2" t="s">
        <v>5178</v>
      </c>
      <c r="FA16" s="2" t="s">
        <v>1968</v>
      </c>
      <c r="FB16" s="2">
        <v>110</v>
      </c>
      <c r="FC16" s="2" t="s">
        <v>2659</v>
      </c>
      <c r="FD16" s="2">
        <v>2023</v>
      </c>
      <c r="FE16" s="2" t="s">
        <v>26</v>
      </c>
      <c r="FF16" s="2" t="s">
        <v>4210</v>
      </c>
      <c r="FG16" s="2" t="s">
        <v>4338</v>
      </c>
      <c r="FH16" s="2"/>
      <c r="FI16" s="2" t="s">
        <v>3360</v>
      </c>
      <c r="FJ16" s="2" t="s">
        <v>3361</v>
      </c>
      <c r="FK16" s="2">
        <v>1</v>
      </c>
      <c r="FL16" s="2" t="s">
        <v>4340</v>
      </c>
      <c r="FM16" s="2" t="s">
        <v>4341</v>
      </c>
      <c r="FN16" s="2" t="s">
        <v>5179</v>
      </c>
      <c r="FO16" s="2" t="s">
        <v>63</v>
      </c>
      <c r="FP16" s="2" t="s">
        <v>9</v>
      </c>
      <c r="FQ16" s="2" t="s">
        <v>17</v>
      </c>
      <c r="FR16" s="2" t="s">
        <v>17</v>
      </c>
      <c r="FS16" s="2" t="s">
        <v>9</v>
      </c>
      <c r="FT16" s="2">
        <v>0</v>
      </c>
      <c r="FU16" s="2">
        <v>0</v>
      </c>
      <c r="FV16" s="4">
        <v>0</v>
      </c>
      <c r="FW16" s="4">
        <v>0</v>
      </c>
      <c r="FX16" s="2" t="s">
        <v>65</v>
      </c>
      <c r="FY16" s="2" t="s">
        <v>66</v>
      </c>
      <c r="FZ16" s="2" t="s">
        <v>17</v>
      </c>
      <c r="GA16" s="2"/>
      <c r="GB16" s="2"/>
      <c r="GC16" s="2"/>
      <c r="GD16" s="2" t="s">
        <v>67</v>
      </c>
      <c r="GE16" s="2" t="s">
        <v>68</v>
      </c>
      <c r="GF16" s="2">
        <v>120</v>
      </c>
      <c r="GG16" s="2">
        <v>120</v>
      </c>
      <c r="GH16" s="2"/>
      <c r="GI16" s="2"/>
      <c r="GJ16" s="2"/>
      <c r="GK16" s="2"/>
      <c r="GL16" s="2"/>
      <c r="GM16" s="2"/>
      <c r="GN16" s="2"/>
      <c r="GO16" s="2"/>
      <c r="GP16" s="2"/>
      <c r="GQ16" s="2">
        <v>120</v>
      </c>
      <c r="GR16" s="2" t="s">
        <v>1197</v>
      </c>
      <c r="GS16" s="2" t="s">
        <v>70</v>
      </c>
      <c r="GT16" s="2">
        <v>1</v>
      </c>
      <c r="GU16" s="2" t="s">
        <v>5180</v>
      </c>
      <c r="GV16" s="2" t="s">
        <v>1469</v>
      </c>
      <c r="GW16" s="2" t="s">
        <v>17</v>
      </c>
      <c r="GX16" s="2">
        <v>26.614767000000001</v>
      </c>
      <c r="GY16" s="2">
        <v>-81.859403</v>
      </c>
      <c r="GZ16" s="2"/>
      <c r="HA16" s="2" t="s">
        <v>17</v>
      </c>
      <c r="HB16" s="2">
        <v>0</v>
      </c>
      <c r="HC16" s="2" t="s">
        <v>17</v>
      </c>
      <c r="HD16" s="2"/>
      <c r="HE16" s="2">
        <v>0</v>
      </c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>
        <v>26.599423999999999</v>
      </c>
      <c r="HQ16" s="2">
        <v>-81.866735000000006</v>
      </c>
      <c r="HR16" s="2">
        <v>1.1499999999999999</v>
      </c>
      <c r="HS16" s="2">
        <v>4</v>
      </c>
      <c r="HT16" s="2"/>
      <c r="HU16" s="2"/>
      <c r="HV16" s="2"/>
      <c r="HW16" s="2"/>
      <c r="HX16" s="2" t="s">
        <v>73</v>
      </c>
      <c r="HY16" s="2" t="s">
        <v>316</v>
      </c>
      <c r="HZ16" s="2" t="s">
        <v>5181</v>
      </c>
      <c r="IA16" s="2">
        <v>0.74</v>
      </c>
      <c r="IB16" s="2">
        <v>3</v>
      </c>
      <c r="IC16" s="2"/>
      <c r="ID16" s="2"/>
      <c r="IE16" s="2"/>
      <c r="IF16" s="2"/>
      <c r="IG16" s="2" t="s">
        <v>1118</v>
      </c>
      <c r="IH16" s="2" t="s">
        <v>5182</v>
      </c>
      <c r="II16" s="2">
        <v>0.78</v>
      </c>
      <c r="IJ16" s="2">
        <v>2.5</v>
      </c>
      <c r="IK16" s="2" t="s">
        <v>5183</v>
      </c>
      <c r="IL16" s="2" t="s">
        <v>5184</v>
      </c>
      <c r="IM16" s="2">
        <v>0.45</v>
      </c>
      <c r="IN16" s="2">
        <v>4</v>
      </c>
      <c r="IO16" s="2">
        <v>4</v>
      </c>
      <c r="IP16" s="2">
        <v>9.5</v>
      </c>
      <c r="IQ16" s="2">
        <v>0</v>
      </c>
      <c r="IR16" s="2">
        <v>13.5</v>
      </c>
      <c r="IS16" s="2" t="s">
        <v>17</v>
      </c>
      <c r="IT16" s="2" t="s">
        <v>17</v>
      </c>
      <c r="IU16" s="2" t="s">
        <v>17</v>
      </c>
      <c r="IV16" s="2" t="s">
        <v>80</v>
      </c>
      <c r="IW16" s="2" t="s">
        <v>9</v>
      </c>
      <c r="IX16" s="2" t="s">
        <v>9</v>
      </c>
      <c r="IY16" s="2">
        <v>13.5</v>
      </c>
      <c r="IZ16" s="2">
        <v>120</v>
      </c>
      <c r="JA16" s="2"/>
      <c r="JB16" s="2"/>
      <c r="JC16" s="2"/>
      <c r="JD16" s="2"/>
      <c r="JE16" s="2"/>
      <c r="JF16" s="2"/>
      <c r="JG16" s="2"/>
      <c r="JH16" s="7">
        <v>0</v>
      </c>
      <c r="JI16" s="2">
        <v>0</v>
      </c>
      <c r="JJ16" s="7">
        <v>0</v>
      </c>
      <c r="JK16" s="2">
        <v>0</v>
      </c>
      <c r="JL16" s="7">
        <v>0</v>
      </c>
      <c r="JM16" s="2">
        <v>19</v>
      </c>
      <c r="JN16" s="2"/>
      <c r="JO16" s="2">
        <v>44</v>
      </c>
      <c r="JP16" s="2">
        <v>57</v>
      </c>
      <c r="JQ16" s="2"/>
      <c r="JR16" s="2">
        <v>0</v>
      </c>
      <c r="JS16" s="2">
        <v>0</v>
      </c>
      <c r="JT16" s="2"/>
      <c r="JU16" s="2"/>
      <c r="JV16" s="2">
        <v>120</v>
      </c>
      <c r="JW16" s="4">
        <v>1</v>
      </c>
      <c r="JX16" s="2">
        <v>120</v>
      </c>
      <c r="JY16" s="4">
        <v>0.6</v>
      </c>
      <c r="JZ16" s="2">
        <v>0</v>
      </c>
      <c r="KA16" s="2"/>
      <c r="KB16" s="2"/>
      <c r="KC16" s="2"/>
      <c r="KD16" s="2"/>
      <c r="KE16" s="2"/>
      <c r="KF16" s="2"/>
      <c r="KG16" s="2"/>
      <c r="KH16" s="2">
        <v>67</v>
      </c>
      <c r="KI16" s="2"/>
      <c r="KJ16" s="2"/>
      <c r="KK16" s="2">
        <v>53</v>
      </c>
      <c r="KL16" s="2"/>
      <c r="KM16" s="2"/>
      <c r="KN16" s="2"/>
      <c r="KO16" s="2"/>
      <c r="KP16" s="2"/>
      <c r="KQ16" s="2" t="s">
        <v>83</v>
      </c>
      <c r="KR16" s="2" t="s">
        <v>73</v>
      </c>
      <c r="KS16" s="2"/>
      <c r="KT16" s="2">
        <v>5</v>
      </c>
      <c r="KU16" s="2" t="s">
        <v>84</v>
      </c>
      <c r="KV16" s="2" t="s">
        <v>85</v>
      </c>
      <c r="KW16" s="2" t="s">
        <v>86</v>
      </c>
      <c r="KX16" s="2" t="s">
        <v>17</v>
      </c>
      <c r="KY16" s="2" t="s">
        <v>17</v>
      </c>
      <c r="KZ16" s="2" t="s">
        <v>17</v>
      </c>
      <c r="LA16" s="2" t="s">
        <v>17</v>
      </c>
      <c r="LB16" s="2" t="s">
        <v>17</v>
      </c>
      <c r="LC16" s="2" t="s">
        <v>17</v>
      </c>
      <c r="LD16" s="2" t="s">
        <v>17</v>
      </c>
      <c r="LE16" s="2" t="s">
        <v>17</v>
      </c>
      <c r="LF16" s="2" t="s">
        <v>17</v>
      </c>
      <c r="LG16" s="2" t="s">
        <v>17</v>
      </c>
      <c r="LH16" s="2" t="s">
        <v>17</v>
      </c>
      <c r="LI16" s="2" t="s">
        <v>17</v>
      </c>
      <c r="LJ16" s="2" t="s">
        <v>87</v>
      </c>
      <c r="LK16" s="2" t="s">
        <v>17</v>
      </c>
      <c r="LL16" s="2" t="s">
        <v>17</v>
      </c>
      <c r="LM16" s="2">
        <v>0</v>
      </c>
      <c r="LN16" s="2" t="s">
        <v>17</v>
      </c>
      <c r="LO16" s="2" t="s">
        <v>9</v>
      </c>
      <c r="LP16" s="2" t="s">
        <v>9</v>
      </c>
      <c r="LQ16" s="2" t="s">
        <v>17</v>
      </c>
      <c r="LR16" s="2" t="s">
        <v>9</v>
      </c>
      <c r="LS16" s="2" t="s">
        <v>17</v>
      </c>
      <c r="LT16" s="2" t="s">
        <v>17</v>
      </c>
      <c r="LU16" s="2" t="s">
        <v>17</v>
      </c>
      <c r="LV16" s="2" t="s">
        <v>17</v>
      </c>
      <c r="LW16" s="2" t="s">
        <v>17</v>
      </c>
      <c r="LX16" s="2" t="s">
        <v>17</v>
      </c>
      <c r="LY16" s="5">
        <v>10000000</v>
      </c>
      <c r="LZ16" s="5">
        <v>6500000</v>
      </c>
      <c r="MA16" s="5">
        <v>10000000</v>
      </c>
      <c r="MB16" s="5">
        <v>10000000</v>
      </c>
      <c r="MC16" s="5">
        <v>10000000</v>
      </c>
      <c r="MD16" s="5">
        <v>1002500</v>
      </c>
      <c r="ME16" s="5">
        <v>1002500</v>
      </c>
      <c r="MF16" s="5">
        <v>1002500</v>
      </c>
      <c r="MG16" s="5">
        <v>11002500</v>
      </c>
      <c r="MH16" s="2">
        <v>0</v>
      </c>
      <c r="MI16" s="5">
        <v>0</v>
      </c>
      <c r="MJ16" s="5">
        <v>0</v>
      </c>
      <c r="MK16" s="2">
        <v>0</v>
      </c>
      <c r="ML16" s="2">
        <v>0</v>
      </c>
      <c r="MM16" s="2">
        <v>0</v>
      </c>
      <c r="MN16" s="5">
        <v>2950000</v>
      </c>
      <c r="MO16" s="5">
        <v>0</v>
      </c>
      <c r="MP16" s="5">
        <v>4600000</v>
      </c>
      <c r="MQ16" s="5">
        <v>0</v>
      </c>
      <c r="MR16" s="5">
        <v>0</v>
      </c>
      <c r="MS16" s="5">
        <v>0</v>
      </c>
      <c r="MT16" s="5">
        <v>0</v>
      </c>
      <c r="MU16" s="5">
        <v>2500000</v>
      </c>
      <c r="MV16" s="5">
        <v>0</v>
      </c>
      <c r="MW16" s="5">
        <v>0</v>
      </c>
      <c r="MX16" s="5">
        <v>0</v>
      </c>
      <c r="MY16" s="5">
        <v>2040000</v>
      </c>
      <c r="MZ16" s="5">
        <v>0</v>
      </c>
      <c r="NA16" s="5">
        <v>1587787</v>
      </c>
      <c r="NB16" s="2" t="s">
        <v>9</v>
      </c>
      <c r="NC16" s="2"/>
      <c r="ND16" s="2"/>
      <c r="NE16" s="2"/>
      <c r="NF16" s="2"/>
      <c r="NG16" s="2"/>
      <c r="NH16" s="2"/>
      <c r="NI16" s="61">
        <v>0</v>
      </c>
      <c r="NJ16" s="61"/>
      <c r="NK16" s="61"/>
      <c r="NL16" s="61"/>
      <c r="NM16" s="2" t="s">
        <v>17</v>
      </c>
      <c r="NN16" s="2"/>
      <c r="NO16" s="2" t="s">
        <v>17</v>
      </c>
      <c r="NP16" s="2"/>
      <c r="NQ16" s="2"/>
      <c r="NR16" s="2" t="s">
        <v>17</v>
      </c>
      <c r="NS16" s="2"/>
      <c r="NT16" s="2" t="s">
        <v>9</v>
      </c>
      <c r="NU16" s="2" t="s">
        <v>450</v>
      </c>
      <c r="NV16" s="2">
        <v>11.01</v>
      </c>
      <c r="NW16" s="2" t="s">
        <v>1221</v>
      </c>
      <c r="NX16" s="2" t="s">
        <v>118</v>
      </c>
      <c r="NY16" s="2" t="s">
        <v>118</v>
      </c>
      <c r="NZ16" s="2" t="s">
        <v>118</v>
      </c>
      <c r="OA16" s="2" t="s">
        <v>17</v>
      </c>
      <c r="OB16" s="2" t="s">
        <v>119</v>
      </c>
      <c r="OC16" s="5">
        <v>19500000</v>
      </c>
      <c r="OD16" s="2" t="s">
        <v>17</v>
      </c>
      <c r="OE16" s="2" t="s">
        <v>17</v>
      </c>
      <c r="OF16" s="2" t="s">
        <v>85</v>
      </c>
      <c r="OG16" s="6">
        <v>7800000</v>
      </c>
      <c r="OH16" s="6">
        <v>0</v>
      </c>
      <c r="OI16" s="2" t="s">
        <v>93</v>
      </c>
      <c r="OJ16" s="2" t="s">
        <v>93</v>
      </c>
      <c r="OK16" s="6">
        <v>0</v>
      </c>
      <c r="OL16" s="6">
        <v>0</v>
      </c>
      <c r="OM16" s="6">
        <v>0</v>
      </c>
      <c r="ON16" s="6">
        <v>0</v>
      </c>
      <c r="OO16" s="6">
        <v>0</v>
      </c>
      <c r="OP16" s="6">
        <v>0</v>
      </c>
      <c r="OQ16" s="4">
        <v>0</v>
      </c>
      <c r="OR16" s="6">
        <v>0</v>
      </c>
      <c r="OS16" s="4">
        <v>0</v>
      </c>
      <c r="OT16" s="2" t="s">
        <v>17</v>
      </c>
      <c r="OU16" s="2" t="s">
        <v>17</v>
      </c>
      <c r="OV16" s="2"/>
      <c r="OW16" s="2" t="s">
        <v>17</v>
      </c>
      <c r="OX16" s="5">
        <v>9204600</v>
      </c>
      <c r="OY16" s="6">
        <v>76705</v>
      </c>
      <c r="OZ16" s="2"/>
      <c r="PA16" s="2"/>
      <c r="PB16" s="2"/>
      <c r="PC16" s="2"/>
      <c r="PD16" s="2"/>
      <c r="PE16" s="2"/>
      <c r="PF16" s="8">
        <v>17497895</v>
      </c>
      <c r="PG16" s="2"/>
      <c r="PH16" s="8">
        <v>17497895</v>
      </c>
      <c r="PI16" s="2"/>
      <c r="PJ16" s="2"/>
      <c r="PK16" s="8">
        <v>305000</v>
      </c>
      <c r="PL16" s="8">
        <v>305000</v>
      </c>
      <c r="PM16" s="2"/>
      <c r="PN16" s="2"/>
      <c r="PO16" s="2"/>
      <c r="PP16" s="2"/>
      <c r="PQ16" s="2"/>
      <c r="PR16" s="8">
        <v>17802895</v>
      </c>
      <c r="PS16" s="2"/>
      <c r="PT16" s="8">
        <v>17802895</v>
      </c>
      <c r="PU16" s="8">
        <v>2492405</v>
      </c>
      <c r="PV16" s="8">
        <v>2492405</v>
      </c>
      <c r="PW16" s="6">
        <v>2492405</v>
      </c>
      <c r="PX16" s="8">
        <v>20295300</v>
      </c>
      <c r="PY16" s="2"/>
      <c r="PZ16" s="8">
        <v>20295300</v>
      </c>
      <c r="QA16" s="8">
        <v>1014765</v>
      </c>
      <c r="QB16" s="8">
        <v>1014765</v>
      </c>
      <c r="QC16" s="6">
        <v>1014765</v>
      </c>
      <c r="QD16" s="2"/>
      <c r="QE16" s="8">
        <v>50000</v>
      </c>
      <c r="QF16" s="8">
        <v>50000</v>
      </c>
      <c r="QG16" s="8">
        <v>10000</v>
      </c>
      <c r="QH16" s="8">
        <v>10000</v>
      </c>
      <c r="QI16" s="8">
        <v>220000</v>
      </c>
      <c r="QJ16" s="8">
        <v>220000</v>
      </c>
      <c r="QK16" s="8">
        <v>80000</v>
      </c>
      <c r="QL16" s="8">
        <v>80000</v>
      </c>
      <c r="QM16" s="8">
        <v>144712</v>
      </c>
      <c r="QN16" s="2"/>
      <c r="QO16" s="8">
        <v>144712</v>
      </c>
      <c r="QP16" s="8">
        <v>250000</v>
      </c>
      <c r="QQ16" s="8">
        <v>250000</v>
      </c>
      <c r="QR16" s="2"/>
      <c r="QS16" s="2"/>
      <c r="QT16" s="8">
        <v>150000</v>
      </c>
      <c r="QU16" s="2"/>
      <c r="QV16" s="8">
        <v>150000</v>
      </c>
      <c r="QW16" s="8">
        <v>20000</v>
      </c>
      <c r="QX16" s="8">
        <v>20000</v>
      </c>
      <c r="QY16" s="8">
        <v>142901</v>
      </c>
      <c r="QZ16" s="8">
        <v>142901</v>
      </c>
      <c r="RA16" s="8">
        <v>3000</v>
      </c>
      <c r="RB16" s="8">
        <v>3000</v>
      </c>
      <c r="RC16" s="8">
        <v>3000</v>
      </c>
      <c r="RD16" s="8">
        <v>3000</v>
      </c>
      <c r="RE16" s="8">
        <v>29735</v>
      </c>
      <c r="RF16" s="8">
        <v>29735</v>
      </c>
      <c r="RG16" s="8">
        <v>27100</v>
      </c>
      <c r="RH16" s="8">
        <v>27100</v>
      </c>
      <c r="RI16" s="8">
        <v>1172003</v>
      </c>
      <c r="RJ16" s="8">
        <v>1172003</v>
      </c>
      <c r="RK16" s="8">
        <v>85000</v>
      </c>
      <c r="RL16" s="2"/>
      <c r="RM16" s="8">
        <v>85000</v>
      </c>
      <c r="RN16" s="2"/>
      <c r="RO16" s="8">
        <v>96000</v>
      </c>
      <c r="RP16" s="8">
        <v>96000</v>
      </c>
      <c r="RQ16" s="8">
        <v>220000</v>
      </c>
      <c r="RR16" s="8">
        <v>55000</v>
      </c>
      <c r="RS16" s="8">
        <v>275000</v>
      </c>
      <c r="RT16" s="2"/>
      <c r="RU16" s="8">
        <v>5000</v>
      </c>
      <c r="RV16" s="8">
        <v>5000</v>
      </c>
      <c r="RW16" s="8">
        <v>90000</v>
      </c>
      <c r="RX16" s="8">
        <v>90000</v>
      </c>
      <c r="RY16" s="2"/>
      <c r="RZ16" s="8">
        <v>80000</v>
      </c>
      <c r="SA16" s="8">
        <v>80000</v>
      </c>
      <c r="SB16" s="8">
        <v>15000</v>
      </c>
      <c r="SC16" s="8">
        <v>15000</v>
      </c>
      <c r="SD16" s="8">
        <v>35000</v>
      </c>
      <c r="SE16" s="8">
        <v>5000</v>
      </c>
      <c r="SF16" s="8">
        <v>40000</v>
      </c>
      <c r="SG16" s="2"/>
      <c r="SH16" s="8">
        <v>200000</v>
      </c>
      <c r="SI16" s="8">
        <v>50000</v>
      </c>
      <c r="SJ16" s="8">
        <v>250000</v>
      </c>
      <c r="SK16" s="2"/>
      <c r="SL16" s="2"/>
      <c r="SM16" s="8">
        <v>145000</v>
      </c>
      <c r="SN16" s="8">
        <v>119575</v>
      </c>
      <c r="SO16" s="8">
        <v>264575</v>
      </c>
      <c r="SP16" s="8">
        <v>2773815</v>
      </c>
      <c r="SQ16" s="8">
        <v>729211</v>
      </c>
      <c r="SR16" s="8">
        <v>3503026</v>
      </c>
      <c r="SS16" s="8">
        <v>175000</v>
      </c>
      <c r="ST16" s="2"/>
      <c r="SU16" s="8">
        <v>175000</v>
      </c>
      <c r="SV16" s="6">
        <v>175151.3</v>
      </c>
      <c r="SW16" s="8">
        <v>200000</v>
      </c>
      <c r="SX16" s="8">
        <v>200000</v>
      </c>
      <c r="SY16" s="2"/>
      <c r="SZ16" s="8">
        <v>982180</v>
      </c>
      <c r="TA16" s="8">
        <v>847095</v>
      </c>
      <c r="TB16" s="8">
        <v>1829275</v>
      </c>
      <c r="TC16" s="8">
        <v>105000</v>
      </c>
      <c r="TD16" s="2"/>
      <c r="TE16" s="8">
        <v>105000</v>
      </c>
      <c r="TF16" s="8">
        <v>78000</v>
      </c>
      <c r="TG16" s="8">
        <v>78000</v>
      </c>
      <c r="TH16" s="2"/>
      <c r="TI16" s="8">
        <v>100000</v>
      </c>
      <c r="TJ16" s="8">
        <v>100000</v>
      </c>
      <c r="TK16" s="2"/>
      <c r="TL16" s="8">
        <v>76439</v>
      </c>
      <c r="TM16" s="8">
        <v>229316</v>
      </c>
      <c r="TN16" s="8">
        <v>305755</v>
      </c>
      <c r="TO16" s="8">
        <v>1363619</v>
      </c>
      <c r="TP16" s="8">
        <v>1254411</v>
      </c>
      <c r="TQ16" s="8">
        <v>2618030</v>
      </c>
      <c r="TR16" s="8">
        <v>25622499</v>
      </c>
      <c r="TS16" s="8">
        <v>1983622</v>
      </c>
      <c r="TT16" s="8">
        <v>27606121</v>
      </c>
      <c r="TU16" s="8">
        <v>4969000</v>
      </c>
      <c r="TV16" s="8">
        <v>4969000</v>
      </c>
      <c r="TW16" s="6">
        <v>4969101</v>
      </c>
      <c r="TX16" s="8">
        <v>4969000</v>
      </c>
      <c r="TY16" s="8">
        <v>4969000</v>
      </c>
      <c r="TZ16" s="6">
        <v>4969101</v>
      </c>
      <c r="UA16" s="8">
        <v>2000000</v>
      </c>
      <c r="UB16" s="8">
        <v>2000000</v>
      </c>
      <c r="UC16" s="8">
        <v>30591499</v>
      </c>
      <c r="UD16" s="8">
        <v>3983622</v>
      </c>
      <c r="UE16" s="8">
        <v>34575121</v>
      </c>
      <c r="UF16" s="8">
        <v>19500000</v>
      </c>
      <c r="UG16" s="2" t="s">
        <v>4295</v>
      </c>
      <c r="UH16" s="2"/>
      <c r="UI16" s="2"/>
      <c r="UJ16" s="8">
        <v>11002500</v>
      </c>
      <c r="UK16" s="2"/>
      <c r="UL16" s="2" t="s">
        <v>96</v>
      </c>
      <c r="UM16" s="8">
        <v>3492782</v>
      </c>
      <c r="UN16" s="8">
        <v>4969000</v>
      </c>
      <c r="UO16" s="8">
        <v>38964282</v>
      </c>
      <c r="UP16" s="8">
        <v>4389161</v>
      </c>
      <c r="UQ16" s="8">
        <v>7800000</v>
      </c>
      <c r="UR16" s="2" t="s">
        <v>4295</v>
      </c>
      <c r="US16" s="2"/>
      <c r="UT16" s="2"/>
      <c r="UU16" s="2"/>
      <c r="UV16" s="2"/>
      <c r="UW16" s="8">
        <v>11002500</v>
      </c>
      <c r="UX16" s="2"/>
      <c r="UY16" s="2" t="s">
        <v>96</v>
      </c>
      <c r="UZ16" s="8">
        <v>13971128</v>
      </c>
      <c r="VA16" s="8">
        <v>4969000</v>
      </c>
      <c r="VB16" s="8">
        <v>37742628</v>
      </c>
      <c r="VC16" s="6">
        <v>18802500</v>
      </c>
      <c r="VD16" s="8">
        <v>3167507</v>
      </c>
      <c r="VE16" s="5">
        <v>370000</v>
      </c>
      <c r="VF16" s="5">
        <v>377500</v>
      </c>
      <c r="VG16" s="6">
        <v>271459.34000000003</v>
      </c>
      <c r="VH16" s="2" t="s">
        <v>9</v>
      </c>
      <c r="VI16" s="388" t="s">
        <v>1125</v>
      </c>
      <c r="VJ16" s="2" t="s">
        <v>98</v>
      </c>
      <c r="VK16" s="2" t="s">
        <v>5185</v>
      </c>
      <c r="VL16" s="23">
        <f t="shared" si="0"/>
        <v>173</v>
      </c>
      <c r="VM16" s="17">
        <f t="shared" si="1"/>
        <v>1.4416666666666667</v>
      </c>
      <c r="VN16" s="17" t="str">
        <f t="shared" si="2"/>
        <v>NC-GA-F</v>
      </c>
      <c r="VO16" s="17" t="str">
        <f t="shared" si="15"/>
        <v>NC-GA-F-ESS</v>
      </c>
      <c r="VP16" s="57">
        <v>1</v>
      </c>
      <c r="VQ16" s="17">
        <f t="shared" si="3"/>
        <v>1.1100000000000001</v>
      </c>
      <c r="VR16" s="57">
        <f t="shared" si="4"/>
        <v>1</v>
      </c>
      <c r="VS16" s="14">
        <f t="shared" si="5"/>
        <v>1</v>
      </c>
      <c r="VT16" s="12">
        <f t="shared" si="6"/>
        <v>0.85439999999999994</v>
      </c>
      <c r="VU16" s="29">
        <f t="shared" si="7"/>
        <v>9483840</v>
      </c>
      <c r="VV16" s="29">
        <f t="shared" si="8"/>
        <v>79032</v>
      </c>
      <c r="VW16" s="351" t="str">
        <f t="shared" si="21"/>
        <v>A</v>
      </c>
      <c r="VX16" s="12" t="str">
        <f t="shared" si="9"/>
        <v>NC-GA-ESS</v>
      </c>
      <c r="VY16" s="23">
        <f t="shared" si="22"/>
        <v>3</v>
      </c>
      <c r="WA16" s="12">
        <f t="shared" si="16"/>
        <v>0</v>
      </c>
      <c r="WB16" s="12">
        <f t="shared" si="17"/>
        <v>1</v>
      </c>
      <c r="WC16" s="12">
        <f t="shared" si="17"/>
        <v>0</v>
      </c>
      <c r="WD16" s="12">
        <f t="shared" si="17"/>
        <v>0</v>
      </c>
      <c r="WE16" s="12">
        <f t="shared" si="18"/>
        <v>1</v>
      </c>
      <c r="WF16" s="12">
        <f t="shared" si="10"/>
        <v>1</v>
      </c>
      <c r="WG16" s="12">
        <f t="shared" si="11"/>
        <v>0</v>
      </c>
      <c r="WH16" s="12">
        <f t="shared" si="12"/>
        <v>0</v>
      </c>
      <c r="WI16" s="31">
        <f t="shared" si="13"/>
        <v>3</v>
      </c>
      <c r="WJ16" s="2"/>
      <c r="WK16" s="444" t="str">
        <f t="shared" si="23"/>
        <v>NC-GA-ESS-BBY-BRN-NPH-F</v>
      </c>
      <c r="WL16" s="444"/>
      <c r="WM16" s="444"/>
    </row>
    <row r="17" spans="1:611" x14ac:dyDescent="0.25">
      <c r="A17" s="2">
        <v>9025</v>
      </c>
      <c r="B17" s="2" t="s">
        <v>5186</v>
      </c>
      <c r="C17" s="2" t="s">
        <v>5063</v>
      </c>
      <c r="D17" s="2">
        <v>7</v>
      </c>
      <c r="E17" s="2">
        <v>34.96</v>
      </c>
      <c r="F17" s="2"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 t="s">
        <v>9</v>
      </c>
      <c r="BV17" s="6">
        <v>77145.7</v>
      </c>
      <c r="BW17" s="2" t="s">
        <v>126</v>
      </c>
      <c r="BX17" s="3">
        <v>45036</v>
      </c>
      <c r="BY17" s="2" t="s">
        <v>9</v>
      </c>
      <c r="BZ17" s="2">
        <v>1</v>
      </c>
      <c r="CA17" s="2" t="s">
        <v>9</v>
      </c>
      <c r="CB17" s="2">
        <v>1</v>
      </c>
      <c r="CC17" s="2" t="s">
        <v>9</v>
      </c>
      <c r="CD17" s="2">
        <v>0</v>
      </c>
      <c r="CE17" s="2" t="s">
        <v>5187</v>
      </c>
      <c r="CF17" s="2">
        <v>1</v>
      </c>
      <c r="CG17" s="2" t="s">
        <v>10</v>
      </c>
      <c r="CH17" s="2">
        <v>0</v>
      </c>
      <c r="CI17" s="2" t="s">
        <v>10</v>
      </c>
      <c r="CJ17" s="2">
        <v>0</v>
      </c>
      <c r="CK17" s="2" t="s">
        <v>11</v>
      </c>
      <c r="CL17" s="2">
        <v>0</v>
      </c>
      <c r="CM17" s="2" t="s">
        <v>9</v>
      </c>
      <c r="CN17" s="2">
        <v>2</v>
      </c>
      <c r="CO17" s="2" t="s">
        <v>9</v>
      </c>
      <c r="CP17" s="2">
        <v>2</v>
      </c>
      <c r="CQ17" s="2" t="s">
        <v>9</v>
      </c>
      <c r="CR17" s="2">
        <v>2</v>
      </c>
      <c r="CS17" s="2" t="s">
        <v>12</v>
      </c>
      <c r="CT17" s="2" t="s">
        <v>282</v>
      </c>
      <c r="CU17" s="2" t="s">
        <v>124</v>
      </c>
      <c r="CV17" s="2" t="s">
        <v>15</v>
      </c>
      <c r="CW17" s="2" t="s">
        <v>15</v>
      </c>
      <c r="CX17" s="2" t="s">
        <v>15</v>
      </c>
      <c r="CY17" s="2" t="s">
        <v>15</v>
      </c>
      <c r="CZ17" s="2">
        <v>2</v>
      </c>
      <c r="DA17" s="2" t="s">
        <v>283</v>
      </c>
      <c r="DB17" s="2" t="s">
        <v>17</v>
      </c>
      <c r="DC17" s="4">
        <v>0.16070999999999999</v>
      </c>
      <c r="DD17" s="2" t="s">
        <v>17</v>
      </c>
      <c r="DE17" s="2" t="s">
        <v>9</v>
      </c>
      <c r="DF17" s="2" t="s">
        <v>17</v>
      </c>
      <c r="DG17" s="2" t="s">
        <v>17</v>
      </c>
      <c r="DH17" s="2" t="s">
        <v>17</v>
      </c>
      <c r="DI17" s="2" t="s">
        <v>9</v>
      </c>
      <c r="DJ17" s="2" t="s">
        <v>17</v>
      </c>
      <c r="DK17" s="2" t="s">
        <v>17</v>
      </c>
      <c r="DL17" s="2" t="s">
        <v>17</v>
      </c>
      <c r="DM17" s="2" t="s">
        <v>17</v>
      </c>
      <c r="DN17" s="2" t="s">
        <v>2663</v>
      </c>
      <c r="DO17" s="2">
        <v>5</v>
      </c>
      <c r="DP17" s="5">
        <v>50000</v>
      </c>
      <c r="DQ17" s="5">
        <v>460000</v>
      </c>
      <c r="DR17" s="2">
        <v>0</v>
      </c>
      <c r="DS17" s="2">
        <v>15</v>
      </c>
      <c r="DT17" s="2">
        <v>0</v>
      </c>
      <c r="DU17" s="2">
        <v>6</v>
      </c>
      <c r="DV17" s="2">
        <v>0</v>
      </c>
      <c r="DW17" s="2">
        <v>0</v>
      </c>
      <c r="DX17" s="2">
        <v>1</v>
      </c>
      <c r="DY17" s="2">
        <v>0</v>
      </c>
      <c r="DZ17" s="2">
        <v>1</v>
      </c>
      <c r="EA17" s="2">
        <v>0</v>
      </c>
      <c r="EB17" s="2">
        <v>0</v>
      </c>
      <c r="EC17" s="2">
        <v>0</v>
      </c>
      <c r="ED17" s="2">
        <v>13</v>
      </c>
      <c r="EE17" s="2">
        <v>1</v>
      </c>
      <c r="EF17" s="2">
        <v>0</v>
      </c>
      <c r="EG17" s="2">
        <v>2</v>
      </c>
      <c r="EH17" s="2">
        <v>0</v>
      </c>
      <c r="EI17" s="2">
        <v>15</v>
      </c>
      <c r="EJ17" s="2">
        <v>11</v>
      </c>
      <c r="EK17" s="2">
        <v>0</v>
      </c>
      <c r="EL17" s="2" t="s">
        <v>17</v>
      </c>
      <c r="EM17" s="2" t="s">
        <v>17</v>
      </c>
      <c r="EN17" s="2" t="s">
        <v>17</v>
      </c>
      <c r="EO17" s="2" t="s">
        <v>17</v>
      </c>
      <c r="EP17" s="2" t="s">
        <v>17</v>
      </c>
      <c r="EQ17" s="2" t="s">
        <v>17</v>
      </c>
      <c r="ER17" s="2" t="s">
        <v>17</v>
      </c>
      <c r="ES17" s="2" t="s">
        <v>9</v>
      </c>
      <c r="ET17" s="2" t="s">
        <v>608</v>
      </c>
      <c r="EU17" s="2" t="s">
        <v>609</v>
      </c>
      <c r="EV17" s="2"/>
      <c r="EW17" s="2" t="s">
        <v>9</v>
      </c>
      <c r="EX17" s="2" t="s">
        <v>5093</v>
      </c>
      <c r="EY17" s="2" t="s">
        <v>608</v>
      </c>
      <c r="EZ17" s="2" t="s">
        <v>614</v>
      </c>
      <c r="FA17" s="2" t="s">
        <v>613</v>
      </c>
      <c r="FB17" s="2">
        <v>174</v>
      </c>
      <c r="FC17" s="2" t="s">
        <v>240</v>
      </c>
      <c r="FD17" s="2">
        <v>2019</v>
      </c>
      <c r="FE17" s="2" t="s">
        <v>26</v>
      </c>
      <c r="FF17" s="2" t="s">
        <v>4210</v>
      </c>
      <c r="FG17" s="2" t="s">
        <v>34</v>
      </c>
      <c r="FH17" s="2"/>
      <c r="FI17" s="2" t="s">
        <v>35</v>
      </c>
      <c r="FJ17" s="2" t="s">
        <v>5094</v>
      </c>
      <c r="FK17" s="2">
        <v>1</v>
      </c>
      <c r="FL17" s="2" t="s">
        <v>616</v>
      </c>
      <c r="FM17" s="2" t="s">
        <v>38</v>
      </c>
      <c r="FN17" s="2" t="s">
        <v>5188</v>
      </c>
      <c r="FO17" s="2" t="s">
        <v>63</v>
      </c>
      <c r="FP17" s="2" t="s">
        <v>9</v>
      </c>
      <c r="FQ17" s="2" t="s">
        <v>17</v>
      </c>
      <c r="FR17" s="2" t="s">
        <v>17</v>
      </c>
      <c r="FS17" s="2" t="s">
        <v>9</v>
      </c>
      <c r="FT17" s="2">
        <v>0</v>
      </c>
      <c r="FU17" s="2">
        <v>0</v>
      </c>
      <c r="FV17" s="4">
        <v>0</v>
      </c>
      <c r="FW17" s="4">
        <v>0</v>
      </c>
      <c r="FX17" s="2" t="s">
        <v>65</v>
      </c>
      <c r="FY17" s="2" t="s">
        <v>66</v>
      </c>
      <c r="FZ17" s="2" t="s">
        <v>17</v>
      </c>
      <c r="GA17" s="2"/>
      <c r="GB17" s="2"/>
      <c r="GC17" s="2"/>
      <c r="GD17" s="2" t="s">
        <v>67</v>
      </c>
      <c r="GE17" s="2" t="s">
        <v>108</v>
      </c>
      <c r="GF17" s="2"/>
      <c r="GG17" s="2"/>
      <c r="GH17" s="2"/>
      <c r="GI17" s="2">
        <v>56</v>
      </c>
      <c r="GJ17" s="2"/>
      <c r="GK17" s="2"/>
      <c r="GL17" s="2"/>
      <c r="GM17" s="2"/>
      <c r="GN17" s="2"/>
      <c r="GO17" s="2"/>
      <c r="GP17" s="2"/>
      <c r="GQ17" s="2">
        <v>56</v>
      </c>
      <c r="GR17" s="2" t="s">
        <v>968</v>
      </c>
      <c r="GS17" s="2" t="s">
        <v>70</v>
      </c>
      <c r="GT17" s="2">
        <v>1</v>
      </c>
      <c r="GU17" s="2" t="s">
        <v>5189</v>
      </c>
      <c r="GV17" s="2" t="s">
        <v>1362</v>
      </c>
      <c r="GW17" s="2" t="s">
        <v>17</v>
      </c>
      <c r="GX17" s="2">
        <v>29.226506000000001</v>
      </c>
      <c r="GY17" s="2">
        <v>-81.071106</v>
      </c>
      <c r="GZ17" s="2"/>
      <c r="HA17" s="2" t="s">
        <v>17</v>
      </c>
      <c r="HB17" s="2">
        <v>0</v>
      </c>
      <c r="HC17" s="2" t="s">
        <v>17</v>
      </c>
      <c r="HD17" s="2" t="s">
        <v>17</v>
      </c>
      <c r="HE17" s="2">
        <v>0</v>
      </c>
      <c r="HF17" s="2">
        <v>29.219967</v>
      </c>
      <c r="HG17" s="2">
        <v>-81.069754000000003</v>
      </c>
      <c r="HH17" s="2">
        <v>0.46</v>
      </c>
      <c r="HI17" s="2">
        <v>2</v>
      </c>
      <c r="HJ17" s="2">
        <v>29.219857000000001</v>
      </c>
      <c r="HK17" s="2">
        <v>-81.069636000000003</v>
      </c>
      <c r="HL17" s="2">
        <v>0.46</v>
      </c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 t="s">
        <v>73</v>
      </c>
      <c r="HY17" s="2"/>
      <c r="HZ17" s="2"/>
      <c r="IA17" s="2"/>
      <c r="IB17" s="2"/>
      <c r="IC17" s="2" t="s">
        <v>5190</v>
      </c>
      <c r="ID17" s="2" t="s">
        <v>5191</v>
      </c>
      <c r="IE17" s="2">
        <v>0.47</v>
      </c>
      <c r="IF17" s="2">
        <v>3.5</v>
      </c>
      <c r="IG17" s="2" t="s">
        <v>641</v>
      </c>
      <c r="IH17" s="2" t="s">
        <v>5192</v>
      </c>
      <c r="II17" s="2">
        <v>0.88</v>
      </c>
      <c r="IJ17" s="2">
        <v>2.5</v>
      </c>
      <c r="IK17" s="2" t="s">
        <v>5193</v>
      </c>
      <c r="IL17" s="2" t="s">
        <v>5194</v>
      </c>
      <c r="IM17" s="2">
        <v>0.13</v>
      </c>
      <c r="IN17" s="2">
        <v>4</v>
      </c>
      <c r="IO17" s="2">
        <v>2</v>
      </c>
      <c r="IP17" s="2">
        <v>10</v>
      </c>
      <c r="IQ17" s="2">
        <v>0</v>
      </c>
      <c r="IR17" s="2">
        <v>12</v>
      </c>
      <c r="IS17" s="2" t="s">
        <v>17</v>
      </c>
      <c r="IT17" s="2" t="s">
        <v>17</v>
      </c>
      <c r="IU17" s="2" t="s">
        <v>17</v>
      </c>
      <c r="IV17" s="2" t="s">
        <v>80</v>
      </c>
      <c r="IW17" s="2" t="s">
        <v>9</v>
      </c>
      <c r="IX17" s="2" t="s">
        <v>9</v>
      </c>
      <c r="IY17" s="2">
        <v>12</v>
      </c>
      <c r="IZ17" s="2">
        <v>56</v>
      </c>
      <c r="JA17" s="2"/>
      <c r="JB17" s="2"/>
      <c r="JC17" s="2"/>
      <c r="JD17" s="2"/>
      <c r="JE17" s="2"/>
      <c r="JF17" s="2"/>
      <c r="JG17" s="2"/>
      <c r="JH17" s="7">
        <v>0</v>
      </c>
      <c r="JI17" s="2">
        <v>0</v>
      </c>
      <c r="JJ17" s="7">
        <v>0</v>
      </c>
      <c r="JK17" s="2">
        <v>0</v>
      </c>
      <c r="JL17" s="7">
        <v>0</v>
      </c>
      <c r="JM17" s="2">
        <v>9</v>
      </c>
      <c r="JN17" s="2"/>
      <c r="JO17" s="2">
        <v>39</v>
      </c>
      <c r="JP17" s="2">
        <v>4</v>
      </c>
      <c r="JQ17" s="2">
        <v>4</v>
      </c>
      <c r="JR17" s="2">
        <v>0</v>
      </c>
      <c r="JS17" s="2">
        <v>0</v>
      </c>
      <c r="JT17" s="2"/>
      <c r="JU17" s="2"/>
      <c r="JV17" s="2">
        <v>56</v>
      </c>
      <c r="JW17" s="4">
        <v>1</v>
      </c>
      <c r="JX17" s="2">
        <v>56</v>
      </c>
      <c r="JY17" s="4">
        <v>0.57321</v>
      </c>
      <c r="JZ17" s="2">
        <v>0</v>
      </c>
      <c r="KA17" s="2"/>
      <c r="KB17" s="2"/>
      <c r="KC17" s="2"/>
      <c r="KD17" s="2"/>
      <c r="KE17" s="2"/>
      <c r="KF17" s="2"/>
      <c r="KG17" s="2"/>
      <c r="KH17" s="2">
        <v>56</v>
      </c>
      <c r="KI17" s="2"/>
      <c r="KJ17" s="2"/>
      <c r="KK17" s="2"/>
      <c r="KL17" s="2"/>
      <c r="KM17" s="2"/>
      <c r="KN17" s="2"/>
      <c r="KO17" s="2"/>
      <c r="KP17" s="2"/>
      <c r="KQ17" s="2" t="s">
        <v>83</v>
      </c>
      <c r="KR17" s="2"/>
      <c r="KS17" s="2" t="s">
        <v>73</v>
      </c>
      <c r="KT17" s="2">
        <v>1</v>
      </c>
      <c r="KU17" s="2" t="s">
        <v>84</v>
      </c>
      <c r="KV17" s="2" t="s">
        <v>85</v>
      </c>
      <c r="KW17" s="2" t="s">
        <v>86</v>
      </c>
      <c r="KX17" s="2" t="s">
        <v>17</v>
      </c>
      <c r="KY17" s="2" t="s">
        <v>17</v>
      </c>
      <c r="KZ17" s="2" t="s">
        <v>17</v>
      </c>
      <c r="LA17" s="2" t="s">
        <v>17</v>
      </c>
      <c r="LB17" s="2" t="s">
        <v>17</v>
      </c>
      <c r="LC17" s="2" t="s">
        <v>17</v>
      </c>
      <c r="LD17" s="2" t="s">
        <v>17</v>
      </c>
      <c r="LE17" s="2" t="s">
        <v>17</v>
      </c>
      <c r="LF17" s="2" t="s">
        <v>17</v>
      </c>
      <c r="LG17" s="2" t="s">
        <v>17</v>
      </c>
      <c r="LH17" s="2" t="s">
        <v>17</v>
      </c>
      <c r="LI17" s="2" t="s">
        <v>17</v>
      </c>
      <c r="LJ17" s="2" t="s">
        <v>87</v>
      </c>
      <c r="LK17" s="2" t="s">
        <v>17</v>
      </c>
      <c r="LL17" s="2" t="s">
        <v>17</v>
      </c>
      <c r="LM17" s="2">
        <v>0</v>
      </c>
      <c r="LN17" s="2" t="s">
        <v>17</v>
      </c>
      <c r="LO17" s="2" t="s">
        <v>17</v>
      </c>
      <c r="LP17" s="2" t="s">
        <v>17</v>
      </c>
      <c r="LQ17" s="2" t="s">
        <v>17</v>
      </c>
      <c r="LR17" s="2" t="s">
        <v>17</v>
      </c>
      <c r="LS17" s="2" t="s">
        <v>17</v>
      </c>
      <c r="LT17" s="2" t="s">
        <v>9</v>
      </c>
      <c r="LU17" s="2" t="s">
        <v>17</v>
      </c>
      <c r="LV17" s="2" t="s">
        <v>17</v>
      </c>
      <c r="LW17" s="2" t="s">
        <v>9</v>
      </c>
      <c r="LX17" s="2" t="s">
        <v>9</v>
      </c>
      <c r="LY17" s="5">
        <v>5880000</v>
      </c>
      <c r="LZ17" s="5">
        <v>0</v>
      </c>
      <c r="MA17" s="5">
        <v>5880000</v>
      </c>
      <c r="MB17" s="5">
        <v>5080000</v>
      </c>
      <c r="MC17" s="5">
        <v>5080000</v>
      </c>
      <c r="MD17" s="5">
        <v>314400</v>
      </c>
      <c r="ME17" s="5">
        <v>314400</v>
      </c>
      <c r="MF17" s="5">
        <v>314400</v>
      </c>
      <c r="MG17" s="5">
        <v>5394400</v>
      </c>
      <c r="MH17" s="2">
        <v>0</v>
      </c>
      <c r="MI17" s="5">
        <v>0</v>
      </c>
      <c r="MJ17" s="5">
        <v>0</v>
      </c>
      <c r="MK17" s="2">
        <v>0</v>
      </c>
      <c r="ML17" s="2">
        <v>0</v>
      </c>
      <c r="MM17" s="2">
        <v>0</v>
      </c>
      <c r="MN17" s="5">
        <v>2950000</v>
      </c>
      <c r="MO17" s="5">
        <v>0</v>
      </c>
      <c r="MP17" s="5">
        <v>4600000</v>
      </c>
      <c r="MQ17" s="5">
        <v>0</v>
      </c>
      <c r="MR17" s="5">
        <v>0</v>
      </c>
      <c r="MS17" s="5">
        <v>0</v>
      </c>
      <c r="MT17" s="5">
        <v>0</v>
      </c>
      <c r="MU17" s="5">
        <v>2030000</v>
      </c>
      <c r="MV17" s="5">
        <v>0</v>
      </c>
      <c r="MW17" s="5">
        <v>0</v>
      </c>
      <c r="MX17" s="5">
        <v>0</v>
      </c>
      <c r="MY17" s="5">
        <v>2040000</v>
      </c>
      <c r="MZ17" s="5">
        <v>0</v>
      </c>
      <c r="NA17" s="5">
        <v>668977</v>
      </c>
      <c r="NB17" s="2" t="s">
        <v>17</v>
      </c>
      <c r="NC17" s="2"/>
      <c r="ND17" s="2"/>
      <c r="NE17" s="2"/>
      <c r="NF17" s="2"/>
      <c r="NG17" s="2"/>
      <c r="NH17" s="2"/>
      <c r="NI17" s="61">
        <v>0</v>
      </c>
      <c r="NJ17" s="61"/>
      <c r="NK17" s="61"/>
      <c r="NL17" s="61"/>
      <c r="NM17" s="2" t="s">
        <v>17</v>
      </c>
      <c r="NN17" s="2"/>
      <c r="NO17" s="2"/>
      <c r="NP17" s="2"/>
      <c r="NQ17" s="2"/>
      <c r="NR17" s="2" t="s">
        <v>17</v>
      </c>
      <c r="NS17" s="2"/>
      <c r="NT17" s="2" t="s">
        <v>9</v>
      </c>
      <c r="NU17" s="2" t="s">
        <v>450</v>
      </c>
      <c r="NV17" s="2">
        <v>823.02</v>
      </c>
      <c r="NW17" s="2" t="s">
        <v>1363</v>
      </c>
      <c r="NX17" s="2" t="s">
        <v>118</v>
      </c>
      <c r="NY17" s="2" t="s">
        <v>118</v>
      </c>
      <c r="NZ17" s="2" t="s">
        <v>118</v>
      </c>
      <c r="OA17" s="2" t="s">
        <v>17</v>
      </c>
      <c r="OB17" s="2" t="s">
        <v>119</v>
      </c>
      <c r="OC17" s="5">
        <v>8000000</v>
      </c>
      <c r="OD17" s="2" t="s">
        <v>17</v>
      </c>
      <c r="OE17" s="2" t="s">
        <v>17</v>
      </c>
      <c r="OF17" s="2" t="s">
        <v>85</v>
      </c>
      <c r="OG17" s="6">
        <v>2873005</v>
      </c>
      <c r="OH17" s="6">
        <v>0</v>
      </c>
      <c r="OI17" s="2" t="s">
        <v>93</v>
      </c>
      <c r="OJ17" s="2" t="s">
        <v>93</v>
      </c>
      <c r="OK17" s="6">
        <v>0</v>
      </c>
      <c r="OL17" s="6">
        <v>0</v>
      </c>
      <c r="OM17" s="6">
        <v>0</v>
      </c>
      <c r="ON17" s="6">
        <v>0</v>
      </c>
      <c r="OO17" s="6">
        <v>0</v>
      </c>
      <c r="OP17" s="6">
        <v>0</v>
      </c>
      <c r="OQ17" s="4">
        <v>0</v>
      </c>
      <c r="OR17" s="6">
        <v>0</v>
      </c>
      <c r="OS17" s="4">
        <v>0</v>
      </c>
      <c r="OT17" s="2" t="s">
        <v>17</v>
      </c>
      <c r="OU17" s="2" t="s">
        <v>17</v>
      </c>
      <c r="OV17" s="2"/>
      <c r="OW17" s="2" t="s">
        <v>17</v>
      </c>
      <c r="OX17" s="5">
        <v>4320159</v>
      </c>
      <c r="OY17" s="6">
        <v>77145.7</v>
      </c>
      <c r="OZ17" s="2"/>
      <c r="PA17" s="2"/>
      <c r="PB17" s="2"/>
      <c r="PC17" s="2"/>
      <c r="PD17" s="2"/>
      <c r="PE17" s="2"/>
      <c r="PF17" s="8">
        <v>6701864</v>
      </c>
      <c r="PG17" s="2"/>
      <c r="PH17" s="8">
        <v>6701864</v>
      </c>
      <c r="PI17" s="2"/>
      <c r="PJ17" s="2"/>
      <c r="PK17" s="2"/>
      <c r="PL17" s="2"/>
      <c r="PM17" s="8">
        <v>525000</v>
      </c>
      <c r="PN17" s="8">
        <v>75000</v>
      </c>
      <c r="PO17" s="8">
        <v>600000</v>
      </c>
      <c r="PP17" s="2"/>
      <c r="PQ17" s="2"/>
      <c r="PR17" s="8">
        <v>7226864</v>
      </c>
      <c r="PS17" s="8">
        <v>75000</v>
      </c>
      <c r="PT17" s="8">
        <v>7301864</v>
      </c>
      <c r="PU17" s="8">
        <v>1022260</v>
      </c>
      <c r="PV17" s="8">
        <v>1022260</v>
      </c>
      <c r="PW17" s="6">
        <v>1022260</v>
      </c>
      <c r="PX17" s="8">
        <v>8249124</v>
      </c>
      <c r="PY17" s="8">
        <v>75000</v>
      </c>
      <c r="PZ17" s="8">
        <v>8324124</v>
      </c>
      <c r="QA17" s="8">
        <v>416206</v>
      </c>
      <c r="QB17" s="8">
        <v>416206</v>
      </c>
      <c r="QC17" s="6">
        <v>416206.2</v>
      </c>
      <c r="QD17" s="2"/>
      <c r="QE17" s="8">
        <v>30000</v>
      </c>
      <c r="QF17" s="8">
        <v>30000</v>
      </c>
      <c r="QG17" s="8">
        <v>5000</v>
      </c>
      <c r="QH17" s="8">
        <v>5000</v>
      </c>
      <c r="QI17" s="8">
        <v>156077</v>
      </c>
      <c r="QJ17" s="8">
        <v>156077</v>
      </c>
      <c r="QK17" s="8">
        <v>52026</v>
      </c>
      <c r="QL17" s="8">
        <v>52026</v>
      </c>
      <c r="QM17" s="8">
        <v>131105</v>
      </c>
      <c r="QN17" s="2"/>
      <c r="QO17" s="8">
        <v>131105</v>
      </c>
      <c r="QP17" s="8">
        <v>137349</v>
      </c>
      <c r="QQ17" s="8">
        <v>137349</v>
      </c>
      <c r="QR17" s="2"/>
      <c r="QS17" s="2"/>
      <c r="QT17" s="8">
        <v>80000</v>
      </c>
      <c r="QU17" s="2"/>
      <c r="QV17" s="8">
        <v>80000</v>
      </c>
      <c r="QW17" s="8">
        <v>10500</v>
      </c>
      <c r="QX17" s="8">
        <v>10500</v>
      </c>
      <c r="QY17" s="8">
        <v>36597</v>
      </c>
      <c r="QZ17" s="8">
        <v>36597</v>
      </c>
      <c r="RA17" s="8">
        <v>3000</v>
      </c>
      <c r="RB17" s="8">
        <v>3000</v>
      </c>
      <c r="RC17" s="2"/>
      <c r="RD17" s="2"/>
      <c r="RE17" s="8">
        <v>30000</v>
      </c>
      <c r="RF17" s="8">
        <v>30000</v>
      </c>
      <c r="RG17" s="8">
        <v>25000</v>
      </c>
      <c r="RH17" s="8">
        <v>25000</v>
      </c>
      <c r="RI17" s="8">
        <v>248920</v>
      </c>
      <c r="RJ17" s="8">
        <v>248920</v>
      </c>
      <c r="RK17" s="8">
        <v>130000</v>
      </c>
      <c r="RL17" s="8">
        <v>10000</v>
      </c>
      <c r="RM17" s="8">
        <v>140000</v>
      </c>
      <c r="RN17" s="2"/>
      <c r="RO17" s="8">
        <v>86000</v>
      </c>
      <c r="RP17" s="8">
        <v>86000</v>
      </c>
      <c r="RQ17" s="8">
        <v>50000</v>
      </c>
      <c r="RR17" s="8">
        <v>100000</v>
      </c>
      <c r="RS17" s="8">
        <v>150000</v>
      </c>
      <c r="RT17" s="2"/>
      <c r="RU17" s="8">
        <v>6500</v>
      </c>
      <c r="RV17" s="8">
        <v>6500</v>
      </c>
      <c r="RW17" s="8">
        <v>28000</v>
      </c>
      <c r="RX17" s="8">
        <v>28000</v>
      </c>
      <c r="RY17" s="2"/>
      <c r="RZ17" s="2"/>
      <c r="SA17" s="2"/>
      <c r="SB17" s="8">
        <v>50000</v>
      </c>
      <c r="SC17" s="8">
        <v>50000</v>
      </c>
      <c r="SD17" s="8">
        <v>25000</v>
      </c>
      <c r="SE17" s="2"/>
      <c r="SF17" s="8">
        <v>25000</v>
      </c>
      <c r="SG17" s="2"/>
      <c r="SH17" s="8">
        <v>24802</v>
      </c>
      <c r="SI17" s="8">
        <v>57872</v>
      </c>
      <c r="SJ17" s="8">
        <v>82674</v>
      </c>
      <c r="SK17" s="8">
        <v>75000</v>
      </c>
      <c r="SL17" s="8">
        <v>75000</v>
      </c>
      <c r="SM17" s="8">
        <v>150000</v>
      </c>
      <c r="SN17" s="2"/>
      <c r="SO17" s="8">
        <v>150000</v>
      </c>
      <c r="SP17" s="8">
        <v>1350779</v>
      </c>
      <c r="SQ17" s="8">
        <v>387969</v>
      </c>
      <c r="SR17" s="8">
        <v>1738748</v>
      </c>
      <c r="SS17" s="8">
        <v>86937</v>
      </c>
      <c r="ST17" s="2"/>
      <c r="SU17" s="8">
        <v>86937</v>
      </c>
      <c r="SV17" s="6">
        <v>86937.4</v>
      </c>
      <c r="SW17" s="8">
        <v>80000</v>
      </c>
      <c r="SX17" s="8">
        <v>80000</v>
      </c>
      <c r="SY17" s="2"/>
      <c r="SZ17" s="8">
        <v>725917</v>
      </c>
      <c r="TA17" s="2"/>
      <c r="TB17" s="8">
        <v>725917</v>
      </c>
      <c r="TC17" s="2"/>
      <c r="TD17" s="8">
        <v>15000</v>
      </c>
      <c r="TE17" s="8">
        <v>15000</v>
      </c>
      <c r="TF17" s="8">
        <v>28730</v>
      </c>
      <c r="TG17" s="8">
        <v>28730</v>
      </c>
      <c r="TH17" s="8">
        <v>40000</v>
      </c>
      <c r="TI17" s="8">
        <v>25000</v>
      </c>
      <c r="TJ17" s="8">
        <v>25000</v>
      </c>
      <c r="TK17" s="2"/>
      <c r="TL17" s="2"/>
      <c r="TM17" s="8">
        <v>140125</v>
      </c>
      <c r="TN17" s="8">
        <v>140125</v>
      </c>
      <c r="TO17" s="8">
        <v>805917</v>
      </c>
      <c r="TP17" s="8">
        <v>248855</v>
      </c>
      <c r="TQ17" s="8">
        <v>1054772</v>
      </c>
      <c r="TR17" s="8">
        <v>10908963</v>
      </c>
      <c r="TS17" s="8">
        <v>711824</v>
      </c>
      <c r="TT17" s="8">
        <v>11620787</v>
      </c>
      <c r="TU17" s="8">
        <v>2091741</v>
      </c>
      <c r="TV17" s="8">
        <v>2091741</v>
      </c>
      <c r="TW17" s="6">
        <v>2091741</v>
      </c>
      <c r="TX17" s="8">
        <v>2091741</v>
      </c>
      <c r="TY17" s="8">
        <v>2091741</v>
      </c>
      <c r="TZ17" s="6">
        <v>2091741</v>
      </c>
      <c r="UA17" s="8">
        <v>1250000</v>
      </c>
      <c r="UB17" s="8">
        <v>1250000</v>
      </c>
      <c r="UC17" s="8">
        <v>13000704</v>
      </c>
      <c r="UD17" s="8">
        <v>1961824</v>
      </c>
      <c r="UE17" s="8">
        <v>14962528</v>
      </c>
      <c r="UF17" s="8">
        <v>8000000</v>
      </c>
      <c r="UG17" s="2" t="s">
        <v>4295</v>
      </c>
      <c r="UH17" s="2"/>
      <c r="UI17" s="2"/>
      <c r="UJ17" s="8">
        <v>5394400</v>
      </c>
      <c r="UK17" s="2"/>
      <c r="UL17" s="2" t="s">
        <v>96</v>
      </c>
      <c r="UM17" s="8">
        <v>887978</v>
      </c>
      <c r="UN17" s="8">
        <v>2091741</v>
      </c>
      <c r="UO17" s="8">
        <v>16374119</v>
      </c>
      <c r="UP17" s="8">
        <v>1411591</v>
      </c>
      <c r="UQ17" s="8">
        <v>2873005</v>
      </c>
      <c r="UR17" s="2" t="s">
        <v>4295</v>
      </c>
      <c r="US17" s="2"/>
      <c r="UT17" s="2"/>
      <c r="UU17" s="2"/>
      <c r="UV17" s="2"/>
      <c r="UW17" s="8">
        <v>5394400</v>
      </c>
      <c r="UX17" s="2"/>
      <c r="UY17" s="2" t="s">
        <v>96</v>
      </c>
      <c r="UZ17" s="8">
        <v>5919852</v>
      </c>
      <c r="VA17" s="8">
        <v>2091741</v>
      </c>
      <c r="VB17" s="8">
        <v>16278998</v>
      </c>
      <c r="VC17" s="6">
        <v>8267405</v>
      </c>
      <c r="VD17" s="8">
        <v>1316470</v>
      </c>
      <c r="VE17" s="5">
        <v>410000</v>
      </c>
      <c r="VF17" s="5">
        <v>417500</v>
      </c>
      <c r="VG17" s="6">
        <v>244866.57</v>
      </c>
      <c r="VH17" s="2" t="s">
        <v>9</v>
      </c>
      <c r="VI17" s="388" t="s">
        <v>646</v>
      </c>
      <c r="VJ17" s="2" t="s">
        <v>98</v>
      </c>
      <c r="VK17" s="2" t="s">
        <v>185</v>
      </c>
      <c r="VL17" s="23">
        <f t="shared" si="0"/>
        <v>56</v>
      </c>
      <c r="VM17" s="17">
        <f t="shared" si="1"/>
        <v>1</v>
      </c>
      <c r="VN17" s="17" t="str">
        <f t="shared" si="2"/>
        <v>NC-MR-E</v>
      </c>
      <c r="VO17" s="17" t="str">
        <f t="shared" si="15"/>
        <v>NC-MR-E-ESS</v>
      </c>
      <c r="VP17" s="57">
        <v>1</v>
      </c>
      <c r="VQ17" s="17">
        <f t="shared" si="3"/>
        <v>1.1100000000000001</v>
      </c>
      <c r="VR17" s="57">
        <f t="shared" si="4"/>
        <v>1</v>
      </c>
      <c r="VS17" s="14">
        <f t="shared" si="5"/>
        <v>1</v>
      </c>
      <c r="VT17" s="12">
        <f t="shared" si="6"/>
        <v>0.8448</v>
      </c>
      <c r="VU17" s="29">
        <f t="shared" si="7"/>
        <v>4763658.2400000012</v>
      </c>
      <c r="VV17" s="29">
        <f t="shared" si="8"/>
        <v>85065.33</v>
      </c>
      <c r="VW17" s="351" t="str">
        <f t="shared" si="21"/>
        <v>A</v>
      </c>
      <c r="VX17" s="12" t="str">
        <f t="shared" si="9"/>
        <v>NC-MR-ESS</v>
      </c>
      <c r="VY17" s="23">
        <f t="shared" si="22"/>
        <v>4</v>
      </c>
      <c r="WA17" s="12">
        <f t="shared" si="16"/>
        <v>1</v>
      </c>
      <c r="WB17" s="12">
        <f t="shared" si="17"/>
        <v>1</v>
      </c>
      <c r="WC17" s="12">
        <f t="shared" si="17"/>
        <v>0</v>
      </c>
      <c r="WD17" s="12">
        <f t="shared" si="17"/>
        <v>0</v>
      </c>
      <c r="WE17" s="12">
        <f t="shared" si="18"/>
        <v>1</v>
      </c>
      <c r="WF17" s="12">
        <f t="shared" si="10"/>
        <v>0</v>
      </c>
      <c r="WG17" s="12">
        <f t="shared" si="11"/>
        <v>1</v>
      </c>
      <c r="WH17" s="12">
        <f t="shared" si="12"/>
        <v>0</v>
      </c>
      <c r="WI17" s="31">
        <f t="shared" si="13"/>
        <v>4</v>
      </c>
      <c r="WJ17" s="2"/>
      <c r="WK17" s="444" t="str">
        <f t="shared" si="23"/>
        <v>NC-MR-ESS-BBY-BRN-NPH-E</v>
      </c>
      <c r="WL17" s="444"/>
      <c r="WM17" s="444"/>
    </row>
    <row r="18" spans="1:611" x14ac:dyDescent="0.25">
      <c r="A18" s="2">
        <v>9037</v>
      </c>
      <c r="B18" s="2" t="s">
        <v>5195</v>
      </c>
      <c r="C18" s="2" t="s">
        <v>5063</v>
      </c>
      <c r="D18" s="2">
        <v>10</v>
      </c>
      <c r="E18" s="2">
        <v>34.25</v>
      </c>
      <c r="F18" s="2"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 t="s">
        <v>9</v>
      </c>
      <c r="BV18" s="6">
        <v>79261.83</v>
      </c>
      <c r="BW18" s="2" t="s">
        <v>18</v>
      </c>
      <c r="BX18" s="3">
        <v>45036</v>
      </c>
      <c r="BY18" s="2" t="s">
        <v>9</v>
      </c>
      <c r="BZ18" s="2">
        <v>1</v>
      </c>
      <c r="CA18" s="2" t="s">
        <v>9</v>
      </c>
      <c r="CB18" s="2">
        <v>1</v>
      </c>
      <c r="CC18" s="2" t="s">
        <v>9</v>
      </c>
      <c r="CD18" s="2">
        <v>0</v>
      </c>
      <c r="CE18" s="2" t="s">
        <v>5197</v>
      </c>
      <c r="CF18" s="2">
        <v>1</v>
      </c>
      <c r="CG18" s="2" t="s">
        <v>10</v>
      </c>
      <c r="CH18" s="2">
        <v>0</v>
      </c>
      <c r="CI18" s="2" t="s">
        <v>10</v>
      </c>
      <c r="CJ18" s="2">
        <v>0</v>
      </c>
      <c r="CK18" s="2" t="s">
        <v>11</v>
      </c>
      <c r="CL18" s="2">
        <v>0</v>
      </c>
      <c r="CM18" s="2" t="s">
        <v>9</v>
      </c>
      <c r="CN18" s="2">
        <v>2</v>
      </c>
      <c r="CO18" s="2" t="s">
        <v>9</v>
      </c>
      <c r="CP18" s="2">
        <v>2</v>
      </c>
      <c r="CQ18" s="2" t="s">
        <v>9</v>
      </c>
      <c r="CR18" s="2">
        <v>2</v>
      </c>
      <c r="CS18" s="2" t="s">
        <v>12</v>
      </c>
      <c r="CT18" s="2" t="s">
        <v>15</v>
      </c>
      <c r="CU18" s="2" t="s">
        <v>15</v>
      </c>
      <c r="CV18" s="2" t="s">
        <v>15</v>
      </c>
      <c r="CW18" s="2" t="s">
        <v>5196</v>
      </c>
      <c r="CX18" s="2" t="s">
        <v>15</v>
      </c>
      <c r="CY18" s="2" t="s">
        <v>15</v>
      </c>
      <c r="CZ18" s="2">
        <v>0</v>
      </c>
      <c r="DA18" s="2" t="s">
        <v>234</v>
      </c>
      <c r="DB18" s="2" t="s">
        <v>17</v>
      </c>
      <c r="DC18" s="4">
        <v>0.25</v>
      </c>
      <c r="DD18" s="2" t="s">
        <v>17</v>
      </c>
      <c r="DE18" s="2" t="s">
        <v>9</v>
      </c>
      <c r="DF18" s="2" t="s">
        <v>17</v>
      </c>
      <c r="DG18" s="2" t="s">
        <v>17</v>
      </c>
      <c r="DH18" s="2" t="s">
        <v>17</v>
      </c>
      <c r="DI18" s="2" t="s">
        <v>9</v>
      </c>
      <c r="DJ18" s="2" t="s">
        <v>17</v>
      </c>
      <c r="DK18" s="2" t="s">
        <v>17</v>
      </c>
      <c r="DL18" s="2" t="s">
        <v>17</v>
      </c>
      <c r="DM18" s="2" t="s">
        <v>17</v>
      </c>
      <c r="DN18" s="2" t="s">
        <v>2663</v>
      </c>
      <c r="DO18" s="2">
        <v>5</v>
      </c>
      <c r="DP18" s="5">
        <v>50000</v>
      </c>
      <c r="DQ18" s="5">
        <v>460000</v>
      </c>
      <c r="DR18" s="2">
        <v>0</v>
      </c>
      <c r="DS18" s="2">
        <v>7</v>
      </c>
      <c r="DT18" s="2">
        <v>0</v>
      </c>
      <c r="DU18" s="2">
        <v>6</v>
      </c>
      <c r="DV18" s="2">
        <v>0</v>
      </c>
      <c r="DW18" s="2">
        <v>0</v>
      </c>
      <c r="DX18" s="2">
        <v>1</v>
      </c>
      <c r="DY18" s="2">
        <v>0</v>
      </c>
      <c r="DZ18" s="2">
        <v>1</v>
      </c>
      <c r="EA18" s="2">
        <v>0</v>
      </c>
      <c r="EB18" s="2">
        <v>0</v>
      </c>
      <c r="EC18" s="2">
        <v>0</v>
      </c>
      <c r="ED18" s="2">
        <v>13</v>
      </c>
      <c r="EE18" s="2">
        <v>1</v>
      </c>
      <c r="EF18" s="2">
        <v>0</v>
      </c>
      <c r="EG18" s="2">
        <v>3</v>
      </c>
      <c r="EH18" s="2">
        <v>0</v>
      </c>
      <c r="EI18" s="2">
        <v>13</v>
      </c>
      <c r="EJ18" s="2">
        <v>11</v>
      </c>
      <c r="EK18" s="2">
        <v>0</v>
      </c>
      <c r="EL18" s="2" t="s">
        <v>17</v>
      </c>
      <c r="EM18" s="2" t="s">
        <v>17</v>
      </c>
      <c r="EN18" s="2" t="s">
        <v>17</v>
      </c>
      <c r="EO18" s="2" t="s">
        <v>17</v>
      </c>
      <c r="EP18" s="2" t="s">
        <v>17</v>
      </c>
      <c r="EQ18" s="2" t="s">
        <v>17</v>
      </c>
      <c r="ER18" s="2" t="s">
        <v>17</v>
      </c>
      <c r="ES18" s="2" t="s">
        <v>17</v>
      </c>
      <c r="ET18" s="2" t="s">
        <v>5198</v>
      </c>
      <c r="EU18" s="2" t="s">
        <v>5120</v>
      </c>
      <c r="EV18" s="2"/>
      <c r="EW18" s="2" t="s">
        <v>9</v>
      </c>
      <c r="EX18" s="2" t="s">
        <v>1523</v>
      </c>
      <c r="EY18" s="2" t="s">
        <v>5198</v>
      </c>
      <c r="EZ18" s="2" t="s">
        <v>1276</v>
      </c>
      <c r="FA18" s="2" t="s">
        <v>1277</v>
      </c>
      <c r="FB18" s="2">
        <v>144</v>
      </c>
      <c r="FC18" s="2" t="s">
        <v>3718</v>
      </c>
      <c r="FD18" s="2">
        <v>2020</v>
      </c>
      <c r="FE18" s="2" t="s">
        <v>26</v>
      </c>
      <c r="FF18" s="2" t="s">
        <v>4210</v>
      </c>
      <c r="FG18" s="2" t="s">
        <v>1797</v>
      </c>
      <c r="FH18" s="2"/>
      <c r="FI18" s="2" t="s">
        <v>1454</v>
      </c>
      <c r="FJ18" s="2" t="s">
        <v>1455</v>
      </c>
      <c r="FK18" s="2">
        <v>1</v>
      </c>
      <c r="FL18" s="2" t="s">
        <v>1528</v>
      </c>
      <c r="FM18" s="2" t="s">
        <v>1529</v>
      </c>
      <c r="FN18" s="2" t="s">
        <v>5199</v>
      </c>
      <c r="FO18" s="2" t="s">
        <v>63</v>
      </c>
      <c r="FP18" s="2" t="s">
        <v>9</v>
      </c>
      <c r="FQ18" s="2" t="s">
        <v>17</v>
      </c>
      <c r="FR18" s="2" t="s">
        <v>17</v>
      </c>
      <c r="FS18" s="2" t="s">
        <v>9</v>
      </c>
      <c r="FT18" s="2">
        <v>0</v>
      </c>
      <c r="FU18" s="2">
        <v>0</v>
      </c>
      <c r="FV18" s="4">
        <v>0</v>
      </c>
      <c r="FW18" s="4">
        <v>0</v>
      </c>
      <c r="FX18" s="2" t="s">
        <v>65</v>
      </c>
      <c r="FY18" s="2" t="s">
        <v>66</v>
      </c>
      <c r="FZ18" s="2" t="s">
        <v>9</v>
      </c>
      <c r="GA18" s="2">
        <v>64</v>
      </c>
      <c r="GB18" s="2" t="s">
        <v>9</v>
      </c>
      <c r="GC18" s="2" t="s">
        <v>85</v>
      </c>
      <c r="GD18" s="2" t="s">
        <v>67</v>
      </c>
      <c r="GE18" s="2" t="s">
        <v>68</v>
      </c>
      <c r="GF18" s="2">
        <v>108</v>
      </c>
      <c r="GG18" s="2">
        <v>108</v>
      </c>
      <c r="GH18" s="2"/>
      <c r="GI18" s="2"/>
      <c r="GJ18" s="2"/>
      <c r="GK18" s="2"/>
      <c r="GL18" s="2"/>
      <c r="GM18" s="2"/>
      <c r="GN18" s="2"/>
      <c r="GO18" s="2"/>
      <c r="GP18" s="2"/>
      <c r="GQ18" s="2">
        <v>108</v>
      </c>
      <c r="GR18" s="2" t="s">
        <v>668</v>
      </c>
      <c r="GS18" s="2" t="s">
        <v>70</v>
      </c>
      <c r="GT18" s="2">
        <v>1</v>
      </c>
      <c r="GU18" s="2" t="s">
        <v>5200</v>
      </c>
      <c r="GV18" s="2" t="s">
        <v>668</v>
      </c>
      <c r="GW18" s="2" t="s">
        <v>17</v>
      </c>
      <c r="GX18" s="2">
        <v>27.354842000000001</v>
      </c>
      <c r="GY18" s="2">
        <v>-82.537138999999996</v>
      </c>
      <c r="GZ18" s="2"/>
      <c r="HA18" s="2" t="s">
        <v>17</v>
      </c>
      <c r="HB18" s="2">
        <v>0</v>
      </c>
      <c r="HC18" s="2" t="s">
        <v>17</v>
      </c>
      <c r="HD18" s="2"/>
      <c r="HE18" s="2">
        <v>0</v>
      </c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>
        <v>27.337719</v>
      </c>
      <c r="HQ18" s="2">
        <v>-82.540417000000005</v>
      </c>
      <c r="HR18" s="2">
        <v>1.2</v>
      </c>
      <c r="HS18" s="2">
        <v>4</v>
      </c>
      <c r="HT18" s="2"/>
      <c r="HU18" s="2"/>
      <c r="HV18" s="2"/>
      <c r="HW18" s="2"/>
      <c r="HX18" s="2" t="s">
        <v>73</v>
      </c>
      <c r="HY18" s="2" t="s">
        <v>5124</v>
      </c>
      <c r="HZ18" s="2" t="s">
        <v>5125</v>
      </c>
      <c r="IA18" s="2">
        <v>0.81</v>
      </c>
      <c r="IB18" s="2">
        <v>2.5</v>
      </c>
      <c r="IC18" s="2"/>
      <c r="ID18" s="2"/>
      <c r="IE18" s="2"/>
      <c r="IF18" s="2"/>
      <c r="IG18" s="2" t="s">
        <v>5124</v>
      </c>
      <c r="IH18" s="2" t="s">
        <v>5125</v>
      </c>
      <c r="II18" s="2">
        <v>0.81</v>
      </c>
      <c r="IJ18" s="2">
        <v>2.5</v>
      </c>
      <c r="IK18" s="2" t="s">
        <v>5126</v>
      </c>
      <c r="IL18" s="2" t="s">
        <v>5201</v>
      </c>
      <c r="IM18" s="2">
        <v>0.94</v>
      </c>
      <c r="IN18" s="2">
        <v>3</v>
      </c>
      <c r="IO18" s="2">
        <v>4</v>
      </c>
      <c r="IP18" s="2">
        <v>8</v>
      </c>
      <c r="IQ18" s="2">
        <v>0</v>
      </c>
      <c r="IR18" s="2">
        <v>12</v>
      </c>
      <c r="IS18" s="2" t="s">
        <v>17</v>
      </c>
      <c r="IT18" s="2" t="s">
        <v>17</v>
      </c>
      <c r="IU18" s="2" t="s">
        <v>17</v>
      </c>
      <c r="IV18" s="2" t="s">
        <v>80</v>
      </c>
      <c r="IW18" s="2" t="s">
        <v>9</v>
      </c>
      <c r="IX18" s="2" t="s">
        <v>9</v>
      </c>
      <c r="IY18" s="2">
        <v>12</v>
      </c>
      <c r="IZ18" s="2">
        <v>108</v>
      </c>
      <c r="JA18" s="2"/>
      <c r="JB18" s="2"/>
      <c r="JC18" s="2"/>
      <c r="JD18" s="2"/>
      <c r="JE18" s="2"/>
      <c r="JF18" s="2"/>
      <c r="JG18" s="2"/>
      <c r="JH18" s="7">
        <v>0</v>
      </c>
      <c r="JI18" s="2">
        <v>0</v>
      </c>
      <c r="JJ18" s="7">
        <v>0</v>
      </c>
      <c r="JK18" s="2">
        <v>0</v>
      </c>
      <c r="JL18" s="7">
        <v>0</v>
      </c>
      <c r="JM18" s="2">
        <v>27</v>
      </c>
      <c r="JN18" s="2"/>
      <c r="JO18" s="2">
        <v>17</v>
      </c>
      <c r="JP18" s="2">
        <v>47</v>
      </c>
      <c r="JQ18" s="2">
        <v>17</v>
      </c>
      <c r="JR18" s="2">
        <v>0</v>
      </c>
      <c r="JS18" s="2">
        <v>0</v>
      </c>
      <c r="JT18" s="2"/>
      <c r="JU18" s="2"/>
      <c r="JV18" s="2">
        <v>108</v>
      </c>
      <c r="JW18" s="4">
        <v>1</v>
      </c>
      <c r="JX18" s="2">
        <v>108</v>
      </c>
      <c r="JY18" s="4">
        <v>0.6</v>
      </c>
      <c r="JZ18" s="2">
        <v>0</v>
      </c>
      <c r="KA18" s="2"/>
      <c r="KB18" s="2"/>
      <c r="KC18" s="2"/>
      <c r="KD18" s="2"/>
      <c r="KE18" s="2"/>
      <c r="KF18" s="2"/>
      <c r="KG18" s="2"/>
      <c r="KH18" s="2">
        <v>28</v>
      </c>
      <c r="KI18" s="2"/>
      <c r="KJ18" s="2"/>
      <c r="KK18" s="2">
        <v>56</v>
      </c>
      <c r="KL18" s="2">
        <v>24</v>
      </c>
      <c r="KM18" s="2"/>
      <c r="KN18" s="2"/>
      <c r="KO18" s="2"/>
      <c r="KP18" s="2"/>
      <c r="KQ18" s="2" t="s">
        <v>83</v>
      </c>
      <c r="KR18" s="2" t="s">
        <v>73</v>
      </c>
      <c r="KS18" s="2"/>
      <c r="KT18" s="2">
        <v>4</v>
      </c>
      <c r="KU18" s="2" t="s">
        <v>84</v>
      </c>
      <c r="KV18" s="2" t="s">
        <v>85</v>
      </c>
      <c r="KW18" s="2" t="s">
        <v>86</v>
      </c>
      <c r="KX18" s="2" t="s">
        <v>17</v>
      </c>
      <c r="KY18" s="2" t="s">
        <v>17</v>
      </c>
      <c r="KZ18" s="2" t="s">
        <v>17</v>
      </c>
      <c r="LA18" s="2" t="s">
        <v>17</v>
      </c>
      <c r="LB18" s="2" t="s">
        <v>17</v>
      </c>
      <c r="LC18" s="2" t="s">
        <v>17</v>
      </c>
      <c r="LD18" s="2" t="s">
        <v>17</v>
      </c>
      <c r="LE18" s="2" t="s">
        <v>17</v>
      </c>
      <c r="LF18" s="2" t="s">
        <v>17</v>
      </c>
      <c r="LG18" s="2" t="s">
        <v>17</v>
      </c>
      <c r="LH18" s="2" t="s">
        <v>17</v>
      </c>
      <c r="LI18" s="2" t="s">
        <v>17</v>
      </c>
      <c r="LJ18" s="2" t="s">
        <v>87</v>
      </c>
      <c r="LK18" s="2" t="s">
        <v>17</v>
      </c>
      <c r="LL18" s="2" t="s">
        <v>17</v>
      </c>
      <c r="LM18" s="2">
        <v>0</v>
      </c>
      <c r="LN18" s="2" t="s">
        <v>17</v>
      </c>
      <c r="LO18" s="2" t="s">
        <v>9</v>
      </c>
      <c r="LP18" s="2" t="s">
        <v>9</v>
      </c>
      <c r="LQ18" s="2" t="s">
        <v>17</v>
      </c>
      <c r="LR18" s="2" t="s">
        <v>9</v>
      </c>
      <c r="LS18" s="2" t="s">
        <v>17</v>
      </c>
      <c r="LT18" s="2" t="s">
        <v>17</v>
      </c>
      <c r="LU18" s="2" t="s">
        <v>17</v>
      </c>
      <c r="LV18" s="2" t="s">
        <v>17</v>
      </c>
      <c r="LW18" s="2" t="s">
        <v>17</v>
      </c>
      <c r="LX18" s="2" t="s">
        <v>17</v>
      </c>
      <c r="LY18" s="5">
        <v>10000000</v>
      </c>
      <c r="LZ18" s="5">
        <v>0</v>
      </c>
      <c r="MA18" s="5">
        <v>10000000</v>
      </c>
      <c r="MB18" s="5">
        <v>10000000</v>
      </c>
      <c r="MC18" s="5">
        <v>10000000</v>
      </c>
      <c r="MD18" s="5">
        <v>1059100</v>
      </c>
      <c r="ME18" s="5">
        <v>1059100</v>
      </c>
      <c r="MF18" s="5">
        <v>1059100</v>
      </c>
      <c r="MG18" s="5">
        <v>11059100</v>
      </c>
      <c r="MH18" s="2">
        <v>0</v>
      </c>
      <c r="MI18" s="5">
        <v>0</v>
      </c>
      <c r="MJ18" s="5">
        <v>0</v>
      </c>
      <c r="MK18" s="2">
        <v>0</v>
      </c>
      <c r="ML18" s="2">
        <v>0</v>
      </c>
      <c r="MM18" s="2">
        <v>0</v>
      </c>
      <c r="MN18" s="5">
        <v>2950000</v>
      </c>
      <c r="MO18" s="5">
        <v>0</v>
      </c>
      <c r="MP18" s="5">
        <v>4600000</v>
      </c>
      <c r="MQ18" s="5">
        <v>0</v>
      </c>
      <c r="MR18" s="5">
        <v>0</v>
      </c>
      <c r="MS18" s="5">
        <v>0</v>
      </c>
      <c r="MT18" s="5">
        <v>0</v>
      </c>
      <c r="MU18" s="5">
        <v>2500000</v>
      </c>
      <c r="MV18" s="5">
        <v>0</v>
      </c>
      <c r="MW18" s="5">
        <v>0</v>
      </c>
      <c r="MX18" s="5">
        <v>0</v>
      </c>
      <c r="MY18" s="5">
        <v>2040000</v>
      </c>
      <c r="MZ18" s="5">
        <v>0</v>
      </c>
      <c r="NA18" s="5">
        <v>1961634</v>
      </c>
      <c r="NB18" s="2" t="s">
        <v>9</v>
      </c>
      <c r="NC18" s="2"/>
      <c r="ND18" s="2"/>
      <c r="NE18" s="2"/>
      <c r="NF18" s="2"/>
      <c r="NG18" s="2"/>
      <c r="NH18" s="2"/>
      <c r="NI18" s="61">
        <v>0</v>
      </c>
      <c r="NJ18" s="61"/>
      <c r="NK18" s="61"/>
      <c r="NL18" s="61"/>
      <c r="NM18" s="2" t="s">
        <v>17</v>
      </c>
      <c r="NN18" s="2"/>
      <c r="NO18" s="2" t="s">
        <v>17</v>
      </c>
      <c r="NP18" s="2"/>
      <c r="NQ18" s="2"/>
      <c r="NR18" s="2" t="s">
        <v>17</v>
      </c>
      <c r="NS18" s="2"/>
      <c r="NT18" s="2" t="s">
        <v>9</v>
      </c>
      <c r="NU18" s="2" t="s">
        <v>450</v>
      </c>
      <c r="NV18" s="2">
        <v>3</v>
      </c>
      <c r="NW18" s="2" t="s">
        <v>5202</v>
      </c>
      <c r="NX18" s="2" t="s">
        <v>118</v>
      </c>
      <c r="NY18" s="2" t="s">
        <v>118</v>
      </c>
      <c r="NZ18" s="2" t="s">
        <v>118</v>
      </c>
      <c r="OA18" s="2" t="s">
        <v>17</v>
      </c>
      <c r="OB18" s="2" t="s">
        <v>119</v>
      </c>
      <c r="OC18" s="2"/>
      <c r="OD18" s="2" t="s">
        <v>17</v>
      </c>
      <c r="OE18" s="2" t="s">
        <v>17</v>
      </c>
      <c r="OF18" s="2" t="s">
        <v>85</v>
      </c>
      <c r="OG18" s="6">
        <v>10154000</v>
      </c>
      <c r="OH18" s="6">
        <v>0</v>
      </c>
      <c r="OI18" s="2" t="s">
        <v>93</v>
      </c>
      <c r="OJ18" s="2" t="s">
        <v>93</v>
      </c>
      <c r="OK18" s="6">
        <v>0</v>
      </c>
      <c r="OL18" s="6">
        <v>0</v>
      </c>
      <c r="OM18" s="6">
        <v>0</v>
      </c>
      <c r="ON18" s="6">
        <v>0</v>
      </c>
      <c r="OO18" s="6">
        <v>0</v>
      </c>
      <c r="OP18" s="6">
        <v>0</v>
      </c>
      <c r="OQ18" s="4">
        <v>0</v>
      </c>
      <c r="OR18" s="6">
        <v>0</v>
      </c>
      <c r="OS18" s="4">
        <v>0</v>
      </c>
      <c r="OT18" s="2" t="s">
        <v>17</v>
      </c>
      <c r="OU18" s="2" t="s">
        <v>9</v>
      </c>
      <c r="OV18" s="2" t="s">
        <v>5128</v>
      </c>
      <c r="OW18" s="2" t="s">
        <v>9</v>
      </c>
      <c r="OX18" s="5">
        <v>8560278</v>
      </c>
      <c r="OY18" s="6">
        <v>79261.83</v>
      </c>
      <c r="OZ18" s="2"/>
      <c r="PA18" s="2"/>
      <c r="PB18" s="2"/>
      <c r="PC18" s="2"/>
      <c r="PD18" s="2"/>
      <c r="PE18" s="2"/>
      <c r="PF18" s="8">
        <v>22736843</v>
      </c>
      <c r="PG18" s="2"/>
      <c r="PH18" s="8">
        <v>22736843</v>
      </c>
      <c r="PI18" s="2"/>
      <c r="PJ18" s="2"/>
      <c r="PK18" s="2"/>
      <c r="PL18" s="2"/>
      <c r="PM18" s="2"/>
      <c r="PN18" s="2"/>
      <c r="PO18" s="2"/>
      <c r="PP18" s="2"/>
      <c r="PQ18" s="2"/>
      <c r="PR18" s="8">
        <v>22736843</v>
      </c>
      <c r="PS18" s="2"/>
      <c r="PT18" s="8">
        <v>22736843</v>
      </c>
      <c r="PU18" s="8">
        <v>3183157</v>
      </c>
      <c r="PV18" s="8">
        <v>3183157</v>
      </c>
      <c r="PW18" s="6">
        <v>3183158</v>
      </c>
      <c r="PX18" s="8">
        <v>25920000</v>
      </c>
      <c r="PY18" s="2"/>
      <c r="PZ18" s="8">
        <v>25920000</v>
      </c>
      <c r="QA18" s="8">
        <v>1296000</v>
      </c>
      <c r="QB18" s="8">
        <v>1296000</v>
      </c>
      <c r="QC18" s="6">
        <v>1296000</v>
      </c>
      <c r="QD18" s="8">
        <v>40000</v>
      </c>
      <c r="QE18" s="2"/>
      <c r="QF18" s="8">
        <v>40000</v>
      </c>
      <c r="QG18" s="8">
        <v>15000</v>
      </c>
      <c r="QH18" s="8">
        <v>15000</v>
      </c>
      <c r="QI18" s="8">
        <v>600000</v>
      </c>
      <c r="QJ18" s="8">
        <v>600000</v>
      </c>
      <c r="QK18" s="8">
        <v>50000</v>
      </c>
      <c r="QL18" s="8">
        <v>50000</v>
      </c>
      <c r="QM18" s="8">
        <v>324000</v>
      </c>
      <c r="QN18" s="2"/>
      <c r="QO18" s="8">
        <v>324000</v>
      </c>
      <c r="QP18" s="8">
        <v>257143</v>
      </c>
      <c r="QQ18" s="8">
        <v>257143</v>
      </c>
      <c r="QR18" s="2"/>
      <c r="QS18" s="2"/>
      <c r="QT18" s="8">
        <v>100000</v>
      </c>
      <c r="QU18" s="2"/>
      <c r="QV18" s="8">
        <v>100000</v>
      </c>
      <c r="QW18" s="8">
        <v>15000</v>
      </c>
      <c r="QX18" s="8">
        <v>15000</v>
      </c>
      <c r="QY18" s="8">
        <v>176547</v>
      </c>
      <c r="QZ18" s="8">
        <v>176547</v>
      </c>
      <c r="RA18" s="8">
        <v>3000</v>
      </c>
      <c r="RB18" s="8">
        <v>3000</v>
      </c>
      <c r="RC18" s="8">
        <v>216543</v>
      </c>
      <c r="RD18" s="8">
        <v>216543</v>
      </c>
      <c r="RE18" s="8">
        <v>27000</v>
      </c>
      <c r="RF18" s="8">
        <v>27000</v>
      </c>
      <c r="RG18" s="8">
        <v>20000</v>
      </c>
      <c r="RH18" s="8">
        <v>20000</v>
      </c>
      <c r="RI18" s="8">
        <v>400000</v>
      </c>
      <c r="RJ18" s="8">
        <v>400000</v>
      </c>
      <c r="RK18" s="8">
        <v>145000</v>
      </c>
      <c r="RL18" s="2"/>
      <c r="RM18" s="8">
        <v>145000</v>
      </c>
      <c r="RN18" s="2"/>
      <c r="RO18" s="8">
        <v>129600</v>
      </c>
      <c r="RP18" s="8">
        <v>129600</v>
      </c>
      <c r="RQ18" s="8">
        <v>280000</v>
      </c>
      <c r="RR18" s="8">
        <v>372000</v>
      </c>
      <c r="RS18" s="8">
        <v>652000</v>
      </c>
      <c r="RT18" s="8">
        <v>10000</v>
      </c>
      <c r="RU18" s="2"/>
      <c r="RV18" s="8">
        <v>10000</v>
      </c>
      <c r="RW18" s="8">
        <v>100000</v>
      </c>
      <c r="RX18" s="8">
        <v>100000</v>
      </c>
      <c r="RY18" s="2"/>
      <c r="RZ18" s="8">
        <v>135000</v>
      </c>
      <c r="SA18" s="8">
        <v>135000</v>
      </c>
      <c r="SB18" s="8">
        <v>10000</v>
      </c>
      <c r="SC18" s="8">
        <v>10000</v>
      </c>
      <c r="SD18" s="8">
        <v>45000</v>
      </c>
      <c r="SE18" s="2"/>
      <c r="SF18" s="8">
        <v>45000</v>
      </c>
      <c r="SG18" s="8">
        <v>64000</v>
      </c>
      <c r="SH18" s="8">
        <v>180000</v>
      </c>
      <c r="SI18" s="2"/>
      <c r="SJ18" s="8">
        <v>180000</v>
      </c>
      <c r="SK18" s="8">
        <v>100000</v>
      </c>
      <c r="SL18" s="8">
        <v>100000</v>
      </c>
      <c r="SM18" s="8">
        <v>307500</v>
      </c>
      <c r="SN18" s="2"/>
      <c r="SO18" s="8">
        <v>307500</v>
      </c>
      <c r="SP18" s="8">
        <v>2898643</v>
      </c>
      <c r="SQ18" s="8">
        <v>1223690</v>
      </c>
      <c r="SR18" s="8">
        <v>4122333</v>
      </c>
      <c r="SS18" s="8">
        <v>139882</v>
      </c>
      <c r="ST18" s="2"/>
      <c r="SU18" s="8">
        <v>139882</v>
      </c>
      <c r="SV18" s="6">
        <v>206116.65</v>
      </c>
      <c r="SW18" s="8">
        <v>240000</v>
      </c>
      <c r="SX18" s="8">
        <v>240000</v>
      </c>
      <c r="SY18" s="2"/>
      <c r="SZ18" s="8">
        <v>1188375</v>
      </c>
      <c r="TA18" s="8">
        <v>463517</v>
      </c>
      <c r="TB18" s="8">
        <v>1651892</v>
      </c>
      <c r="TC18" s="2"/>
      <c r="TD18" s="2"/>
      <c r="TE18" s="2"/>
      <c r="TF18" s="8">
        <v>89540</v>
      </c>
      <c r="TG18" s="8">
        <v>89540</v>
      </c>
      <c r="TH18" s="2"/>
      <c r="TI18" s="8">
        <v>15000</v>
      </c>
      <c r="TJ18" s="8">
        <v>15000</v>
      </c>
      <c r="TK18" s="2"/>
      <c r="TL18" s="2"/>
      <c r="TM18" s="8">
        <v>350091</v>
      </c>
      <c r="TN18" s="8">
        <v>350091</v>
      </c>
      <c r="TO18" s="8">
        <v>1428375</v>
      </c>
      <c r="TP18" s="8">
        <v>918148</v>
      </c>
      <c r="TQ18" s="8">
        <v>2346523</v>
      </c>
      <c r="TR18" s="8">
        <v>31682900</v>
      </c>
      <c r="TS18" s="8">
        <v>2141838</v>
      </c>
      <c r="TT18" s="8">
        <v>33824738</v>
      </c>
      <c r="TU18" s="8">
        <v>6040825</v>
      </c>
      <c r="TV18" s="8">
        <v>6040825</v>
      </c>
      <c r="TW18" s="6">
        <v>6088452</v>
      </c>
      <c r="TX18" s="8">
        <v>6040825</v>
      </c>
      <c r="TY18" s="8">
        <v>6040825</v>
      </c>
      <c r="TZ18" s="6">
        <v>6088452</v>
      </c>
      <c r="UA18" s="8">
        <v>1200000</v>
      </c>
      <c r="UB18" s="8">
        <v>1200000</v>
      </c>
      <c r="UC18" s="8">
        <v>37723725</v>
      </c>
      <c r="UD18" s="8">
        <v>3341838</v>
      </c>
      <c r="UE18" s="8">
        <v>41065563</v>
      </c>
      <c r="UF18" s="8">
        <v>24000000</v>
      </c>
      <c r="UG18" s="2" t="s">
        <v>4220</v>
      </c>
      <c r="UH18" s="8">
        <v>1200000</v>
      </c>
      <c r="UI18" s="2" t="s">
        <v>1316</v>
      </c>
      <c r="UJ18" s="8">
        <v>11059100</v>
      </c>
      <c r="UK18" s="2"/>
      <c r="UL18" s="2" t="s">
        <v>96</v>
      </c>
      <c r="UM18" s="8">
        <v>2736206</v>
      </c>
      <c r="UN18" s="8">
        <v>6040825</v>
      </c>
      <c r="UO18" s="8">
        <v>45036131</v>
      </c>
      <c r="UP18" s="8">
        <v>3970568</v>
      </c>
      <c r="UQ18" s="8">
        <v>8954000</v>
      </c>
      <c r="UR18" s="2" t="s">
        <v>95</v>
      </c>
      <c r="US18" s="8">
        <v>1200000</v>
      </c>
      <c r="UT18" s="2" t="s">
        <v>1316</v>
      </c>
      <c r="UU18" s="2"/>
      <c r="UV18" s="2"/>
      <c r="UW18" s="8">
        <v>11059100</v>
      </c>
      <c r="UX18" s="2"/>
      <c r="UY18" s="2" t="s">
        <v>96</v>
      </c>
      <c r="UZ18" s="8">
        <v>18241369</v>
      </c>
      <c r="VA18" s="8">
        <v>6040825</v>
      </c>
      <c r="VB18" s="8">
        <v>45495294</v>
      </c>
      <c r="VC18" s="6">
        <v>21213100</v>
      </c>
      <c r="VD18" s="8">
        <v>4429731</v>
      </c>
      <c r="VE18" s="5">
        <v>370000</v>
      </c>
      <c r="VF18" s="5">
        <v>385000</v>
      </c>
      <c r="VG18" s="6">
        <v>368532.99</v>
      </c>
      <c r="VH18" s="2" t="s">
        <v>9</v>
      </c>
      <c r="VI18" s="387" t="s">
        <v>1275</v>
      </c>
      <c r="VJ18" s="2" t="s">
        <v>98</v>
      </c>
      <c r="VK18" s="2" t="s">
        <v>5129</v>
      </c>
      <c r="VL18" s="23">
        <f t="shared" si="0"/>
        <v>212</v>
      </c>
      <c r="VM18" s="17">
        <f t="shared" si="1"/>
        <v>1.962962962962963</v>
      </c>
      <c r="VN18" s="17" t="str">
        <f t="shared" si="2"/>
        <v>NC-GA-F</v>
      </c>
      <c r="VO18" s="17" t="str">
        <f t="shared" si="15"/>
        <v>NC-GA-F-ESS</v>
      </c>
      <c r="VP18" s="57">
        <v>1</v>
      </c>
      <c r="VQ18" s="17">
        <f t="shared" si="3"/>
        <v>1.1100000000000001</v>
      </c>
      <c r="VR18" s="57">
        <f t="shared" si="4"/>
        <v>1</v>
      </c>
      <c r="VS18" s="14">
        <f t="shared" si="5"/>
        <v>0.87</v>
      </c>
      <c r="VT18" s="12">
        <f t="shared" si="6"/>
        <v>0.85439999999999994</v>
      </c>
      <c r="VU18" s="29">
        <f t="shared" si="7"/>
        <v>8250940.8000000007</v>
      </c>
      <c r="VV18" s="29">
        <f t="shared" si="8"/>
        <v>76397.600000000006</v>
      </c>
      <c r="VW18" s="351" t="str">
        <f t="shared" si="21"/>
        <v>A</v>
      </c>
      <c r="VX18" s="12" t="str">
        <f t="shared" si="9"/>
        <v>NC-GA-ESS</v>
      </c>
      <c r="VY18" s="23">
        <f t="shared" si="22"/>
        <v>3</v>
      </c>
      <c r="WA18" s="12">
        <f t="shared" si="16"/>
        <v>0</v>
      </c>
      <c r="WB18" s="12">
        <f t="shared" si="17"/>
        <v>1</v>
      </c>
      <c r="WC18" s="12">
        <f t="shared" si="17"/>
        <v>0</v>
      </c>
      <c r="WD18" s="12">
        <f t="shared" si="17"/>
        <v>1</v>
      </c>
      <c r="WE18" s="12">
        <f t="shared" si="18"/>
        <v>1</v>
      </c>
      <c r="WF18" s="12">
        <f t="shared" si="10"/>
        <v>1</v>
      </c>
      <c r="WG18" s="12">
        <f t="shared" si="11"/>
        <v>0</v>
      </c>
      <c r="WH18" s="12">
        <f t="shared" si="12"/>
        <v>0</v>
      </c>
      <c r="WI18" s="31">
        <f t="shared" si="13"/>
        <v>4</v>
      </c>
      <c r="WJ18" s="2"/>
      <c r="WK18" s="444" t="str">
        <f t="shared" si="23"/>
        <v>NC-GA-ESS-BBY-BRN-PHA-F</v>
      </c>
      <c r="WL18" s="444"/>
      <c r="WM18" s="444"/>
    </row>
    <row r="19" spans="1:611" x14ac:dyDescent="0.25">
      <c r="A19" s="2">
        <v>9065</v>
      </c>
      <c r="B19" s="2" t="s">
        <v>5203</v>
      </c>
      <c r="C19" s="2" t="s">
        <v>5063</v>
      </c>
      <c r="D19" s="2">
        <v>10</v>
      </c>
      <c r="E19" s="2">
        <v>31.71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 t="s">
        <v>9</v>
      </c>
      <c r="BV19" s="6">
        <v>80040</v>
      </c>
      <c r="BW19" s="2" t="s">
        <v>126</v>
      </c>
      <c r="BX19" s="3">
        <v>45036</v>
      </c>
      <c r="BY19" s="2" t="s">
        <v>9</v>
      </c>
      <c r="BZ19" s="2">
        <v>1</v>
      </c>
      <c r="CA19" s="2" t="s">
        <v>9</v>
      </c>
      <c r="CB19" s="2">
        <v>1</v>
      </c>
      <c r="CC19" s="2" t="s">
        <v>9</v>
      </c>
      <c r="CD19" s="2">
        <v>0</v>
      </c>
      <c r="CE19" s="2" t="s">
        <v>1898</v>
      </c>
      <c r="CF19" s="2">
        <v>1</v>
      </c>
      <c r="CG19" s="2" t="s">
        <v>10</v>
      </c>
      <c r="CH19" s="2">
        <v>0</v>
      </c>
      <c r="CI19" s="2" t="s">
        <v>10</v>
      </c>
      <c r="CJ19" s="2">
        <v>0</v>
      </c>
      <c r="CK19" s="2" t="s">
        <v>11</v>
      </c>
      <c r="CL19" s="2">
        <v>0</v>
      </c>
      <c r="CM19" s="2" t="s">
        <v>9</v>
      </c>
      <c r="CN19" s="2">
        <v>2</v>
      </c>
      <c r="CO19" s="2" t="s">
        <v>9</v>
      </c>
      <c r="CP19" s="2">
        <v>2</v>
      </c>
      <c r="CQ19" s="2" t="s">
        <v>9</v>
      </c>
      <c r="CR19" s="2">
        <v>2</v>
      </c>
      <c r="CS19" s="2" t="s">
        <v>12</v>
      </c>
      <c r="CT19" s="2" t="s">
        <v>15</v>
      </c>
      <c r="CU19" s="2" t="s">
        <v>15</v>
      </c>
      <c r="CV19" s="2" t="s">
        <v>15</v>
      </c>
      <c r="CW19" s="2" t="s">
        <v>15</v>
      </c>
      <c r="CX19" s="2" t="s">
        <v>15</v>
      </c>
      <c r="CY19" s="2" t="s">
        <v>15</v>
      </c>
      <c r="CZ19" s="2">
        <v>0</v>
      </c>
      <c r="DA19" s="2" t="s">
        <v>234</v>
      </c>
      <c r="DB19" s="2" t="s">
        <v>17</v>
      </c>
      <c r="DC19" s="4">
        <v>0.1</v>
      </c>
      <c r="DD19" s="2" t="s">
        <v>17</v>
      </c>
      <c r="DE19" s="2" t="s">
        <v>9</v>
      </c>
      <c r="DF19" s="2" t="s">
        <v>17</v>
      </c>
      <c r="DG19" s="2" t="s">
        <v>17</v>
      </c>
      <c r="DH19" s="2" t="s">
        <v>17</v>
      </c>
      <c r="DI19" s="2" t="s">
        <v>17</v>
      </c>
      <c r="DJ19" s="2" t="s">
        <v>17</v>
      </c>
      <c r="DK19" s="2" t="s">
        <v>17</v>
      </c>
      <c r="DL19" s="2" t="s">
        <v>17</v>
      </c>
      <c r="DM19" s="2" t="s">
        <v>17</v>
      </c>
      <c r="DN19" s="2" t="s">
        <v>2663</v>
      </c>
      <c r="DO19" s="2">
        <v>5</v>
      </c>
      <c r="DP19" s="5">
        <v>50000</v>
      </c>
      <c r="DQ19" s="5">
        <v>460000</v>
      </c>
      <c r="DR19" s="2">
        <v>0</v>
      </c>
      <c r="DS19" s="2">
        <v>6</v>
      </c>
      <c r="DT19" s="2">
        <v>0</v>
      </c>
      <c r="DU19" s="2">
        <v>6</v>
      </c>
      <c r="DV19" s="2">
        <v>0</v>
      </c>
      <c r="DW19" s="2">
        <v>0</v>
      </c>
      <c r="DX19" s="2">
        <v>1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13</v>
      </c>
      <c r="EE19" s="2">
        <v>1</v>
      </c>
      <c r="EF19" s="2">
        <v>0</v>
      </c>
      <c r="EG19" s="2">
        <v>2</v>
      </c>
      <c r="EH19" s="2">
        <v>0</v>
      </c>
      <c r="EI19" s="2">
        <v>15</v>
      </c>
      <c r="EJ19" s="2">
        <v>11</v>
      </c>
      <c r="EK19" s="2">
        <v>0</v>
      </c>
      <c r="EL19" s="2" t="s">
        <v>17</v>
      </c>
      <c r="EM19" s="2" t="s">
        <v>17</v>
      </c>
      <c r="EN19" s="2" t="s">
        <v>17</v>
      </c>
      <c r="EO19" s="2" t="s">
        <v>17</v>
      </c>
      <c r="EP19" s="2" t="s">
        <v>17</v>
      </c>
      <c r="EQ19" s="2" t="s">
        <v>17</v>
      </c>
      <c r="ER19" s="2" t="s">
        <v>17</v>
      </c>
      <c r="ES19" s="2" t="s">
        <v>17</v>
      </c>
      <c r="ET19" s="2" t="s">
        <v>1899</v>
      </c>
      <c r="EU19" s="2"/>
      <c r="EV19" s="2"/>
      <c r="EW19" s="2" t="s">
        <v>9</v>
      </c>
      <c r="EX19" s="2" t="s">
        <v>1125</v>
      </c>
      <c r="EY19" s="2" t="s">
        <v>1899</v>
      </c>
      <c r="EZ19" s="2" t="s">
        <v>5178</v>
      </c>
      <c r="FA19" s="2" t="s">
        <v>1968</v>
      </c>
      <c r="FB19" s="2">
        <v>110</v>
      </c>
      <c r="FC19" s="2" t="s">
        <v>3904</v>
      </c>
      <c r="FD19" s="2">
        <v>2023</v>
      </c>
      <c r="FE19" s="2" t="s">
        <v>26</v>
      </c>
      <c r="FF19" s="2" t="s">
        <v>4210</v>
      </c>
      <c r="FG19" s="2" t="s">
        <v>656</v>
      </c>
      <c r="FH19" s="2"/>
      <c r="FI19" s="2" t="s">
        <v>3360</v>
      </c>
      <c r="FJ19" s="2" t="s">
        <v>3361</v>
      </c>
      <c r="FK19" s="2">
        <v>1</v>
      </c>
      <c r="FL19" s="2" t="s">
        <v>5204</v>
      </c>
      <c r="FM19" s="2" t="s">
        <v>4341</v>
      </c>
      <c r="FN19" s="2" t="s">
        <v>5205</v>
      </c>
      <c r="FO19" s="2" t="s">
        <v>63</v>
      </c>
      <c r="FP19" s="2" t="s">
        <v>9</v>
      </c>
      <c r="FQ19" s="2" t="s">
        <v>17</v>
      </c>
      <c r="FR19" s="2" t="s">
        <v>17</v>
      </c>
      <c r="FS19" s="2" t="s">
        <v>9</v>
      </c>
      <c r="FT19" s="2">
        <v>0</v>
      </c>
      <c r="FU19" s="2">
        <v>0</v>
      </c>
      <c r="FV19" s="4">
        <v>0</v>
      </c>
      <c r="FW19" s="4">
        <v>0</v>
      </c>
      <c r="FX19" s="2" t="s">
        <v>65</v>
      </c>
      <c r="FY19" s="2" t="s">
        <v>66</v>
      </c>
      <c r="FZ19" s="2" t="s">
        <v>17</v>
      </c>
      <c r="GA19" s="2"/>
      <c r="GB19" s="2"/>
      <c r="GC19" s="2"/>
      <c r="GD19" s="2" t="s">
        <v>67</v>
      </c>
      <c r="GE19" s="2" t="s">
        <v>68</v>
      </c>
      <c r="GF19" s="2">
        <v>100</v>
      </c>
      <c r="GG19" s="2">
        <v>100</v>
      </c>
      <c r="GH19" s="2"/>
      <c r="GI19" s="2"/>
      <c r="GJ19" s="2"/>
      <c r="GK19" s="2"/>
      <c r="GL19" s="2"/>
      <c r="GM19" s="2"/>
      <c r="GN19" s="2"/>
      <c r="GO19" s="2"/>
      <c r="GP19" s="2"/>
      <c r="GQ19" s="2">
        <v>100</v>
      </c>
      <c r="GR19" s="2" t="s">
        <v>668</v>
      </c>
      <c r="GS19" s="2" t="s">
        <v>70</v>
      </c>
      <c r="GT19" s="2">
        <v>1</v>
      </c>
      <c r="GU19" s="2" t="s">
        <v>5206</v>
      </c>
      <c r="GV19" s="2" t="s">
        <v>5207</v>
      </c>
      <c r="GW19" s="2" t="s">
        <v>17</v>
      </c>
      <c r="GX19" s="2">
        <v>26.954656</v>
      </c>
      <c r="GY19" s="2">
        <v>-82.337549999999993</v>
      </c>
      <c r="GZ19" s="2"/>
      <c r="HA19" s="2" t="s">
        <v>17</v>
      </c>
      <c r="HB19" s="2">
        <v>0</v>
      </c>
      <c r="HC19" s="2" t="s">
        <v>17</v>
      </c>
      <c r="HD19" s="2" t="s">
        <v>17</v>
      </c>
      <c r="HE19" s="2">
        <v>0</v>
      </c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 t="s">
        <v>73</v>
      </c>
      <c r="HY19" s="2" t="s">
        <v>5208</v>
      </c>
      <c r="HZ19" s="2" t="s">
        <v>5209</v>
      </c>
      <c r="IA19" s="2">
        <v>0.82</v>
      </c>
      <c r="IB19" s="2">
        <v>2.5</v>
      </c>
      <c r="IC19" s="2" t="s">
        <v>5210</v>
      </c>
      <c r="ID19" s="2" t="s">
        <v>5211</v>
      </c>
      <c r="IE19" s="2">
        <v>0.7</v>
      </c>
      <c r="IF19" s="2">
        <v>3</v>
      </c>
      <c r="IG19" s="2"/>
      <c r="IH19" s="2"/>
      <c r="II19" s="2"/>
      <c r="IJ19" s="2"/>
      <c r="IK19" s="2" t="s">
        <v>5212</v>
      </c>
      <c r="IL19" s="2" t="s">
        <v>5213</v>
      </c>
      <c r="IM19" s="2">
        <v>0.69</v>
      </c>
      <c r="IN19" s="2">
        <v>3.5</v>
      </c>
      <c r="IO19" s="2">
        <v>0</v>
      </c>
      <c r="IP19" s="2">
        <v>9</v>
      </c>
      <c r="IQ19" s="2">
        <v>0</v>
      </c>
      <c r="IR19" s="2">
        <v>9</v>
      </c>
      <c r="IS19" s="2" t="s">
        <v>17</v>
      </c>
      <c r="IT19" s="2" t="s">
        <v>17</v>
      </c>
      <c r="IU19" s="2" t="s">
        <v>17</v>
      </c>
      <c r="IV19" s="2" t="s">
        <v>80</v>
      </c>
      <c r="IW19" s="2" t="s">
        <v>9</v>
      </c>
      <c r="IX19" s="2" t="s">
        <v>9</v>
      </c>
      <c r="IY19" s="2">
        <v>9</v>
      </c>
      <c r="IZ19" s="2">
        <v>100</v>
      </c>
      <c r="JA19" s="2"/>
      <c r="JB19" s="2"/>
      <c r="JC19" s="2"/>
      <c r="JD19" s="7">
        <v>0.1</v>
      </c>
      <c r="JE19" s="2"/>
      <c r="JF19" s="2"/>
      <c r="JG19" s="7">
        <v>0.9</v>
      </c>
      <c r="JH19" s="7">
        <v>0</v>
      </c>
      <c r="JI19" s="2">
        <v>100</v>
      </c>
      <c r="JJ19" s="7">
        <v>1</v>
      </c>
      <c r="JK19" s="2">
        <v>100</v>
      </c>
      <c r="JL19" s="7">
        <v>1</v>
      </c>
      <c r="JM19" s="2"/>
      <c r="JN19" s="2"/>
      <c r="JO19" s="2"/>
      <c r="JP19" s="2"/>
      <c r="JQ19" s="2"/>
      <c r="JR19" s="2">
        <v>0</v>
      </c>
      <c r="JS19" s="2">
        <v>0</v>
      </c>
      <c r="JT19" s="2"/>
      <c r="JU19" s="2"/>
      <c r="JV19" s="2">
        <v>0</v>
      </c>
      <c r="JW19" s="4">
        <v>0</v>
      </c>
      <c r="JX19" s="2">
        <v>0</v>
      </c>
      <c r="JY19" s="4">
        <v>0</v>
      </c>
      <c r="JZ19" s="2">
        <v>100</v>
      </c>
      <c r="KA19" s="2"/>
      <c r="KB19" s="2"/>
      <c r="KC19" s="2"/>
      <c r="KD19" s="2"/>
      <c r="KE19" s="2"/>
      <c r="KF19" s="2"/>
      <c r="KG19" s="2"/>
      <c r="KH19" s="2">
        <v>100</v>
      </c>
      <c r="KI19" s="2"/>
      <c r="KJ19" s="2"/>
      <c r="KK19" s="2"/>
      <c r="KL19" s="2"/>
      <c r="KM19" s="2"/>
      <c r="KN19" s="2"/>
      <c r="KO19" s="2"/>
      <c r="KP19" s="2"/>
      <c r="KQ19" s="2" t="s">
        <v>83</v>
      </c>
      <c r="KR19" s="2"/>
      <c r="KS19" s="2" t="s">
        <v>73</v>
      </c>
      <c r="KT19" s="2">
        <v>1</v>
      </c>
      <c r="KU19" s="2" t="s">
        <v>84</v>
      </c>
      <c r="KV19" s="2" t="s">
        <v>85</v>
      </c>
      <c r="KW19" s="2" t="s">
        <v>86</v>
      </c>
      <c r="KX19" s="2" t="s">
        <v>17</v>
      </c>
      <c r="KY19" s="2" t="s">
        <v>17</v>
      </c>
      <c r="KZ19" s="2" t="s">
        <v>17</v>
      </c>
      <c r="LA19" s="2" t="s">
        <v>17</v>
      </c>
      <c r="LB19" s="2" t="s">
        <v>17</v>
      </c>
      <c r="LC19" s="2" t="s">
        <v>17</v>
      </c>
      <c r="LD19" s="2" t="s">
        <v>17</v>
      </c>
      <c r="LE19" s="2" t="s">
        <v>17</v>
      </c>
      <c r="LF19" s="2" t="s">
        <v>17</v>
      </c>
      <c r="LG19" s="2" t="s">
        <v>17</v>
      </c>
      <c r="LH19" s="2" t="s">
        <v>17</v>
      </c>
      <c r="LI19" s="2" t="s">
        <v>17</v>
      </c>
      <c r="LJ19" s="2" t="s">
        <v>87</v>
      </c>
      <c r="LK19" s="2" t="s">
        <v>17</v>
      </c>
      <c r="LL19" s="2" t="s">
        <v>17</v>
      </c>
      <c r="LM19" s="2">
        <v>0</v>
      </c>
      <c r="LN19" s="2" t="s">
        <v>17</v>
      </c>
      <c r="LO19" s="2" t="s">
        <v>17</v>
      </c>
      <c r="LP19" s="2" t="s">
        <v>17</v>
      </c>
      <c r="LQ19" s="2" t="s">
        <v>17</v>
      </c>
      <c r="LR19" s="2" t="s">
        <v>17</v>
      </c>
      <c r="LS19" s="2" t="s">
        <v>17</v>
      </c>
      <c r="LT19" s="2" t="s">
        <v>9</v>
      </c>
      <c r="LU19" s="2" t="s">
        <v>17</v>
      </c>
      <c r="LV19" s="2" t="s">
        <v>9</v>
      </c>
      <c r="LW19" s="2" t="s">
        <v>9</v>
      </c>
      <c r="LX19" s="2" t="s">
        <v>17</v>
      </c>
      <c r="LY19" s="5">
        <v>10000000</v>
      </c>
      <c r="LZ19" s="5">
        <v>0</v>
      </c>
      <c r="MA19" s="5">
        <v>10000000</v>
      </c>
      <c r="MB19" s="5">
        <v>10000000</v>
      </c>
      <c r="MC19" s="5">
        <v>10000000</v>
      </c>
      <c r="MD19" s="5">
        <v>837000</v>
      </c>
      <c r="ME19" s="5">
        <v>837000</v>
      </c>
      <c r="MF19" s="5">
        <v>837000</v>
      </c>
      <c r="MG19" s="5">
        <v>10837000</v>
      </c>
      <c r="MH19" s="2">
        <v>0</v>
      </c>
      <c r="MI19" s="5">
        <v>0</v>
      </c>
      <c r="MJ19" s="5">
        <v>0</v>
      </c>
      <c r="MK19" s="2">
        <v>0</v>
      </c>
      <c r="ML19" s="2">
        <v>0</v>
      </c>
      <c r="MM19" s="2">
        <v>0</v>
      </c>
      <c r="MN19" s="5">
        <v>2950000</v>
      </c>
      <c r="MO19" s="5">
        <v>0</v>
      </c>
      <c r="MP19" s="5">
        <v>4600000</v>
      </c>
      <c r="MQ19" s="5">
        <v>0</v>
      </c>
      <c r="MR19" s="5">
        <v>0</v>
      </c>
      <c r="MS19" s="5">
        <v>0</v>
      </c>
      <c r="MT19" s="5">
        <v>0</v>
      </c>
      <c r="MU19" s="5">
        <v>2500000</v>
      </c>
      <c r="MV19" s="5">
        <v>0</v>
      </c>
      <c r="MW19" s="5">
        <v>0</v>
      </c>
      <c r="MX19" s="5">
        <v>0</v>
      </c>
      <c r="MY19" s="5">
        <v>2040000</v>
      </c>
      <c r="MZ19" s="5">
        <v>0</v>
      </c>
      <c r="NA19" s="5">
        <v>1062947</v>
      </c>
      <c r="NB19" s="2" t="s">
        <v>9</v>
      </c>
      <c r="NC19" s="2"/>
      <c r="ND19" s="2"/>
      <c r="NE19" s="2"/>
      <c r="NF19" s="2"/>
      <c r="NG19" s="2"/>
      <c r="NH19" s="2"/>
      <c r="NI19" s="61">
        <v>0</v>
      </c>
      <c r="NJ19" s="61"/>
      <c r="NK19" s="61"/>
      <c r="NL19" s="61"/>
      <c r="NM19" s="2" t="s">
        <v>17</v>
      </c>
      <c r="NN19" s="2"/>
      <c r="NO19" s="2" t="s">
        <v>17</v>
      </c>
      <c r="NP19" s="2"/>
      <c r="NQ19" s="2"/>
      <c r="NR19" s="2" t="s">
        <v>17</v>
      </c>
      <c r="NS19" s="2"/>
      <c r="NT19" s="2" t="s">
        <v>17</v>
      </c>
      <c r="NU19" s="2"/>
      <c r="NV19" s="2"/>
      <c r="NW19" s="2"/>
      <c r="NX19" s="2" t="s">
        <v>118</v>
      </c>
      <c r="NY19" s="2" t="s">
        <v>118</v>
      </c>
      <c r="NZ19" s="2" t="s">
        <v>118</v>
      </c>
      <c r="OA19" s="2" t="s">
        <v>17</v>
      </c>
      <c r="OB19" s="2" t="s">
        <v>5089</v>
      </c>
      <c r="OC19" s="5">
        <v>16750000</v>
      </c>
      <c r="OD19" s="2" t="s">
        <v>17</v>
      </c>
      <c r="OE19" s="2" t="s">
        <v>17</v>
      </c>
      <c r="OF19" s="2" t="s">
        <v>85</v>
      </c>
      <c r="OG19" s="6">
        <v>8100000</v>
      </c>
      <c r="OH19" s="6">
        <v>0</v>
      </c>
      <c r="OI19" s="2" t="s">
        <v>93</v>
      </c>
      <c r="OJ19" s="2" t="s">
        <v>93</v>
      </c>
      <c r="OK19" s="6">
        <v>0</v>
      </c>
      <c r="OL19" s="6">
        <v>0</v>
      </c>
      <c r="OM19" s="6">
        <v>0</v>
      </c>
      <c r="ON19" s="6">
        <v>0</v>
      </c>
      <c r="OO19" s="6">
        <v>0</v>
      </c>
      <c r="OP19" s="6">
        <v>0</v>
      </c>
      <c r="OQ19" s="4">
        <v>0</v>
      </c>
      <c r="OR19" s="6">
        <v>0</v>
      </c>
      <c r="OS19" s="4">
        <v>0</v>
      </c>
      <c r="OT19" s="2" t="s">
        <v>17</v>
      </c>
      <c r="OU19" s="2" t="s">
        <v>17</v>
      </c>
      <c r="OV19" s="2"/>
      <c r="OW19" s="2" t="s">
        <v>17</v>
      </c>
      <c r="OX19" s="5">
        <v>8004000</v>
      </c>
      <c r="OY19" s="6">
        <v>80040</v>
      </c>
      <c r="OZ19" s="2"/>
      <c r="PA19" s="2"/>
      <c r="PB19" s="2"/>
      <c r="PC19" s="2"/>
      <c r="PD19" s="2"/>
      <c r="PE19" s="2"/>
      <c r="PF19" s="8">
        <v>15911207</v>
      </c>
      <c r="PG19" s="2"/>
      <c r="PH19" s="8">
        <v>15911207</v>
      </c>
      <c r="PI19" s="2"/>
      <c r="PJ19" s="2"/>
      <c r="PK19" s="8">
        <v>290000</v>
      </c>
      <c r="PL19" s="8">
        <v>290000</v>
      </c>
      <c r="PM19" s="2"/>
      <c r="PN19" s="2"/>
      <c r="PO19" s="2"/>
      <c r="PP19" s="2"/>
      <c r="PQ19" s="2"/>
      <c r="PR19" s="8">
        <v>16201207</v>
      </c>
      <c r="PS19" s="2"/>
      <c r="PT19" s="8">
        <v>16201207</v>
      </c>
      <c r="PU19" s="8">
        <v>2184000</v>
      </c>
      <c r="PV19" s="8">
        <v>2184000</v>
      </c>
      <c r="PW19" s="6">
        <v>2268168</v>
      </c>
      <c r="PX19" s="8">
        <v>18385207</v>
      </c>
      <c r="PY19" s="2"/>
      <c r="PZ19" s="8">
        <v>18385207</v>
      </c>
      <c r="QA19" s="8">
        <v>904760</v>
      </c>
      <c r="QB19" s="8">
        <v>904760</v>
      </c>
      <c r="QC19" s="6">
        <v>919260.35</v>
      </c>
      <c r="QD19" s="2"/>
      <c r="QE19" s="8">
        <v>40000</v>
      </c>
      <c r="QF19" s="8">
        <v>40000</v>
      </c>
      <c r="QG19" s="8">
        <v>5000</v>
      </c>
      <c r="QH19" s="8">
        <v>5000</v>
      </c>
      <c r="QI19" s="8">
        <v>260000</v>
      </c>
      <c r="QJ19" s="8">
        <v>260000</v>
      </c>
      <c r="QK19" s="8">
        <v>110000</v>
      </c>
      <c r="QL19" s="8">
        <v>110000</v>
      </c>
      <c r="QM19" s="8">
        <v>245000</v>
      </c>
      <c r="QN19" s="2"/>
      <c r="QO19" s="8">
        <v>245000</v>
      </c>
      <c r="QP19" s="8">
        <v>262905</v>
      </c>
      <c r="QQ19" s="8">
        <v>262905</v>
      </c>
      <c r="QR19" s="2"/>
      <c r="QS19" s="2"/>
      <c r="QT19" s="8">
        <v>150000</v>
      </c>
      <c r="QU19" s="2"/>
      <c r="QV19" s="8">
        <v>150000</v>
      </c>
      <c r="QW19" s="8">
        <v>5000</v>
      </c>
      <c r="QX19" s="8">
        <v>5000</v>
      </c>
      <c r="QY19" s="8">
        <v>95665</v>
      </c>
      <c r="QZ19" s="8">
        <v>95665</v>
      </c>
      <c r="RA19" s="8">
        <v>3000</v>
      </c>
      <c r="RB19" s="8">
        <v>3000</v>
      </c>
      <c r="RC19" s="2"/>
      <c r="RD19" s="2"/>
      <c r="RE19" s="8">
        <v>38416</v>
      </c>
      <c r="RF19" s="8">
        <v>38416</v>
      </c>
      <c r="RG19" s="8">
        <v>23140</v>
      </c>
      <c r="RH19" s="8">
        <v>23140</v>
      </c>
      <c r="RI19" s="8">
        <v>250000</v>
      </c>
      <c r="RJ19" s="8">
        <v>250000</v>
      </c>
      <c r="RK19" s="8">
        <v>88026</v>
      </c>
      <c r="RL19" s="2"/>
      <c r="RM19" s="8">
        <v>88026</v>
      </c>
      <c r="RN19" s="2"/>
      <c r="RO19" s="8">
        <v>120000</v>
      </c>
      <c r="RP19" s="8">
        <v>120000</v>
      </c>
      <c r="RQ19" s="8">
        <v>200000</v>
      </c>
      <c r="RR19" s="8">
        <v>50000</v>
      </c>
      <c r="RS19" s="8">
        <v>250000</v>
      </c>
      <c r="RT19" s="2"/>
      <c r="RU19" s="8">
        <v>5900</v>
      </c>
      <c r="RV19" s="8">
        <v>5900</v>
      </c>
      <c r="RW19" s="8">
        <v>75000</v>
      </c>
      <c r="RX19" s="8">
        <v>75000</v>
      </c>
      <c r="RY19" s="8">
        <v>41913</v>
      </c>
      <c r="RZ19" s="2"/>
      <c r="SA19" s="8">
        <v>41913</v>
      </c>
      <c r="SB19" s="8">
        <v>6600</v>
      </c>
      <c r="SC19" s="8">
        <v>6600</v>
      </c>
      <c r="SD19" s="8">
        <v>10000</v>
      </c>
      <c r="SE19" s="8">
        <v>5000</v>
      </c>
      <c r="SF19" s="8">
        <v>15000</v>
      </c>
      <c r="SG19" s="2"/>
      <c r="SH19" s="8">
        <v>113130</v>
      </c>
      <c r="SI19" s="8">
        <v>28282</v>
      </c>
      <c r="SJ19" s="8">
        <v>141412</v>
      </c>
      <c r="SK19" s="8">
        <v>250000</v>
      </c>
      <c r="SL19" s="8">
        <v>250000</v>
      </c>
      <c r="SM19" s="8">
        <v>122300</v>
      </c>
      <c r="SN19" s="2"/>
      <c r="SO19" s="8">
        <v>122300</v>
      </c>
      <c r="SP19" s="8">
        <v>2143014</v>
      </c>
      <c r="SQ19" s="8">
        <v>461263</v>
      </c>
      <c r="SR19" s="8">
        <v>2604277</v>
      </c>
      <c r="SS19" s="8">
        <v>130213</v>
      </c>
      <c r="ST19" s="2"/>
      <c r="SU19" s="8">
        <v>130213</v>
      </c>
      <c r="SV19" s="6">
        <v>130213.85</v>
      </c>
      <c r="SW19" s="8">
        <v>125625</v>
      </c>
      <c r="SX19" s="8">
        <v>125625</v>
      </c>
      <c r="SY19" s="2"/>
      <c r="SZ19" s="8">
        <v>605284</v>
      </c>
      <c r="TA19" s="8">
        <v>860745</v>
      </c>
      <c r="TB19" s="8">
        <v>1466029</v>
      </c>
      <c r="TC19" s="8">
        <v>54300</v>
      </c>
      <c r="TD19" s="2"/>
      <c r="TE19" s="8">
        <v>54300</v>
      </c>
      <c r="TF19" s="8">
        <v>81000</v>
      </c>
      <c r="TG19" s="8">
        <v>81000</v>
      </c>
      <c r="TH19" s="8">
        <v>115500</v>
      </c>
      <c r="TI19" s="2"/>
      <c r="TJ19" s="2"/>
      <c r="TK19" s="2"/>
      <c r="TL19" s="2"/>
      <c r="TM19" s="8">
        <v>403429</v>
      </c>
      <c r="TN19" s="8">
        <v>403429</v>
      </c>
      <c r="TO19" s="8">
        <v>785209</v>
      </c>
      <c r="TP19" s="8">
        <v>1460674</v>
      </c>
      <c r="TQ19" s="8">
        <v>2245883</v>
      </c>
      <c r="TR19" s="8">
        <v>22348403</v>
      </c>
      <c r="TS19" s="8">
        <v>1921937</v>
      </c>
      <c r="TT19" s="8">
        <v>24270340</v>
      </c>
      <c r="TU19" s="8">
        <v>4368600</v>
      </c>
      <c r="TV19" s="8">
        <v>4368600</v>
      </c>
      <c r="TW19" s="6">
        <v>4368661</v>
      </c>
      <c r="TX19" s="8">
        <v>4368600</v>
      </c>
      <c r="TY19" s="8">
        <v>4368600</v>
      </c>
      <c r="TZ19" s="6">
        <v>4368661</v>
      </c>
      <c r="UA19" s="8">
        <v>1300000</v>
      </c>
      <c r="UB19" s="8">
        <v>1300000</v>
      </c>
      <c r="UC19" s="8">
        <v>26717003</v>
      </c>
      <c r="UD19" s="8">
        <v>3221937</v>
      </c>
      <c r="UE19" s="8">
        <v>29938940</v>
      </c>
      <c r="UF19" s="8">
        <v>16750000</v>
      </c>
      <c r="UG19" s="2" t="s">
        <v>4295</v>
      </c>
      <c r="UH19" s="2"/>
      <c r="UI19" s="2"/>
      <c r="UJ19" s="8">
        <v>10837000</v>
      </c>
      <c r="UK19" s="2"/>
      <c r="UL19" s="2" t="s">
        <v>96</v>
      </c>
      <c r="UM19" s="8">
        <v>2471105</v>
      </c>
      <c r="UN19" s="8">
        <v>4368600</v>
      </c>
      <c r="UO19" s="8">
        <v>34426705</v>
      </c>
      <c r="UP19" s="8">
        <v>4487765</v>
      </c>
      <c r="UQ19" s="8">
        <v>8100000</v>
      </c>
      <c r="UR19" s="2" t="s">
        <v>4295</v>
      </c>
      <c r="US19" s="2"/>
      <c r="UT19" s="2"/>
      <c r="UU19" s="2"/>
      <c r="UV19" s="2"/>
      <c r="UW19" s="8">
        <v>10837000</v>
      </c>
      <c r="UX19" s="2"/>
      <c r="UY19" s="2" t="s">
        <v>96</v>
      </c>
      <c r="UZ19" s="8">
        <v>9884418</v>
      </c>
      <c r="VA19" s="8">
        <v>4368600</v>
      </c>
      <c r="VB19" s="8">
        <v>33190018</v>
      </c>
      <c r="VC19" s="6">
        <v>18937000</v>
      </c>
      <c r="VD19" s="8">
        <v>3251078</v>
      </c>
      <c r="VE19" s="5">
        <v>370000</v>
      </c>
      <c r="VF19" s="5">
        <v>377500</v>
      </c>
      <c r="VG19" s="6">
        <v>286389.40000000002</v>
      </c>
      <c r="VH19" s="2" t="s">
        <v>9</v>
      </c>
      <c r="VI19" s="388" t="s">
        <v>1125</v>
      </c>
      <c r="VJ19" s="2" t="s">
        <v>98</v>
      </c>
      <c r="VK19" s="2" t="s">
        <v>5214</v>
      </c>
      <c r="VL19" s="23">
        <f t="shared" si="0"/>
        <v>100</v>
      </c>
      <c r="VM19" s="17">
        <f t="shared" si="1"/>
        <v>1</v>
      </c>
      <c r="VN19" s="17" t="str">
        <f t="shared" si="2"/>
        <v>NC-GA-E</v>
      </c>
      <c r="VO19" s="17" t="str">
        <f t="shared" si="15"/>
        <v>NC-GA-E-ESS</v>
      </c>
      <c r="VP19" s="57">
        <v>1</v>
      </c>
      <c r="VQ19" s="17">
        <f t="shared" si="3"/>
        <v>1</v>
      </c>
      <c r="VR19" s="57">
        <f t="shared" si="4"/>
        <v>1</v>
      </c>
      <c r="VS19" s="14">
        <f t="shared" si="5"/>
        <v>1</v>
      </c>
      <c r="VT19" s="12">
        <f t="shared" si="6"/>
        <v>0.85439999999999994</v>
      </c>
      <c r="VU19" s="29">
        <f t="shared" si="7"/>
        <v>8544000</v>
      </c>
      <c r="VV19" s="29">
        <f t="shared" si="8"/>
        <v>85440</v>
      </c>
      <c r="VW19" s="351" t="str">
        <f t="shared" si="21"/>
        <v>A</v>
      </c>
      <c r="VX19" s="12" t="str">
        <f t="shared" si="9"/>
        <v>NC-GA-ESS</v>
      </c>
      <c r="VY19" s="23">
        <f t="shared" si="22"/>
        <v>4</v>
      </c>
      <c r="WA19" s="12">
        <f t="shared" si="16"/>
        <v>1</v>
      </c>
      <c r="WB19" s="12">
        <f t="shared" si="17"/>
        <v>0</v>
      </c>
      <c r="WC19" s="12">
        <f t="shared" si="17"/>
        <v>0</v>
      </c>
      <c r="WD19" s="12">
        <f t="shared" si="17"/>
        <v>0</v>
      </c>
      <c r="WE19" s="12">
        <f t="shared" si="18"/>
        <v>1</v>
      </c>
      <c r="WF19" s="12">
        <f t="shared" si="10"/>
        <v>1</v>
      </c>
      <c r="WG19" s="12">
        <f t="shared" si="11"/>
        <v>0</v>
      </c>
      <c r="WH19" s="12">
        <f t="shared" si="12"/>
        <v>0</v>
      </c>
      <c r="WI19" s="31">
        <f t="shared" si="13"/>
        <v>3</v>
      </c>
      <c r="WJ19" s="2"/>
      <c r="WK19" s="444" t="str">
        <f t="shared" si="23"/>
        <v>NC-GA-ESS-BBN-BRN-NPH-E</v>
      </c>
      <c r="WL19" s="444"/>
      <c r="WM19" s="444"/>
    </row>
    <row r="20" spans="1:611" x14ac:dyDescent="0.25">
      <c r="A20" s="2">
        <v>9039</v>
      </c>
      <c r="B20" s="2" t="s">
        <v>5215</v>
      </c>
      <c r="C20" s="2" t="s">
        <v>5063</v>
      </c>
      <c r="D20" s="2">
        <v>10</v>
      </c>
      <c r="E20" s="2">
        <v>30.2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 t="s">
        <v>9</v>
      </c>
      <c r="BV20" s="6">
        <v>83044</v>
      </c>
      <c r="BW20" s="2" t="s">
        <v>126</v>
      </c>
      <c r="BX20" s="3">
        <v>45036</v>
      </c>
      <c r="BY20" s="2" t="s">
        <v>9</v>
      </c>
      <c r="BZ20" s="2">
        <v>1</v>
      </c>
      <c r="CA20" s="2" t="s">
        <v>9</v>
      </c>
      <c r="CB20" s="2">
        <v>1</v>
      </c>
      <c r="CC20" s="2" t="s">
        <v>9</v>
      </c>
      <c r="CD20" s="2">
        <v>0</v>
      </c>
      <c r="CE20" s="2" t="s">
        <v>4482</v>
      </c>
      <c r="CF20" s="2">
        <v>1</v>
      </c>
      <c r="CG20" s="2" t="s">
        <v>10</v>
      </c>
      <c r="CH20" s="2">
        <v>0</v>
      </c>
      <c r="CI20" s="2" t="s">
        <v>10</v>
      </c>
      <c r="CJ20" s="2">
        <v>0</v>
      </c>
      <c r="CK20" s="2" t="s">
        <v>11</v>
      </c>
      <c r="CL20" s="2">
        <v>0</v>
      </c>
      <c r="CM20" s="2" t="s">
        <v>9</v>
      </c>
      <c r="CN20" s="2">
        <v>2</v>
      </c>
      <c r="CO20" s="2" t="s">
        <v>9</v>
      </c>
      <c r="CP20" s="2">
        <v>2</v>
      </c>
      <c r="CQ20" s="2" t="s">
        <v>9</v>
      </c>
      <c r="CR20" s="2">
        <v>2</v>
      </c>
      <c r="CS20" s="2" t="s">
        <v>12</v>
      </c>
      <c r="CT20" s="2" t="s">
        <v>15</v>
      </c>
      <c r="CU20" s="2" t="s">
        <v>15</v>
      </c>
      <c r="CV20" s="2" t="s">
        <v>15</v>
      </c>
      <c r="CW20" s="2" t="s">
        <v>3256</v>
      </c>
      <c r="CX20" s="2" t="s">
        <v>15</v>
      </c>
      <c r="CY20" s="2" t="s">
        <v>15</v>
      </c>
      <c r="CZ20" s="2">
        <v>0</v>
      </c>
      <c r="DA20" s="2" t="s">
        <v>234</v>
      </c>
      <c r="DB20" s="2" t="s">
        <v>17</v>
      </c>
      <c r="DC20" s="4">
        <v>0.1</v>
      </c>
      <c r="DD20" s="2" t="s">
        <v>17</v>
      </c>
      <c r="DE20" s="2" t="s">
        <v>9</v>
      </c>
      <c r="DF20" s="2" t="s">
        <v>9</v>
      </c>
      <c r="DG20" s="2" t="s">
        <v>17</v>
      </c>
      <c r="DH20" s="2" t="s">
        <v>17</v>
      </c>
      <c r="DI20" s="2" t="s">
        <v>9</v>
      </c>
      <c r="DJ20" s="2" t="s">
        <v>17</v>
      </c>
      <c r="DK20" s="2" t="s">
        <v>17</v>
      </c>
      <c r="DL20" s="2" t="s">
        <v>17</v>
      </c>
      <c r="DM20" s="2" t="s">
        <v>17</v>
      </c>
      <c r="DN20" s="2" t="s">
        <v>2663</v>
      </c>
      <c r="DO20" s="2">
        <v>5</v>
      </c>
      <c r="DP20" s="5">
        <v>50000</v>
      </c>
      <c r="DQ20" s="5">
        <v>460000</v>
      </c>
      <c r="DR20" s="2">
        <v>0</v>
      </c>
      <c r="DS20" s="2">
        <v>4</v>
      </c>
      <c r="DT20" s="2">
        <v>0</v>
      </c>
      <c r="DU20" s="2">
        <v>6</v>
      </c>
      <c r="DV20" s="2">
        <v>0</v>
      </c>
      <c r="DW20" s="2">
        <v>0</v>
      </c>
      <c r="DX20" s="2">
        <v>1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13</v>
      </c>
      <c r="EE20" s="2">
        <v>1</v>
      </c>
      <c r="EF20" s="2">
        <v>0</v>
      </c>
      <c r="EG20" s="2">
        <v>2</v>
      </c>
      <c r="EH20" s="2">
        <v>0</v>
      </c>
      <c r="EI20" s="2">
        <v>12</v>
      </c>
      <c r="EJ20" s="2">
        <v>11</v>
      </c>
      <c r="EK20" s="2">
        <v>0</v>
      </c>
      <c r="EL20" s="2" t="s">
        <v>17</v>
      </c>
      <c r="EM20" s="2" t="s">
        <v>17</v>
      </c>
      <c r="EN20" s="2" t="s">
        <v>17</v>
      </c>
      <c r="EO20" s="2" t="s">
        <v>17</v>
      </c>
      <c r="EP20" s="2" t="s">
        <v>17</v>
      </c>
      <c r="EQ20" s="2" t="s">
        <v>17</v>
      </c>
      <c r="ER20" s="2" t="s">
        <v>17</v>
      </c>
      <c r="ES20" s="2" t="s">
        <v>17</v>
      </c>
      <c r="ET20" s="2" t="s">
        <v>1171</v>
      </c>
      <c r="EU20" s="2" t="s">
        <v>1172</v>
      </c>
      <c r="EV20" s="2" t="s">
        <v>1214</v>
      </c>
      <c r="EW20" s="2" t="s">
        <v>9</v>
      </c>
      <c r="EX20" s="2" t="s">
        <v>1173</v>
      </c>
      <c r="EY20" s="2" t="s">
        <v>1172</v>
      </c>
      <c r="EZ20" s="2" t="s">
        <v>4483</v>
      </c>
      <c r="FA20" s="2" t="s">
        <v>1175</v>
      </c>
      <c r="FB20" s="2">
        <v>120</v>
      </c>
      <c r="FC20" s="2" t="s">
        <v>984</v>
      </c>
      <c r="FD20" s="2">
        <v>2020</v>
      </c>
      <c r="FE20" s="2" t="s">
        <v>26</v>
      </c>
      <c r="FF20" s="2" t="s">
        <v>4210</v>
      </c>
      <c r="FG20" s="2" t="s">
        <v>1179</v>
      </c>
      <c r="FH20" s="2" t="s">
        <v>951</v>
      </c>
      <c r="FI20" s="2" t="s">
        <v>1180</v>
      </c>
      <c r="FJ20" s="2" t="s">
        <v>1181</v>
      </c>
      <c r="FK20" s="2">
        <v>1</v>
      </c>
      <c r="FL20" s="2" t="s">
        <v>1182</v>
      </c>
      <c r="FM20" s="2" t="s">
        <v>299</v>
      </c>
      <c r="FN20" s="2" t="s">
        <v>4490</v>
      </c>
      <c r="FO20" s="2" t="s">
        <v>63</v>
      </c>
      <c r="FP20" s="2" t="s">
        <v>9</v>
      </c>
      <c r="FQ20" s="2" t="s">
        <v>17</v>
      </c>
      <c r="FR20" s="2" t="s">
        <v>17</v>
      </c>
      <c r="FS20" s="2" t="s">
        <v>9</v>
      </c>
      <c r="FT20" s="2">
        <v>0</v>
      </c>
      <c r="FU20" s="2">
        <v>0</v>
      </c>
      <c r="FV20" s="4">
        <v>0</v>
      </c>
      <c r="FW20" s="4">
        <v>0</v>
      </c>
      <c r="FX20" s="2" t="s">
        <v>65</v>
      </c>
      <c r="FY20" s="2" t="s">
        <v>66</v>
      </c>
      <c r="FZ20" s="2" t="s">
        <v>17</v>
      </c>
      <c r="GA20" s="2"/>
      <c r="GB20" s="2"/>
      <c r="GC20" s="2"/>
      <c r="GD20" s="2" t="s">
        <v>67</v>
      </c>
      <c r="GE20" s="2" t="s">
        <v>108</v>
      </c>
      <c r="GF20" s="2"/>
      <c r="GG20" s="2"/>
      <c r="GH20" s="2"/>
      <c r="GI20" s="2">
        <v>88</v>
      </c>
      <c r="GJ20" s="2"/>
      <c r="GK20" s="2"/>
      <c r="GL20" s="2"/>
      <c r="GM20" s="2"/>
      <c r="GN20" s="2"/>
      <c r="GO20" s="2"/>
      <c r="GP20" s="2"/>
      <c r="GQ20" s="2">
        <v>88</v>
      </c>
      <c r="GR20" s="2" t="s">
        <v>1197</v>
      </c>
      <c r="GS20" s="2" t="s">
        <v>70</v>
      </c>
      <c r="GT20" s="2">
        <v>1</v>
      </c>
      <c r="GU20" s="2" t="s">
        <v>5216</v>
      </c>
      <c r="GV20" s="2" t="s">
        <v>1199</v>
      </c>
      <c r="GW20" s="2" t="s">
        <v>17</v>
      </c>
      <c r="GX20" s="2">
        <v>26.700966999999999</v>
      </c>
      <c r="GY20" s="2">
        <v>-81.901183000000003</v>
      </c>
      <c r="GZ20" s="2"/>
      <c r="HA20" s="2" t="s">
        <v>17</v>
      </c>
      <c r="HB20" s="2">
        <v>0</v>
      </c>
      <c r="HC20" s="2" t="s">
        <v>17</v>
      </c>
      <c r="HD20" s="2" t="s">
        <v>17</v>
      </c>
      <c r="HE20" s="2">
        <v>0</v>
      </c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>
        <v>26.686622</v>
      </c>
      <c r="HQ20" s="2">
        <v>-81.901947000000007</v>
      </c>
      <c r="HR20" s="2">
        <v>0.99</v>
      </c>
      <c r="HS20" s="2">
        <v>4.5</v>
      </c>
      <c r="HT20" s="2"/>
      <c r="HU20" s="2"/>
      <c r="HV20" s="2"/>
      <c r="HW20" s="2"/>
      <c r="HX20" s="2" t="s">
        <v>73</v>
      </c>
      <c r="HY20" s="2" t="s">
        <v>4492</v>
      </c>
      <c r="HZ20" s="2" t="s">
        <v>5217</v>
      </c>
      <c r="IA20" s="2">
        <v>1.45</v>
      </c>
      <c r="IB20" s="2">
        <v>1.5</v>
      </c>
      <c r="IC20" s="2"/>
      <c r="ID20" s="2"/>
      <c r="IE20" s="2"/>
      <c r="IF20" s="2"/>
      <c r="IG20" s="2" t="s">
        <v>1118</v>
      </c>
      <c r="IH20" s="2" t="s">
        <v>4493</v>
      </c>
      <c r="II20" s="2">
        <v>0.27</v>
      </c>
      <c r="IJ20" s="2">
        <v>4</v>
      </c>
      <c r="IK20" s="2" t="s">
        <v>4494</v>
      </c>
      <c r="IL20" s="2" t="s">
        <v>4495</v>
      </c>
      <c r="IM20" s="2">
        <v>0.92</v>
      </c>
      <c r="IN20" s="2">
        <v>3</v>
      </c>
      <c r="IO20" s="2">
        <v>4.5</v>
      </c>
      <c r="IP20" s="2">
        <v>8.5</v>
      </c>
      <c r="IQ20" s="2">
        <v>0</v>
      </c>
      <c r="IR20" s="2">
        <v>13</v>
      </c>
      <c r="IS20" s="2" t="s">
        <v>17</v>
      </c>
      <c r="IT20" s="2" t="s">
        <v>17</v>
      </c>
      <c r="IU20" s="2" t="s">
        <v>17</v>
      </c>
      <c r="IV20" s="2" t="s">
        <v>80</v>
      </c>
      <c r="IW20" s="2" t="s">
        <v>9</v>
      </c>
      <c r="IX20" s="2" t="s">
        <v>9</v>
      </c>
      <c r="IY20" s="2">
        <v>13</v>
      </c>
      <c r="IZ20" s="2">
        <v>88</v>
      </c>
      <c r="JA20" s="2"/>
      <c r="JB20" s="2"/>
      <c r="JC20" s="2"/>
      <c r="JD20" s="7">
        <v>0.1</v>
      </c>
      <c r="JE20" s="2"/>
      <c r="JF20" s="2"/>
      <c r="JG20" s="7">
        <v>0.9</v>
      </c>
      <c r="JH20" s="7">
        <v>0</v>
      </c>
      <c r="JI20" s="2">
        <v>88</v>
      </c>
      <c r="JJ20" s="7">
        <v>1</v>
      </c>
      <c r="JK20" s="2">
        <v>88</v>
      </c>
      <c r="JL20" s="7">
        <v>1</v>
      </c>
      <c r="JM20" s="2"/>
      <c r="JN20" s="2"/>
      <c r="JO20" s="2"/>
      <c r="JP20" s="2"/>
      <c r="JQ20" s="2"/>
      <c r="JR20" s="2">
        <v>0</v>
      </c>
      <c r="JS20" s="2">
        <v>0</v>
      </c>
      <c r="JT20" s="2"/>
      <c r="JU20" s="2"/>
      <c r="JV20" s="2">
        <v>0</v>
      </c>
      <c r="JW20" s="4">
        <v>0</v>
      </c>
      <c r="JX20" s="2">
        <v>0</v>
      </c>
      <c r="JY20" s="4">
        <v>0</v>
      </c>
      <c r="JZ20" s="2">
        <v>88</v>
      </c>
      <c r="KA20" s="2"/>
      <c r="KB20" s="2"/>
      <c r="KC20" s="2"/>
      <c r="KD20" s="2"/>
      <c r="KE20" s="2"/>
      <c r="KF20" s="2"/>
      <c r="KG20" s="2"/>
      <c r="KH20" s="2">
        <v>52</v>
      </c>
      <c r="KI20" s="2"/>
      <c r="KJ20" s="2"/>
      <c r="KK20" s="2">
        <v>36</v>
      </c>
      <c r="KL20" s="2"/>
      <c r="KM20" s="2"/>
      <c r="KN20" s="2"/>
      <c r="KO20" s="2"/>
      <c r="KP20" s="2"/>
      <c r="KQ20" s="2" t="s">
        <v>83</v>
      </c>
      <c r="KR20" s="2"/>
      <c r="KS20" s="2" t="s">
        <v>73</v>
      </c>
      <c r="KT20" s="2">
        <v>1</v>
      </c>
      <c r="KU20" s="2" t="s">
        <v>84</v>
      </c>
      <c r="KV20" s="2" t="s">
        <v>85</v>
      </c>
      <c r="KW20" s="2" t="s">
        <v>86</v>
      </c>
      <c r="KX20" s="2" t="s">
        <v>17</v>
      </c>
      <c r="KY20" s="2" t="s">
        <v>17</v>
      </c>
      <c r="KZ20" s="2" t="s">
        <v>17</v>
      </c>
      <c r="LA20" s="2" t="s">
        <v>17</v>
      </c>
      <c r="LB20" s="2" t="s">
        <v>17</v>
      </c>
      <c r="LC20" s="2" t="s">
        <v>17</v>
      </c>
      <c r="LD20" s="2" t="s">
        <v>17</v>
      </c>
      <c r="LE20" s="2" t="s">
        <v>17</v>
      </c>
      <c r="LF20" s="2" t="s">
        <v>17</v>
      </c>
      <c r="LG20" s="2" t="s">
        <v>17</v>
      </c>
      <c r="LH20" s="2" t="s">
        <v>17</v>
      </c>
      <c r="LI20" s="2" t="s">
        <v>17</v>
      </c>
      <c r="LJ20" s="2" t="s">
        <v>87</v>
      </c>
      <c r="LK20" s="2" t="s">
        <v>17</v>
      </c>
      <c r="LL20" s="2" t="s">
        <v>17</v>
      </c>
      <c r="LM20" s="2">
        <v>0</v>
      </c>
      <c r="LN20" s="2" t="s">
        <v>17</v>
      </c>
      <c r="LO20" s="2" t="s">
        <v>17</v>
      </c>
      <c r="LP20" s="2" t="s">
        <v>17</v>
      </c>
      <c r="LQ20" s="2" t="s">
        <v>17</v>
      </c>
      <c r="LR20" s="2" t="s">
        <v>17</v>
      </c>
      <c r="LS20" s="2" t="s">
        <v>17</v>
      </c>
      <c r="LT20" s="2" t="s">
        <v>9</v>
      </c>
      <c r="LU20" s="2" t="s">
        <v>17</v>
      </c>
      <c r="LV20" s="2" t="s">
        <v>17</v>
      </c>
      <c r="LW20" s="2" t="s">
        <v>9</v>
      </c>
      <c r="LX20" s="2" t="s">
        <v>9</v>
      </c>
      <c r="LY20" s="5">
        <v>9240000</v>
      </c>
      <c r="LZ20" s="5">
        <v>0</v>
      </c>
      <c r="MA20" s="5">
        <v>9240000</v>
      </c>
      <c r="MB20" s="5">
        <v>9240000</v>
      </c>
      <c r="MC20" s="5">
        <v>9240000</v>
      </c>
      <c r="MD20" s="5">
        <v>741900</v>
      </c>
      <c r="ME20" s="5">
        <v>741900</v>
      </c>
      <c r="MF20" s="5">
        <v>741900</v>
      </c>
      <c r="MG20" s="5">
        <v>9981900</v>
      </c>
      <c r="MH20" s="2">
        <v>0</v>
      </c>
      <c r="MI20" s="5">
        <v>0</v>
      </c>
      <c r="MJ20" s="5">
        <v>0</v>
      </c>
      <c r="MK20" s="2">
        <v>0</v>
      </c>
      <c r="ML20" s="2">
        <v>0</v>
      </c>
      <c r="MM20" s="2">
        <v>0</v>
      </c>
      <c r="MN20" s="5">
        <v>2950000</v>
      </c>
      <c r="MO20" s="5">
        <v>0</v>
      </c>
      <c r="MP20" s="5">
        <v>4600000</v>
      </c>
      <c r="MQ20" s="5">
        <v>0</v>
      </c>
      <c r="MR20" s="5">
        <v>0</v>
      </c>
      <c r="MS20" s="5">
        <v>0</v>
      </c>
      <c r="MT20" s="5">
        <v>0</v>
      </c>
      <c r="MU20" s="5">
        <v>2500000</v>
      </c>
      <c r="MV20" s="5">
        <v>0</v>
      </c>
      <c r="MW20" s="5">
        <v>0</v>
      </c>
      <c r="MX20" s="5">
        <v>0</v>
      </c>
      <c r="MY20" s="5">
        <v>2040000</v>
      </c>
      <c r="MZ20" s="5">
        <v>0</v>
      </c>
      <c r="NA20" s="5">
        <v>1324288</v>
      </c>
      <c r="NB20" s="2" t="s">
        <v>17</v>
      </c>
      <c r="NC20" s="2"/>
      <c r="ND20" s="2"/>
      <c r="NE20" s="2"/>
      <c r="NF20" s="2"/>
      <c r="NG20" s="2"/>
      <c r="NH20" s="2"/>
      <c r="NI20" s="61">
        <v>0</v>
      </c>
      <c r="NJ20" s="61"/>
      <c r="NK20" s="61"/>
      <c r="NL20" s="61"/>
      <c r="NM20" s="2" t="s">
        <v>9</v>
      </c>
      <c r="NN20" s="2" t="s">
        <v>4497</v>
      </c>
      <c r="NO20" s="2" t="s">
        <v>17</v>
      </c>
      <c r="NP20" s="2"/>
      <c r="NQ20" s="2"/>
      <c r="NR20" s="2" t="s">
        <v>17</v>
      </c>
      <c r="NS20" s="2"/>
      <c r="NT20" s="2" t="s">
        <v>9</v>
      </c>
      <c r="NU20" s="2" t="s">
        <v>450</v>
      </c>
      <c r="NV20" s="2">
        <v>208.01</v>
      </c>
      <c r="NW20" s="2" t="s">
        <v>1221</v>
      </c>
      <c r="NX20" s="2" t="s">
        <v>118</v>
      </c>
      <c r="NY20" s="2" t="s">
        <v>118</v>
      </c>
      <c r="NZ20" s="2" t="s">
        <v>118</v>
      </c>
      <c r="OA20" s="2" t="s">
        <v>17</v>
      </c>
      <c r="OB20" s="2" t="s">
        <v>119</v>
      </c>
      <c r="OC20" s="5">
        <v>14250000</v>
      </c>
      <c r="OD20" s="2" t="s">
        <v>17</v>
      </c>
      <c r="OE20" s="2" t="s">
        <v>17</v>
      </c>
      <c r="OF20" s="2" t="s">
        <v>85</v>
      </c>
      <c r="OG20" s="6">
        <v>3940000</v>
      </c>
      <c r="OH20" s="6">
        <v>0</v>
      </c>
      <c r="OI20" s="2" t="s">
        <v>93</v>
      </c>
      <c r="OJ20" s="2" t="s">
        <v>93</v>
      </c>
      <c r="OK20" s="6">
        <v>0</v>
      </c>
      <c r="OL20" s="6">
        <v>0</v>
      </c>
      <c r="OM20" s="6">
        <v>0</v>
      </c>
      <c r="ON20" s="6">
        <v>0</v>
      </c>
      <c r="OO20" s="6">
        <v>0</v>
      </c>
      <c r="OP20" s="6">
        <v>0</v>
      </c>
      <c r="OQ20" s="4">
        <v>0</v>
      </c>
      <c r="OR20" s="6">
        <v>0</v>
      </c>
      <c r="OS20" s="4">
        <v>0</v>
      </c>
      <c r="OT20" s="2" t="s">
        <v>17</v>
      </c>
      <c r="OU20" s="2" t="s">
        <v>9</v>
      </c>
      <c r="OV20" s="2" t="s">
        <v>1222</v>
      </c>
      <c r="OW20" s="2" t="s">
        <v>17</v>
      </c>
      <c r="OX20" s="5">
        <v>7307872</v>
      </c>
      <c r="OY20" s="6">
        <v>83044</v>
      </c>
      <c r="OZ20" s="2"/>
      <c r="PA20" s="2"/>
      <c r="PB20" s="2"/>
      <c r="PC20" s="2"/>
      <c r="PD20" s="2"/>
      <c r="PE20" s="2"/>
      <c r="PF20" s="8">
        <v>12123345</v>
      </c>
      <c r="PG20" s="8">
        <v>101200</v>
      </c>
      <c r="PH20" s="8">
        <v>12224545</v>
      </c>
      <c r="PI20" s="2"/>
      <c r="PJ20" s="2"/>
      <c r="PK20" s="2"/>
      <c r="PL20" s="2"/>
      <c r="PM20" s="8">
        <v>2090000</v>
      </c>
      <c r="PN20" s="8">
        <v>110000</v>
      </c>
      <c r="PO20" s="8">
        <v>2200000</v>
      </c>
      <c r="PP20" s="2"/>
      <c r="PQ20" s="2"/>
      <c r="PR20" s="8">
        <v>14213345</v>
      </c>
      <c r="PS20" s="8">
        <v>211200</v>
      </c>
      <c r="PT20" s="8">
        <v>14424545</v>
      </c>
      <c r="PU20" s="8">
        <v>2019436</v>
      </c>
      <c r="PV20" s="8">
        <v>2019436</v>
      </c>
      <c r="PW20" s="6">
        <v>2019436</v>
      </c>
      <c r="PX20" s="8">
        <v>16232781</v>
      </c>
      <c r="PY20" s="8">
        <v>211200</v>
      </c>
      <c r="PZ20" s="8">
        <v>16443981</v>
      </c>
      <c r="QA20" s="8">
        <v>807199</v>
      </c>
      <c r="QB20" s="8">
        <v>807199</v>
      </c>
      <c r="QC20" s="6">
        <v>822199.05</v>
      </c>
      <c r="QD20" s="2"/>
      <c r="QE20" s="8">
        <v>50000</v>
      </c>
      <c r="QF20" s="8">
        <v>50000</v>
      </c>
      <c r="QG20" s="8">
        <v>15000</v>
      </c>
      <c r="QH20" s="8">
        <v>15000</v>
      </c>
      <c r="QI20" s="8">
        <v>264000</v>
      </c>
      <c r="QJ20" s="8">
        <v>264000</v>
      </c>
      <c r="QK20" s="8">
        <v>44000</v>
      </c>
      <c r="QL20" s="8">
        <v>44000</v>
      </c>
      <c r="QM20" s="8">
        <v>242000</v>
      </c>
      <c r="QN20" s="2"/>
      <c r="QO20" s="8">
        <v>242000</v>
      </c>
      <c r="QP20" s="8">
        <v>220000</v>
      </c>
      <c r="QQ20" s="8">
        <v>220000</v>
      </c>
      <c r="QR20" s="2"/>
      <c r="QS20" s="2"/>
      <c r="QT20" s="8">
        <v>165000</v>
      </c>
      <c r="QU20" s="2"/>
      <c r="QV20" s="8">
        <v>165000</v>
      </c>
      <c r="QW20" s="8">
        <v>12500</v>
      </c>
      <c r="QX20" s="8">
        <v>12500</v>
      </c>
      <c r="QY20" s="8">
        <v>119250</v>
      </c>
      <c r="QZ20" s="8">
        <v>119250</v>
      </c>
      <c r="RA20" s="8">
        <v>3000</v>
      </c>
      <c r="RB20" s="8">
        <v>3000</v>
      </c>
      <c r="RC20" s="8">
        <v>99819</v>
      </c>
      <c r="RD20" s="8">
        <v>99819</v>
      </c>
      <c r="RE20" s="8">
        <v>32500</v>
      </c>
      <c r="RF20" s="8">
        <v>32500</v>
      </c>
      <c r="RG20" s="8">
        <v>24200</v>
      </c>
      <c r="RH20" s="8">
        <v>24200</v>
      </c>
      <c r="RI20" s="8">
        <v>704000</v>
      </c>
      <c r="RJ20" s="8">
        <v>704000</v>
      </c>
      <c r="RK20" s="8">
        <v>214000</v>
      </c>
      <c r="RL20" s="8">
        <v>6000</v>
      </c>
      <c r="RM20" s="8">
        <v>220000</v>
      </c>
      <c r="RN20" s="2"/>
      <c r="RO20" s="8">
        <v>83600</v>
      </c>
      <c r="RP20" s="8">
        <v>83600</v>
      </c>
      <c r="RQ20" s="8">
        <v>176000</v>
      </c>
      <c r="RR20" s="8">
        <v>242000</v>
      </c>
      <c r="RS20" s="8">
        <v>418000</v>
      </c>
      <c r="RT20" s="2"/>
      <c r="RU20" s="8">
        <v>8500</v>
      </c>
      <c r="RV20" s="8">
        <v>8500</v>
      </c>
      <c r="RW20" s="8">
        <v>50000</v>
      </c>
      <c r="RX20" s="8">
        <v>50000</v>
      </c>
      <c r="RY20" s="8">
        <v>7500</v>
      </c>
      <c r="RZ20" s="8">
        <v>7500</v>
      </c>
      <c r="SA20" s="8">
        <v>15000</v>
      </c>
      <c r="SB20" s="8">
        <v>20000</v>
      </c>
      <c r="SC20" s="8">
        <v>20000</v>
      </c>
      <c r="SD20" s="8">
        <v>50000</v>
      </c>
      <c r="SE20" s="2"/>
      <c r="SF20" s="8">
        <v>50000</v>
      </c>
      <c r="SG20" s="2"/>
      <c r="SH20" s="8">
        <v>39381</v>
      </c>
      <c r="SI20" s="8">
        <v>81619</v>
      </c>
      <c r="SJ20" s="8">
        <v>121000</v>
      </c>
      <c r="SK20" s="8">
        <v>154000</v>
      </c>
      <c r="SL20" s="8">
        <v>154000</v>
      </c>
      <c r="SM20" s="8">
        <v>327358</v>
      </c>
      <c r="SN20" s="2"/>
      <c r="SO20" s="8">
        <v>327358</v>
      </c>
      <c r="SP20" s="8">
        <v>2678939</v>
      </c>
      <c r="SQ20" s="8">
        <v>783788</v>
      </c>
      <c r="SR20" s="8">
        <v>3462727</v>
      </c>
      <c r="SS20" s="8">
        <v>173136</v>
      </c>
      <c r="ST20" s="2"/>
      <c r="SU20" s="8">
        <v>173136</v>
      </c>
      <c r="SV20" s="6">
        <v>173136.35</v>
      </c>
      <c r="SW20" s="8">
        <v>142500</v>
      </c>
      <c r="SX20" s="8">
        <v>142500</v>
      </c>
      <c r="SY20" s="2"/>
      <c r="SZ20" s="8">
        <v>1257139</v>
      </c>
      <c r="TA20" s="8">
        <v>380755</v>
      </c>
      <c r="TB20" s="8">
        <v>1637894</v>
      </c>
      <c r="TC20" s="2"/>
      <c r="TD20" s="8">
        <v>15000</v>
      </c>
      <c r="TE20" s="8">
        <v>15000</v>
      </c>
      <c r="TF20" s="8">
        <v>39400</v>
      </c>
      <c r="TG20" s="8">
        <v>39400</v>
      </c>
      <c r="TH20" s="2"/>
      <c r="TI20" s="8">
        <v>25000</v>
      </c>
      <c r="TJ20" s="8">
        <v>25000</v>
      </c>
      <c r="TK20" s="2"/>
      <c r="TL20" s="2"/>
      <c r="TM20" s="8">
        <v>449750</v>
      </c>
      <c r="TN20" s="8">
        <v>449750</v>
      </c>
      <c r="TO20" s="8">
        <v>1399639</v>
      </c>
      <c r="TP20" s="8">
        <v>909905</v>
      </c>
      <c r="TQ20" s="8">
        <v>2309544</v>
      </c>
      <c r="TR20" s="8">
        <v>21291694</v>
      </c>
      <c r="TS20" s="8">
        <v>1904893</v>
      </c>
      <c r="TT20" s="8">
        <v>23196587</v>
      </c>
      <c r="TU20" s="8">
        <v>4175385</v>
      </c>
      <c r="TV20" s="8">
        <v>4175385</v>
      </c>
      <c r="TW20" s="6">
        <v>4175385</v>
      </c>
      <c r="TX20" s="8">
        <v>4175385</v>
      </c>
      <c r="TY20" s="8">
        <v>4175385</v>
      </c>
      <c r="TZ20" s="6">
        <v>4175385</v>
      </c>
      <c r="UA20" s="8">
        <v>450000</v>
      </c>
      <c r="UB20" s="8">
        <v>450000</v>
      </c>
      <c r="UC20" s="8">
        <v>25467079</v>
      </c>
      <c r="UD20" s="8">
        <v>2354893</v>
      </c>
      <c r="UE20" s="8">
        <v>27821972</v>
      </c>
      <c r="UF20" s="8">
        <v>14250000</v>
      </c>
      <c r="UG20" s="2" t="s">
        <v>4295</v>
      </c>
      <c r="UH20" s="2"/>
      <c r="UI20" s="2"/>
      <c r="UJ20" s="8">
        <v>9981900</v>
      </c>
      <c r="UK20" s="2"/>
      <c r="UL20" s="2" t="s">
        <v>96</v>
      </c>
      <c r="UM20" s="8">
        <v>3078662</v>
      </c>
      <c r="UN20" s="8">
        <v>4175385</v>
      </c>
      <c r="UO20" s="8">
        <v>31485947</v>
      </c>
      <c r="UP20" s="8">
        <v>3663975</v>
      </c>
      <c r="UQ20" s="8">
        <v>3940000</v>
      </c>
      <c r="UR20" s="2" t="s">
        <v>4295</v>
      </c>
      <c r="US20" s="2"/>
      <c r="UT20" s="2"/>
      <c r="UU20" s="2"/>
      <c r="UV20" s="2"/>
      <c r="UW20" s="8">
        <v>9981900</v>
      </c>
      <c r="UX20" s="2"/>
      <c r="UY20" s="2" t="s">
        <v>96</v>
      </c>
      <c r="UZ20" s="8">
        <v>12314647</v>
      </c>
      <c r="VA20" s="8">
        <v>2500000</v>
      </c>
      <c r="VB20" s="8">
        <v>28736547</v>
      </c>
      <c r="VC20" s="6">
        <v>13921900</v>
      </c>
      <c r="VD20" s="8">
        <v>914575</v>
      </c>
      <c r="VE20" s="5">
        <v>410000</v>
      </c>
      <c r="VF20" s="5">
        <v>425000</v>
      </c>
      <c r="VG20" s="6">
        <v>311045.14</v>
      </c>
      <c r="VH20" s="2" t="s">
        <v>9</v>
      </c>
      <c r="VI20" s="388" t="s">
        <v>4520</v>
      </c>
      <c r="VJ20" s="2" t="s">
        <v>98</v>
      </c>
      <c r="VK20" s="2" t="s">
        <v>5218</v>
      </c>
      <c r="VL20" s="23">
        <f t="shared" si="0"/>
        <v>124</v>
      </c>
      <c r="VM20" s="17">
        <f t="shared" si="1"/>
        <v>1.4090909090909092</v>
      </c>
      <c r="VN20" s="17" t="str">
        <f t="shared" si="2"/>
        <v>NC-MR-E</v>
      </c>
      <c r="VO20" s="17" t="str">
        <f t="shared" si="15"/>
        <v>NC-MR-E-ESS</v>
      </c>
      <c r="VP20" s="57">
        <v>1</v>
      </c>
      <c r="VQ20" s="17">
        <f t="shared" si="3"/>
        <v>1.1100000000000001</v>
      </c>
      <c r="VR20" s="57">
        <f t="shared" si="4"/>
        <v>1</v>
      </c>
      <c r="VS20" s="14">
        <f t="shared" si="5"/>
        <v>0.87</v>
      </c>
      <c r="VT20" s="12">
        <f t="shared" si="6"/>
        <v>0.8448</v>
      </c>
      <c r="VU20" s="29">
        <f t="shared" si="7"/>
        <v>7538207.8464000002</v>
      </c>
      <c r="VV20" s="29">
        <f t="shared" si="8"/>
        <v>85661.45</v>
      </c>
      <c r="VW20" s="351" t="str">
        <f t="shared" si="21"/>
        <v>A</v>
      </c>
      <c r="VX20" s="12" t="str">
        <f t="shared" si="9"/>
        <v>NC-MR-ESS</v>
      </c>
      <c r="VY20" s="23">
        <f t="shared" si="22"/>
        <v>4</v>
      </c>
      <c r="WA20" s="12">
        <f t="shared" si="16"/>
        <v>1</v>
      </c>
      <c r="WB20" s="12">
        <f t="shared" si="17"/>
        <v>1</v>
      </c>
      <c r="WC20" s="12">
        <f t="shared" si="17"/>
        <v>0</v>
      </c>
      <c r="WD20" s="12">
        <f t="shared" si="17"/>
        <v>1</v>
      </c>
      <c r="WE20" s="12">
        <f t="shared" si="18"/>
        <v>1</v>
      </c>
      <c r="WF20" s="12">
        <f t="shared" si="10"/>
        <v>0</v>
      </c>
      <c r="WG20" s="12">
        <f t="shared" si="11"/>
        <v>1</v>
      </c>
      <c r="WH20" s="12">
        <f t="shared" si="12"/>
        <v>0</v>
      </c>
      <c r="WI20" s="31">
        <f t="shared" si="13"/>
        <v>5</v>
      </c>
      <c r="WJ20" s="2"/>
      <c r="WK20" s="444" t="str">
        <f t="shared" si="23"/>
        <v>NC-MR-ESS-BBY-BRN-PHA-E</v>
      </c>
      <c r="WL20" s="444"/>
      <c r="WM20" s="444"/>
    </row>
    <row r="21" spans="1:611" x14ac:dyDescent="0.25">
      <c r="A21" s="2">
        <v>8977</v>
      </c>
      <c r="B21" s="2" t="s">
        <v>5219</v>
      </c>
      <c r="C21" s="2" t="s">
        <v>5063</v>
      </c>
      <c r="D21" s="2">
        <v>7</v>
      </c>
      <c r="E21" s="2">
        <v>40.14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 t="s">
        <v>9</v>
      </c>
      <c r="BV21" s="6">
        <v>83582</v>
      </c>
      <c r="BW21" s="2" t="s">
        <v>18</v>
      </c>
      <c r="BX21" s="3">
        <v>45036</v>
      </c>
      <c r="BY21" s="2" t="s">
        <v>9</v>
      </c>
      <c r="BZ21" s="2">
        <v>1</v>
      </c>
      <c r="CA21" s="2" t="s">
        <v>9</v>
      </c>
      <c r="CB21" s="2">
        <v>1</v>
      </c>
      <c r="CC21" s="2" t="s">
        <v>9</v>
      </c>
      <c r="CD21" s="2">
        <v>0</v>
      </c>
      <c r="CE21" s="2" t="s">
        <v>5221</v>
      </c>
      <c r="CF21" s="2">
        <v>1</v>
      </c>
      <c r="CG21" s="2" t="s">
        <v>10</v>
      </c>
      <c r="CH21" s="2">
        <v>0</v>
      </c>
      <c r="CI21" s="2" t="s">
        <v>10</v>
      </c>
      <c r="CJ21" s="2">
        <v>0</v>
      </c>
      <c r="CK21" s="2" t="s">
        <v>11</v>
      </c>
      <c r="CL21" s="2">
        <v>0</v>
      </c>
      <c r="CM21" s="2" t="s">
        <v>9</v>
      </c>
      <c r="CN21" s="2">
        <v>2</v>
      </c>
      <c r="CO21" s="2" t="s">
        <v>9</v>
      </c>
      <c r="CP21" s="2">
        <v>2</v>
      </c>
      <c r="CQ21" s="2" t="s">
        <v>9</v>
      </c>
      <c r="CR21" s="2">
        <v>2</v>
      </c>
      <c r="CS21" s="2" t="s">
        <v>12</v>
      </c>
      <c r="CT21" s="2" t="s">
        <v>15</v>
      </c>
      <c r="CU21" s="2" t="s">
        <v>15</v>
      </c>
      <c r="CV21" s="2" t="s">
        <v>15</v>
      </c>
      <c r="CW21" s="2" t="s">
        <v>15</v>
      </c>
      <c r="CX21" s="2" t="s">
        <v>15</v>
      </c>
      <c r="CY21" s="2" t="s">
        <v>5220</v>
      </c>
      <c r="CZ21" s="2">
        <v>0</v>
      </c>
      <c r="DA21" s="2" t="s">
        <v>234</v>
      </c>
      <c r="DB21" s="2" t="s">
        <v>17</v>
      </c>
      <c r="DC21" s="4">
        <v>0.16667000000000001</v>
      </c>
      <c r="DD21" s="2" t="s">
        <v>17</v>
      </c>
      <c r="DE21" s="2" t="s">
        <v>9</v>
      </c>
      <c r="DF21" s="2" t="s">
        <v>17</v>
      </c>
      <c r="DG21" s="2" t="s">
        <v>17</v>
      </c>
      <c r="DH21" s="2" t="s">
        <v>17</v>
      </c>
      <c r="DI21" s="2" t="s">
        <v>9</v>
      </c>
      <c r="DJ21" s="2" t="s">
        <v>17</v>
      </c>
      <c r="DK21" s="2" t="s">
        <v>17</v>
      </c>
      <c r="DL21" s="2" t="s">
        <v>17</v>
      </c>
      <c r="DM21" s="2" t="s">
        <v>17</v>
      </c>
      <c r="DN21" s="2" t="s">
        <v>2663</v>
      </c>
      <c r="DO21" s="2">
        <v>5</v>
      </c>
      <c r="DP21" s="5">
        <v>75000</v>
      </c>
      <c r="DQ21" s="5">
        <v>610000</v>
      </c>
      <c r="DR21" s="2">
        <v>0</v>
      </c>
      <c r="DS21" s="2">
        <v>7</v>
      </c>
      <c r="DT21" s="2">
        <v>0</v>
      </c>
      <c r="DU21" s="2">
        <v>6</v>
      </c>
      <c r="DV21" s="2">
        <v>0</v>
      </c>
      <c r="DW21" s="2">
        <v>0</v>
      </c>
      <c r="DX21" s="2">
        <v>1</v>
      </c>
      <c r="DY21" s="2">
        <v>5</v>
      </c>
      <c r="DZ21" s="2">
        <v>1</v>
      </c>
      <c r="EA21" s="2">
        <v>0</v>
      </c>
      <c r="EB21" s="2">
        <v>0</v>
      </c>
      <c r="EC21" s="2">
        <v>0</v>
      </c>
      <c r="ED21" s="2">
        <v>13</v>
      </c>
      <c r="EE21" s="2">
        <v>1</v>
      </c>
      <c r="EF21" s="2">
        <v>0</v>
      </c>
      <c r="EG21" s="2">
        <v>3</v>
      </c>
      <c r="EH21" s="2">
        <v>0</v>
      </c>
      <c r="EI21" s="2">
        <v>14</v>
      </c>
      <c r="EJ21" s="2">
        <v>11</v>
      </c>
      <c r="EK21" s="2">
        <v>0</v>
      </c>
      <c r="EL21" s="2" t="s">
        <v>17</v>
      </c>
      <c r="EM21" s="2" t="s">
        <v>17</v>
      </c>
      <c r="EN21" s="2" t="s">
        <v>17</v>
      </c>
      <c r="EO21" s="2" t="s">
        <v>17</v>
      </c>
      <c r="EP21" s="2" t="s">
        <v>17</v>
      </c>
      <c r="EQ21" s="2" t="s">
        <v>17</v>
      </c>
      <c r="ER21" s="2" t="s">
        <v>17</v>
      </c>
      <c r="ES21" s="2" t="s">
        <v>17</v>
      </c>
      <c r="ET21" s="2" t="s">
        <v>5222</v>
      </c>
      <c r="EU21" s="2"/>
      <c r="EV21" s="2"/>
      <c r="EW21" s="2" t="s">
        <v>9</v>
      </c>
      <c r="EX21" s="2" t="s">
        <v>193</v>
      </c>
      <c r="EY21" s="2" t="s">
        <v>5222</v>
      </c>
      <c r="EZ21" s="2" t="s">
        <v>194</v>
      </c>
      <c r="FA21" s="2" t="s">
        <v>195</v>
      </c>
      <c r="FB21" s="2">
        <v>280</v>
      </c>
      <c r="FC21" s="2" t="s">
        <v>965</v>
      </c>
      <c r="FD21" s="2">
        <v>2020</v>
      </c>
      <c r="FE21" s="2" t="s">
        <v>26</v>
      </c>
      <c r="FF21" s="2" t="s">
        <v>4210</v>
      </c>
      <c r="FG21" s="2" t="s">
        <v>201</v>
      </c>
      <c r="FH21" s="2" t="s">
        <v>202</v>
      </c>
      <c r="FI21" s="2" t="s">
        <v>203</v>
      </c>
      <c r="FJ21" s="2" t="s">
        <v>204</v>
      </c>
      <c r="FK21" s="2">
        <v>1</v>
      </c>
      <c r="FL21" s="2" t="s">
        <v>5223</v>
      </c>
      <c r="FM21" s="2" t="s">
        <v>214</v>
      </c>
      <c r="FN21" s="2" t="s">
        <v>5224</v>
      </c>
      <c r="FO21" s="2" t="s">
        <v>63</v>
      </c>
      <c r="FP21" s="2" t="s">
        <v>9</v>
      </c>
      <c r="FQ21" s="2" t="s">
        <v>17</v>
      </c>
      <c r="FR21" s="2" t="s">
        <v>17</v>
      </c>
      <c r="FS21" s="2" t="s">
        <v>9</v>
      </c>
      <c r="FT21" s="2">
        <v>0</v>
      </c>
      <c r="FU21" s="2">
        <v>0</v>
      </c>
      <c r="FV21" s="4">
        <v>0</v>
      </c>
      <c r="FW21" s="4">
        <v>0</v>
      </c>
      <c r="FX21" s="2" t="s">
        <v>65</v>
      </c>
      <c r="FY21" s="2" t="s">
        <v>66</v>
      </c>
      <c r="FZ21" s="2" t="s">
        <v>9</v>
      </c>
      <c r="GA21" s="2">
        <v>8</v>
      </c>
      <c r="GB21" s="2" t="s">
        <v>9</v>
      </c>
      <c r="GC21" s="2" t="s">
        <v>85</v>
      </c>
      <c r="GD21" s="2" t="s">
        <v>67</v>
      </c>
      <c r="GE21" s="2" t="s">
        <v>68</v>
      </c>
      <c r="GF21" s="2"/>
      <c r="GG21" s="2"/>
      <c r="GH21" s="2">
        <v>60</v>
      </c>
      <c r="GI21" s="2"/>
      <c r="GJ21" s="2"/>
      <c r="GK21" s="2"/>
      <c r="GL21" s="2"/>
      <c r="GM21" s="2"/>
      <c r="GN21" s="2"/>
      <c r="GO21" s="2"/>
      <c r="GP21" s="2"/>
      <c r="GQ21" s="2">
        <v>60</v>
      </c>
      <c r="GR21" s="2" t="s">
        <v>2826</v>
      </c>
      <c r="GS21" s="2" t="s">
        <v>2686</v>
      </c>
      <c r="GT21" s="2">
        <v>1</v>
      </c>
      <c r="GU21" s="2" t="s">
        <v>5225</v>
      </c>
      <c r="GV21" s="2" t="s">
        <v>510</v>
      </c>
      <c r="GW21" s="2" t="s">
        <v>17</v>
      </c>
      <c r="GX21" s="2">
        <v>28.528122</v>
      </c>
      <c r="GY21" s="2">
        <v>-81.38955</v>
      </c>
      <c r="GZ21" s="2"/>
      <c r="HA21" s="2" t="s">
        <v>17</v>
      </c>
      <c r="HB21" s="2">
        <v>0</v>
      </c>
      <c r="HC21" s="2" t="s">
        <v>17</v>
      </c>
      <c r="HD21" s="2"/>
      <c r="HE21" s="2">
        <v>0</v>
      </c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>
        <v>28.525981000000002</v>
      </c>
      <c r="HU21" s="2">
        <v>-81.381676999999996</v>
      </c>
      <c r="HV21" s="2">
        <v>0.51</v>
      </c>
      <c r="HW21" s="2">
        <v>5</v>
      </c>
      <c r="HX21" s="2" t="s">
        <v>73</v>
      </c>
      <c r="HY21" s="2"/>
      <c r="HZ21" s="2"/>
      <c r="IA21" s="2"/>
      <c r="IB21" s="2"/>
      <c r="IC21" s="2" t="s">
        <v>5226</v>
      </c>
      <c r="ID21" s="2" t="s">
        <v>5227</v>
      </c>
      <c r="IE21" s="2">
        <v>1.18</v>
      </c>
      <c r="IF21" s="2">
        <v>2</v>
      </c>
      <c r="IG21" s="2" t="s">
        <v>224</v>
      </c>
      <c r="IH21" s="2" t="s">
        <v>5228</v>
      </c>
      <c r="II21" s="2">
        <v>0.69</v>
      </c>
      <c r="IJ21" s="2">
        <v>3</v>
      </c>
      <c r="IK21" s="2" t="s">
        <v>5229</v>
      </c>
      <c r="IL21" s="2" t="s">
        <v>5230</v>
      </c>
      <c r="IM21" s="2">
        <v>0.74</v>
      </c>
      <c r="IN21" s="2">
        <v>3.5</v>
      </c>
      <c r="IO21" s="2">
        <v>5</v>
      </c>
      <c r="IP21" s="2">
        <v>8.5</v>
      </c>
      <c r="IQ21" s="2">
        <v>0</v>
      </c>
      <c r="IR21" s="2">
        <v>13.5</v>
      </c>
      <c r="IS21" s="2" t="s">
        <v>17</v>
      </c>
      <c r="IT21" s="2" t="s">
        <v>17</v>
      </c>
      <c r="IU21" s="2" t="s">
        <v>17</v>
      </c>
      <c r="IV21" s="2" t="s">
        <v>9</v>
      </c>
      <c r="IW21" s="2" t="s">
        <v>9</v>
      </c>
      <c r="IX21" s="2" t="s">
        <v>9</v>
      </c>
      <c r="IY21" s="2">
        <v>13.5</v>
      </c>
      <c r="IZ21" s="2">
        <v>60</v>
      </c>
      <c r="JA21" s="2"/>
      <c r="JB21" s="2"/>
      <c r="JC21" s="2"/>
      <c r="JD21" s="2"/>
      <c r="JE21" s="2"/>
      <c r="JF21" s="2"/>
      <c r="JG21" s="2"/>
      <c r="JH21" s="7">
        <v>0</v>
      </c>
      <c r="JI21" s="2">
        <v>0</v>
      </c>
      <c r="JJ21" s="7">
        <v>0</v>
      </c>
      <c r="JK21" s="2">
        <v>0</v>
      </c>
      <c r="JL21" s="7">
        <v>0</v>
      </c>
      <c r="JM21" s="2">
        <v>10</v>
      </c>
      <c r="JN21" s="2"/>
      <c r="JO21" s="2">
        <v>20</v>
      </c>
      <c r="JP21" s="2">
        <v>30</v>
      </c>
      <c r="JQ21" s="2"/>
      <c r="JR21" s="2">
        <v>0</v>
      </c>
      <c r="JS21" s="2">
        <v>0</v>
      </c>
      <c r="JT21" s="2"/>
      <c r="JU21" s="2"/>
      <c r="JV21" s="2">
        <v>60</v>
      </c>
      <c r="JW21" s="4">
        <v>1</v>
      </c>
      <c r="JX21" s="2">
        <v>60</v>
      </c>
      <c r="JY21" s="4">
        <v>0.6</v>
      </c>
      <c r="JZ21" s="2">
        <v>0</v>
      </c>
      <c r="KA21" s="2"/>
      <c r="KB21" s="2"/>
      <c r="KC21" s="2"/>
      <c r="KD21" s="2"/>
      <c r="KE21" s="2"/>
      <c r="KF21" s="2"/>
      <c r="KG21" s="2"/>
      <c r="KH21" s="2"/>
      <c r="KI21" s="2">
        <v>30</v>
      </c>
      <c r="KJ21" s="2"/>
      <c r="KK21" s="2"/>
      <c r="KL21" s="2">
        <v>30</v>
      </c>
      <c r="KM21" s="2"/>
      <c r="KN21" s="2"/>
      <c r="KO21" s="2"/>
      <c r="KP21" s="2"/>
      <c r="KQ21" s="2" t="s">
        <v>83</v>
      </c>
      <c r="KR21" s="2" t="s">
        <v>73</v>
      </c>
      <c r="KS21" s="2"/>
      <c r="KT21" s="2">
        <v>1</v>
      </c>
      <c r="KU21" s="2" t="s">
        <v>84</v>
      </c>
      <c r="KV21" s="2" t="s">
        <v>85</v>
      </c>
      <c r="KW21" s="2" t="s">
        <v>86</v>
      </c>
      <c r="KX21" s="2" t="s">
        <v>17</v>
      </c>
      <c r="KY21" s="2" t="s">
        <v>17</v>
      </c>
      <c r="KZ21" s="2" t="s">
        <v>17</v>
      </c>
      <c r="LA21" s="2" t="s">
        <v>17</v>
      </c>
      <c r="LB21" s="2" t="s">
        <v>17</v>
      </c>
      <c r="LC21" s="2" t="s">
        <v>17</v>
      </c>
      <c r="LD21" s="2" t="s">
        <v>17</v>
      </c>
      <c r="LE21" s="2" t="s">
        <v>17</v>
      </c>
      <c r="LF21" s="2" t="s">
        <v>17</v>
      </c>
      <c r="LG21" s="2" t="s">
        <v>17</v>
      </c>
      <c r="LH21" s="2" t="s">
        <v>17</v>
      </c>
      <c r="LI21" s="2" t="s">
        <v>17</v>
      </c>
      <c r="LJ21" s="2" t="s">
        <v>87</v>
      </c>
      <c r="LK21" s="2" t="s">
        <v>17</v>
      </c>
      <c r="LL21" s="2" t="s">
        <v>17</v>
      </c>
      <c r="LM21" s="2">
        <v>0</v>
      </c>
      <c r="LN21" s="2" t="s">
        <v>17</v>
      </c>
      <c r="LO21" s="2" t="s">
        <v>17</v>
      </c>
      <c r="LP21" s="2" t="s">
        <v>9</v>
      </c>
      <c r="LQ21" s="2" t="s">
        <v>17</v>
      </c>
      <c r="LR21" s="2" t="s">
        <v>9</v>
      </c>
      <c r="LS21" s="2" t="s">
        <v>9</v>
      </c>
      <c r="LT21" s="2" t="s">
        <v>17</v>
      </c>
      <c r="LU21" s="2" t="s">
        <v>17</v>
      </c>
      <c r="LV21" s="2" t="s">
        <v>17</v>
      </c>
      <c r="LW21" s="2" t="s">
        <v>17</v>
      </c>
      <c r="LX21" s="2" t="s">
        <v>17</v>
      </c>
      <c r="LY21" s="5">
        <v>6300000</v>
      </c>
      <c r="LZ21" s="5">
        <v>0</v>
      </c>
      <c r="MA21" s="5">
        <v>6300000</v>
      </c>
      <c r="MB21" s="5">
        <v>4740000</v>
      </c>
      <c r="MC21" s="5">
        <v>4740000</v>
      </c>
      <c r="MD21" s="5">
        <v>600600</v>
      </c>
      <c r="ME21" s="5">
        <v>600600</v>
      </c>
      <c r="MF21" s="5">
        <v>600600</v>
      </c>
      <c r="MG21" s="5">
        <v>5340600</v>
      </c>
      <c r="MH21" s="2">
        <v>0</v>
      </c>
      <c r="MI21" s="5">
        <v>0</v>
      </c>
      <c r="MJ21" s="5">
        <v>0</v>
      </c>
      <c r="MK21" s="2">
        <v>0</v>
      </c>
      <c r="ML21" s="2">
        <v>0</v>
      </c>
      <c r="MM21" s="2">
        <v>0</v>
      </c>
      <c r="MN21" s="5">
        <v>2950000</v>
      </c>
      <c r="MO21" s="5">
        <v>0</v>
      </c>
      <c r="MP21" s="5">
        <v>4600000</v>
      </c>
      <c r="MQ21" s="5">
        <v>0</v>
      </c>
      <c r="MR21" s="5">
        <v>0</v>
      </c>
      <c r="MS21" s="5">
        <v>0</v>
      </c>
      <c r="MT21" s="5">
        <v>0</v>
      </c>
      <c r="MU21" s="5">
        <v>1820000</v>
      </c>
      <c r="MV21" s="5">
        <v>0</v>
      </c>
      <c r="MW21" s="5">
        <v>0</v>
      </c>
      <c r="MX21" s="5">
        <v>0</v>
      </c>
      <c r="MY21" s="5">
        <v>0</v>
      </c>
      <c r="MZ21" s="5">
        <v>0</v>
      </c>
      <c r="NA21" s="5">
        <v>1050972</v>
      </c>
      <c r="NB21" s="2" t="s">
        <v>17</v>
      </c>
      <c r="NC21" s="2"/>
      <c r="ND21" s="2"/>
      <c r="NE21" s="2"/>
      <c r="NF21" s="2"/>
      <c r="NG21" s="2"/>
      <c r="NH21" s="2"/>
      <c r="NI21" s="61">
        <v>0</v>
      </c>
      <c r="NJ21" s="61"/>
      <c r="NK21" s="61"/>
      <c r="NL21" s="61"/>
      <c r="NM21" s="2" t="s">
        <v>17</v>
      </c>
      <c r="NN21" s="2"/>
      <c r="NO21" s="2" t="s">
        <v>17</v>
      </c>
      <c r="NP21" s="2"/>
      <c r="NQ21" s="2"/>
      <c r="NR21" s="2" t="s">
        <v>17</v>
      </c>
      <c r="NS21" s="2"/>
      <c r="NT21" s="2" t="s">
        <v>9</v>
      </c>
      <c r="NU21" s="2" t="s">
        <v>450</v>
      </c>
      <c r="NV21" s="2">
        <v>185</v>
      </c>
      <c r="NW21" s="2" t="s">
        <v>3011</v>
      </c>
      <c r="NX21" s="2" t="s">
        <v>118</v>
      </c>
      <c r="NY21" s="2" t="s">
        <v>118</v>
      </c>
      <c r="NZ21" s="2" t="s">
        <v>118</v>
      </c>
      <c r="OA21" s="2" t="s">
        <v>17</v>
      </c>
      <c r="OB21" s="2" t="s">
        <v>119</v>
      </c>
      <c r="OC21" s="5">
        <v>13000000</v>
      </c>
      <c r="OD21" s="2" t="s">
        <v>17</v>
      </c>
      <c r="OE21" s="2" t="s">
        <v>17</v>
      </c>
      <c r="OF21" s="2" t="s">
        <v>85</v>
      </c>
      <c r="OG21" s="6">
        <v>5700000</v>
      </c>
      <c r="OH21" s="6">
        <v>0</v>
      </c>
      <c r="OI21" s="2" t="s">
        <v>93</v>
      </c>
      <c r="OJ21" s="2" t="s">
        <v>93</v>
      </c>
      <c r="OK21" s="6">
        <v>0</v>
      </c>
      <c r="OL21" s="6">
        <v>0</v>
      </c>
      <c r="OM21" s="6">
        <v>0</v>
      </c>
      <c r="ON21" s="6">
        <v>0</v>
      </c>
      <c r="OO21" s="6">
        <v>0</v>
      </c>
      <c r="OP21" s="6">
        <v>0</v>
      </c>
      <c r="OQ21" s="4">
        <v>0</v>
      </c>
      <c r="OR21" s="6">
        <v>0</v>
      </c>
      <c r="OS21" s="4">
        <v>0</v>
      </c>
      <c r="OT21" s="2" t="s">
        <v>17</v>
      </c>
      <c r="OU21" s="2" t="s">
        <v>17</v>
      </c>
      <c r="OV21" s="2"/>
      <c r="OW21" s="2" t="s">
        <v>17</v>
      </c>
      <c r="OX21" s="5">
        <v>5014920</v>
      </c>
      <c r="OY21" s="6">
        <v>83582</v>
      </c>
      <c r="OZ21" s="2">
        <v>0</v>
      </c>
      <c r="PA21" s="2"/>
      <c r="PB21" s="8">
        <v>14896</v>
      </c>
      <c r="PC21" s="8">
        <v>14896</v>
      </c>
      <c r="PD21" s="2">
        <v>0</v>
      </c>
      <c r="PE21" s="2"/>
      <c r="PF21" s="8">
        <v>11120000</v>
      </c>
      <c r="PG21" s="2">
        <v>0</v>
      </c>
      <c r="PH21" s="8">
        <v>11120000</v>
      </c>
      <c r="PI21" s="2">
        <v>0</v>
      </c>
      <c r="PJ21" s="2"/>
      <c r="PK21" s="8">
        <v>50000</v>
      </c>
      <c r="PL21" s="8">
        <v>50000</v>
      </c>
      <c r="PM21" s="8">
        <v>1440000</v>
      </c>
      <c r="PN21" s="8">
        <v>100000</v>
      </c>
      <c r="PO21" s="8">
        <v>1540000</v>
      </c>
      <c r="PP21" s="2">
        <v>0</v>
      </c>
      <c r="PQ21" s="2"/>
      <c r="PR21" s="8">
        <v>12610000</v>
      </c>
      <c r="PS21" s="8">
        <v>114896</v>
      </c>
      <c r="PT21" s="8">
        <v>12724896</v>
      </c>
      <c r="PU21" s="8">
        <v>1700000</v>
      </c>
      <c r="PV21" s="8">
        <v>1700000</v>
      </c>
      <c r="PW21" s="6">
        <v>1781485</v>
      </c>
      <c r="PX21" s="8">
        <v>14310000</v>
      </c>
      <c r="PY21" s="8">
        <v>114896</v>
      </c>
      <c r="PZ21" s="8">
        <v>14424896</v>
      </c>
      <c r="QA21" s="8">
        <v>705000</v>
      </c>
      <c r="QB21" s="8">
        <v>705000</v>
      </c>
      <c r="QC21" s="6">
        <v>721244.8</v>
      </c>
      <c r="QD21" s="2">
        <v>0</v>
      </c>
      <c r="QE21" s="8">
        <v>40000</v>
      </c>
      <c r="QF21" s="8">
        <v>40000</v>
      </c>
      <c r="QG21" s="8">
        <v>5000</v>
      </c>
      <c r="QH21" s="8">
        <v>5000</v>
      </c>
      <c r="QI21" s="8" t="s">
        <v>5364</v>
      </c>
      <c r="QJ21" s="8">
        <v>270000</v>
      </c>
      <c r="QK21" s="8">
        <v>75000</v>
      </c>
      <c r="QL21" s="8">
        <v>75000</v>
      </c>
      <c r="QM21" s="8">
        <v>230000</v>
      </c>
      <c r="QN21" s="2">
        <v>0</v>
      </c>
      <c r="QO21" s="8">
        <v>230000</v>
      </c>
      <c r="QP21" s="8">
        <v>75000</v>
      </c>
      <c r="QQ21" s="8">
        <v>75000</v>
      </c>
      <c r="QR21" s="2">
        <v>0</v>
      </c>
      <c r="QS21" s="2"/>
      <c r="QT21" s="8">
        <v>90000</v>
      </c>
      <c r="QU21" s="8">
        <v>15000</v>
      </c>
      <c r="QV21" s="8">
        <v>105000</v>
      </c>
      <c r="QW21" s="2" t="s">
        <v>5366</v>
      </c>
      <c r="QX21" s="8">
        <v>20000</v>
      </c>
      <c r="QY21" s="8">
        <v>94588</v>
      </c>
      <c r="QZ21" s="8">
        <v>94588</v>
      </c>
      <c r="RA21" s="8">
        <v>3000</v>
      </c>
      <c r="RB21" s="8">
        <v>3000</v>
      </c>
      <c r="RC21" s="8">
        <v>229477</v>
      </c>
      <c r="RD21" s="8">
        <v>229477</v>
      </c>
      <c r="RE21" s="8">
        <v>26781</v>
      </c>
      <c r="RF21" s="8">
        <v>26781</v>
      </c>
      <c r="RG21" s="8">
        <v>45000</v>
      </c>
      <c r="RH21" s="8">
        <v>45000</v>
      </c>
      <c r="RI21" s="2"/>
      <c r="RJ21" s="2"/>
      <c r="RK21" s="2">
        <v>0</v>
      </c>
      <c r="RL21" s="8">
        <v>30000</v>
      </c>
      <c r="RM21" s="8">
        <v>30000</v>
      </c>
      <c r="RN21" s="2">
        <v>0</v>
      </c>
      <c r="RO21" s="8">
        <v>25000</v>
      </c>
      <c r="RP21" s="8">
        <v>25000</v>
      </c>
      <c r="RQ21" s="8">
        <v>300000</v>
      </c>
      <c r="RR21" s="8">
        <v>50000</v>
      </c>
      <c r="RS21" s="8">
        <v>350000</v>
      </c>
      <c r="RT21" s="8">
        <v>5000</v>
      </c>
      <c r="RU21" s="8">
        <v>5000</v>
      </c>
      <c r="RV21" s="8">
        <v>10000</v>
      </c>
      <c r="RW21" s="8">
        <v>25000</v>
      </c>
      <c r="RX21" s="8">
        <v>25000</v>
      </c>
      <c r="RY21" s="2">
        <v>0</v>
      </c>
      <c r="RZ21" s="8">
        <v>7500</v>
      </c>
      <c r="SA21" s="8">
        <v>7500</v>
      </c>
      <c r="SB21" s="2" t="s">
        <v>5366</v>
      </c>
      <c r="SC21" s="8">
        <v>20000</v>
      </c>
      <c r="SD21" s="2">
        <v>0</v>
      </c>
      <c r="SE21" s="8">
        <v>20000</v>
      </c>
      <c r="SF21" s="8">
        <v>20000</v>
      </c>
      <c r="SG21" s="2"/>
      <c r="SH21" s="8">
        <v>55000</v>
      </c>
      <c r="SI21" s="8">
        <v>55000</v>
      </c>
      <c r="SJ21" s="8">
        <v>110000</v>
      </c>
      <c r="SK21" s="2"/>
      <c r="SL21" s="2"/>
      <c r="SM21" s="2">
        <v>0</v>
      </c>
      <c r="SN21" s="2">
        <v>0</v>
      </c>
      <c r="SO21" s="2"/>
      <c r="SP21" s="8">
        <v>1080000</v>
      </c>
      <c r="SQ21" s="8">
        <v>736346</v>
      </c>
      <c r="SR21" s="8">
        <v>1816346</v>
      </c>
      <c r="SS21" s="8">
        <v>51000</v>
      </c>
      <c r="ST21" s="2">
        <v>0</v>
      </c>
      <c r="SU21" s="8">
        <v>51000</v>
      </c>
      <c r="SV21" s="6">
        <v>90817.3</v>
      </c>
      <c r="SW21" s="8">
        <v>240000</v>
      </c>
      <c r="SX21" s="8">
        <v>240000</v>
      </c>
      <c r="SY21" s="2"/>
      <c r="SZ21" s="8">
        <v>650000</v>
      </c>
      <c r="TA21" s="8">
        <v>650000</v>
      </c>
      <c r="TB21" s="8">
        <v>1300000</v>
      </c>
      <c r="TC21" s="8">
        <v>25000</v>
      </c>
      <c r="TD21" s="2">
        <v>0</v>
      </c>
      <c r="TE21" s="8">
        <v>25000</v>
      </c>
      <c r="TF21" s="8">
        <v>5000</v>
      </c>
      <c r="TG21" s="8">
        <v>5000</v>
      </c>
      <c r="TH21" s="2"/>
      <c r="TI21" s="8">
        <v>25000</v>
      </c>
      <c r="TJ21" s="8">
        <v>25000</v>
      </c>
      <c r="TK21" s="2"/>
      <c r="TL21" s="2">
        <v>0</v>
      </c>
      <c r="TM21" s="2">
        <v>0</v>
      </c>
      <c r="TN21" s="2"/>
      <c r="TO21" s="8">
        <v>915000</v>
      </c>
      <c r="TP21" s="8">
        <v>680000</v>
      </c>
      <c r="TQ21" s="8">
        <v>1595000</v>
      </c>
      <c r="TR21" s="8">
        <v>17061000</v>
      </c>
      <c r="TS21" s="8">
        <v>1531242</v>
      </c>
      <c r="TT21" s="8">
        <v>18592242</v>
      </c>
      <c r="TU21" s="8">
        <v>3150000</v>
      </c>
      <c r="TV21" s="8">
        <v>3150000</v>
      </c>
      <c r="TW21" s="6">
        <v>3346603</v>
      </c>
      <c r="TX21" s="8">
        <v>3150000</v>
      </c>
      <c r="TY21" s="8">
        <v>3150000</v>
      </c>
      <c r="TZ21" s="6">
        <v>3346603</v>
      </c>
      <c r="UA21" s="8">
        <v>1500000</v>
      </c>
      <c r="UB21" s="8">
        <v>1500000</v>
      </c>
      <c r="UC21" s="8">
        <v>20211000</v>
      </c>
      <c r="UD21" s="8">
        <v>3031242</v>
      </c>
      <c r="UE21" s="8">
        <v>23242242</v>
      </c>
      <c r="UF21" s="8">
        <v>13000000</v>
      </c>
      <c r="UG21" s="2" t="s">
        <v>4295</v>
      </c>
      <c r="UH21" s="2"/>
      <c r="UI21" s="2"/>
      <c r="UJ21" s="8">
        <v>5340600</v>
      </c>
      <c r="UK21" s="2"/>
      <c r="UL21" s="2" t="s">
        <v>96</v>
      </c>
      <c r="UM21" s="8">
        <v>3310230</v>
      </c>
      <c r="UN21" s="8">
        <v>3000000</v>
      </c>
      <c r="UO21" s="8">
        <v>24650830</v>
      </c>
      <c r="UP21" s="8">
        <v>1408588</v>
      </c>
      <c r="UQ21" s="8">
        <v>5700000</v>
      </c>
      <c r="UR21" s="2" t="s">
        <v>4295</v>
      </c>
      <c r="US21" s="2"/>
      <c r="UT21" s="2"/>
      <c r="UU21" s="2"/>
      <c r="UV21" s="2"/>
      <c r="UW21" s="8">
        <v>5340600</v>
      </c>
      <c r="UX21" s="2"/>
      <c r="UY21" s="2" t="s">
        <v>96</v>
      </c>
      <c r="UZ21" s="8">
        <v>9457802</v>
      </c>
      <c r="VA21" s="8">
        <v>3000000</v>
      </c>
      <c r="VB21" s="8">
        <v>23498402</v>
      </c>
      <c r="VC21" s="6">
        <v>11040600</v>
      </c>
      <c r="VD21" s="8">
        <v>256160</v>
      </c>
      <c r="VE21" s="5">
        <v>320000</v>
      </c>
      <c r="VF21" s="5">
        <v>327500</v>
      </c>
      <c r="VG21" s="6">
        <v>362122.43</v>
      </c>
      <c r="VH21" s="2" t="s">
        <v>17</v>
      </c>
      <c r="VI21" s="388" t="s">
        <v>193</v>
      </c>
      <c r="VJ21" s="2" t="s">
        <v>98</v>
      </c>
      <c r="VK21" s="2" t="s">
        <v>4453</v>
      </c>
      <c r="VL21" s="23">
        <f t="shared" si="0"/>
        <v>150</v>
      </c>
      <c r="VM21" s="17">
        <f t="shared" si="1"/>
        <v>2.5</v>
      </c>
      <c r="VN21" s="17" t="str">
        <f t="shared" si="2"/>
        <v>NC-GA-F</v>
      </c>
      <c r="VO21" s="17" t="str">
        <f t="shared" si="15"/>
        <v>NC-GA-F-Non</v>
      </c>
      <c r="VP21" s="57">
        <v>1</v>
      </c>
      <c r="VQ21" s="17">
        <f t="shared" si="3"/>
        <v>1.1100000000000001</v>
      </c>
      <c r="VR21" s="57">
        <f t="shared" si="4"/>
        <v>1</v>
      </c>
      <c r="VS21" s="14">
        <f t="shared" si="5"/>
        <v>1</v>
      </c>
      <c r="VT21" s="12">
        <f t="shared" si="6"/>
        <v>0.89</v>
      </c>
      <c r="VU21" s="29">
        <f t="shared" si="7"/>
        <v>4682646</v>
      </c>
      <c r="VV21" s="29">
        <f t="shared" si="8"/>
        <v>78044.100000000006</v>
      </c>
      <c r="VW21" s="351" t="str">
        <f t="shared" si="21"/>
        <v>A</v>
      </c>
      <c r="VX21" s="12" t="str">
        <f t="shared" si="9"/>
        <v>NC-GA-Non</v>
      </c>
      <c r="VY21" s="23">
        <f t="shared" si="22"/>
        <v>3</v>
      </c>
      <c r="WA21" s="12">
        <f t="shared" si="16"/>
        <v>0</v>
      </c>
      <c r="WB21" s="12">
        <f t="shared" si="17"/>
        <v>1</v>
      </c>
      <c r="WC21" s="12">
        <f t="shared" si="17"/>
        <v>0</v>
      </c>
      <c r="WD21" s="12">
        <f t="shared" si="17"/>
        <v>0</v>
      </c>
      <c r="WE21" s="12">
        <f t="shared" si="18"/>
        <v>0</v>
      </c>
      <c r="WF21" s="12">
        <f t="shared" si="10"/>
        <v>1</v>
      </c>
      <c r="WG21" s="12">
        <f t="shared" si="11"/>
        <v>0</v>
      </c>
      <c r="WH21" s="12">
        <f t="shared" si="12"/>
        <v>0</v>
      </c>
      <c r="WI21" s="31">
        <f t="shared" si="13"/>
        <v>2</v>
      </c>
      <c r="WJ21" s="2"/>
      <c r="WK21" s="444" t="str">
        <f t="shared" si="23"/>
        <v>NC-GA-Non-BBY-BRN-NPH-F</v>
      </c>
      <c r="WL21" s="444"/>
      <c r="WM21" s="444"/>
    </row>
    <row r="22" spans="1:611" x14ac:dyDescent="0.25">
      <c r="A22" s="2">
        <v>9066</v>
      </c>
      <c r="B22" s="2" t="s">
        <v>5231</v>
      </c>
      <c r="C22" s="2" t="s">
        <v>5063</v>
      </c>
      <c r="D22" s="2">
        <v>10</v>
      </c>
      <c r="E22" s="2">
        <v>34.590000000000003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 t="s">
        <v>9</v>
      </c>
      <c r="BV22" s="6">
        <v>84375.5</v>
      </c>
      <c r="BW22" s="2" t="s">
        <v>18</v>
      </c>
      <c r="BX22" s="3">
        <v>45036</v>
      </c>
      <c r="BY22" s="2" t="s">
        <v>9</v>
      </c>
      <c r="BZ22" s="2">
        <v>1</v>
      </c>
      <c r="CA22" s="2" t="s">
        <v>9</v>
      </c>
      <c r="CB22" s="2">
        <v>1</v>
      </c>
      <c r="CC22" s="2" t="s">
        <v>9</v>
      </c>
      <c r="CD22" s="2">
        <v>0</v>
      </c>
      <c r="CE22" s="2" t="s">
        <v>5232</v>
      </c>
      <c r="CF22" s="2">
        <v>1</v>
      </c>
      <c r="CG22" s="2" t="s">
        <v>10</v>
      </c>
      <c r="CH22" s="2">
        <v>0</v>
      </c>
      <c r="CI22" s="2" t="s">
        <v>10</v>
      </c>
      <c r="CJ22" s="2">
        <v>0</v>
      </c>
      <c r="CK22" s="2" t="s">
        <v>11</v>
      </c>
      <c r="CL22" s="2">
        <v>0</v>
      </c>
      <c r="CM22" s="2" t="s">
        <v>9</v>
      </c>
      <c r="CN22" s="2">
        <v>2</v>
      </c>
      <c r="CO22" s="2" t="s">
        <v>9</v>
      </c>
      <c r="CP22" s="2">
        <v>2</v>
      </c>
      <c r="CQ22" s="2" t="s">
        <v>9</v>
      </c>
      <c r="CR22" s="2">
        <v>2</v>
      </c>
      <c r="CS22" s="2" t="s">
        <v>12</v>
      </c>
      <c r="CT22" s="2" t="s">
        <v>1667</v>
      </c>
      <c r="CU22" s="2" t="s">
        <v>15</v>
      </c>
      <c r="CV22" s="2" t="s">
        <v>15</v>
      </c>
      <c r="CW22" s="2" t="s">
        <v>15</v>
      </c>
      <c r="CX22" s="2" t="s">
        <v>15</v>
      </c>
      <c r="CY22" s="2" t="s">
        <v>15</v>
      </c>
      <c r="CZ22" s="2">
        <v>1</v>
      </c>
      <c r="DA22" s="2" t="s">
        <v>539</v>
      </c>
      <c r="DB22" s="2" t="s">
        <v>17</v>
      </c>
      <c r="DC22" s="4">
        <v>0.15625</v>
      </c>
      <c r="DD22" s="2" t="s">
        <v>17</v>
      </c>
      <c r="DE22" s="2" t="s">
        <v>9</v>
      </c>
      <c r="DF22" s="2" t="s">
        <v>17</v>
      </c>
      <c r="DG22" s="2" t="s">
        <v>17</v>
      </c>
      <c r="DH22" s="2" t="s">
        <v>17</v>
      </c>
      <c r="DI22" s="2" t="s">
        <v>9</v>
      </c>
      <c r="DJ22" s="2" t="s">
        <v>17</v>
      </c>
      <c r="DK22" s="2" t="s">
        <v>17</v>
      </c>
      <c r="DL22" s="2" t="s">
        <v>17</v>
      </c>
      <c r="DM22" s="2" t="s">
        <v>17</v>
      </c>
      <c r="DN22" s="2" t="s">
        <v>2663</v>
      </c>
      <c r="DO22" s="2">
        <v>5</v>
      </c>
      <c r="DP22" s="5">
        <v>50000</v>
      </c>
      <c r="DQ22" s="5">
        <v>460000</v>
      </c>
      <c r="DR22" s="2">
        <v>0</v>
      </c>
      <c r="DS22" s="2">
        <v>7</v>
      </c>
      <c r="DT22" s="2">
        <v>0</v>
      </c>
      <c r="DU22" s="2">
        <v>6</v>
      </c>
      <c r="DV22" s="2">
        <v>0</v>
      </c>
      <c r="DW22" s="2">
        <v>0</v>
      </c>
      <c r="DX22" s="2">
        <v>1</v>
      </c>
      <c r="DY22" s="2">
        <v>0</v>
      </c>
      <c r="DZ22" s="2">
        <v>1</v>
      </c>
      <c r="EA22" s="2">
        <v>0</v>
      </c>
      <c r="EB22" s="2">
        <v>0</v>
      </c>
      <c r="EC22" s="2">
        <v>0</v>
      </c>
      <c r="ED22" s="2">
        <v>13</v>
      </c>
      <c r="EE22" s="2">
        <v>1</v>
      </c>
      <c r="EF22" s="2">
        <v>0</v>
      </c>
      <c r="EG22" s="2">
        <v>3</v>
      </c>
      <c r="EH22" s="2">
        <v>0</v>
      </c>
      <c r="EI22" s="2">
        <v>12</v>
      </c>
      <c r="EJ22" s="2">
        <v>11</v>
      </c>
      <c r="EK22" s="2">
        <v>0</v>
      </c>
      <c r="EL22" s="2" t="s">
        <v>17</v>
      </c>
      <c r="EM22" s="2" t="s">
        <v>17</v>
      </c>
      <c r="EN22" s="2" t="s">
        <v>17</v>
      </c>
      <c r="EO22" s="2" t="s">
        <v>17</v>
      </c>
      <c r="EP22" s="2" t="s">
        <v>17</v>
      </c>
      <c r="EQ22" s="2" t="s">
        <v>17</v>
      </c>
      <c r="ER22" s="2" t="s">
        <v>17</v>
      </c>
      <c r="ES22" s="2" t="s">
        <v>17</v>
      </c>
      <c r="ET22" s="2" t="s">
        <v>5233</v>
      </c>
      <c r="EU22" s="2"/>
      <c r="EV22" s="2"/>
      <c r="EW22" s="2" t="s">
        <v>9</v>
      </c>
      <c r="EX22" s="2" t="s">
        <v>1125</v>
      </c>
      <c r="EY22" s="2" t="s">
        <v>5233</v>
      </c>
      <c r="EZ22" s="2" t="s">
        <v>5178</v>
      </c>
      <c r="FA22" s="2" t="s">
        <v>1968</v>
      </c>
      <c r="FB22" s="2">
        <v>110</v>
      </c>
      <c r="FC22" s="2" t="s">
        <v>795</v>
      </c>
      <c r="FD22" s="2">
        <v>2023</v>
      </c>
      <c r="FE22" s="2" t="s">
        <v>26</v>
      </c>
      <c r="FF22" s="2" t="s">
        <v>4210</v>
      </c>
      <c r="FG22" s="2" t="s">
        <v>4338</v>
      </c>
      <c r="FH22" s="2"/>
      <c r="FI22" s="2" t="s">
        <v>3360</v>
      </c>
      <c r="FJ22" s="2" t="s">
        <v>3361</v>
      </c>
      <c r="FK22" s="2">
        <v>1</v>
      </c>
      <c r="FL22" s="2" t="s">
        <v>4340</v>
      </c>
      <c r="FM22" s="2" t="s">
        <v>4341</v>
      </c>
      <c r="FN22" s="2" t="s">
        <v>5234</v>
      </c>
      <c r="FO22" s="2" t="s">
        <v>63</v>
      </c>
      <c r="FP22" s="2" t="s">
        <v>9</v>
      </c>
      <c r="FQ22" s="2" t="s">
        <v>17</v>
      </c>
      <c r="FR22" s="2" t="s">
        <v>17</v>
      </c>
      <c r="FS22" s="2" t="s">
        <v>9</v>
      </c>
      <c r="FT22" s="2">
        <v>0</v>
      </c>
      <c r="FU22" s="2">
        <v>0</v>
      </c>
      <c r="FV22" s="4">
        <v>0</v>
      </c>
      <c r="FW22" s="4">
        <v>0</v>
      </c>
      <c r="FX22" s="2" t="s">
        <v>65</v>
      </c>
      <c r="FY22" s="2" t="s">
        <v>66</v>
      </c>
      <c r="FZ22" s="2" t="s">
        <v>17</v>
      </c>
      <c r="GA22" s="2"/>
      <c r="GB22" s="2"/>
      <c r="GC22" s="2"/>
      <c r="GD22" s="2" t="s">
        <v>67</v>
      </c>
      <c r="GE22" s="2" t="s">
        <v>68</v>
      </c>
      <c r="GF22" s="2">
        <v>96</v>
      </c>
      <c r="GG22" s="2">
        <v>96</v>
      </c>
      <c r="GH22" s="2"/>
      <c r="GI22" s="2"/>
      <c r="GJ22" s="2"/>
      <c r="GK22" s="2"/>
      <c r="GL22" s="2"/>
      <c r="GM22" s="2"/>
      <c r="GN22" s="2"/>
      <c r="GO22" s="2"/>
      <c r="GP22" s="2"/>
      <c r="GQ22" s="2">
        <v>96</v>
      </c>
      <c r="GR22" s="2" t="s">
        <v>1197</v>
      </c>
      <c r="GS22" s="2" t="s">
        <v>70</v>
      </c>
      <c r="GT22" s="2">
        <v>1</v>
      </c>
      <c r="GU22" s="2" t="s">
        <v>5235</v>
      </c>
      <c r="GV22" s="2" t="s">
        <v>1199</v>
      </c>
      <c r="GW22" s="2" t="s">
        <v>17</v>
      </c>
      <c r="GX22" s="2">
        <v>26.699894</v>
      </c>
      <c r="GY22" s="2">
        <v>-81.899094000000005</v>
      </c>
      <c r="GZ22" s="2"/>
      <c r="HA22" s="2" t="s">
        <v>17</v>
      </c>
      <c r="HB22" s="2">
        <v>0</v>
      </c>
      <c r="HC22" s="2" t="s">
        <v>17</v>
      </c>
      <c r="HD22" s="2"/>
      <c r="HE22" s="2">
        <v>0</v>
      </c>
      <c r="HF22" s="2">
        <v>26.699397000000001</v>
      </c>
      <c r="HG22" s="2">
        <v>-81.900219000000007</v>
      </c>
      <c r="HH22" s="2">
        <v>0.08</v>
      </c>
      <c r="HI22" s="2">
        <v>2</v>
      </c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 t="s">
        <v>73</v>
      </c>
      <c r="HY22" s="2" t="s">
        <v>74</v>
      </c>
      <c r="HZ22" s="2" t="s">
        <v>1200</v>
      </c>
      <c r="IA22" s="2">
        <v>1.37</v>
      </c>
      <c r="IB22" s="2">
        <v>1.5</v>
      </c>
      <c r="IC22" s="2"/>
      <c r="ID22" s="2"/>
      <c r="IE22" s="2"/>
      <c r="IF22" s="2"/>
      <c r="IG22" s="2" t="s">
        <v>1118</v>
      </c>
      <c r="IH22" s="2" t="s">
        <v>4493</v>
      </c>
      <c r="II22" s="2">
        <v>0.19</v>
      </c>
      <c r="IJ22" s="2">
        <v>4</v>
      </c>
      <c r="IK22" s="2" t="s">
        <v>5236</v>
      </c>
      <c r="IL22" s="2" t="s">
        <v>4495</v>
      </c>
      <c r="IM22" s="2">
        <v>1.02</v>
      </c>
      <c r="IN22" s="2">
        <v>2.5</v>
      </c>
      <c r="IO22" s="2">
        <v>2</v>
      </c>
      <c r="IP22" s="2">
        <v>8</v>
      </c>
      <c r="IQ22" s="2">
        <v>0</v>
      </c>
      <c r="IR22" s="2">
        <v>10</v>
      </c>
      <c r="IS22" s="2" t="s">
        <v>17</v>
      </c>
      <c r="IT22" s="2" t="s">
        <v>17</v>
      </c>
      <c r="IU22" s="2" t="s">
        <v>17</v>
      </c>
      <c r="IV22" s="2" t="s">
        <v>80</v>
      </c>
      <c r="IW22" s="2" t="s">
        <v>9</v>
      </c>
      <c r="IX22" s="2" t="s">
        <v>9</v>
      </c>
      <c r="IY22" s="2">
        <v>10</v>
      </c>
      <c r="IZ22" s="2">
        <v>96</v>
      </c>
      <c r="JA22" s="2"/>
      <c r="JB22" s="2"/>
      <c r="JC22" s="2"/>
      <c r="JD22" s="2"/>
      <c r="JE22" s="2"/>
      <c r="JF22" s="2"/>
      <c r="JG22" s="2"/>
      <c r="JH22" s="7">
        <v>0</v>
      </c>
      <c r="JI22" s="2">
        <v>0</v>
      </c>
      <c r="JJ22" s="7">
        <v>0</v>
      </c>
      <c r="JK22" s="2">
        <v>0</v>
      </c>
      <c r="JL22" s="7">
        <v>0</v>
      </c>
      <c r="JM22" s="2">
        <v>15</v>
      </c>
      <c r="JN22" s="2"/>
      <c r="JO22" s="2">
        <v>36</v>
      </c>
      <c r="JP22" s="2">
        <v>45</v>
      </c>
      <c r="JQ22" s="2"/>
      <c r="JR22" s="2">
        <v>0</v>
      </c>
      <c r="JS22" s="2">
        <v>0</v>
      </c>
      <c r="JT22" s="2"/>
      <c r="JU22" s="2"/>
      <c r="JV22" s="2">
        <v>96</v>
      </c>
      <c r="JW22" s="4">
        <v>1</v>
      </c>
      <c r="JX22" s="2">
        <v>96</v>
      </c>
      <c r="JY22" s="4">
        <v>0.6</v>
      </c>
      <c r="JZ22" s="2">
        <v>0</v>
      </c>
      <c r="KA22" s="2"/>
      <c r="KB22" s="2"/>
      <c r="KC22" s="2"/>
      <c r="KD22" s="2"/>
      <c r="KE22" s="2"/>
      <c r="KF22" s="2"/>
      <c r="KG22" s="2"/>
      <c r="KH22" s="2">
        <v>75</v>
      </c>
      <c r="KI22" s="2"/>
      <c r="KJ22" s="2"/>
      <c r="KK22" s="2">
        <v>21</v>
      </c>
      <c r="KL22" s="2"/>
      <c r="KM22" s="2"/>
      <c r="KN22" s="2"/>
      <c r="KO22" s="2"/>
      <c r="KP22" s="2"/>
      <c r="KQ22" s="2" t="s">
        <v>83</v>
      </c>
      <c r="KR22" s="2" t="s">
        <v>73</v>
      </c>
      <c r="KS22" s="2"/>
      <c r="KT22" s="2">
        <v>4</v>
      </c>
      <c r="KU22" s="2" t="s">
        <v>84</v>
      </c>
      <c r="KV22" s="2" t="s">
        <v>85</v>
      </c>
      <c r="KW22" s="2" t="s">
        <v>86</v>
      </c>
      <c r="KX22" s="2" t="s">
        <v>17</v>
      </c>
      <c r="KY22" s="2" t="s">
        <v>17</v>
      </c>
      <c r="KZ22" s="2" t="s">
        <v>17</v>
      </c>
      <c r="LA22" s="2" t="s">
        <v>17</v>
      </c>
      <c r="LB22" s="2" t="s">
        <v>17</v>
      </c>
      <c r="LC22" s="2" t="s">
        <v>17</v>
      </c>
      <c r="LD22" s="2" t="s">
        <v>17</v>
      </c>
      <c r="LE22" s="2" t="s">
        <v>17</v>
      </c>
      <c r="LF22" s="2" t="s">
        <v>17</v>
      </c>
      <c r="LG22" s="2" t="s">
        <v>17</v>
      </c>
      <c r="LH22" s="2" t="s">
        <v>17</v>
      </c>
      <c r="LI22" s="2" t="s">
        <v>17</v>
      </c>
      <c r="LJ22" s="2" t="s">
        <v>87</v>
      </c>
      <c r="LK22" s="2" t="s">
        <v>17</v>
      </c>
      <c r="LL22" s="2" t="s">
        <v>17</v>
      </c>
      <c r="LM22" s="2">
        <v>0</v>
      </c>
      <c r="LN22" s="2" t="s">
        <v>17</v>
      </c>
      <c r="LO22" s="2" t="s">
        <v>9</v>
      </c>
      <c r="LP22" s="2" t="s">
        <v>9</v>
      </c>
      <c r="LQ22" s="2" t="s">
        <v>17</v>
      </c>
      <c r="LR22" s="2" t="s">
        <v>9</v>
      </c>
      <c r="LS22" s="2" t="s">
        <v>17</v>
      </c>
      <c r="LT22" s="2" t="s">
        <v>17</v>
      </c>
      <c r="LU22" s="2" t="s">
        <v>17</v>
      </c>
      <c r="LV22" s="2" t="s">
        <v>17</v>
      </c>
      <c r="LW22" s="2" t="s">
        <v>17</v>
      </c>
      <c r="LX22" s="2" t="s">
        <v>17</v>
      </c>
      <c r="LY22" s="5">
        <v>10000000</v>
      </c>
      <c r="LZ22" s="5">
        <v>6500000</v>
      </c>
      <c r="MA22" s="5">
        <v>10000000</v>
      </c>
      <c r="MB22" s="5">
        <v>8800000</v>
      </c>
      <c r="MC22" s="5">
        <v>8800000</v>
      </c>
      <c r="MD22" s="5">
        <v>806600</v>
      </c>
      <c r="ME22" s="5">
        <v>806600</v>
      </c>
      <c r="MF22" s="5">
        <v>806600</v>
      </c>
      <c r="MG22" s="5">
        <v>9606600</v>
      </c>
      <c r="MH22" s="2">
        <v>0</v>
      </c>
      <c r="MI22" s="5">
        <v>0</v>
      </c>
      <c r="MJ22" s="5">
        <v>0</v>
      </c>
      <c r="MK22" s="2">
        <v>0</v>
      </c>
      <c r="ML22" s="2">
        <v>0</v>
      </c>
      <c r="MM22" s="2">
        <v>0</v>
      </c>
      <c r="MN22" s="5">
        <v>2950000</v>
      </c>
      <c r="MO22" s="5">
        <v>0</v>
      </c>
      <c r="MP22" s="5">
        <v>4600000</v>
      </c>
      <c r="MQ22" s="5">
        <v>0</v>
      </c>
      <c r="MR22" s="5">
        <v>0</v>
      </c>
      <c r="MS22" s="5">
        <v>0</v>
      </c>
      <c r="MT22" s="5">
        <v>0</v>
      </c>
      <c r="MU22" s="5">
        <v>2500000</v>
      </c>
      <c r="MV22" s="5">
        <v>0</v>
      </c>
      <c r="MW22" s="5">
        <v>0</v>
      </c>
      <c r="MX22" s="5">
        <v>0</v>
      </c>
      <c r="MY22" s="5">
        <v>2040000</v>
      </c>
      <c r="MZ22" s="5">
        <v>0</v>
      </c>
      <c r="NA22" s="5">
        <v>1225496</v>
      </c>
      <c r="NB22" s="2" t="s">
        <v>9</v>
      </c>
      <c r="NC22" s="2"/>
      <c r="ND22" s="2"/>
      <c r="NE22" s="2"/>
      <c r="NF22" s="2"/>
      <c r="NG22" s="2"/>
      <c r="NH22" s="2"/>
      <c r="NI22" s="61">
        <v>0</v>
      </c>
      <c r="NJ22" s="61"/>
      <c r="NK22" s="61"/>
      <c r="NL22" s="61"/>
      <c r="NM22" s="2" t="s">
        <v>17</v>
      </c>
      <c r="NN22" s="2"/>
      <c r="NO22" s="2" t="s">
        <v>17</v>
      </c>
      <c r="NP22" s="2"/>
      <c r="NQ22" s="2"/>
      <c r="NR22" s="2" t="s">
        <v>17</v>
      </c>
      <c r="NS22" s="2"/>
      <c r="NT22" s="2" t="s">
        <v>9</v>
      </c>
      <c r="NU22" s="2" t="s">
        <v>450</v>
      </c>
      <c r="NV22" s="2">
        <v>208.02</v>
      </c>
      <c r="NW22" s="2" t="s">
        <v>1221</v>
      </c>
      <c r="NX22" s="2" t="s">
        <v>118</v>
      </c>
      <c r="NY22" s="2" t="s">
        <v>118</v>
      </c>
      <c r="NZ22" s="2" t="s">
        <v>118</v>
      </c>
      <c r="OA22" s="2" t="s">
        <v>17</v>
      </c>
      <c r="OB22" s="2" t="s">
        <v>119</v>
      </c>
      <c r="OC22" s="5">
        <v>15500000</v>
      </c>
      <c r="OD22" s="2" t="s">
        <v>17</v>
      </c>
      <c r="OE22" s="2" t="s">
        <v>17</v>
      </c>
      <c r="OF22" s="2" t="s">
        <v>85</v>
      </c>
      <c r="OG22" s="6">
        <v>5700000</v>
      </c>
      <c r="OH22" s="6">
        <v>0</v>
      </c>
      <c r="OI22" s="2" t="s">
        <v>93</v>
      </c>
      <c r="OJ22" s="2" t="s">
        <v>93</v>
      </c>
      <c r="OK22" s="6">
        <v>0</v>
      </c>
      <c r="OL22" s="6">
        <v>0</v>
      </c>
      <c r="OM22" s="6">
        <v>0</v>
      </c>
      <c r="ON22" s="6">
        <v>0</v>
      </c>
      <c r="OO22" s="6">
        <v>0</v>
      </c>
      <c r="OP22" s="6">
        <v>0</v>
      </c>
      <c r="OQ22" s="4">
        <v>0</v>
      </c>
      <c r="OR22" s="6">
        <v>0</v>
      </c>
      <c r="OS22" s="4">
        <v>0</v>
      </c>
      <c r="OT22" s="2" t="s">
        <v>17</v>
      </c>
      <c r="OU22" s="2" t="s">
        <v>17</v>
      </c>
      <c r="OV22" s="2"/>
      <c r="OW22" s="2" t="s">
        <v>17</v>
      </c>
      <c r="OX22" s="5">
        <v>8100048</v>
      </c>
      <c r="OY22" s="6">
        <v>84375.5</v>
      </c>
      <c r="OZ22" s="2"/>
      <c r="PA22" s="2"/>
      <c r="PB22" s="2"/>
      <c r="PC22" s="2"/>
      <c r="PD22" s="2"/>
      <c r="PE22" s="2"/>
      <c r="PF22" s="8">
        <v>13329474</v>
      </c>
      <c r="PG22" s="2"/>
      <c r="PH22" s="8">
        <v>13329474</v>
      </c>
      <c r="PI22" s="2"/>
      <c r="PJ22" s="2"/>
      <c r="PK22" s="8">
        <v>305000</v>
      </c>
      <c r="PL22" s="8">
        <v>305000</v>
      </c>
      <c r="PM22" s="2"/>
      <c r="PN22" s="2"/>
      <c r="PO22" s="2"/>
      <c r="PP22" s="2"/>
      <c r="PQ22" s="2"/>
      <c r="PR22" s="8">
        <v>13634474</v>
      </c>
      <c r="PS22" s="2"/>
      <c r="PT22" s="8">
        <v>13634474</v>
      </c>
      <c r="PU22" s="8">
        <v>1908826</v>
      </c>
      <c r="PV22" s="8">
        <v>1908826</v>
      </c>
      <c r="PW22" s="6">
        <v>1908826</v>
      </c>
      <c r="PX22" s="8">
        <v>15543300</v>
      </c>
      <c r="PY22" s="2"/>
      <c r="PZ22" s="8">
        <v>15543300</v>
      </c>
      <c r="QA22" s="8">
        <v>777165</v>
      </c>
      <c r="QB22" s="8">
        <v>777165</v>
      </c>
      <c r="QC22" s="6">
        <v>777165</v>
      </c>
      <c r="QD22" s="2"/>
      <c r="QE22" s="8">
        <v>50000</v>
      </c>
      <c r="QF22" s="8">
        <v>50000</v>
      </c>
      <c r="QG22" s="8">
        <v>7000</v>
      </c>
      <c r="QH22" s="8">
        <v>7000</v>
      </c>
      <c r="QI22" s="8">
        <v>220000</v>
      </c>
      <c r="QJ22" s="8">
        <v>220000</v>
      </c>
      <c r="QK22" s="8">
        <v>80000</v>
      </c>
      <c r="QL22" s="8">
        <v>80000</v>
      </c>
      <c r="QM22" s="8">
        <v>118576</v>
      </c>
      <c r="QN22" s="2"/>
      <c r="QO22" s="8">
        <v>118576</v>
      </c>
      <c r="QP22" s="8">
        <v>250000</v>
      </c>
      <c r="QQ22" s="8">
        <v>250000</v>
      </c>
      <c r="QR22" s="2"/>
      <c r="QS22" s="2"/>
      <c r="QT22" s="8">
        <v>150000</v>
      </c>
      <c r="QU22" s="2"/>
      <c r="QV22" s="8">
        <v>150000</v>
      </c>
      <c r="QW22" s="8">
        <v>20000</v>
      </c>
      <c r="QX22" s="8">
        <v>20000</v>
      </c>
      <c r="QY22" s="8">
        <v>110295</v>
      </c>
      <c r="QZ22" s="8">
        <v>110295</v>
      </c>
      <c r="RA22" s="8">
        <v>3000</v>
      </c>
      <c r="RB22" s="8">
        <v>3000</v>
      </c>
      <c r="RC22" s="8">
        <v>3000</v>
      </c>
      <c r="RD22" s="8">
        <v>3000</v>
      </c>
      <c r="RE22" s="8">
        <v>26781</v>
      </c>
      <c r="RF22" s="8">
        <v>26781</v>
      </c>
      <c r="RG22" s="8">
        <v>27100</v>
      </c>
      <c r="RH22" s="8">
        <v>27100</v>
      </c>
      <c r="RI22" s="8">
        <v>587504</v>
      </c>
      <c r="RJ22" s="8">
        <v>587504</v>
      </c>
      <c r="RK22" s="8">
        <v>52467</v>
      </c>
      <c r="RL22" s="2"/>
      <c r="RM22" s="8">
        <v>52467</v>
      </c>
      <c r="RN22" s="2"/>
      <c r="RO22" s="8">
        <v>76800</v>
      </c>
      <c r="RP22" s="8">
        <v>76800</v>
      </c>
      <c r="RQ22" s="8">
        <v>220000</v>
      </c>
      <c r="RR22" s="8">
        <v>55000</v>
      </c>
      <c r="RS22" s="8">
        <v>275000</v>
      </c>
      <c r="RT22" s="2"/>
      <c r="RU22" s="8">
        <v>5000</v>
      </c>
      <c r="RV22" s="8">
        <v>5000</v>
      </c>
      <c r="RW22" s="8">
        <v>72000</v>
      </c>
      <c r="RX22" s="8">
        <v>72000</v>
      </c>
      <c r="RY22" s="8">
        <v>10000</v>
      </c>
      <c r="RZ22" s="8">
        <v>64000</v>
      </c>
      <c r="SA22" s="8">
        <v>74000</v>
      </c>
      <c r="SB22" s="8">
        <v>15000</v>
      </c>
      <c r="SC22" s="8">
        <v>15000</v>
      </c>
      <c r="SD22" s="8">
        <v>35000</v>
      </c>
      <c r="SE22" s="8">
        <v>5000</v>
      </c>
      <c r="SF22" s="8">
        <v>40000</v>
      </c>
      <c r="SG22" s="2"/>
      <c r="SH22" s="8">
        <v>200000</v>
      </c>
      <c r="SI22" s="8">
        <v>50000</v>
      </c>
      <c r="SJ22" s="8">
        <v>250000</v>
      </c>
      <c r="SK22" s="8">
        <v>200622</v>
      </c>
      <c r="SL22" s="8">
        <v>200622</v>
      </c>
      <c r="SM22" s="8">
        <v>193149</v>
      </c>
      <c r="SN22" s="8">
        <v>97066</v>
      </c>
      <c r="SO22" s="8">
        <v>290215</v>
      </c>
      <c r="SP22" s="8">
        <v>2386418</v>
      </c>
      <c r="SQ22" s="8">
        <v>617942</v>
      </c>
      <c r="SR22" s="8">
        <v>3004360</v>
      </c>
      <c r="SS22" s="8">
        <v>149791</v>
      </c>
      <c r="ST22" s="2"/>
      <c r="SU22" s="8">
        <v>149791</v>
      </c>
      <c r="SV22" s="6">
        <v>150218</v>
      </c>
      <c r="SW22" s="8">
        <v>170000</v>
      </c>
      <c r="SX22" s="8">
        <v>170000</v>
      </c>
      <c r="SY22" s="2"/>
      <c r="SZ22" s="8">
        <v>674828</v>
      </c>
      <c r="TA22" s="8">
        <v>577585</v>
      </c>
      <c r="TB22" s="8">
        <v>1252413</v>
      </c>
      <c r="TC22" s="8">
        <v>105000</v>
      </c>
      <c r="TD22" s="2"/>
      <c r="TE22" s="8">
        <v>105000</v>
      </c>
      <c r="TF22" s="8">
        <v>55000</v>
      </c>
      <c r="TG22" s="8">
        <v>55000</v>
      </c>
      <c r="TH22" s="2"/>
      <c r="TI22" s="8">
        <v>100000</v>
      </c>
      <c r="TJ22" s="8">
        <v>100000</v>
      </c>
      <c r="TK22" s="2"/>
      <c r="TL22" s="8">
        <v>76439</v>
      </c>
      <c r="TM22" s="8">
        <v>341516</v>
      </c>
      <c r="TN22" s="8">
        <v>417955</v>
      </c>
      <c r="TO22" s="8">
        <v>1026267</v>
      </c>
      <c r="TP22" s="8">
        <v>1074101</v>
      </c>
      <c r="TQ22" s="8">
        <v>2100368</v>
      </c>
      <c r="TR22" s="8">
        <v>19882941</v>
      </c>
      <c r="TS22" s="8">
        <v>1692043</v>
      </c>
      <c r="TT22" s="8">
        <v>21574984</v>
      </c>
      <c r="TU22" s="8">
        <v>3881962</v>
      </c>
      <c r="TV22" s="8">
        <v>3881962</v>
      </c>
      <c r="TW22" s="6">
        <v>3883497</v>
      </c>
      <c r="TX22" s="8">
        <v>3881962</v>
      </c>
      <c r="TY22" s="8">
        <v>3881962</v>
      </c>
      <c r="TZ22" s="6">
        <v>3883497</v>
      </c>
      <c r="UA22" s="8">
        <v>2000000</v>
      </c>
      <c r="UB22" s="8">
        <v>2000000</v>
      </c>
      <c r="UC22" s="8">
        <v>23764903</v>
      </c>
      <c r="UD22" s="8">
        <v>3692043</v>
      </c>
      <c r="UE22" s="8">
        <v>27456946</v>
      </c>
      <c r="UF22" s="8">
        <v>15500000</v>
      </c>
      <c r="UG22" s="2" t="s">
        <v>4295</v>
      </c>
      <c r="UH22" s="2"/>
      <c r="UI22" s="2"/>
      <c r="UJ22" s="8">
        <v>9606600</v>
      </c>
      <c r="UK22" s="2"/>
      <c r="UL22" s="2" t="s">
        <v>96</v>
      </c>
      <c r="UM22" s="8">
        <v>2695822</v>
      </c>
      <c r="UN22" s="8">
        <v>3881962</v>
      </c>
      <c r="UO22" s="8">
        <v>31684384</v>
      </c>
      <c r="UP22" s="8">
        <v>4227438</v>
      </c>
      <c r="UQ22" s="8">
        <v>5700000</v>
      </c>
      <c r="UR22" s="2" t="s">
        <v>4295</v>
      </c>
      <c r="US22" s="2"/>
      <c r="UT22" s="2"/>
      <c r="UU22" s="2"/>
      <c r="UV22" s="2"/>
      <c r="UW22" s="8">
        <v>9606600</v>
      </c>
      <c r="UX22" s="2"/>
      <c r="UY22" s="2" t="s">
        <v>96</v>
      </c>
      <c r="UZ22" s="8">
        <v>10783286</v>
      </c>
      <c r="VA22" s="8">
        <v>3881962</v>
      </c>
      <c r="VB22" s="8">
        <v>29971848</v>
      </c>
      <c r="VC22" s="6">
        <v>15306600</v>
      </c>
      <c r="VD22" s="8">
        <v>2514902</v>
      </c>
      <c r="VE22" s="5">
        <v>370000</v>
      </c>
      <c r="VF22" s="5">
        <v>377500</v>
      </c>
      <c r="VG22" s="6">
        <v>265176.52</v>
      </c>
      <c r="VH22" s="2" t="s">
        <v>9</v>
      </c>
      <c r="VI22" s="388" t="s">
        <v>1125</v>
      </c>
      <c r="VJ22" s="2" t="s">
        <v>98</v>
      </c>
      <c r="VK22" s="2" t="s">
        <v>5237</v>
      </c>
      <c r="VL22" s="23">
        <f t="shared" si="0"/>
        <v>117</v>
      </c>
      <c r="VM22" s="17">
        <f t="shared" si="1"/>
        <v>1.21875</v>
      </c>
      <c r="VN22" s="17" t="str">
        <f t="shared" si="2"/>
        <v>NC-GA-F</v>
      </c>
      <c r="VO22" s="17" t="str">
        <f t="shared" si="15"/>
        <v>NC-GA-F-ESS</v>
      </c>
      <c r="VP22" s="57">
        <v>1</v>
      </c>
      <c r="VQ22" s="17">
        <f t="shared" si="3"/>
        <v>1.1100000000000001</v>
      </c>
      <c r="VR22" s="57">
        <f t="shared" si="4"/>
        <v>1</v>
      </c>
      <c r="VS22" s="14">
        <f t="shared" si="5"/>
        <v>1</v>
      </c>
      <c r="VT22" s="12">
        <f t="shared" si="6"/>
        <v>0.85439999999999994</v>
      </c>
      <c r="VU22" s="29">
        <f t="shared" si="7"/>
        <v>8345779.1999999993</v>
      </c>
      <c r="VV22" s="29">
        <f t="shared" si="8"/>
        <v>86935.2</v>
      </c>
      <c r="VW22" s="351" t="str">
        <f t="shared" si="21"/>
        <v>A</v>
      </c>
      <c r="VX22" s="12" t="str">
        <f t="shared" si="9"/>
        <v>NC-GA-ESS</v>
      </c>
      <c r="VY22" s="23">
        <f t="shared" si="22"/>
        <v>4</v>
      </c>
      <c r="WA22" s="12">
        <f t="shared" si="16"/>
        <v>0</v>
      </c>
      <c r="WB22" s="12">
        <f t="shared" si="17"/>
        <v>1</v>
      </c>
      <c r="WC22" s="12">
        <f t="shared" si="17"/>
        <v>0</v>
      </c>
      <c r="WD22" s="12">
        <f t="shared" si="17"/>
        <v>0</v>
      </c>
      <c r="WE22" s="12">
        <f t="shared" si="18"/>
        <v>1</v>
      </c>
      <c r="WF22" s="12">
        <f t="shared" si="10"/>
        <v>1</v>
      </c>
      <c r="WG22" s="12">
        <f t="shared" si="11"/>
        <v>0</v>
      </c>
      <c r="WH22" s="12">
        <f t="shared" si="12"/>
        <v>0</v>
      </c>
      <c r="WI22" s="31">
        <f t="shared" si="13"/>
        <v>3</v>
      </c>
      <c r="WJ22" s="2"/>
      <c r="WK22" s="444" t="str">
        <f t="shared" si="23"/>
        <v>NC-GA-ESS-BBY-BRN-NPH-F</v>
      </c>
      <c r="WL22" s="444"/>
      <c r="WM22" s="444"/>
    </row>
    <row r="23" spans="1:611" x14ac:dyDescent="0.25">
      <c r="A23" s="2">
        <v>8983</v>
      </c>
      <c r="B23" s="2" t="s">
        <v>5238</v>
      </c>
      <c r="C23" s="2" t="s">
        <v>5063</v>
      </c>
      <c r="D23" s="2">
        <v>10</v>
      </c>
      <c r="E23" s="2">
        <v>33.770000000000003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 t="s">
        <v>9</v>
      </c>
      <c r="BV23" s="6">
        <v>86420.97</v>
      </c>
      <c r="BW23" s="2" t="s">
        <v>18</v>
      </c>
      <c r="BX23" s="3">
        <v>45036</v>
      </c>
      <c r="BY23" s="2" t="s">
        <v>9</v>
      </c>
      <c r="BZ23" s="2">
        <v>1</v>
      </c>
      <c r="CA23" s="2" t="s">
        <v>9</v>
      </c>
      <c r="CB23" s="2">
        <v>1</v>
      </c>
      <c r="CC23" s="2" t="s">
        <v>9</v>
      </c>
      <c r="CD23" s="2">
        <v>0</v>
      </c>
      <c r="CE23" s="2" t="s">
        <v>5239</v>
      </c>
      <c r="CF23" s="2">
        <v>1</v>
      </c>
      <c r="CG23" s="2" t="s">
        <v>10</v>
      </c>
      <c r="CH23" s="2">
        <v>0</v>
      </c>
      <c r="CI23" s="2" t="s">
        <v>10</v>
      </c>
      <c r="CJ23" s="2">
        <v>0</v>
      </c>
      <c r="CK23" s="2" t="s">
        <v>11</v>
      </c>
      <c r="CL23" s="2">
        <v>0</v>
      </c>
      <c r="CM23" s="2" t="s">
        <v>9</v>
      </c>
      <c r="CN23" s="2">
        <v>2</v>
      </c>
      <c r="CO23" s="2" t="s">
        <v>9</v>
      </c>
      <c r="CP23" s="2">
        <v>2</v>
      </c>
      <c r="CQ23" s="2" t="s">
        <v>9</v>
      </c>
      <c r="CR23" s="2">
        <v>2</v>
      </c>
      <c r="CS23" s="2" t="s">
        <v>12</v>
      </c>
      <c r="CT23" s="2" t="s">
        <v>1227</v>
      </c>
      <c r="CU23" s="2" t="s">
        <v>13</v>
      </c>
      <c r="CV23" s="2" t="s">
        <v>13</v>
      </c>
      <c r="CW23" s="2" t="s">
        <v>15</v>
      </c>
      <c r="CX23" s="2" t="s">
        <v>15</v>
      </c>
      <c r="CY23" s="2" t="s">
        <v>15</v>
      </c>
      <c r="CZ23" s="2">
        <v>3</v>
      </c>
      <c r="DA23" s="2" t="s">
        <v>436</v>
      </c>
      <c r="DB23" s="2" t="s">
        <v>17</v>
      </c>
      <c r="DC23" s="4">
        <v>0.15556</v>
      </c>
      <c r="DD23" s="2" t="s">
        <v>17</v>
      </c>
      <c r="DE23" s="2" t="s">
        <v>9</v>
      </c>
      <c r="DF23" s="2" t="s">
        <v>17</v>
      </c>
      <c r="DG23" s="2" t="s">
        <v>17</v>
      </c>
      <c r="DH23" s="2" t="s">
        <v>17</v>
      </c>
      <c r="DI23" s="2" t="s">
        <v>9</v>
      </c>
      <c r="DJ23" s="2" t="s">
        <v>17</v>
      </c>
      <c r="DK23" s="2" t="s">
        <v>17</v>
      </c>
      <c r="DL23" s="2" t="s">
        <v>17</v>
      </c>
      <c r="DM23" s="2" t="s">
        <v>17</v>
      </c>
      <c r="DN23" s="2" t="s">
        <v>2663</v>
      </c>
      <c r="DO23" s="2">
        <v>5</v>
      </c>
      <c r="DP23" s="5">
        <v>75000</v>
      </c>
      <c r="DQ23" s="5">
        <v>610000</v>
      </c>
      <c r="DR23" s="2">
        <v>0</v>
      </c>
      <c r="DS23" s="2">
        <v>8</v>
      </c>
      <c r="DT23" s="2">
        <v>0</v>
      </c>
      <c r="DU23" s="2">
        <v>6</v>
      </c>
      <c r="DV23" s="2">
        <v>0</v>
      </c>
      <c r="DW23" s="2">
        <v>0</v>
      </c>
      <c r="DX23" s="2">
        <v>1</v>
      </c>
      <c r="DY23" s="2">
        <v>3</v>
      </c>
      <c r="DZ23" s="2">
        <v>1</v>
      </c>
      <c r="EA23" s="2">
        <v>0</v>
      </c>
      <c r="EB23" s="2">
        <v>0</v>
      </c>
      <c r="EC23" s="2">
        <v>0</v>
      </c>
      <c r="ED23" s="2">
        <v>13</v>
      </c>
      <c r="EE23" s="2">
        <v>1</v>
      </c>
      <c r="EF23" s="2">
        <v>0</v>
      </c>
      <c r="EG23" s="2">
        <v>3</v>
      </c>
      <c r="EH23" s="2">
        <v>0</v>
      </c>
      <c r="EI23" s="2">
        <v>14</v>
      </c>
      <c r="EJ23" s="2">
        <v>11</v>
      </c>
      <c r="EK23" s="2">
        <v>0</v>
      </c>
      <c r="EL23" s="2" t="s">
        <v>17</v>
      </c>
      <c r="EM23" s="2" t="s">
        <v>17</v>
      </c>
      <c r="EN23" s="2" t="s">
        <v>17</v>
      </c>
      <c r="EO23" s="2" t="s">
        <v>17</v>
      </c>
      <c r="EP23" s="2" t="s">
        <v>17</v>
      </c>
      <c r="EQ23" s="2" t="s">
        <v>17</v>
      </c>
      <c r="ER23" s="2" t="s">
        <v>17</v>
      </c>
      <c r="ES23" s="2" t="s">
        <v>17</v>
      </c>
      <c r="ET23" s="2" t="s">
        <v>5240</v>
      </c>
      <c r="EU23" s="2"/>
      <c r="EV23" s="2"/>
      <c r="EW23" s="2" t="s">
        <v>9</v>
      </c>
      <c r="EX23" s="2" t="s">
        <v>1231</v>
      </c>
      <c r="EY23" s="2" t="s">
        <v>5240</v>
      </c>
      <c r="EZ23" s="2" t="s">
        <v>1237</v>
      </c>
      <c r="FA23" s="2" t="s">
        <v>1238</v>
      </c>
      <c r="FB23" s="2">
        <v>60</v>
      </c>
      <c r="FC23" s="2" t="s">
        <v>25</v>
      </c>
      <c r="FD23" s="2">
        <v>2021</v>
      </c>
      <c r="FE23" s="2" t="s">
        <v>26</v>
      </c>
      <c r="FF23" s="2" t="s">
        <v>4210</v>
      </c>
      <c r="FG23" s="2" t="s">
        <v>812</v>
      </c>
      <c r="FH23" s="2"/>
      <c r="FI23" s="2" t="s">
        <v>948</v>
      </c>
      <c r="FJ23" s="2" t="s">
        <v>1239</v>
      </c>
      <c r="FK23" s="2">
        <v>1</v>
      </c>
      <c r="FL23" s="2" t="s">
        <v>1240</v>
      </c>
      <c r="FM23" s="2" t="s">
        <v>479</v>
      </c>
      <c r="FN23" s="2" t="s">
        <v>5241</v>
      </c>
      <c r="FO23" s="2" t="s">
        <v>63</v>
      </c>
      <c r="FP23" s="2" t="s">
        <v>9</v>
      </c>
      <c r="FQ23" s="2" t="s">
        <v>17</v>
      </c>
      <c r="FR23" s="2" t="s">
        <v>17</v>
      </c>
      <c r="FS23" s="2" t="s">
        <v>9</v>
      </c>
      <c r="FT23" s="2">
        <v>0</v>
      </c>
      <c r="FU23" s="2">
        <v>0</v>
      </c>
      <c r="FV23" s="4">
        <v>0</v>
      </c>
      <c r="FW23" s="4">
        <v>0</v>
      </c>
      <c r="FX23" s="2" t="s">
        <v>65</v>
      </c>
      <c r="FY23" s="2" t="s">
        <v>66</v>
      </c>
      <c r="FZ23" s="2" t="s">
        <v>17</v>
      </c>
      <c r="GA23" s="2"/>
      <c r="GB23" s="2"/>
      <c r="GC23" s="2"/>
      <c r="GD23" s="2" t="s">
        <v>67</v>
      </c>
      <c r="GE23" s="2" t="s">
        <v>68</v>
      </c>
      <c r="GF23" s="2">
        <v>90</v>
      </c>
      <c r="GG23" s="2">
        <v>90</v>
      </c>
      <c r="GH23" s="2"/>
      <c r="GI23" s="2"/>
      <c r="GJ23" s="2"/>
      <c r="GK23" s="2"/>
      <c r="GL23" s="2"/>
      <c r="GM23" s="2"/>
      <c r="GN23" s="2"/>
      <c r="GO23" s="2"/>
      <c r="GP23" s="2"/>
      <c r="GQ23" s="2">
        <v>90</v>
      </c>
      <c r="GR23" s="2" t="s">
        <v>2826</v>
      </c>
      <c r="GS23" s="2" t="s">
        <v>2686</v>
      </c>
      <c r="GT23" s="2">
        <v>1</v>
      </c>
      <c r="GU23" s="2" t="s">
        <v>5242</v>
      </c>
      <c r="GV23" s="2" t="s">
        <v>510</v>
      </c>
      <c r="GW23" s="2" t="s">
        <v>17</v>
      </c>
      <c r="GX23" s="2">
        <v>28.567965000000001</v>
      </c>
      <c r="GY23" s="2">
        <v>-81.430035000000004</v>
      </c>
      <c r="GZ23" s="2"/>
      <c r="HA23" s="2" t="s">
        <v>17</v>
      </c>
      <c r="HB23" s="2">
        <v>0</v>
      </c>
      <c r="HC23" s="2" t="s">
        <v>17</v>
      </c>
      <c r="HD23" s="2"/>
      <c r="HE23" s="2">
        <v>0</v>
      </c>
      <c r="HF23" s="2">
        <v>28.571259000000001</v>
      </c>
      <c r="HG23" s="2">
        <v>-81.429393000000005</v>
      </c>
      <c r="HH23" s="2">
        <v>0.23</v>
      </c>
      <c r="HI23" s="2">
        <v>6</v>
      </c>
      <c r="HJ23" s="2">
        <v>28.56851</v>
      </c>
      <c r="HK23" s="2">
        <v>-81.430552000000006</v>
      </c>
      <c r="HL23" s="2">
        <v>0.05</v>
      </c>
      <c r="HM23" s="2">
        <v>28.568467999999999</v>
      </c>
      <c r="HN23" s="2">
        <v>-81.430715000000006</v>
      </c>
      <c r="HO23" s="2">
        <v>0.05</v>
      </c>
      <c r="HP23" s="2"/>
      <c r="HQ23" s="2"/>
      <c r="HR23" s="2"/>
      <c r="HS23" s="2"/>
      <c r="HT23" s="2"/>
      <c r="HU23" s="2"/>
      <c r="HV23" s="2"/>
      <c r="HW23" s="2"/>
      <c r="HX23" s="2" t="s">
        <v>73</v>
      </c>
      <c r="HY23" s="2" t="s">
        <v>74</v>
      </c>
      <c r="HZ23" s="2" t="s">
        <v>5243</v>
      </c>
      <c r="IA23" s="2">
        <v>0.76</v>
      </c>
      <c r="IB23" s="2">
        <v>2.5</v>
      </c>
      <c r="IC23" s="2"/>
      <c r="ID23" s="2"/>
      <c r="IE23" s="2"/>
      <c r="IF23" s="2"/>
      <c r="IG23" s="2" t="s">
        <v>74</v>
      </c>
      <c r="IH23" s="2" t="s">
        <v>5243</v>
      </c>
      <c r="II23" s="2">
        <v>0.76</v>
      </c>
      <c r="IJ23" s="2">
        <v>2.5</v>
      </c>
      <c r="IK23" s="2" t="s">
        <v>5244</v>
      </c>
      <c r="IL23" s="2" t="s">
        <v>5245</v>
      </c>
      <c r="IM23" s="2">
        <v>1.18</v>
      </c>
      <c r="IN23" s="2">
        <v>2.5</v>
      </c>
      <c r="IO23" s="2">
        <v>6</v>
      </c>
      <c r="IP23" s="2">
        <v>7.5</v>
      </c>
      <c r="IQ23" s="2">
        <v>0</v>
      </c>
      <c r="IR23" s="2">
        <v>13.5</v>
      </c>
      <c r="IS23" s="2" t="s">
        <v>17</v>
      </c>
      <c r="IT23" s="2" t="s">
        <v>17</v>
      </c>
      <c r="IU23" s="2" t="s">
        <v>17</v>
      </c>
      <c r="IV23" s="2" t="s">
        <v>9</v>
      </c>
      <c r="IW23" s="2" t="s">
        <v>9</v>
      </c>
      <c r="IX23" s="2" t="s">
        <v>9</v>
      </c>
      <c r="IY23" s="2">
        <v>13.5</v>
      </c>
      <c r="IZ23" s="2">
        <v>90</v>
      </c>
      <c r="JA23" s="2"/>
      <c r="JB23" s="2"/>
      <c r="JC23" s="2"/>
      <c r="JD23" s="2"/>
      <c r="JE23" s="2"/>
      <c r="JF23" s="2"/>
      <c r="JG23" s="2"/>
      <c r="JH23" s="7">
        <v>0</v>
      </c>
      <c r="JI23" s="2">
        <v>0</v>
      </c>
      <c r="JJ23" s="7">
        <v>0</v>
      </c>
      <c r="JK23" s="2">
        <v>0</v>
      </c>
      <c r="JL23" s="7">
        <v>0</v>
      </c>
      <c r="JM23" s="2">
        <v>14</v>
      </c>
      <c r="JN23" s="2"/>
      <c r="JO23" s="2">
        <v>55</v>
      </c>
      <c r="JP23" s="2"/>
      <c r="JQ23" s="2">
        <v>21</v>
      </c>
      <c r="JR23" s="2">
        <v>0</v>
      </c>
      <c r="JS23" s="2">
        <v>0</v>
      </c>
      <c r="JT23" s="2"/>
      <c r="JU23" s="2"/>
      <c r="JV23" s="2">
        <v>90</v>
      </c>
      <c r="JW23" s="4">
        <v>1</v>
      </c>
      <c r="JX23" s="2">
        <v>90</v>
      </c>
      <c r="JY23" s="4">
        <v>0.6</v>
      </c>
      <c r="JZ23" s="2">
        <v>0</v>
      </c>
      <c r="KA23" s="2"/>
      <c r="KB23" s="2"/>
      <c r="KC23" s="2"/>
      <c r="KD23" s="2"/>
      <c r="KE23" s="2"/>
      <c r="KF23" s="2"/>
      <c r="KG23" s="2"/>
      <c r="KH23" s="2">
        <v>44</v>
      </c>
      <c r="KI23" s="2"/>
      <c r="KJ23" s="2"/>
      <c r="KK23" s="2">
        <v>46</v>
      </c>
      <c r="KL23" s="2"/>
      <c r="KM23" s="2"/>
      <c r="KN23" s="2"/>
      <c r="KO23" s="2"/>
      <c r="KP23" s="2"/>
      <c r="KQ23" s="2" t="s">
        <v>83</v>
      </c>
      <c r="KR23" s="2" t="s">
        <v>73</v>
      </c>
      <c r="KS23" s="2"/>
      <c r="KT23" s="2">
        <v>4</v>
      </c>
      <c r="KU23" s="2" t="s">
        <v>84</v>
      </c>
      <c r="KV23" s="2" t="s">
        <v>85</v>
      </c>
      <c r="KW23" s="2" t="s">
        <v>86</v>
      </c>
      <c r="KX23" s="2" t="s">
        <v>17</v>
      </c>
      <c r="KY23" s="2" t="s">
        <v>17</v>
      </c>
      <c r="KZ23" s="2" t="s">
        <v>17</v>
      </c>
      <c r="LA23" s="2" t="s">
        <v>17</v>
      </c>
      <c r="LB23" s="2" t="s">
        <v>17</v>
      </c>
      <c r="LC23" s="2" t="s">
        <v>17</v>
      </c>
      <c r="LD23" s="2" t="s">
        <v>17</v>
      </c>
      <c r="LE23" s="2" t="s">
        <v>17</v>
      </c>
      <c r="LF23" s="2" t="s">
        <v>17</v>
      </c>
      <c r="LG23" s="2" t="s">
        <v>17</v>
      </c>
      <c r="LH23" s="2" t="s">
        <v>17</v>
      </c>
      <c r="LI23" s="2" t="s">
        <v>17</v>
      </c>
      <c r="LJ23" s="2" t="s">
        <v>87</v>
      </c>
      <c r="LK23" s="2" t="s">
        <v>17</v>
      </c>
      <c r="LL23" s="2" t="s">
        <v>17</v>
      </c>
      <c r="LM23" s="2">
        <v>0</v>
      </c>
      <c r="LN23" s="2" t="s">
        <v>17</v>
      </c>
      <c r="LO23" s="2" t="s">
        <v>9</v>
      </c>
      <c r="LP23" s="2" t="s">
        <v>9</v>
      </c>
      <c r="LQ23" s="2" t="s">
        <v>17</v>
      </c>
      <c r="LR23" s="2" t="s">
        <v>9</v>
      </c>
      <c r="LS23" s="2" t="s">
        <v>17</v>
      </c>
      <c r="LT23" s="2" t="s">
        <v>17</v>
      </c>
      <c r="LU23" s="2" t="s">
        <v>17</v>
      </c>
      <c r="LV23" s="2" t="s">
        <v>17</v>
      </c>
      <c r="LW23" s="2" t="s">
        <v>17</v>
      </c>
      <c r="LX23" s="2" t="s">
        <v>17</v>
      </c>
      <c r="LY23" s="5">
        <v>9450000</v>
      </c>
      <c r="LZ23" s="5">
        <v>0</v>
      </c>
      <c r="MA23" s="5">
        <v>9450000</v>
      </c>
      <c r="MB23" s="5">
        <v>8450000</v>
      </c>
      <c r="MC23" s="5">
        <v>8450000</v>
      </c>
      <c r="MD23" s="5">
        <v>777900</v>
      </c>
      <c r="ME23" s="5">
        <v>777900</v>
      </c>
      <c r="MF23" s="5">
        <v>777900</v>
      </c>
      <c r="MG23" s="5">
        <v>9227900</v>
      </c>
      <c r="MH23" s="2">
        <v>0</v>
      </c>
      <c r="MI23" s="5">
        <v>0</v>
      </c>
      <c r="MJ23" s="5">
        <v>0</v>
      </c>
      <c r="MK23" s="2">
        <v>0</v>
      </c>
      <c r="ML23" s="2">
        <v>0</v>
      </c>
      <c r="MM23" s="2">
        <v>0</v>
      </c>
      <c r="MN23" s="5">
        <v>2950000</v>
      </c>
      <c r="MO23" s="5">
        <v>0</v>
      </c>
      <c r="MP23" s="5">
        <v>4600000</v>
      </c>
      <c r="MQ23" s="5">
        <v>0</v>
      </c>
      <c r="MR23" s="5">
        <v>0</v>
      </c>
      <c r="MS23" s="5">
        <v>0</v>
      </c>
      <c r="MT23" s="5">
        <v>0</v>
      </c>
      <c r="MU23" s="5">
        <v>2500000</v>
      </c>
      <c r="MV23" s="5">
        <v>0</v>
      </c>
      <c r="MW23" s="5">
        <v>0</v>
      </c>
      <c r="MX23" s="5">
        <v>0</v>
      </c>
      <c r="MY23" s="5">
        <v>0</v>
      </c>
      <c r="MZ23" s="5">
        <v>0</v>
      </c>
      <c r="NA23" s="5">
        <v>1325042</v>
      </c>
      <c r="NB23" s="2" t="s">
        <v>17</v>
      </c>
      <c r="NC23" s="2"/>
      <c r="ND23" s="2"/>
      <c r="NE23" s="2"/>
      <c r="NF23" s="2"/>
      <c r="NG23" s="2"/>
      <c r="NH23" s="2"/>
      <c r="NI23" s="61">
        <v>0</v>
      </c>
      <c r="NJ23" s="61"/>
      <c r="NK23" s="61"/>
      <c r="NL23" s="61"/>
      <c r="NM23" s="2" t="s">
        <v>17</v>
      </c>
      <c r="NN23" s="2"/>
      <c r="NO23" s="2" t="s">
        <v>17</v>
      </c>
      <c r="NP23" s="2"/>
      <c r="NQ23" s="2"/>
      <c r="NR23" s="2" t="s">
        <v>17</v>
      </c>
      <c r="NS23" s="2"/>
      <c r="NT23" s="2" t="s">
        <v>9</v>
      </c>
      <c r="NU23" s="2" t="s">
        <v>450</v>
      </c>
      <c r="NV23" s="2">
        <v>187</v>
      </c>
      <c r="NW23" s="2" t="s">
        <v>3011</v>
      </c>
      <c r="NX23" s="2" t="s">
        <v>118</v>
      </c>
      <c r="NY23" s="2" t="s">
        <v>118</v>
      </c>
      <c r="NZ23" s="2" t="s">
        <v>118</v>
      </c>
      <c r="OA23" s="2" t="s">
        <v>17</v>
      </c>
      <c r="OB23" s="2" t="s">
        <v>119</v>
      </c>
      <c r="OC23" s="5">
        <v>14500000</v>
      </c>
      <c r="OD23" s="2" t="s">
        <v>17</v>
      </c>
      <c r="OE23" s="2" t="s">
        <v>17</v>
      </c>
      <c r="OF23" s="2" t="s">
        <v>85</v>
      </c>
      <c r="OG23" s="6">
        <v>4375000</v>
      </c>
      <c r="OH23" s="6">
        <v>0</v>
      </c>
      <c r="OI23" s="2" t="s">
        <v>93</v>
      </c>
      <c r="OJ23" s="2" t="s">
        <v>93</v>
      </c>
      <c r="OK23" s="6">
        <v>0</v>
      </c>
      <c r="OL23" s="6">
        <v>0</v>
      </c>
      <c r="OM23" s="6">
        <v>0</v>
      </c>
      <c r="ON23" s="6">
        <v>0</v>
      </c>
      <c r="OO23" s="6">
        <v>0</v>
      </c>
      <c r="OP23" s="6">
        <v>0</v>
      </c>
      <c r="OQ23" s="4">
        <v>0</v>
      </c>
      <c r="OR23" s="6">
        <v>0</v>
      </c>
      <c r="OS23" s="4">
        <v>0</v>
      </c>
      <c r="OT23" s="2" t="s">
        <v>17</v>
      </c>
      <c r="OU23" s="2" t="s">
        <v>17</v>
      </c>
      <c r="OV23" s="2"/>
      <c r="OW23" s="2" t="s">
        <v>17</v>
      </c>
      <c r="OX23" s="5">
        <v>7777887</v>
      </c>
      <c r="OY23" s="6">
        <v>86420.97</v>
      </c>
      <c r="OZ23" s="2"/>
      <c r="PA23" s="2"/>
      <c r="PB23" s="2"/>
      <c r="PC23" s="2"/>
      <c r="PD23" s="2"/>
      <c r="PE23" s="2"/>
      <c r="PF23" s="8">
        <v>12654228</v>
      </c>
      <c r="PG23" s="2"/>
      <c r="PH23" s="8">
        <v>12654228</v>
      </c>
      <c r="PI23" s="2"/>
      <c r="PJ23" s="2"/>
      <c r="PK23" s="8">
        <v>330901</v>
      </c>
      <c r="PL23" s="8">
        <v>330901</v>
      </c>
      <c r="PM23" s="8">
        <v>2000000</v>
      </c>
      <c r="PN23" s="2"/>
      <c r="PO23" s="8">
        <v>2000000</v>
      </c>
      <c r="PP23" s="2"/>
      <c r="PQ23" s="2"/>
      <c r="PR23" s="8">
        <v>14985129</v>
      </c>
      <c r="PS23" s="2"/>
      <c r="PT23" s="8">
        <v>14985129</v>
      </c>
      <c r="PU23" s="8">
        <v>2051592</v>
      </c>
      <c r="PV23" s="8">
        <v>2051592</v>
      </c>
      <c r="PW23" s="6">
        <v>2097918</v>
      </c>
      <c r="PX23" s="8">
        <v>17036721</v>
      </c>
      <c r="PY23" s="2"/>
      <c r="PZ23" s="8">
        <v>17036721</v>
      </c>
      <c r="QA23" s="8">
        <v>835291</v>
      </c>
      <c r="QB23" s="8">
        <v>835291</v>
      </c>
      <c r="QC23" s="6">
        <v>851836.05</v>
      </c>
      <c r="QD23" s="8">
        <v>25000</v>
      </c>
      <c r="QE23" s="8">
        <v>25000</v>
      </c>
      <c r="QF23" s="8">
        <v>50000</v>
      </c>
      <c r="QG23" s="8">
        <v>6500</v>
      </c>
      <c r="QH23" s="8">
        <v>6500</v>
      </c>
      <c r="QI23" s="8">
        <v>337500</v>
      </c>
      <c r="QJ23" s="8">
        <v>337500</v>
      </c>
      <c r="QK23" s="8">
        <v>75000</v>
      </c>
      <c r="QL23" s="8">
        <v>75000</v>
      </c>
      <c r="QM23" s="8">
        <v>115771</v>
      </c>
      <c r="QN23" s="2"/>
      <c r="QO23" s="8">
        <v>115771</v>
      </c>
      <c r="QP23" s="8">
        <v>109907</v>
      </c>
      <c r="QQ23" s="8">
        <v>109907</v>
      </c>
      <c r="QR23" s="8">
        <v>5000</v>
      </c>
      <c r="QS23" s="8">
        <v>5000</v>
      </c>
      <c r="QT23" s="8">
        <v>80000</v>
      </c>
      <c r="QU23" s="8">
        <v>15000</v>
      </c>
      <c r="QV23" s="8">
        <v>95000</v>
      </c>
      <c r="QW23" s="8">
        <v>7500</v>
      </c>
      <c r="QX23" s="8">
        <v>7500</v>
      </c>
      <c r="QY23" s="8">
        <v>135596</v>
      </c>
      <c r="QZ23" s="8">
        <v>135596</v>
      </c>
      <c r="RA23" s="8">
        <v>3000</v>
      </c>
      <c r="RB23" s="8">
        <v>3000</v>
      </c>
      <c r="RC23" s="8">
        <v>225000</v>
      </c>
      <c r="RD23" s="8">
        <v>225000</v>
      </c>
      <c r="RE23" s="8">
        <v>50000</v>
      </c>
      <c r="RF23" s="8">
        <v>50000</v>
      </c>
      <c r="RG23" s="8">
        <v>30000</v>
      </c>
      <c r="RH23" s="8">
        <v>30000</v>
      </c>
      <c r="RI23" s="8">
        <v>602620</v>
      </c>
      <c r="RJ23" s="8">
        <v>602620</v>
      </c>
      <c r="RK23" s="8">
        <v>30000</v>
      </c>
      <c r="RL23" s="2"/>
      <c r="RM23" s="8">
        <v>30000</v>
      </c>
      <c r="RN23" s="8">
        <v>27000</v>
      </c>
      <c r="RO23" s="2"/>
      <c r="RP23" s="8">
        <v>27000</v>
      </c>
      <c r="RQ23" s="8">
        <v>157500</v>
      </c>
      <c r="RR23" s="8">
        <v>62500</v>
      </c>
      <c r="RS23" s="8">
        <v>220000</v>
      </c>
      <c r="RT23" s="8">
        <v>3500</v>
      </c>
      <c r="RU23" s="2"/>
      <c r="RV23" s="8">
        <v>3500</v>
      </c>
      <c r="RW23" s="8">
        <v>40000</v>
      </c>
      <c r="RX23" s="8">
        <v>40000</v>
      </c>
      <c r="RY23" s="2"/>
      <c r="RZ23" s="2"/>
      <c r="SA23" s="2"/>
      <c r="SB23" s="8">
        <v>10000</v>
      </c>
      <c r="SC23" s="8">
        <v>10000</v>
      </c>
      <c r="SD23" s="8">
        <v>10000</v>
      </c>
      <c r="SE23" s="2"/>
      <c r="SF23" s="8">
        <v>10000</v>
      </c>
      <c r="SG23" s="2"/>
      <c r="SH23" s="8">
        <v>62280</v>
      </c>
      <c r="SI23" s="8">
        <v>10991</v>
      </c>
      <c r="SJ23" s="8">
        <v>73271</v>
      </c>
      <c r="SK23" s="8">
        <v>498600</v>
      </c>
      <c r="SL23" s="8">
        <v>498600</v>
      </c>
      <c r="SM23" s="8">
        <v>258882</v>
      </c>
      <c r="SN23" s="2"/>
      <c r="SO23" s="8">
        <v>258882</v>
      </c>
      <c r="SP23" s="8">
        <v>2452560</v>
      </c>
      <c r="SQ23" s="8">
        <v>567087</v>
      </c>
      <c r="SR23" s="8">
        <v>3019647</v>
      </c>
      <c r="SS23" s="8">
        <v>111903</v>
      </c>
      <c r="ST23" s="8">
        <v>3900</v>
      </c>
      <c r="SU23" s="8">
        <v>115803</v>
      </c>
      <c r="SV23" s="6">
        <v>150982.35</v>
      </c>
      <c r="SW23" s="8" t="s">
        <v>5369</v>
      </c>
      <c r="SX23" s="8">
        <v>226000</v>
      </c>
      <c r="SY23" s="2"/>
      <c r="SZ23" s="8">
        <v>919625</v>
      </c>
      <c r="TA23" s="8">
        <v>329875</v>
      </c>
      <c r="TB23" s="8">
        <v>1249500</v>
      </c>
      <c r="TC23" s="8">
        <v>207250</v>
      </c>
      <c r="TD23" s="8">
        <v>276167</v>
      </c>
      <c r="TE23" s="8">
        <v>483417</v>
      </c>
      <c r="TF23" s="8">
        <v>75000</v>
      </c>
      <c r="TG23" s="8">
        <v>75000</v>
      </c>
      <c r="TH23" s="2"/>
      <c r="TI23" s="2"/>
      <c r="TJ23" s="2"/>
      <c r="TK23" s="2"/>
      <c r="TL23" s="2"/>
      <c r="TM23" s="2"/>
      <c r="TN23" s="2"/>
      <c r="TO23" s="8">
        <v>1275125</v>
      </c>
      <c r="TP23" s="8">
        <v>758792</v>
      </c>
      <c r="TQ23" s="8">
        <v>2033917</v>
      </c>
      <c r="TR23" s="8">
        <v>21711600</v>
      </c>
      <c r="TS23" s="8">
        <v>1329779</v>
      </c>
      <c r="TT23" s="8">
        <v>23041379</v>
      </c>
      <c r="TU23" s="8">
        <v>4087886</v>
      </c>
      <c r="TV23" s="8">
        <v>4087886</v>
      </c>
      <c r="TW23" s="6">
        <v>4147448</v>
      </c>
      <c r="TX23" s="8">
        <v>4087886</v>
      </c>
      <c r="TY23" s="8">
        <v>4087886</v>
      </c>
      <c r="TZ23" s="6">
        <v>4147448</v>
      </c>
      <c r="UA23" s="8">
        <v>2000000</v>
      </c>
      <c r="UB23" s="8">
        <v>2000000</v>
      </c>
      <c r="UC23" s="8">
        <v>25799486</v>
      </c>
      <c r="UD23" s="8">
        <v>3329779</v>
      </c>
      <c r="UE23" s="8">
        <v>29129265</v>
      </c>
      <c r="UF23" s="8">
        <v>14500000</v>
      </c>
      <c r="UG23" s="2" t="s">
        <v>4295</v>
      </c>
      <c r="UH23" s="2"/>
      <c r="UI23" s="2"/>
      <c r="UJ23" s="8">
        <v>9227900</v>
      </c>
      <c r="UK23" s="2"/>
      <c r="UL23" s="2" t="s">
        <v>96</v>
      </c>
      <c r="UM23" s="8">
        <v>2437833</v>
      </c>
      <c r="UN23" s="8">
        <v>3800000</v>
      </c>
      <c r="UO23" s="8">
        <v>29965733</v>
      </c>
      <c r="UP23" s="8">
        <v>836468</v>
      </c>
      <c r="UQ23" s="8">
        <v>4375000</v>
      </c>
      <c r="UR23" s="2" t="s">
        <v>4295</v>
      </c>
      <c r="US23" s="2"/>
      <c r="UT23" s="2"/>
      <c r="UU23" s="2"/>
      <c r="UV23" s="2"/>
      <c r="UW23" s="8">
        <v>9227900</v>
      </c>
      <c r="UX23" s="2"/>
      <c r="UY23" s="2" t="s">
        <v>96</v>
      </c>
      <c r="UZ23" s="8">
        <v>12189167</v>
      </c>
      <c r="VA23" s="8">
        <v>3900000</v>
      </c>
      <c r="VB23" s="8">
        <v>29692067</v>
      </c>
      <c r="VC23" s="6">
        <v>13602900</v>
      </c>
      <c r="VD23" s="8">
        <v>562802</v>
      </c>
      <c r="VE23" s="5">
        <v>370000</v>
      </c>
      <c r="VF23" s="5">
        <v>377500</v>
      </c>
      <c r="VG23" s="6">
        <v>301436.28000000003</v>
      </c>
      <c r="VH23" s="2" t="s">
        <v>9</v>
      </c>
      <c r="VI23" s="388" t="s">
        <v>1231</v>
      </c>
      <c r="VJ23" s="2" t="s">
        <v>98</v>
      </c>
      <c r="VK23" s="2" t="s">
        <v>1247</v>
      </c>
      <c r="VL23" s="23">
        <f t="shared" si="0"/>
        <v>136</v>
      </c>
      <c r="VM23" s="17">
        <f t="shared" si="1"/>
        <v>1.5111111111111111</v>
      </c>
      <c r="VN23" s="17" t="str">
        <f t="shared" si="2"/>
        <v>NC-GA-F</v>
      </c>
      <c r="VO23" s="17" t="str">
        <f t="shared" si="15"/>
        <v>NC-GA-F-ESS</v>
      </c>
      <c r="VP23" s="57">
        <v>1</v>
      </c>
      <c r="VQ23" s="17">
        <f t="shared" si="3"/>
        <v>1.1100000000000001</v>
      </c>
      <c r="VR23" s="57">
        <f t="shared" si="4"/>
        <v>1</v>
      </c>
      <c r="VS23" s="14">
        <f t="shared" si="5"/>
        <v>1</v>
      </c>
      <c r="VT23" s="12">
        <f t="shared" si="6"/>
        <v>0.85439999999999983</v>
      </c>
      <c r="VU23" s="29">
        <f t="shared" si="7"/>
        <v>8013844.799999998</v>
      </c>
      <c r="VV23" s="29">
        <f t="shared" si="8"/>
        <v>89042.72</v>
      </c>
      <c r="VW23" s="351" t="str">
        <f t="shared" si="21"/>
        <v>A</v>
      </c>
      <c r="VX23" s="12" t="str">
        <f t="shared" si="9"/>
        <v>NC-GA-ESS</v>
      </c>
      <c r="VY23" s="23">
        <f t="shared" si="22"/>
        <v>4</v>
      </c>
      <c r="WA23" s="12">
        <f t="shared" si="16"/>
        <v>0</v>
      </c>
      <c r="WB23" s="12">
        <f t="shared" si="17"/>
        <v>1</v>
      </c>
      <c r="WC23" s="12">
        <f t="shared" si="17"/>
        <v>0</v>
      </c>
      <c r="WD23" s="12">
        <f t="shared" si="17"/>
        <v>0</v>
      </c>
      <c r="WE23" s="12">
        <f t="shared" si="18"/>
        <v>1</v>
      </c>
      <c r="WF23" s="12">
        <f t="shared" si="10"/>
        <v>1</v>
      </c>
      <c r="WG23" s="12">
        <f t="shared" si="11"/>
        <v>0</v>
      </c>
      <c r="WH23" s="12">
        <f t="shared" si="12"/>
        <v>0</v>
      </c>
      <c r="WI23" s="31">
        <f t="shared" si="13"/>
        <v>3</v>
      </c>
      <c r="WJ23" s="2"/>
      <c r="WK23" s="444" t="str">
        <f t="shared" si="23"/>
        <v>NC-GA-ESS-BBY-BRN-NPH-F</v>
      </c>
      <c r="WL23" s="444"/>
      <c r="WM23" s="444"/>
    </row>
    <row r="24" spans="1:611" x14ac:dyDescent="0.25">
      <c r="A24" s="2">
        <v>9048</v>
      </c>
      <c r="B24" s="2" t="s">
        <v>5246</v>
      </c>
      <c r="C24" s="2" t="s">
        <v>5063</v>
      </c>
      <c r="D24" s="2">
        <v>10</v>
      </c>
      <c r="E24" s="2">
        <v>38.54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 t="s">
        <v>9</v>
      </c>
      <c r="BV24" s="6">
        <v>87044.55</v>
      </c>
      <c r="BW24" s="2" t="s">
        <v>18</v>
      </c>
      <c r="BX24" s="3">
        <v>45036</v>
      </c>
      <c r="BY24" s="2" t="s">
        <v>9</v>
      </c>
      <c r="BZ24" s="2">
        <v>1</v>
      </c>
      <c r="CA24" s="2" t="s">
        <v>9</v>
      </c>
      <c r="CB24" s="2">
        <v>1</v>
      </c>
      <c r="CC24" s="2" t="s">
        <v>9</v>
      </c>
      <c r="CD24" s="2">
        <v>0</v>
      </c>
      <c r="CE24" s="2" t="s">
        <v>5247</v>
      </c>
      <c r="CF24" s="2">
        <v>1</v>
      </c>
      <c r="CG24" s="2" t="s">
        <v>10</v>
      </c>
      <c r="CH24" s="2">
        <v>0</v>
      </c>
      <c r="CI24" s="2" t="s">
        <v>10</v>
      </c>
      <c r="CJ24" s="2">
        <v>0</v>
      </c>
      <c r="CK24" s="2" t="s">
        <v>11</v>
      </c>
      <c r="CL24" s="2">
        <v>0</v>
      </c>
      <c r="CM24" s="2" t="s">
        <v>9</v>
      </c>
      <c r="CN24" s="2">
        <v>2</v>
      </c>
      <c r="CO24" s="2" t="s">
        <v>9</v>
      </c>
      <c r="CP24" s="2">
        <v>2</v>
      </c>
      <c r="CQ24" s="2" t="s">
        <v>9</v>
      </c>
      <c r="CR24" s="2">
        <v>2</v>
      </c>
      <c r="CS24" s="2" t="s">
        <v>12</v>
      </c>
      <c r="CT24" s="2" t="s">
        <v>15</v>
      </c>
      <c r="CU24" s="2" t="s">
        <v>15</v>
      </c>
      <c r="CV24" s="2" t="s">
        <v>15</v>
      </c>
      <c r="CW24" s="2" t="s">
        <v>3178</v>
      </c>
      <c r="CX24" s="2" t="s">
        <v>15</v>
      </c>
      <c r="CY24" s="2" t="s">
        <v>15</v>
      </c>
      <c r="CZ24" s="2">
        <v>0</v>
      </c>
      <c r="DA24" s="2" t="s">
        <v>234</v>
      </c>
      <c r="DB24" s="2" t="s">
        <v>17</v>
      </c>
      <c r="DC24" s="4">
        <v>0.15909000000000001</v>
      </c>
      <c r="DD24" s="2" t="s">
        <v>17</v>
      </c>
      <c r="DE24" s="2" t="s">
        <v>9</v>
      </c>
      <c r="DF24" s="2" t="s">
        <v>17</v>
      </c>
      <c r="DG24" s="2" t="s">
        <v>17</v>
      </c>
      <c r="DH24" s="2" t="s">
        <v>17</v>
      </c>
      <c r="DI24" s="2" t="s">
        <v>9</v>
      </c>
      <c r="DJ24" s="2" t="s">
        <v>17</v>
      </c>
      <c r="DK24" s="2" t="s">
        <v>17</v>
      </c>
      <c r="DL24" s="2" t="s">
        <v>17</v>
      </c>
      <c r="DM24" s="2" t="s">
        <v>17</v>
      </c>
      <c r="DN24" s="2" t="s">
        <v>2663</v>
      </c>
      <c r="DO24" s="2">
        <v>5</v>
      </c>
      <c r="DP24" s="5">
        <v>50000</v>
      </c>
      <c r="DQ24" s="5">
        <v>460000</v>
      </c>
      <c r="DR24" s="2">
        <v>0</v>
      </c>
      <c r="DS24" s="2">
        <v>6</v>
      </c>
      <c r="DT24" s="2">
        <v>0</v>
      </c>
      <c r="DU24" s="2">
        <v>6</v>
      </c>
      <c r="DV24" s="2">
        <v>0</v>
      </c>
      <c r="DW24" s="2">
        <v>0</v>
      </c>
      <c r="DX24" s="2">
        <v>1</v>
      </c>
      <c r="DY24" s="2">
        <v>0</v>
      </c>
      <c r="DZ24" s="2">
        <v>1</v>
      </c>
      <c r="EA24" s="2">
        <v>0</v>
      </c>
      <c r="EB24" s="2">
        <v>0</v>
      </c>
      <c r="EC24" s="2">
        <v>0</v>
      </c>
      <c r="ED24" s="2">
        <v>13</v>
      </c>
      <c r="EE24" s="2">
        <v>1</v>
      </c>
      <c r="EF24" s="2">
        <v>0</v>
      </c>
      <c r="EG24" s="2">
        <v>3</v>
      </c>
      <c r="EH24" s="2">
        <v>0</v>
      </c>
      <c r="EI24" s="2">
        <v>14</v>
      </c>
      <c r="EJ24" s="2">
        <v>11</v>
      </c>
      <c r="EK24" s="2">
        <v>0</v>
      </c>
      <c r="EL24" s="2" t="s">
        <v>17</v>
      </c>
      <c r="EM24" s="2" t="s">
        <v>17</v>
      </c>
      <c r="EN24" s="2" t="s">
        <v>17</v>
      </c>
      <c r="EO24" s="2" t="s">
        <v>17</v>
      </c>
      <c r="EP24" s="2" t="s">
        <v>17</v>
      </c>
      <c r="EQ24" s="2" t="s">
        <v>17</v>
      </c>
      <c r="ER24" s="2" t="s">
        <v>17</v>
      </c>
      <c r="ES24" s="2" t="s">
        <v>17</v>
      </c>
      <c r="ET24" s="2" t="s">
        <v>1678</v>
      </c>
      <c r="EU24" s="2"/>
      <c r="EV24" s="2"/>
      <c r="EW24" s="2" t="s">
        <v>9</v>
      </c>
      <c r="EX24" s="2" t="s">
        <v>1680</v>
      </c>
      <c r="EY24" s="2" t="s">
        <v>1678</v>
      </c>
      <c r="EZ24" s="2" t="s">
        <v>1681</v>
      </c>
      <c r="FA24" s="2" t="s">
        <v>1682</v>
      </c>
      <c r="FB24" s="2">
        <v>114</v>
      </c>
      <c r="FC24" s="2" t="s">
        <v>984</v>
      </c>
      <c r="FD24" s="2">
        <v>2018</v>
      </c>
      <c r="FE24" s="2" t="s">
        <v>26</v>
      </c>
      <c r="FF24" s="2" t="s">
        <v>4210</v>
      </c>
      <c r="FG24" s="2" t="s">
        <v>5066</v>
      </c>
      <c r="FH24" s="2" t="s">
        <v>665</v>
      </c>
      <c r="FI24" s="2" t="s">
        <v>1688</v>
      </c>
      <c r="FJ24" s="2" t="s">
        <v>1689</v>
      </c>
      <c r="FK24" s="2">
        <v>1</v>
      </c>
      <c r="FL24" s="2" t="s">
        <v>1690</v>
      </c>
      <c r="FM24" s="2" t="s">
        <v>1691</v>
      </c>
      <c r="FN24" s="2" t="s">
        <v>5248</v>
      </c>
      <c r="FO24" s="2" t="s">
        <v>63</v>
      </c>
      <c r="FP24" s="2" t="s">
        <v>9</v>
      </c>
      <c r="FQ24" s="2" t="s">
        <v>17</v>
      </c>
      <c r="FR24" s="2" t="s">
        <v>17</v>
      </c>
      <c r="FS24" s="2" t="s">
        <v>9</v>
      </c>
      <c r="FT24" s="2">
        <v>0</v>
      </c>
      <c r="FU24" s="2">
        <v>0</v>
      </c>
      <c r="FV24" s="4">
        <v>0</v>
      </c>
      <c r="FW24" s="4">
        <v>0</v>
      </c>
      <c r="FX24" s="2" t="s">
        <v>65</v>
      </c>
      <c r="FY24" s="2" t="s">
        <v>66</v>
      </c>
      <c r="FZ24" s="2" t="s">
        <v>17</v>
      </c>
      <c r="GA24" s="2"/>
      <c r="GB24" s="2"/>
      <c r="GC24" s="2"/>
      <c r="GD24" s="2" t="s">
        <v>67</v>
      </c>
      <c r="GE24" s="2" t="s">
        <v>68</v>
      </c>
      <c r="GF24" s="2"/>
      <c r="GG24" s="2"/>
      <c r="GH24" s="2">
        <v>88</v>
      </c>
      <c r="GI24" s="2"/>
      <c r="GJ24" s="2"/>
      <c r="GK24" s="2"/>
      <c r="GL24" s="2"/>
      <c r="GM24" s="2"/>
      <c r="GN24" s="2"/>
      <c r="GO24" s="2"/>
      <c r="GP24" s="2"/>
      <c r="GQ24" s="2">
        <v>88</v>
      </c>
      <c r="GR24" s="2" t="s">
        <v>1197</v>
      </c>
      <c r="GS24" s="2" t="s">
        <v>70</v>
      </c>
      <c r="GT24" s="2">
        <v>1</v>
      </c>
      <c r="GU24" s="2" t="s">
        <v>5249</v>
      </c>
      <c r="GV24" s="2" t="s">
        <v>1469</v>
      </c>
      <c r="GW24" s="2" t="s">
        <v>17</v>
      </c>
      <c r="GX24" s="2">
        <v>26.648799</v>
      </c>
      <c r="GY24" s="2">
        <v>-81.815714999999997</v>
      </c>
      <c r="GZ24" s="2"/>
      <c r="HA24" s="2" t="s">
        <v>17</v>
      </c>
      <c r="HB24" s="2">
        <v>0</v>
      </c>
      <c r="HC24" s="2" t="s">
        <v>17</v>
      </c>
      <c r="HD24" s="2"/>
      <c r="HE24" s="2">
        <v>0</v>
      </c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>
        <v>26.650428000000002</v>
      </c>
      <c r="HQ24" s="2">
        <v>-81.828142</v>
      </c>
      <c r="HR24" s="2">
        <v>0.78</v>
      </c>
      <c r="HS24" s="2">
        <v>4.5</v>
      </c>
      <c r="HT24" s="2"/>
      <c r="HU24" s="2"/>
      <c r="HV24" s="2"/>
      <c r="HW24" s="2"/>
      <c r="HX24" s="2" t="s">
        <v>73</v>
      </c>
      <c r="HY24" s="2" t="s">
        <v>5101</v>
      </c>
      <c r="HZ24" s="2" t="s">
        <v>5250</v>
      </c>
      <c r="IA24" s="2">
        <v>0.34</v>
      </c>
      <c r="IB24" s="2">
        <v>3.5</v>
      </c>
      <c r="IC24" s="2"/>
      <c r="ID24" s="2"/>
      <c r="IE24" s="2"/>
      <c r="IF24" s="2"/>
      <c r="IG24" s="2" t="s">
        <v>224</v>
      </c>
      <c r="IH24" s="2" t="s">
        <v>5103</v>
      </c>
      <c r="II24" s="2">
        <v>1.49</v>
      </c>
      <c r="IJ24" s="2">
        <v>1.5</v>
      </c>
      <c r="IK24" s="2" t="s">
        <v>5251</v>
      </c>
      <c r="IL24" s="2" t="s">
        <v>5252</v>
      </c>
      <c r="IM24" s="2">
        <v>0.86</v>
      </c>
      <c r="IN24" s="2">
        <v>3</v>
      </c>
      <c r="IO24" s="2">
        <v>4.5</v>
      </c>
      <c r="IP24" s="2">
        <v>8</v>
      </c>
      <c r="IQ24" s="2">
        <v>0</v>
      </c>
      <c r="IR24" s="2">
        <v>12.5</v>
      </c>
      <c r="IS24" s="2" t="s">
        <v>17</v>
      </c>
      <c r="IT24" s="2" t="s">
        <v>17</v>
      </c>
      <c r="IU24" s="2" t="s">
        <v>17</v>
      </c>
      <c r="IV24" s="2" t="s">
        <v>80</v>
      </c>
      <c r="IW24" s="2" t="s">
        <v>9</v>
      </c>
      <c r="IX24" s="2" t="s">
        <v>9</v>
      </c>
      <c r="IY24" s="2">
        <v>12.5</v>
      </c>
      <c r="IZ24" s="2">
        <v>88</v>
      </c>
      <c r="JA24" s="2"/>
      <c r="JB24" s="2"/>
      <c r="JC24" s="2"/>
      <c r="JD24" s="2"/>
      <c r="JE24" s="2"/>
      <c r="JF24" s="2"/>
      <c r="JG24" s="2"/>
      <c r="JH24" s="7">
        <v>0</v>
      </c>
      <c r="JI24" s="2">
        <v>0</v>
      </c>
      <c r="JJ24" s="7">
        <v>0</v>
      </c>
      <c r="JK24" s="2">
        <v>0</v>
      </c>
      <c r="JL24" s="7">
        <v>0</v>
      </c>
      <c r="JM24" s="2">
        <v>14</v>
      </c>
      <c r="JN24" s="2">
        <v>12</v>
      </c>
      <c r="JO24" s="2">
        <v>24</v>
      </c>
      <c r="JP24" s="2">
        <v>22</v>
      </c>
      <c r="JQ24" s="2">
        <v>16</v>
      </c>
      <c r="JR24" s="2">
        <v>0</v>
      </c>
      <c r="JS24" s="2">
        <v>0</v>
      </c>
      <c r="JT24" s="2"/>
      <c r="JU24" s="2"/>
      <c r="JV24" s="2">
        <v>88</v>
      </c>
      <c r="JW24" s="4">
        <v>1</v>
      </c>
      <c r="JX24" s="2">
        <v>88</v>
      </c>
      <c r="JY24" s="4">
        <v>0.6</v>
      </c>
      <c r="JZ24" s="2">
        <v>0</v>
      </c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>
        <v>52</v>
      </c>
      <c r="KL24" s="2">
        <v>36</v>
      </c>
      <c r="KM24" s="2"/>
      <c r="KN24" s="2"/>
      <c r="KO24" s="2"/>
      <c r="KP24" s="2"/>
      <c r="KQ24" s="2" t="s">
        <v>83</v>
      </c>
      <c r="KR24" s="2" t="s">
        <v>73</v>
      </c>
      <c r="KS24" s="2"/>
      <c r="KT24" s="2">
        <v>4</v>
      </c>
      <c r="KU24" s="2" t="s">
        <v>84</v>
      </c>
      <c r="KV24" s="2" t="s">
        <v>85</v>
      </c>
      <c r="KW24" s="2" t="s">
        <v>530</v>
      </c>
      <c r="KX24" s="2" t="s">
        <v>17</v>
      </c>
      <c r="KY24" s="2" t="s">
        <v>17</v>
      </c>
      <c r="KZ24" s="2" t="s">
        <v>17</v>
      </c>
      <c r="LA24" s="2" t="s">
        <v>17</v>
      </c>
      <c r="LB24" s="2" t="s">
        <v>17</v>
      </c>
      <c r="LC24" s="2" t="s">
        <v>17</v>
      </c>
      <c r="LD24" s="2" t="s">
        <v>17</v>
      </c>
      <c r="LE24" s="2" t="s">
        <v>17</v>
      </c>
      <c r="LF24" s="2" t="s">
        <v>17</v>
      </c>
      <c r="LG24" s="2" t="s">
        <v>17</v>
      </c>
      <c r="LH24" s="2" t="s">
        <v>17</v>
      </c>
      <c r="LI24" s="2" t="s">
        <v>17</v>
      </c>
      <c r="LJ24" s="2" t="s">
        <v>87</v>
      </c>
      <c r="LK24" s="2" t="s">
        <v>17</v>
      </c>
      <c r="LL24" s="2" t="s">
        <v>17</v>
      </c>
      <c r="LM24" s="2">
        <v>0</v>
      </c>
      <c r="LN24" s="2" t="s">
        <v>17</v>
      </c>
      <c r="LO24" s="2" t="s">
        <v>17</v>
      </c>
      <c r="LP24" s="2" t="s">
        <v>9</v>
      </c>
      <c r="LQ24" s="2" t="s">
        <v>9</v>
      </c>
      <c r="LR24" s="2" t="s">
        <v>17</v>
      </c>
      <c r="LS24" s="2" t="s">
        <v>9</v>
      </c>
      <c r="LT24" s="2" t="s">
        <v>17</v>
      </c>
      <c r="LU24" s="2" t="s">
        <v>17</v>
      </c>
      <c r="LV24" s="2" t="s">
        <v>17</v>
      </c>
      <c r="LW24" s="2" t="s">
        <v>17</v>
      </c>
      <c r="LX24" s="2" t="s">
        <v>17</v>
      </c>
      <c r="LY24" s="5">
        <v>9240000</v>
      </c>
      <c r="LZ24" s="5">
        <v>0</v>
      </c>
      <c r="MA24" s="5">
        <v>9240000</v>
      </c>
      <c r="MB24" s="5">
        <v>7240000</v>
      </c>
      <c r="MC24" s="5">
        <v>7240000</v>
      </c>
      <c r="MD24" s="5">
        <v>856200</v>
      </c>
      <c r="ME24" s="5">
        <v>856200</v>
      </c>
      <c r="MF24" s="5">
        <v>856200</v>
      </c>
      <c r="MG24" s="5">
        <v>8096200</v>
      </c>
      <c r="MH24" s="2">
        <v>0</v>
      </c>
      <c r="MI24" s="5">
        <v>0</v>
      </c>
      <c r="MJ24" s="5">
        <v>0</v>
      </c>
      <c r="MK24" s="2">
        <v>0</v>
      </c>
      <c r="ML24" s="2">
        <v>0</v>
      </c>
      <c r="MM24" s="2">
        <v>0</v>
      </c>
      <c r="MN24" s="5">
        <v>2950000</v>
      </c>
      <c r="MO24" s="5">
        <v>0</v>
      </c>
      <c r="MP24" s="5">
        <v>4600000</v>
      </c>
      <c r="MQ24" s="5">
        <v>0</v>
      </c>
      <c r="MR24" s="5">
        <v>0</v>
      </c>
      <c r="MS24" s="5">
        <v>0</v>
      </c>
      <c r="MT24" s="5">
        <v>0</v>
      </c>
      <c r="MU24" s="5">
        <v>2500000</v>
      </c>
      <c r="MV24" s="5">
        <v>0</v>
      </c>
      <c r="MW24" s="5">
        <v>0</v>
      </c>
      <c r="MX24" s="5">
        <v>0</v>
      </c>
      <c r="MY24" s="5">
        <v>2040000</v>
      </c>
      <c r="MZ24" s="5">
        <v>0</v>
      </c>
      <c r="NA24" s="5">
        <v>1220000</v>
      </c>
      <c r="NB24" s="2" t="s">
        <v>17</v>
      </c>
      <c r="NC24" s="2"/>
      <c r="ND24" s="2"/>
      <c r="NE24" s="2"/>
      <c r="NF24" s="2"/>
      <c r="NG24" s="2"/>
      <c r="NH24" s="2"/>
      <c r="NI24" s="61">
        <v>0</v>
      </c>
      <c r="NJ24" s="61"/>
      <c r="NK24" s="61"/>
      <c r="NL24" s="61"/>
      <c r="NM24" s="2" t="s">
        <v>17</v>
      </c>
      <c r="NN24" s="2"/>
      <c r="NO24" s="2" t="s">
        <v>17</v>
      </c>
      <c r="NP24" s="2"/>
      <c r="NQ24" s="2"/>
      <c r="NR24" s="2" t="s">
        <v>17</v>
      </c>
      <c r="NS24" s="2"/>
      <c r="NT24" s="2" t="s">
        <v>9</v>
      </c>
      <c r="NU24" s="2" t="s">
        <v>450</v>
      </c>
      <c r="NV24" s="2">
        <v>5.04</v>
      </c>
      <c r="NW24" s="2" t="s">
        <v>1221</v>
      </c>
      <c r="NX24" s="2" t="s">
        <v>118</v>
      </c>
      <c r="NY24" s="2" t="s">
        <v>118</v>
      </c>
      <c r="NZ24" s="2" t="s">
        <v>118</v>
      </c>
      <c r="OA24" s="2" t="s">
        <v>17</v>
      </c>
      <c r="OB24" s="2" t="s">
        <v>119</v>
      </c>
      <c r="OC24" s="5">
        <v>14000000</v>
      </c>
      <c r="OD24" s="2" t="s">
        <v>17</v>
      </c>
      <c r="OE24" s="2" t="s">
        <v>17</v>
      </c>
      <c r="OF24" s="2" t="s">
        <v>85</v>
      </c>
      <c r="OG24" s="6">
        <v>7450000</v>
      </c>
      <c r="OH24" s="6">
        <v>0</v>
      </c>
      <c r="OI24" s="2" t="s">
        <v>93</v>
      </c>
      <c r="OJ24" s="2" t="s">
        <v>93</v>
      </c>
      <c r="OK24" s="6">
        <v>0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4">
        <v>0</v>
      </c>
      <c r="OR24" s="6">
        <v>0</v>
      </c>
      <c r="OS24" s="4">
        <v>0</v>
      </c>
      <c r="OT24" s="2" t="s">
        <v>17</v>
      </c>
      <c r="OU24" s="2" t="s">
        <v>17</v>
      </c>
      <c r="OV24" s="2"/>
      <c r="OW24" s="2" t="s">
        <v>17</v>
      </c>
      <c r="OX24" s="5">
        <v>7659920</v>
      </c>
      <c r="OY24" s="6">
        <v>87044.55</v>
      </c>
      <c r="OZ24" s="2"/>
      <c r="PA24" s="2"/>
      <c r="PB24" s="2"/>
      <c r="PC24" s="2"/>
      <c r="PD24" s="2"/>
      <c r="PE24" s="2"/>
      <c r="PF24" s="8">
        <v>14080000</v>
      </c>
      <c r="PG24" s="2"/>
      <c r="PH24" s="8">
        <v>14080000</v>
      </c>
      <c r="PI24" s="2"/>
      <c r="PJ24" s="2"/>
      <c r="PK24" s="2"/>
      <c r="PL24" s="2"/>
      <c r="PM24" s="2"/>
      <c r="PN24" s="2"/>
      <c r="PO24" s="2"/>
      <c r="PP24" s="2"/>
      <c r="PQ24" s="2"/>
      <c r="PR24" s="8">
        <v>14080000</v>
      </c>
      <c r="PS24" s="2"/>
      <c r="PT24" s="8">
        <v>14080000</v>
      </c>
      <c r="PU24" s="8">
        <v>1970000</v>
      </c>
      <c r="PV24" s="8">
        <v>1970000</v>
      </c>
      <c r="PW24" s="6">
        <v>1971200</v>
      </c>
      <c r="PX24" s="8">
        <v>16050000</v>
      </c>
      <c r="PY24" s="2"/>
      <c r="PZ24" s="8">
        <v>16050000</v>
      </c>
      <c r="QA24" s="8">
        <v>800000</v>
      </c>
      <c r="QB24" s="8">
        <v>800000</v>
      </c>
      <c r="QC24" s="6">
        <v>802500</v>
      </c>
      <c r="QD24" s="8">
        <v>20000</v>
      </c>
      <c r="QE24" s="8">
        <v>20000</v>
      </c>
      <c r="QF24" s="8">
        <v>40000</v>
      </c>
      <c r="QG24" s="8">
        <v>10000</v>
      </c>
      <c r="QH24" s="8">
        <v>10000</v>
      </c>
      <c r="QI24" s="8">
        <v>250000</v>
      </c>
      <c r="QJ24" s="8">
        <v>250000</v>
      </c>
      <c r="QK24" s="8">
        <v>30000</v>
      </c>
      <c r="QL24" s="8">
        <v>30000</v>
      </c>
      <c r="QM24" s="8">
        <v>55000</v>
      </c>
      <c r="QN24" s="2"/>
      <c r="QO24" s="8">
        <v>55000</v>
      </c>
      <c r="QP24" s="8">
        <v>220000</v>
      </c>
      <c r="QQ24" s="8">
        <v>220000</v>
      </c>
      <c r="QR24" s="8">
        <v>10000</v>
      </c>
      <c r="QS24" s="8">
        <v>10000</v>
      </c>
      <c r="QT24" s="8">
        <v>200000</v>
      </c>
      <c r="QU24" s="2"/>
      <c r="QV24" s="8">
        <v>200000</v>
      </c>
      <c r="QW24" s="8">
        <v>20000</v>
      </c>
      <c r="QX24" s="8">
        <v>20000</v>
      </c>
      <c r="QY24" s="8">
        <v>109800</v>
      </c>
      <c r="QZ24" s="8">
        <v>109800</v>
      </c>
      <c r="RA24" s="8">
        <v>3000</v>
      </c>
      <c r="RB24" s="8">
        <v>3000</v>
      </c>
      <c r="RC24" s="8">
        <v>205215</v>
      </c>
      <c r="RD24" s="8">
        <v>205215</v>
      </c>
      <c r="RE24" s="8">
        <v>26781</v>
      </c>
      <c r="RF24" s="8">
        <v>26781</v>
      </c>
      <c r="RG24" s="8">
        <v>50000</v>
      </c>
      <c r="RH24" s="8">
        <v>50000</v>
      </c>
      <c r="RI24" s="8">
        <v>528000</v>
      </c>
      <c r="RJ24" s="8">
        <v>528000</v>
      </c>
      <c r="RK24" s="8">
        <v>55000</v>
      </c>
      <c r="RL24" s="2"/>
      <c r="RM24" s="8">
        <v>55000</v>
      </c>
      <c r="RN24" s="8">
        <v>140000</v>
      </c>
      <c r="RO24" s="2"/>
      <c r="RP24" s="8">
        <v>140000</v>
      </c>
      <c r="RQ24" s="8">
        <v>185000</v>
      </c>
      <c r="RR24" s="2"/>
      <c r="RS24" s="8">
        <v>185000</v>
      </c>
      <c r="RT24" s="2"/>
      <c r="RU24" s="8">
        <v>10000</v>
      </c>
      <c r="RV24" s="8">
        <v>10000</v>
      </c>
      <c r="RW24" s="2"/>
      <c r="RX24" s="2"/>
      <c r="RY24" s="8">
        <v>105000</v>
      </c>
      <c r="RZ24" s="2"/>
      <c r="SA24" s="8">
        <v>105000</v>
      </c>
      <c r="SB24" s="8">
        <v>20000</v>
      </c>
      <c r="SC24" s="8">
        <v>20000</v>
      </c>
      <c r="SD24" s="8">
        <v>25000</v>
      </c>
      <c r="SE24" s="2"/>
      <c r="SF24" s="8">
        <v>25000</v>
      </c>
      <c r="SG24" s="2"/>
      <c r="SH24" s="8">
        <v>100000</v>
      </c>
      <c r="SI24" s="2"/>
      <c r="SJ24" s="8">
        <v>100000</v>
      </c>
      <c r="SK24" s="8">
        <v>200000</v>
      </c>
      <c r="SL24" s="8">
        <v>200000</v>
      </c>
      <c r="SM24" s="8">
        <v>383776</v>
      </c>
      <c r="SN24" s="2"/>
      <c r="SO24" s="8">
        <v>383776</v>
      </c>
      <c r="SP24" s="8">
        <v>2606776</v>
      </c>
      <c r="SQ24" s="8">
        <v>374796</v>
      </c>
      <c r="SR24" s="8">
        <v>2981572</v>
      </c>
      <c r="SS24" s="8">
        <v>100000</v>
      </c>
      <c r="ST24" s="2"/>
      <c r="SU24" s="8">
        <v>100000</v>
      </c>
      <c r="SV24" s="6">
        <v>149078.6</v>
      </c>
      <c r="SW24" s="8">
        <v>95000</v>
      </c>
      <c r="SX24" s="8">
        <v>95000</v>
      </c>
      <c r="SY24" s="2"/>
      <c r="SZ24" s="8">
        <v>665000</v>
      </c>
      <c r="TA24" s="2"/>
      <c r="TB24" s="8">
        <v>665000</v>
      </c>
      <c r="TC24" s="2"/>
      <c r="TD24" s="2"/>
      <c r="TE24" s="2"/>
      <c r="TF24" s="8">
        <v>151702</v>
      </c>
      <c r="TG24" s="8">
        <v>151702</v>
      </c>
      <c r="TH24" s="2"/>
      <c r="TI24" s="8">
        <v>10000</v>
      </c>
      <c r="TJ24" s="8">
        <v>10000</v>
      </c>
      <c r="TK24" s="2"/>
      <c r="TL24" s="2"/>
      <c r="TM24" s="8">
        <v>265000</v>
      </c>
      <c r="TN24" s="8">
        <v>265000</v>
      </c>
      <c r="TO24" s="8">
        <v>760000</v>
      </c>
      <c r="TP24" s="8">
        <v>426702</v>
      </c>
      <c r="TQ24" s="8">
        <v>1186702</v>
      </c>
      <c r="TR24" s="8">
        <v>20316776</v>
      </c>
      <c r="TS24" s="8">
        <v>801498</v>
      </c>
      <c r="TT24" s="8">
        <v>21118274</v>
      </c>
      <c r="TU24" s="8">
        <v>3800000</v>
      </c>
      <c r="TV24" s="8">
        <v>3800000</v>
      </c>
      <c r="TW24" s="6">
        <v>3801289</v>
      </c>
      <c r="TX24" s="8">
        <v>3800000</v>
      </c>
      <c r="TY24" s="8">
        <v>3800000</v>
      </c>
      <c r="TZ24" s="6">
        <v>3801289</v>
      </c>
      <c r="UA24" s="8">
        <v>1250000</v>
      </c>
      <c r="UB24" s="8">
        <v>1250000</v>
      </c>
      <c r="UC24" s="8">
        <v>24116776</v>
      </c>
      <c r="UD24" s="8">
        <v>2051498</v>
      </c>
      <c r="UE24" s="8">
        <v>26168274</v>
      </c>
      <c r="UF24" s="8">
        <v>14000000</v>
      </c>
      <c r="UG24" s="2" t="s">
        <v>4295</v>
      </c>
      <c r="UH24" s="2"/>
      <c r="UI24" s="2"/>
      <c r="UJ24" s="8">
        <v>8096200</v>
      </c>
      <c r="UK24" s="2"/>
      <c r="UL24" s="2" t="s">
        <v>96</v>
      </c>
      <c r="UM24" s="8">
        <v>4830716.7</v>
      </c>
      <c r="UN24" s="8">
        <v>1500000</v>
      </c>
      <c r="UO24" s="8">
        <v>28426916.699999999</v>
      </c>
      <c r="UP24" s="8">
        <v>2258642.7000000002</v>
      </c>
      <c r="UQ24" s="8">
        <v>7450000</v>
      </c>
      <c r="UR24" s="2" t="s">
        <v>4295</v>
      </c>
      <c r="US24" s="2"/>
      <c r="UT24" s="2"/>
      <c r="UU24" s="2"/>
      <c r="UV24" s="2"/>
      <c r="UW24" s="8">
        <v>8096200</v>
      </c>
      <c r="UX24" s="2"/>
      <c r="UY24" s="2" t="s">
        <v>96</v>
      </c>
      <c r="UZ24" s="8">
        <v>10734926</v>
      </c>
      <c r="VA24" s="8">
        <v>2000000</v>
      </c>
      <c r="VB24" s="8">
        <v>28281126</v>
      </c>
      <c r="VC24" s="6">
        <v>15546200</v>
      </c>
      <c r="VD24" s="8">
        <v>2112852</v>
      </c>
      <c r="VE24" s="5">
        <v>320000</v>
      </c>
      <c r="VF24" s="5">
        <v>327500</v>
      </c>
      <c r="VG24" s="6">
        <v>283162.2</v>
      </c>
      <c r="VH24" s="2" t="s">
        <v>9</v>
      </c>
      <c r="VI24" s="388" t="s">
        <v>1680</v>
      </c>
      <c r="VJ24" s="2" t="s">
        <v>98</v>
      </c>
      <c r="VK24" s="2" t="s">
        <v>536</v>
      </c>
      <c r="VL24" s="23">
        <f t="shared" si="0"/>
        <v>212</v>
      </c>
      <c r="VM24" s="17">
        <f t="shared" si="1"/>
        <v>2.4090909090909092</v>
      </c>
      <c r="VN24" s="17" t="str">
        <f t="shared" si="2"/>
        <v>NC-GA-F</v>
      </c>
      <c r="VO24" s="17" t="str">
        <f t="shared" si="15"/>
        <v>NC-GA-F-Non</v>
      </c>
      <c r="VP24" s="57">
        <v>1</v>
      </c>
      <c r="VQ24" s="17">
        <f t="shared" si="3"/>
        <v>1.1100000000000001</v>
      </c>
      <c r="VR24" s="57">
        <f t="shared" si="4"/>
        <v>1</v>
      </c>
      <c r="VS24" s="14">
        <f t="shared" si="5"/>
        <v>1</v>
      </c>
      <c r="VT24" s="12">
        <f t="shared" si="6"/>
        <v>0.89000000000000012</v>
      </c>
      <c r="VU24" s="29">
        <f t="shared" si="7"/>
        <v>7152396.0000000019</v>
      </c>
      <c r="VV24" s="29">
        <f t="shared" si="8"/>
        <v>81277.23</v>
      </c>
      <c r="VW24" s="351" t="str">
        <f t="shared" si="21"/>
        <v>A</v>
      </c>
      <c r="VX24" s="12" t="str">
        <f t="shared" si="9"/>
        <v>NC-GA-Non</v>
      </c>
      <c r="VY24" s="23">
        <f t="shared" si="22"/>
        <v>3</v>
      </c>
      <c r="WA24" s="12">
        <f t="shared" si="16"/>
        <v>0</v>
      </c>
      <c r="WB24" s="12">
        <f t="shared" si="17"/>
        <v>1</v>
      </c>
      <c r="WC24" s="12">
        <f t="shared" si="17"/>
        <v>0</v>
      </c>
      <c r="WD24" s="12">
        <f t="shared" si="17"/>
        <v>0</v>
      </c>
      <c r="WE24" s="12">
        <f t="shared" si="18"/>
        <v>0</v>
      </c>
      <c r="WF24" s="12">
        <f t="shared" si="10"/>
        <v>1</v>
      </c>
      <c r="WG24" s="12">
        <f t="shared" si="11"/>
        <v>0</v>
      </c>
      <c r="WH24" s="12">
        <f t="shared" si="12"/>
        <v>0</v>
      </c>
      <c r="WI24" s="31">
        <f t="shared" si="13"/>
        <v>2</v>
      </c>
      <c r="WJ24" s="2"/>
      <c r="WK24" s="444" t="str">
        <f t="shared" si="23"/>
        <v>NC-GA-Non-BBY-BRN-NPH-F</v>
      </c>
      <c r="WL24" s="444"/>
      <c r="WM24" s="444"/>
    </row>
    <row r="25" spans="1:611" x14ac:dyDescent="0.25">
      <c r="A25" s="2">
        <v>8976</v>
      </c>
      <c r="B25" s="2" t="s">
        <v>5253</v>
      </c>
      <c r="C25" s="2" t="s">
        <v>5063</v>
      </c>
      <c r="D25" s="2">
        <v>10</v>
      </c>
      <c r="E25" s="2">
        <v>30.58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 t="s">
        <v>9</v>
      </c>
      <c r="BV25" s="6">
        <v>88175.64</v>
      </c>
      <c r="BW25" s="2" t="s">
        <v>18</v>
      </c>
      <c r="BX25" s="3">
        <v>45036</v>
      </c>
      <c r="BY25" s="2" t="s">
        <v>9</v>
      </c>
      <c r="BZ25" s="2">
        <v>1</v>
      </c>
      <c r="CA25" s="2" t="s">
        <v>9</v>
      </c>
      <c r="CB25" s="2">
        <v>1</v>
      </c>
      <c r="CC25" s="2" t="s">
        <v>9</v>
      </c>
      <c r="CD25" s="2">
        <v>0</v>
      </c>
      <c r="CE25" s="2" t="s">
        <v>4690</v>
      </c>
      <c r="CF25" s="2">
        <v>1</v>
      </c>
      <c r="CG25" s="2" t="s">
        <v>10</v>
      </c>
      <c r="CH25" s="2">
        <v>0</v>
      </c>
      <c r="CI25" s="2" t="s">
        <v>10</v>
      </c>
      <c r="CJ25" s="2">
        <v>0</v>
      </c>
      <c r="CK25" s="2" t="s">
        <v>11</v>
      </c>
      <c r="CL25" s="2">
        <v>0</v>
      </c>
      <c r="CM25" s="2" t="s">
        <v>9</v>
      </c>
      <c r="CN25" s="2">
        <v>2</v>
      </c>
      <c r="CO25" s="2" t="s">
        <v>9</v>
      </c>
      <c r="CP25" s="2">
        <v>2</v>
      </c>
      <c r="CQ25" s="2" t="s">
        <v>9</v>
      </c>
      <c r="CR25" s="2">
        <v>2</v>
      </c>
      <c r="CS25" s="2" t="s">
        <v>12</v>
      </c>
      <c r="CT25" s="2" t="s">
        <v>15</v>
      </c>
      <c r="CU25" s="2" t="s">
        <v>15</v>
      </c>
      <c r="CV25" s="2" t="s">
        <v>15</v>
      </c>
      <c r="CW25" s="2" t="s">
        <v>3418</v>
      </c>
      <c r="CX25" s="2" t="s">
        <v>15</v>
      </c>
      <c r="CY25" s="2" t="s">
        <v>15</v>
      </c>
      <c r="CZ25" s="2">
        <v>0</v>
      </c>
      <c r="DA25" s="2" t="s">
        <v>234</v>
      </c>
      <c r="DB25" s="2" t="s">
        <v>17</v>
      </c>
      <c r="DC25" s="4">
        <v>0.15789</v>
      </c>
      <c r="DD25" s="2" t="s">
        <v>17</v>
      </c>
      <c r="DE25" s="2" t="s">
        <v>9</v>
      </c>
      <c r="DF25" s="2" t="s">
        <v>17</v>
      </c>
      <c r="DG25" s="2" t="s">
        <v>17</v>
      </c>
      <c r="DH25" s="2" t="s">
        <v>17</v>
      </c>
      <c r="DI25" s="2" t="s">
        <v>9</v>
      </c>
      <c r="DJ25" s="2" t="s">
        <v>17</v>
      </c>
      <c r="DK25" s="2" t="s">
        <v>17</v>
      </c>
      <c r="DL25" s="2" t="s">
        <v>17</v>
      </c>
      <c r="DM25" s="2" t="s">
        <v>17</v>
      </c>
      <c r="DN25" s="2" t="s">
        <v>2663</v>
      </c>
      <c r="DO25" s="2">
        <v>5</v>
      </c>
      <c r="DP25" s="5">
        <v>50000</v>
      </c>
      <c r="DQ25" s="5">
        <v>460000</v>
      </c>
      <c r="DR25" s="2">
        <v>0</v>
      </c>
      <c r="DS25" s="2">
        <v>5</v>
      </c>
      <c r="DT25" s="2">
        <v>0</v>
      </c>
      <c r="DU25" s="2">
        <v>6</v>
      </c>
      <c r="DV25" s="2">
        <v>0</v>
      </c>
      <c r="DW25" s="2">
        <v>0</v>
      </c>
      <c r="DX25" s="2">
        <v>1</v>
      </c>
      <c r="DY25" s="2">
        <v>0</v>
      </c>
      <c r="DZ25" s="2">
        <v>1</v>
      </c>
      <c r="EA25" s="2">
        <v>0</v>
      </c>
      <c r="EB25" s="2">
        <v>0</v>
      </c>
      <c r="EC25" s="2">
        <v>0</v>
      </c>
      <c r="ED25" s="2">
        <v>13</v>
      </c>
      <c r="EE25" s="2">
        <v>1</v>
      </c>
      <c r="EF25" s="2">
        <v>0</v>
      </c>
      <c r="EG25" s="2">
        <v>3</v>
      </c>
      <c r="EH25" s="2">
        <v>0</v>
      </c>
      <c r="EI25" s="2">
        <v>14</v>
      </c>
      <c r="EJ25" s="2">
        <v>11</v>
      </c>
      <c r="EK25" s="2">
        <v>0</v>
      </c>
      <c r="EL25" s="2" t="s">
        <v>17</v>
      </c>
      <c r="EM25" s="2" t="s">
        <v>17</v>
      </c>
      <c r="EN25" s="2" t="s">
        <v>17</v>
      </c>
      <c r="EO25" s="2" t="s">
        <v>17</v>
      </c>
      <c r="EP25" s="2" t="s">
        <v>17</v>
      </c>
      <c r="EQ25" s="2" t="s">
        <v>17</v>
      </c>
      <c r="ER25" s="2" t="s">
        <v>17</v>
      </c>
      <c r="ES25" s="2" t="s">
        <v>17</v>
      </c>
      <c r="ET25" s="2" t="s">
        <v>4691</v>
      </c>
      <c r="EU25" s="2"/>
      <c r="EV25" s="2"/>
      <c r="EW25" s="2" t="s">
        <v>9</v>
      </c>
      <c r="EX25" s="2" t="s">
        <v>5254</v>
      </c>
      <c r="EY25" s="2" t="s">
        <v>4691</v>
      </c>
      <c r="EZ25" s="2" t="s">
        <v>287</v>
      </c>
      <c r="FA25" s="2" t="s">
        <v>147</v>
      </c>
      <c r="FB25" s="2">
        <v>100</v>
      </c>
      <c r="FC25" s="2" t="s">
        <v>5169</v>
      </c>
      <c r="FD25" s="2">
        <v>2021</v>
      </c>
      <c r="FE25" s="2" t="s">
        <v>26</v>
      </c>
      <c r="FF25" s="2" t="s">
        <v>4210</v>
      </c>
      <c r="FG25" s="2" t="s">
        <v>294</v>
      </c>
      <c r="FH25" s="2" t="s">
        <v>5255</v>
      </c>
      <c r="FI25" s="2" t="s">
        <v>296</v>
      </c>
      <c r="FJ25" s="2" t="s">
        <v>297</v>
      </c>
      <c r="FK25" s="2">
        <v>1</v>
      </c>
      <c r="FL25" s="2" t="s">
        <v>1060</v>
      </c>
      <c r="FM25" s="2" t="s">
        <v>299</v>
      </c>
      <c r="FN25" s="2" t="s">
        <v>4693</v>
      </c>
      <c r="FO25" s="2" t="s">
        <v>63</v>
      </c>
      <c r="FP25" s="2" t="s">
        <v>9</v>
      </c>
      <c r="FQ25" s="2" t="s">
        <v>17</v>
      </c>
      <c r="FR25" s="2" t="s">
        <v>17</v>
      </c>
      <c r="FS25" s="2" t="s">
        <v>9</v>
      </c>
      <c r="FT25" s="2">
        <v>0</v>
      </c>
      <c r="FU25" s="2">
        <v>0</v>
      </c>
      <c r="FV25" s="4">
        <v>0</v>
      </c>
      <c r="FW25" s="4">
        <v>0</v>
      </c>
      <c r="FX25" s="2" t="s">
        <v>65</v>
      </c>
      <c r="FY25" s="2" t="s">
        <v>66</v>
      </c>
      <c r="FZ25" s="2" t="s">
        <v>17</v>
      </c>
      <c r="GA25" s="2"/>
      <c r="GB25" s="2"/>
      <c r="GC25" s="2"/>
      <c r="GD25" s="2" t="s">
        <v>67</v>
      </c>
      <c r="GE25" s="2" t="s">
        <v>1612</v>
      </c>
      <c r="GF25" s="2"/>
      <c r="GG25" s="2"/>
      <c r="GH25" s="2"/>
      <c r="GI25" s="2">
        <v>95</v>
      </c>
      <c r="GJ25" s="2"/>
      <c r="GK25" s="2"/>
      <c r="GL25" s="2"/>
      <c r="GM25" s="2"/>
      <c r="GN25" s="2"/>
      <c r="GO25" s="2"/>
      <c r="GP25" s="2"/>
      <c r="GQ25" s="2">
        <v>95</v>
      </c>
      <c r="GR25" s="2" t="s">
        <v>1197</v>
      </c>
      <c r="GS25" s="2" t="s">
        <v>70</v>
      </c>
      <c r="GT25" s="2">
        <v>1</v>
      </c>
      <c r="GU25" s="2" t="s">
        <v>4694</v>
      </c>
      <c r="GV25" s="2" t="s">
        <v>1469</v>
      </c>
      <c r="GW25" s="2" t="s">
        <v>17</v>
      </c>
      <c r="GX25" s="2">
        <v>26.600697</v>
      </c>
      <c r="GY25" s="2">
        <v>-81.860056</v>
      </c>
      <c r="GZ25" s="2"/>
      <c r="HA25" s="2" t="s">
        <v>17</v>
      </c>
      <c r="HB25" s="2">
        <v>0</v>
      </c>
      <c r="HC25" s="2" t="s">
        <v>17</v>
      </c>
      <c r="HD25" s="2"/>
      <c r="HE25" s="2">
        <v>0</v>
      </c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>
        <v>26.599333000000001</v>
      </c>
      <c r="HQ25" s="2">
        <v>-81.866833</v>
      </c>
      <c r="HR25" s="2">
        <v>0.43</v>
      </c>
      <c r="HS25" s="2">
        <v>5.5</v>
      </c>
      <c r="HT25" s="2"/>
      <c r="HU25" s="2"/>
      <c r="HV25" s="2"/>
      <c r="HW25" s="2"/>
      <c r="HX25" s="2" t="s">
        <v>73</v>
      </c>
      <c r="HY25" s="2" t="s">
        <v>1115</v>
      </c>
      <c r="HZ25" s="2" t="s">
        <v>4695</v>
      </c>
      <c r="IA25" s="2">
        <v>0.75</v>
      </c>
      <c r="IB25" s="2">
        <v>3</v>
      </c>
      <c r="IC25" s="2" t="s">
        <v>4696</v>
      </c>
      <c r="ID25" s="2" t="s">
        <v>4697</v>
      </c>
      <c r="IE25" s="2">
        <v>0.69</v>
      </c>
      <c r="IF25" s="2">
        <v>3</v>
      </c>
      <c r="IG25" s="2"/>
      <c r="IH25" s="2"/>
      <c r="II25" s="2"/>
      <c r="IJ25" s="2"/>
      <c r="IK25" s="2" t="s">
        <v>4698</v>
      </c>
      <c r="IL25" s="2" t="s">
        <v>4699</v>
      </c>
      <c r="IM25" s="2">
        <v>0.99</v>
      </c>
      <c r="IN25" s="2">
        <v>3</v>
      </c>
      <c r="IO25" s="2">
        <v>5.5</v>
      </c>
      <c r="IP25" s="2">
        <v>9</v>
      </c>
      <c r="IQ25" s="2">
        <v>0</v>
      </c>
      <c r="IR25" s="2">
        <v>14.5</v>
      </c>
      <c r="IS25" s="2" t="s">
        <v>17</v>
      </c>
      <c r="IT25" s="2" t="s">
        <v>17</v>
      </c>
      <c r="IU25" s="2" t="s">
        <v>17</v>
      </c>
      <c r="IV25" s="2" t="s">
        <v>80</v>
      </c>
      <c r="IW25" s="2" t="s">
        <v>9</v>
      </c>
      <c r="IX25" s="2" t="s">
        <v>9</v>
      </c>
      <c r="IY25" s="2">
        <v>14.5</v>
      </c>
      <c r="IZ25" s="2">
        <v>95</v>
      </c>
      <c r="JA25" s="2"/>
      <c r="JB25" s="2"/>
      <c r="JC25" s="2"/>
      <c r="JD25" s="2"/>
      <c r="JE25" s="2"/>
      <c r="JF25" s="2"/>
      <c r="JG25" s="2"/>
      <c r="JH25" s="7">
        <v>0</v>
      </c>
      <c r="JI25" s="2">
        <v>0</v>
      </c>
      <c r="JJ25" s="7">
        <v>0</v>
      </c>
      <c r="JK25" s="2">
        <v>0</v>
      </c>
      <c r="JL25" s="7">
        <v>0</v>
      </c>
      <c r="JM25" s="2">
        <v>15</v>
      </c>
      <c r="JN25" s="2"/>
      <c r="JO25" s="2">
        <v>35</v>
      </c>
      <c r="JP25" s="2">
        <v>45</v>
      </c>
      <c r="JQ25" s="2"/>
      <c r="JR25" s="2">
        <v>0</v>
      </c>
      <c r="JS25" s="2">
        <v>0</v>
      </c>
      <c r="JT25" s="2"/>
      <c r="JU25" s="2"/>
      <c r="JV25" s="2">
        <v>95</v>
      </c>
      <c r="JW25" s="4">
        <v>1</v>
      </c>
      <c r="JX25" s="2">
        <v>95</v>
      </c>
      <c r="JY25" s="4">
        <v>0.6</v>
      </c>
      <c r="JZ25" s="2">
        <v>0</v>
      </c>
      <c r="KA25" s="2"/>
      <c r="KB25" s="2"/>
      <c r="KC25" s="2"/>
      <c r="KD25" s="2"/>
      <c r="KE25" s="2"/>
      <c r="KF25" s="2"/>
      <c r="KG25" s="2"/>
      <c r="KH25" s="2">
        <v>40</v>
      </c>
      <c r="KI25" s="2"/>
      <c r="KJ25" s="2"/>
      <c r="KK25" s="2">
        <v>45</v>
      </c>
      <c r="KL25" s="2">
        <v>10</v>
      </c>
      <c r="KM25" s="2"/>
      <c r="KN25" s="2"/>
      <c r="KO25" s="2"/>
      <c r="KP25" s="2"/>
      <c r="KQ25" s="2" t="s">
        <v>83</v>
      </c>
      <c r="KR25" s="2" t="s">
        <v>73</v>
      </c>
      <c r="KS25" s="2"/>
      <c r="KT25" s="2">
        <v>1</v>
      </c>
      <c r="KU25" s="2" t="s">
        <v>84</v>
      </c>
      <c r="KV25" s="2" t="s">
        <v>85</v>
      </c>
      <c r="KW25" s="2" t="s">
        <v>86</v>
      </c>
      <c r="KX25" s="2" t="s">
        <v>17</v>
      </c>
      <c r="KY25" s="2" t="s">
        <v>17</v>
      </c>
      <c r="KZ25" s="2" t="s">
        <v>17</v>
      </c>
      <c r="LA25" s="2" t="s">
        <v>17</v>
      </c>
      <c r="LB25" s="2" t="s">
        <v>17</v>
      </c>
      <c r="LC25" s="2" t="s">
        <v>17</v>
      </c>
      <c r="LD25" s="2" t="s">
        <v>17</v>
      </c>
      <c r="LE25" s="2" t="s">
        <v>17</v>
      </c>
      <c r="LF25" s="2" t="s">
        <v>17</v>
      </c>
      <c r="LG25" s="2" t="s">
        <v>17</v>
      </c>
      <c r="LH25" s="2" t="s">
        <v>17</v>
      </c>
      <c r="LI25" s="2" t="s">
        <v>17</v>
      </c>
      <c r="LJ25" s="2" t="s">
        <v>87</v>
      </c>
      <c r="LK25" s="2" t="s">
        <v>17</v>
      </c>
      <c r="LL25" s="2" t="s">
        <v>17</v>
      </c>
      <c r="LM25" s="2">
        <v>0</v>
      </c>
      <c r="LN25" s="2" t="s">
        <v>17</v>
      </c>
      <c r="LO25" s="2" t="s">
        <v>9</v>
      </c>
      <c r="LP25" s="2" t="s">
        <v>9</v>
      </c>
      <c r="LQ25" s="2" t="s">
        <v>17</v>
      </c>
      <c r="LR25" s="2" t="s">
        <v>9</v>
      </c>
      <c r="LS25" s="2" t="s">
        <v>17</v>
      </c>
      <c r="LT25" s="2" t="s">
        <v>17</v>
      </c>
      <c r="LU25" s="2" t="s">
        <v>17</v>
      </c>
      <c r="LV25" s="2" t="s">
        <v>17</v>
      </c>
      <c r="LW25" s="2" t="s">
        <v>17</v>
      </c>
      <c r="LX25" s="2" t="s">
        <v>17</v>
      </c>
      <c r="LY25" s="5">
        <v>9975000</v>
      </c>
      <c r="LZ25" s="5">
        <v>0</v>
      </c>
      <c r="MA25" s="5">
        <v>9975000</v>
      </c>
      <c r="MB25" s="5">
        <v>9850000</v>
      </c>
      <c r="MC25" s="5">
        <v>9850000</v>
      </c>
      <c r="MD25" s="5">
        <v>871300</v>
      </c>
      <c r="ME25" s="5">
        <v>871300</v>
      </c>
      <c r="MF25" s="5">
        <v>871300</v>
      </c>
      <c r="MG25" s="5">
        <v>10721300</v>
      </c>
      <c r="MH25" s="2">
        <v>0</v>
      </c>
      <c r="MI25" s="5">
        <v>0</v>
      </c>
      <c r="MJ25" s="5">
        <v>0</v>
      </c>
      <c r="MK25" s="2">
        <v>0</v>
      </c>
      <c r="ML25" s="2">
        <v>0</v>
      </c>
      <c r="MM25" s="2">
        <v>0</v>
      </c>
      <c r="MN25" s="5">
        <v>2950000</v>
      </c>
      <c r="MO25" s="5">
        <v>0</v>
      </c>
      <c r="MP25" s="5">
        <v>4600000</v>
      </c>
      <c r="MQ25" s="5">
        <v>0</v>
      </c>
      <c r="MR25" s="5">
        <v>0</v>
      </c>
      <c r="MS25" s="5">
        <v>0</v>
      </c>
      <c r="MT25" s="5">
        <v>0</v>
      </c>
      <c r="MU25" s="5">
        <v>2500000</v>
      </c>
      <c r="MV25" s="5">
        <v>0</v>
      </c>
      <c r="MW25" s="5">
        <v>0</v>
      </c>
      <c r="MX25" s="5">
        <v>0</v>
      </c>
      <c r="MY25" s="5">
        <v>2040000</v>
      </c>
      <c r="MZ25" s="5">
        <v>0</v>
      </c>
      <c r="NA25" s="5">
        <v>1426657</v>
      </c>
      <c r="NB25" s="2" t="s">
        <v>9</v>
      </c>
      <c r="NC25" s="2"/>
      <c r="ND25" s="2"/>
      <c r="NE25" s="2"/>
      <c r="NF25" s="2"/>
      <c r="NG25" s="2"/>
      <c r="NH25" s="2"/>
      <c r="NI25" s="61">
        <v>0</v>
      </c>
      <c r="NJ25" s="61"/>
      <c r="NK25" s="61"/>
      <c r="NL25" s="61"/>
      <c r="NM25" s="2" t="s">
        <v>17</v>
      </c>
      <c r="NN25" s="2"/>
      <c r="NO25" s="2" t="s">
        <v>17</v>
      </c>
      <c r="NP25" s="2"/>
      <c r="NQ25" s="2"/>
      <c r="NR25" s="2" t="s">
        <v>17</v>
      </c>
      <c r="NS25" s="2"/>
      <c r="NT25" s="2" t="s">
        <v>9</v>
      </c>
      <c r="NU25" s="2" t="s">
        <v>450</v>
      </c>
      <c r="NV25" s="2">
        <v>11.03</v>
      </c>
      <c r="NW25" s="2" t="s">
        <v>1221</v>
      </c>
      <c r="NX25" s="2" t="s">
        <v>118</v>
      </c>
      <c r="NY25" s="2" t="s">
        <v>118</v>
      </c>
      <c r="NZ25" s="2" t="s">
        <v>118</v>
      </c>
      <c r="OA25" s="2" t="s">
        <v>17</v>
      </c>
      <c r="OB25" s="2" t="s">
        <v>119</v>
      </c>
      <c r="OC25" s="5">
        <v>16000000</v>
      </c>
      <c r="OD25" s="2" t="s">
        <v>17</v>
      </c>
      <c r="OE25" s="2" t="s">
        <v>17</v>
      </c>
      <c r="OF25" s="2" t="s">
        <v>85</v>
      </c>
      <c r="OG25" s="6">
        <v>6103000</v>
      </c>
      <c r="OH25" s="6">
        <v>0</v>
      </c>
      <c r="OI25" s="2" t="s">
        <v>93</v>
      </c>
      <c r="OJ25" s="2" t="s">
        <v>93</v>
      </c>
      <c r="OK25" s="6">
        <v>0</v>
      </c>
      <c r="OL25" s="6">
        <v>0</v>
      </c>
      <c r="OM25" s="6">
        <v>0</v>
      </c>
      <c r="ON25" s="6">
        <v>0</v>
      </c>
      <c r="OO25" s="6">
        <v>0</v>
      </c>
      <c r="OP25" s="6">
        <v>0</v>
      </c>
      <c r="OQ25" s="4">
        <v>0</v>
      </c>
      <c r="OR25" s="6">
        <v>0</v>
      </c>
      <c r="OS25" s="4">
        <v>0</v>
      </c>
      <c r="OT25" s="2" t="s">
        <v>17</v>
      </c>
      <c r="OU25" s="2" t="s">
        <v>17</v>
      </c>
      <c r="OV25" s="2"/>
      <c r="OW25" s="2" t="s">
        <v>17</v>
      </c>
      <c r="OX25" s="5">
        <v>8376686</v>
      </c>
      <c r="OY25" s="6">
        <v>88175.64</v>
      </c>
      <c r="OZ25" s="2"/>
      <c r="PA25" s="2"/>
      <c r="PB25" s="2"/>
      <c r="PC25" s="2"/>
      <c r="PD25" s="2"/>
      <c r="PE25" s="2"/>
      <c r="PF25" s="8">
        <v>15689375</v>
      </c>
      <c r="PG25" s="2"/>
      <c r="PH25" s="8">
        <v>15689375</v>
      </c>
      <c r="PI25" s="2"/>
      <c r="PJ25" s="2"/>
      <c r="PK25" s="2"/>
      <c r="PL25" s="2"/>
      <c r="PM25" s="2"/>
      <c r="PN25" s="2"/>
      <c r="PO25" s="2"/>
      <c r="PP25" s="2"/>
      <c r="PQ25" s="2"/>
      <c r="PR25" s="8">
        <v>15689375</v>
      </c>
      <c r="PS25" s="2"/>
      <c r="PT25" s="8">
        <v>15689375</v>
      </c>
      <c r="PU25" s="8">
        <v>2196512</v>
      </c>
      <c r="PV25" s="8">
        <v>2196512</v>
      </c>
      <c r="PW25" s="6">
        <v>2196512</v>
      </c>
      <c r="PX25" s="8">
        <v>17885887</v>
      </c>
      <c r="PY25" s="2"/>
      <c r="PZ25" s="8">
        <v>17885887</v>
      </c>
      <c r="QA25" s="8">
        <v>894294</v>
      </c>
      <c r="QB25" s="8">
        <v>894294</v>
      </c>
      <c r="QC25" s="6">
        <v>894294.35</v>
      </c>
      <c r="QD25" s="8">
        <v>35000</v>
      </c>
      <c r="QE25" s="2"/>
      <c r="QF25" s="8">
        <v>35000</v>
      </c>
      <c r="QG25" s="8">
        <v>10000</v>
      </c>
      <c r="QH25" s="8">
        <v>10000</v>
      </c>
      <c r="QI25" s="8">
        <v>358000</v>
      </c>
      <c r="QJ25" s="8">
        <v>358000</v>
      </c>
      <c r="QK25" s="8">
        <v>50000</v>
      </c>
      <c r="QL25" s="8">
        <v>50000</v>
      </c>
      <c r="QM25" s="8">
        <v>203962</v>
      </c>
      <c r="QN25" s="2"/>
      <c r="QO25" s="8">
        <v>203962</v>
      </c>
      <c r="QP25" s="8">
        <v>165000</v>
      </c>
      <c r="QQ25" s="8">
        <v>165000</v>
      </c>
      <c r="QR25" s="2"/>
      <c r="QS25" s="2"/>
      <c r="QT25" s="8">
        <v>65000</v>
      </c>
      <c r="QU25" s="2"/>
      <c r="QV25" s="8">
        <v>65000</v>
      </c>
      <c r="QW25" s="8">
        <v>10000</v>
      </c>
      <c r="QX25" s="8">
        <v>10000</v>
      </c>
      <c r="QY25" s="8">
        <v>128340</v>
      </c>
      <c r="QZ25" s="8">
        <v>128340</v>
      </c>
      <c r="RA25" s="8">
        <v>4000</v>
      </c>
      <c r="RB25" s="8">
        <v>4000</v>
      </c>
      <c r="RC25" s="2"/>
      <c r="RD25" s="2"/>
      <c r="RE25" s="8">
        <v>18000</v>
      </c>
      <c r="RF25" s="8">
        <v>18000</v>
      </c>
      <c r="RG25" s="8">
        <v>30000</v>
      </c>
      <c r="RH25" s="8">
        <v>30000</v>
      </c>
      <c r="RI25" s="8">
        <v>826396</v>
      </c>
      <c r="RJ25" s="8">
        <v>826396</v>
      </c>
      <c r="RK25" s="8">
        <v>60000</v>
      </c>
      <c r="RL25" s="2"/>
      <c r="RM25" s="8">
        <v>60000</v>
      </c>
      <c r="RN25" s="8">
        <v>180500</v>
      </c>
      <c r="RO25" s="2"/>
      <c r="RP25" s="8">
        <v>180500</v>
      </c>
      <c r="RQ25" s="8">
        <v>125000</v>
      </c>
      <c r="RR25" s="2"/>
      <c r="RS25" s="8">
        <v>125000</v>
      </c>
      <c r="RT25" s="8">
        <v>10000</v>
      </c>
      <c r="RU25" s="2"/>
      <c r="RV25" s="8">
        <v>10000</v>
      </c>
      <c r="RW25" s="8">
        <v>100000</v>
      </c>
      <c r="RX25" s="8">
        <v>100000</v>
      </c>
      <c r="RY25" s="8">
        <v>72272</v>
      </c>
      <c r="RZ25" s="2"/>
      <c r="SA25" s="8">
        <v>72272</v>
      </c>
      <c r="SB25" s="8">
        <v>15000</v>
      </c>
      <c r="SC25" s="8">
        <v>15000</v>
      </c>
      <c r="SD25" s="8">
        <v>25000</v>
      </c>
      <c r="SE25" s="2"/>
      <c r="SF25" s="8">
        <v>25000</v>
      </c>
      <c r="SG25" s="2"/>
      <c r="SH25" s="8">
        <v>105990</v>
      </c>
      <c r="SI25" s="2"/>
      <c r="SJ25" s="8">
        <v>105990</v>
      </c>
      <c r="SK25" s="8">
        <v>150000</v>
      </c>
      <c r="SL25" s="8">
        <v>150000</v>
      </c>
      <c r="SM25" s="2"/>
      <c r="SN25" s="2"/>
      <c r="SO25" s="2"/>
      <c r="SP25" s="8">
        <v>2497120</v>
      </c>
      <c r="SQ25" s="8">
        <v>250340</v>
      </c>
      <c r="SR25" s="8">
        <v>2747460</v>
      </c>
      <c r="SS25" s="8">
        <v>137373</v>
      </c>
      <c r="ST25" s="2"/>
      <c r="SU25" s="8">
        <v>137373</v>
      </c>
      <c r="SV25" s="6">
        <v>137373</v>
      </c>
      <c r="SW25" s="8">
        <v>120000</v>
      </c>
      <c r="SX25" s="8">
        <v>120000</v>
      </c>
      <c r="SY25" s="2"/>
      <c r="SZ25" s="8">
        <v>880946</v>
      </c>
      <c r="TA25" s="2"/>
      <c r="TB25" s="8">
        <v>880946</v>
      </c>
      <c r="TC25" s="2"/>
      <c r="TD25" s="2"/>
      <c r="TE25" s="2"/>
      <c r="TF25" s="8">
        <v>51340</v>
      </c>
      <c r="TG25" s="8">
        <v>51340</v>
      </c>
      <c r="TH25" s="2"/>
      <c r="TI25" s="8">
        <v>20000</v>
      </c>
      <c r="TJ25" s="8">
        <v>20000</v>
      </c>
      <c r="TK25" s="2"/>
      <c r="TL25" s="2"/>
      <c r="TM25" s="8">
        <v>223760</v>
      </c>
      <c r="TN25" s="8">
        <v>223760</v>
      </c>
      <c r="TO25" s="8">
        <v>1000946</v>
      </c>
      <c r="TP25" s="8">
        <v>295100</v>
      </c>
      <c r="TQ25" s="8">
        <v>1296046</v>
      </c>
      <c r="TR25" s="8">
        <v>22415620</v>
      </c>
      <c r="TS25" s="8">
        <v>545440</v>
      </c>
      <c r="TT25" s="8">
        <v>22961060</v>
      </c>
      <c r="TU25" s="8">
        <v>4132990</v>
      </c>
      <c r="TV25" s="8">
        <v>4132990</v>
      </c>
      <c r="TW25" s="6">
        <v>4132990</v>
      </c>
      <c r="TX25" s="8">
        <v>4132990</v>
      </c>
      <c r="TY25" s="8">
        <v>4132990</v>
      </c>
      <c r="TZ25" s="6">
        <v>4132990</v>
      </c>
      <c r="UA25" s="8">
        <v>2000000</v>
      </c>
      <c r="UB25" s="8">
        <v>2000000</v>
      </c>
      <c r="UC25" s="8">
        <v>26548610</v>
      </c>
      <c r="UD25" s="8">
        <v>2545440</v>
      </c>
      <c r="UE25" s="8">
        <v>29094050</v>
      </c>
      <c r="UF25" s="8">
        <v>16000000</v>
      </c>
      <c r="UG25" s="2" t="s">
        <v>4295</v>
      </c>
      <c r="UH25" s="2"/>
      <c r="UI25" s="2"/>
      <c r="UJ25" s="8">
        <v>10721300</v>
      </c>
      <c r="UK25" s="2"/>
      <c r="UL25" s="2" t="s">
        <v>96</v>
      </c>
      <c r="UM25" s="8">
        <v>6561950</v>
      </c>
      <c r="UN25" s="8">
        <v>4132990</v>
      </c>
      <c r="UO25" s="8">
        <v>37416240</v>
      </c>
      <c r="UP25" s="8">
        <v>8322190</v>
      </c>
      <c r="UQ25" s="8">
        <v>6103000</v>
      </c>
      <c r="UR25" s="2" t="s">
        <v>4295</v>
      </c>
      <c r="US25" s="2"/>
      <c r="UT25" s="2"/>
      <c r="UU25" s="2"/>
      <c r="UV25" s="2"/>
      <c r="UW25" s="8">
        <v>10721300</v>
      </c>
      <c r="UX25" s="2"/>
      <c r="UY25" s="2" t="s">
        <v>96</v>
      </c>
      <c r="UZ25" s="8">
        <v>13123900</v>
      </c>
      <c r="VA25" s="8">
        <v>4132990</v>
      </c>
      <c r="VB25" s="8">
        <v>34081190</v>
      </c>
      <c r="VC25" s="6">
        <v>16824300</v>
      </c>
      <c r="VD25" s="8">
        <v>4987140</v>
      </c>
      <c r="VE25" s="5">
        <v>410000</v>
      </c>
      <c r="VF25" s="5">
        <v>417500</v>
      </c>
      <c r="VG25" s="6">
        <v>285200.53000000003</v>
      </c>
      <c r="VH25" s="2" t="s">
        <v>9</v>
      </c>
      <c r="VI25" s="388" t="s">
        <v>286</v>
      </c>
      <c r="VJ25" s="2" t="s">
        <v>98</v>
      </c>
      <c r="VK25" s="2" t="s">
        <v>5256</v>
      </c>
      <c r="VL25" s="23">
        <f t="shared" si="0"/>
        <v>160</v>
      </c>
      <c r="VM25" s="17">
        <f t="shared" si="1"/>
        <v>1.6842105263157894</v>
      </c>
      <c r="VN25" s="17" t="str">
        <f t="shared" si="2"/>
        <v>NC-MR-F</v>
      </c>
      <c r="VO25" s="17" t="str">
        <f t="shared" si="15"/>
        <v>NC-MR-F-ESS</v>
      </c>
      <c r="VP25" s="57">
        <v>1</v>
      </c>
      <c r="VQ25" s="17">
        <f t="shared" si="3"/>
        <v>1.1100000000000001</v>
      </c>
      <c r="VR25" s="57">
        <f t="shared" si="4"/>
        <v>1</v>
      </c>
      <c r="VS25" s="14">
        <f t="shared" si="5"/>
        <v>1</v>
      </c>
      <c r="VT25" s="12">
        <f t="shared" si="6"/>
        <v>0.84479999999999988</v>
      </c>
      <c r="VU25" s="29">
        <f t="shared" si="7"/>
        <v>9236620.8000000007</v>
      </c>
      <c r="VV25" s="29">
        <f t="shared" si="8"/>
        <v>97227.59</v>
      </c>
      <c r="VW25" s="351" t="str">
        <f t="shared" si="21"/>
        <v>B</v>
      </c>
      <c r="VX25" s="12" t="str">
        <f t="shared" si="9"/>
        <v>NC-MR-ESS</v>
      </c>
      <c r="VY25" s="23">
        <f t="shared" si="22"/>
        <v>5</v>
      </c>
      <c r="WA25" s="12">
        <f t="shared" si="16"/>
        <v>0</v>
      </c>
      <c r="WB25" s="12">
        <f t="shared" si="17"/>
        <v>1</v>
      </c>
      <c r="WC25" s="12">
        <f t="shared" si="17"/>
        <v>0</v>
      </c>
      <c r="WD25" s="12">
        <f t="shared" si="17"/>
        <v>0</v>
      </c>
      <c r="WE25" s="12">
        <f t="shared" si="18"/>
        <v>1</v>
      </c>
      <c r="WF25" s="12">
        <f t="shared" si="10"/>
        <v>0</v>
      </c>
      <c r="WG25" s="12">
        <f t="shared" si="11"/>
        <v>1</v>
      </c>
      <c r="WH25" s="12">
        <f t="shared" si="12"/>
        <v>0</v>
      </c>
      <c r="WI25" s="31">
        <f t="shared" si="13"/>
        <v>3</v>
      </c>
      <c r="WJ25" s="2"/>
      <c r="WK25" s="444" t="str">
        <f t="shared" si="23"/>
        <v>NC-MR-ESS-BBY-BRN-NPH-F</v>
      </c>
      <c r="WL25" s="444"/>
      <c r="WM25" s="444"/>
    </row>
    <row r="26" spans="1:611" x14ac:dyDescent="0.25">
      <c r="A26" s="2">
        <v>8992</v>
      </c>
      <c r="B26" s="2" t="s">
        <v>5257</v>
      </c>
      <c r="C26" s="2" t="s">
        <v>5063</v>
      </c>
      <c r="D26" s="2">
        <v>10</v>
      </c>
      <c r="E26" s="2">
        <v>30.57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 t="s">
        <v>9</v>
      </c>
      <c r="BV26" s="6">
        <v>88206.87</v>
      </c>
      <c r="BW26" s="2" t="s">
        <v>18</v>
      </c>
      <c r="BX26" s="3">
        <v>45036</v>
      </c>
      <c r="BY26" s="2" t="s">
        <v>9</v>
      </c>
      <c r="BZ26" s="2">
        <v>1</v>
      </c>
      <c r="CA26" s="2" t="s">
        <v>9</v>
      </c>
      <c r="CB26" s="2">
        <v>1</v>
      </c>
      <c r="CC26" s="2" t="s">
        <v>9</v>
      </c>
      <c r="CD26" s="2">
        <v>0</v>
      </c>
      <c r="CE26" s="2" t="s">
        <v>4725</v>
      </c>
      <c r="CF26" s="2">
        <v>1</v>
      </c>
      <c r="CG26" s="2" t="s">
        <v>10</v>
      </c>
      <c r="CH26" s="2">
        <v>0</v>
      </c>
      <c r="CI26" s="2" t="s">
        <v>10</v>
      </c>
      <c r="CJ26" s="2">
        <v>0</v>
      </c>
      <c r="CK26" s="2" t="s">
        <v>11</v>
      </c>
      <c r="CL26" s="2">
        <v>0</v>
      </c>
      <c r="CM26" s="2" t="s">
        <v>9</v>
      </c>
      <c r="CN26" s="2">
        <v>2</v>
      </c>
      <c r="CO26" s="2" t="s">
        <v>9</v>
      </c>
      <c r="CP26" s="2">
        <v>2</v>
      </c>
      <c r="CQ26" s="2" t="s">
        <v>9</v>
      </c>
      <c r="CR26" s="2">
        <v>2</v>
      </c>
      <c r="CS26" s="2" t="s">
        <v>12</v>
      </c>
      <c r="CT26" s="2" t="s">
        <v>15</v>
      </c>
      <c r="CU26" s="2" t="s">
        <v>15</v>
      </c>
      <c r="CV26" s="2" t="s">
        <v>15</v>
      </c>
      <c r="CW26" s="2" t="s">
        <v>3461</v>
      </c>
      <c r="CX26" s="2" t="s">
        <v>15</v>
      </c>
      <c r="CY26" s="2" t="s">
        <v>15</v>
      </c>
      <c r="CZ26" s="2">
        <v>0</v>
      </c>
      <c r="DA26" s="2" t="s">
        <v>234</v>
      </c>
      <c r="DB26" s="2" t="s">
        <v>17</v>
      </c>
      <c r="DC26" s="4">
        <v>0.15115999999999999</v>
      </c>
      <c r="DD26" s="2" t="s">
        <v>17</v>
      </c>
      <c r="DE26" s="2" t="s">
        <v>9</v>
      </c>
      <c r="DF26" s="2" t="s">
        <v>17</v>
      </c>
      <c r="DG26" s="2" t="s">
        <v>17</v>
      </c>
      <c r="DH26" s="2" t="s">
        <v>17</v>
      </c>
      <c r="DI26" s="2" t="s">
        <v>9</v>
      </c>
      <c r="DJ26" s="2" t="s">
        <v>17</v>
      </c>
      <c r="DK26" s="2" t="s">
        <v>17</v>
      </c>
      <c r="DL26" s="2" t="s">
        <v>17</v>
      </c>
      <c r="DM26" s="2" t="s">
        <v>17</v>
      </c>
      <c r="DN26" s="2" t="s">
        <v>2663</v>
      </c>
      <c r="DO26" s="2">
        <v>5</v>
      </c>
      <c r="DP26" s="5">
        <v>50000</v>
      </c>
      <c r="DQ26" s="5">
        <v>460000</v>
      </c>
      <c r="DR26" s="2">
        <v>0</v>
      </c>
      <c r="DS26" s="2">
        <v>5</v>
      </c>
      <c r="DT26" s="2">
        <v>0</v>
      </c>
      <c r="DU26" s="2">
        <v>6</v>
      </c>
      <c r="DV26" s="2">
        <v>0</v>
      </c>
      <c r="DW26" s="2">
        <v>0</v>
      </c>
      <c r="DX26" s="2">
        <v>1</v>
      </c>
      <c r="DY26" s="2">
        <v>0</v>
      </c>
      <c r="DZ26" s="2">
        <v>1</v>
      </c>
      <c r="EA26" s="2">
        <v>0</v>
      </c>
      <c r="EB26" s="2">
        <v>0</v>
      </c>
      <c r="EC26" s="2">
        <v>0</v>
      </c>
      <c r="ED26" s="2">
        <v>13</v>
      </c>
      <c r="EE26" s="2">
        <v>1</v>
      </c>
      <c r="EF26" s="2">
        <v>0</v>
      </c>
      <c r="EG26" s="2">
        <v>3</v>
      </c>
      <c r="EH26" s="2">
        <v>0</v>
      </c>
      <c r="EI26" s="2">
        <v>14</v>
      </c>
      <c r="EJ26" s="2">
        <v>11</v>
      </c>
      <c r="EK26" s="2">
        <v>0</v>
      </c>
      <c r="EL26" s="2" t="s">
        <v>17</v>
      </c>
      <c r="EM26" s="2" t="s">
        <v>17</v>
      </c>
      <c r="EN26" s="2" t="s">
        <v>17</v>
      </c>
      <c r="EO26" s="2" t="s">
        <v>17</v>
      </c>
      <c r="EP26" s="2" t="s">
        <v>17</v>
      </c>
      <c r="EQ26" s="2" t="s">
        <v>17</v>
      </c>
      <c r="ER26" s="2" t="s">
        <v>17</v>
      </c>
      <c r="ES26" s="2" t="s">
        <v>17</v>
      </c>
      <c r="ET26" s="2" t="s">
        <v>4726</v>
      </c>
      <c r="EU26" s="2"/>
      <c r="EV26" s="2"/>
      <c r="EW26" s="2" t="s">
        <v>9</v>
      </c>
      <c r="EX26" s="2" t="s">
        <v>5254</v>
      </c>
      <c r="EY26" s="2" t="s">
        <v>4726</v>
      </c>
      <c r="EZ26" s="2" t="s">
        <v>287</v>
      </c>
      <c r="FA26" s="2" t="s">
        <v>147</v>
      </c>
      <c r="FB26" s="2">
        <v>100</v>
      </c>
      <c r="FC26" s="2" t="s">
        <v>1058</v>
      </c>
      <c r="FD26" s="2">
        <v>2021</v>
      </c>
      <c r="FE26" s="2" t="s">
        <v>26</v>
      </c>
      <c r="FF26" s="2" t="s">
        <v>4210</v>
      </c>
      <c r="FG26" s="2" t="s">
        <v>294</v>
      </c>
      <c r="FH26" s="2" t="s">
        <v>5255</v>
      </c>
      <c r="FI26" s="2" t="s">
        <v>296</v>
      </c>
      <c r="FJ26" s="2" t="s">
        <v>297</v>
      </c>
      <c r="FK26" s="2">
        <v>1</v>
      </c>
      <c r="FL26" s="2" t="s">
        <v>1060</v>
      </c>
      <c r="FM26" s="2" t="s">
        <v>299</v>
      </c>
      <c r="FN26" s="2" t="s">
        <v>4728</v>
      </c>
      <c r="FO26" s="2" t="s">
        <v>63</v>
      </c>
      <c r="FP26" s="2" t="s">
        <v>9</v>
      </c>
      <c r="FQ26" s="2" t="s">
        <v>17</v>
      </c>
      <c r="FR26" s="2" t="s">
        <v>17</v>
      </c>
      <c r="FS26" s="2" t="s">
        <v>9</v>
      </c>
      <c r="FT26" s="2">
        <v>0</v>
      </c>
      <c r="FU26" s="2">
        <v>0</v>
      </c>
      <c r="FV26" s="4">
        <v>0</v>
      </c>
      <c r="FW26" s="4">
        <v>0</v>
      </c>
      <c r="FX26" s="2" t="s">
        <v>65</v>
      </c>
      <c r="FY26" s="2" t="s">
        <v>66</v>
      </c>
      <c r="FZ26" s="2" t="s">
        <v>17</v>
      </c>
      <c r="GA26" s="2"/>
      <c r="GB26" s="2"/>
      <c r="GC26" s="2"/>
      <c r="GD26" s="2" t="s">
        <v>67</v>
      </c>
      <c r="GE26" s="2" t="s">
        <v>1612</v>
      </c>
      <c r="GF26" s="2"/>
      <c r="GG26" s="2"/>
      <c r="GH26" s="2"/>
      <c r="GI26" s="2">
        <v>86</v>
      </c>
      <c r="GJ26" s="2"/>
      <c r="GK26" s="2"/>
      <c r="GL26" s="2"/>
      <c r="GM26" s="2"/>
      <c r="GN26" s="2"/>
      <c r="GO26" s="2"/>
      <c r="GP26" s="2"/>
      <c r="GQ26" s="2">
        <v>86</v>
      </c>
      <c r="GR26" s="2" t="s">
        <v>1197</v>
      </c>
      <c r="GS26" s="2" t="s">
        <v>70</v>
      </c>
      <c r="GT26" s="2">
        <v>1</v>
      </c>
      <c r="GU26" s="2" t="s">
        <v>5258</v>
      </c>
      <c r="GV26" s="2" t="s">
        <v>1469</v>
      </c>
      <c r="GW26" s="2" t="s">
        <v>17</v>
      </c>
      <c r="GX26" s="2">
        <v>26.601378</v>
      </c>
      <c r="GY26" s="2">
        <v>-81.856406000000007</v>
      </c>
      <c r="GZ26" s="2"/>
      <c r="HA26" s="2" t="s">
        <v>17</v>
      </c>
      <c r="HB26" s="2">
        <v>0</v>
      </c>
      <c r="HC26" s="2" t="s">
        <v>17</v>
      </c>
      <c r="HD26" s="2"/>
      <c r="HE26" s="2">
        <v>0</v>
      </c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>
        <v>26.599333000000001</v>
      </c>
      <c r="HQ26" s="2">
        <v>-81.866833</v>
      </c>
      <c r="HR26" s="2">
        <v>0.67</v>
      </c>
      <c r="HS26" s="2">
        <v>5</v>
      </c>
      <c r="HT26" s="2"/>
      <c r="HU26" s="2"/>
      <c r="HV26" s="2"/>
      <c r="HW26" s="2"/>
      <c r="HX26" s="2" t="s">
        <v>73</v>
      </c>
      <c r="HY26" s="2" t="s">
        <v>1115</v>
      </c>
      <c r="HZ26" s="2" t="s">
        <v>4730</v>
      </c>
      <c r="IA26" s="2">
        <v>0.94</v>
      </c>
      <c r="IB26" s="2">
        <v>2.5</v>
      </c>
      <c r="IC26" s="2" t="s">
        <v>4696</v>
      </c>
      <c r="ID26" s="2" t="s">
        <v>4697</v>
      </c>
      <c r="IE26" s="2">
        <v>0.86</v>
      </c>
      <c r="IF26" s="2">
        <v>2.5</v>
      </c>
      <c r="IG26" s="2"/>
      <c r="IH26" s="2"/>
      <c r="II26" s="2"/>
      <c r="IJ26" s="2"/>
      <c r="IK26" s="2" t="s">
        <v>4698</v>
      </c>
      <c r="IL26" s="2" t="s">
        <v>4731</v>
      </c>
      <c r="IM26" s="2">
        <v>1.21</v>
      </c>
      <c r="IN26" s="2">
        <v>2.5</v>
      </c>
      <c r="IO26" s="2">
        <v>5</v>
      </c>
      <c r="IP26" s="2">
        <v>7.5</v>
      </c>
      <c r="IQ26" s="2">
        <v>0</v>
      </c>
      <c r="IR26" s="2">
        <v>12.5</v>
      </c>
      <c r="IS26" s="2" t="s">
        <v>17</v>
      </c>
      <c r="IT26" s="2" t="s">
        <v>17</v>
      </c>
      <c r="IU26" s="2" t="s">
        <v>17</v>
      </c>
      <c r="IV26" s="2" t="s">
        <v>80</v>
      </c>
      <c r="IW26" s="2" t="s">
        <v>9</v>
      </c>
      <c r="IX26" s="2" t="s">
        <v>9</v>
      </c>
      <c r="IY26" s="2">
        <v>12.5</v>
      </c>
      <c r="IZ26" s="2">
        <v>86</v>
      </c>
      <c r="JA26" s="2"/>
      <c r="JB26" s="2"/>
      <c r="JC26" s="2"/>
      <c r="JD26" s="2"/>
      <c r="JE26" s="2"/>
      <c r="JF26" s="2"/>
      <c r="JG26" s="2"/>
      <c r="JH26" s="7">
        <v>0</v>
      </c>
      <c r="JI26" s="2">
        <v>0</v>
      </c>
      <c r="JJ26" s="7">
        <v>0</v>
      </c>
      <c r="JK26" s="2">
        <v>0</v>
      </c>
      <c r="JL26" s="7">
        <v>0</v>
      </c>
      <c r="JM26" s="2">
        <v>13</v>
      </c>
      <c r="JN26" s="2"/>
      <c r="JO26" s="2">
        <v>34</v>
      </c>
      <c r="JP26" s="2">
        <v>39</v>
      </c>
      <c r="JQ26" s="2"/>
      <c r="JR26" s="2">
        <v>0</v>
      </c>
      <c r="JS26" s="2">
        <v>0</v>
      </c>
      <c r="JT26" s="2"/>
      <c r="JU26" s="2"/>
      <c r="JV26" s="2">
        <v>86</v>
      </c>
      <c r="JW26" s="4">
        <v>1</v>
      </c>
      <c r="JX26" s="2">
        <v>86</v>
      </c>
      <c r="JY26" s="4">
        <v>0.6</v>
      </c>
      <c r="JZ26" s="2">
        <v>0</v>
      </c>
      <c r="KA26" s="2"/>
      <c r="KB26" s="2"/>
      <c r="KC26" s="2"/>
      <c r="KD26" s="2"/>
      <c r="KE26" s="2"/>
      <c r="KF26" s="2"/>
      <c r="KG26" s="2"/>
      <c r="KH26" s="2">
        <v>60</v>
      </c>
      <c r="KI26" s="2"/>
      <c r="KJ26" s="2"/>
      <c r="KK26" s="2">
        <v>26</v>
      </c>
      <c r="KL26" s="2"/>
      <c r="KM26" s="2"/>
      <c r="KN26" s="2"/>
      <c r="KO26" s="2"/>
      <c r="KP26" s="2"/>
      <c r="KQ26" s="2" t="s">
        <v>83</v>
      </c>
      <c r="KR26" s="2" t="s">
        <v>73</v>
      </c>
      <c r="KS26" s="2"/>
      <c r="KT26" s="2">
        <v>1</v>
      </c>
      <c r="KU26" s="2" t="s">
        <v>84</v>
      </c>
      <c r="KV26" s="2" t="s">
        <v>85</v>
      </c>
      <c r="KW26" s="2" t="s">
        <v>86</v>
      </c>
      <c r="KX26" s="2" t="s">
        <v>17</v>
      </c>
      <c r="KY26" s="2" t="s">
        <v>17</v>
      </c>
      <c r="KZ26" s="2" t="s">
        <v>17</v>
      </c>
      <c r="LA26" s="2" t="s">
        <v>17</v>
      </c>
      <c r="LB26" s="2" t="s">
        <v>17</v>
      </c>
      <c r="LC26" s="2" t="s">
        <v>17</v>
      </c>
      <c r="LD26" s="2" t="s">
        <v>17</v>
      </c>
      <c r="LE26" s="2" t="s">
        <v>17</v>
      </c>
      <c r="LF26" s="2" t="s">
        <v>17</v>
      </c>
      <c r="LG26" s="2" t="s">
        <v>17</v>
      </c>
      <c r="LH26" s="2" t="s">
        <v>17</v>
      </c>
      <c r="LI26" s="2" t="s">
        <v>17</v>
      </c>
      <c r="LJ26" s="2" t="s">
        <v>87</v>
      </c>
      <c r="LK26" s="2" t="s">
        <v>17</v>
      </c>
      <c r="LL26" s="2" t="s">
        <v>17</v>
      </c>
      <c r="LM26" s="2">
        <v>0</v>
      </c>
      <c r="LN26" s="2" t="s">
        <v>17</v>
      </c>
      <c r="LO26" s="2" t="s">
        <v>9</v>
      </c>
      <c r="LP26" s="2" t="s">
        <v>9</v>
      </c>
      <c r="LQ26" s="2" t="s">
        <v>17</v>
      </c>
      <c r="LR26" s="2" t="s">
        <v>9</v>
      </c>
      <c r="LS26" s="2" t="s">
        <v>17</v>
      </c>
      <c r="LT26" s="2" t="s">
        <v>17</v>
      </c>
      <c r="LU26" s="2" t="s">
        <v>17</v>
      </c>
      <c r="LV26" s="2" t="s">
        <v>17</v>
      </c>
      <c r="LW26" s="2" t="s">
        <v>17</v>
      </c>
      <c r="LX26" s="2" t="s">
        <v>17</v>
      </c>
      <c r="LY26" s="5">
        <v>9030000</v>
      </c>
      <c r="LZ26" s="5">
        <v>0</v>
      </c>
      <c r="MA26" s="5">
        <v>9030000</v>
      </c>
      <c r="MB26" s="5">
        <v>8920000</v>
      </c>
      <c r="MC26" s="5">
        <v>8920000</v>
      </c>
      <c r="MD26" s="5">
        <v>741900</v>
      </c>
      <c r="ME26" s="5">
        <v>741900</v>
      </c>
      <c r="MF26" s="5">
        <v>741900</v>
      </c>
      <c r="MG26" s="5">
        <v>9661900</v>
      </c>
      <c r="MH26" s="2">
        <v>0</v>
      </c>
      <c r="MI26" s="5">
        <v>0</v>
      </c>
      <c r="MJ26" s="5">
        <v>0</v>
      </c>
      <c r="MK26" s="2">
        <v>0</v>
      </c>
      <c r="ML26" s="2">
        <v>0</v>
      </c>
      <c r="MM26" s="2">
        <v>0</v>
      </c>
      <c r="MN26" s="5">
        <v>2950000</v>
      </c>
      <c r="MO26" s="5">
        <v>0</v>
      </c>
      <c r="MP26" s="5">
        <v>4600000</v>
      </c>
      <c r="MQ26" s="5">
        <v>0</v>
      </c>
      <c r="MR26" s="5">
        <v>0</v>
      </c>
      <c r="MS26" s="5">
        <v>0</v>
      </c>
      <c r="MT26" s="5">
        <v>0</v>
      </c>
      <c r="MU26" s="5">
        <v>2500000</v>
      </c>
      <c r="MV26" s="5">
        <v>0</v>
      </c>
      <c r="MW26" s="5">
        <v>0</v>
      </c>
      <c r="MX26" s="5">
        <v>0</v>
      </c>
      <c r="MY26" s="5">
        <v>2040000</v>
      </c>
      <c r="MZ26" s="5">
        <v>0</v>
      </c>
      <c r="NA26" s="5">
        <v>1242690</v>
      </c>
      <c r="NB26" s="2" t="s">
        <v>9</v>
      </c>
      <c r="NC26" s="2"/>
      <c r="ND26" s="2"/>
      <c r="NE26" s="2"/>
      <c r="NF26" s="2"/>
      <c r="NG26" s="2"/>
      <c r="NH26" s="2"/>
      <c r="NI26" s="61">
        <v>0</v>
      </c>
      <c r="NJ26" s="61"/>
      <c r="NK26" s="61"/>
      <c r="NL26" s="61"/>
      <c r="NM26" s="2" t="s">
        <v>17</v>
      </c>
      <c r="NN26" s="2"/>
      <c r="NO26" s="2" t="s">
        <v>17</v>
      </c>
      <c r="NP26" s="2"/>
      <c r="NQ26" s="2"/>
      <c r="NR26" s="2" t="s">
        <v>17</v>
      </c>
      <c r="NS26" s="2"/>
      <c r="NT26" s="2" t="s">
        <v>9</v>
      </c>
      <c r="NU26" s="2" t="s">
        <v>450</v>
      </c>
      <c r="NV26" s="2">
        <v>11.03</v>
      </c>
      <c r="NW26" s="2" t="s">
        <v>1221</v>
      </c>
      <c r="NX26" s="2" t="s">
        <v>118</v>
      </c>
      <c r="NY26" s="2" t="s">
        <v>118</v>
      </c>
      <c r="NZ26" s="2" t="s">
        <v>118</v>
      </c>
      <c r="OA26" s="2" t="s">
        <v>17</v>
      </c>
      <c r="OB26" s="2" t="s">
        <v>119</v>
      </c>
      <c r="OC26" s="5">
        <v>14300000</v>
      </c>
      <c r="OD26" s="2" t="s">
        <v>17</v>
      </c>
      <c r="OE26" s="2" t="s">
        <v>17</v>
      </c>
      <c r="OF26" s="2" t="s">
        <v>85</v>
      </c>
      <c r="OG26" s="6">
        <v>5000000</v>
      </c>
      <c r="OH26" s="6">
        <v>0</v>
      </c>
      <c r="OI26" s="2" t="s">
        <v>93</v>
      </c>
      <c r="OJ26" s="2" t="s">
        <v>93</v>
      </c>
      <c r="OK26" s="6">
        <v>0</v>
      </c>
      <c r="OL26" s="6">
        <v>0</v>
      </c>
      <c r="OM26" s="6">
        <v>0</v>
      </c>
      <c r="ON26" s="6">
        <v>0</v>
      </c>
      <c r="OO26" s="6">
        <v>0</v>
      </c>
      <c r="OP26" s="6">
        <v>0</v>
      </c>
      <c r="OQ26" s="4">
        <v>0</v>
      </c>
      <c r="OR26" s="6">
        <v>0</v>
      </c>
      <c r="OS26" s="4">
        <v>0</v>
      </c>
      <c r="OT26" s="2" t="s">
        <v>17</v>
      </c>
      <c r="OU26" s="2" t="s">
        <v>17</v>
      </c>
      <c r="OV26" s="2"/>
      <c r="OW26" s="2" t="s">
        <v>17</v>
      </c>
      <c r="OX26" s="5">
        <v>7585791</v>
      </c>
      <c r="OY26" s="6">
        <v>88206.87</v>
      </c>
      <c r="OZ26" s="2"/>
      <c r="PA26" s="2"/>
      <c r="PB26" s="8">
        <v>25000</v>
      </c>
      <c r="PC26" s="8">
        <v>25000</v>
      </c>
      <c r="PD26" s="2"/>
      <c r="PE26" s="2"/>
      <c r="PF26" s="8">
        <v>14223690</v>
      </c>
      <c r="PG26" s="2"/>
      <c r="PH26" s="8">
        <v>14223690</v>
      </c>
      <c r="PI26" s="2"/>
      <c r="PJ26" s="2"/>
      <c r="PK26" s="2"/>
      <c r="PL26" s="2"/>
      <c r="PM26" s="2"/>
      <c r="PN26" s="2"/>
      <c r="PO26" s="2"/>
      <c r="PP26" s="2"/>
      <c r="PQ26" s="2"/>
      <c r="PR26" s="8">
        <v>14223690</v>
      </c>
      <c r="PS26" s="8">
        <v>25000</v>
      </c>
      <c r="PT26" s="8">
        <v>14248690</v>
      </c>
      <c r="PU26" s="8">
        <v>1994316</v>
      </c>
      <c r="PV26" s="8">
        <v>1994316</v>
      </c>
      <c r="PW26" s="6">
        <v>1994816</v>
      </c>
      <c r="PX26" s="8">
        <v>16218006</v>
      </c>
      <c r="PY26" s="8">
        <v>25000</v>
      </c>
      <c r="PZ26" s="8">
        <v>16243006</v>
      </c>
      <c r="QA26" s="8">
        <v>812150</v>
      </c>
      <c r="QB26" s="8">
        <v>812150</v>
      </c>
      <c r="QC26" s="6">
        <v>812150.3</v>
      </c>
      <c r="QD26" s="8">
        <v>40000</v>
      </c>
      <c r="QE26" s="2"/>
      <c r="QF26" s="8">
        <v>40000</v>
      </c>
      <c r="QG26" s="8">
        <v>10000</v>
      </c>
      <c r="QH26" s="8">
        <v>10000</v>
      </c>
      <c r="QI26" s="8">
        <v>358000</v>
      </c>
      <c r="QJ26" s="8">
        <v>358000</v>
      </c>
      <c r="QK26" s="8">
        <v>50000</v>
      </c>
      <c r="QL26" s="8">
        <v>50000</v>
      </c>
      <c r="QM26" s="8">
        <v>203962</v>
      </c>
      <c r="QN26" s="2"/>
      <c r="QO26" s="8">
        <v>203962</v>
      </c>
      <c r="QP26" s="8">
        <v>165000</v>
      </c>
      <c r="QQ26" s="8">
        <v>165000</v>
      </c>
      <c r="QR26" s="2"/>
      <c r="QS26" s="2"/>
      <c r="QT26" s="8">
        <v>65000</v>
      </c>
      <c r="QU26" s="2"/>
      <c r="QV26" s="8">
        <v>65000</v>
      </c>
      <c r="QW26" s="8">
        <v>10000</v>
      </c>
      <c r="QX26" s="8">
        <v>10000</v>
      </c>
      <c r="QY26" s="8">
        <v>111842</v>
      </c>
      <c r="QZ26" s="8">
        <v>111842</v>
      </c>
      <c r="RA26" s="8">
        <v>4000</v>
      </c>
      <c r="RB26" s="8">
        <v>4000</v>
      </c>
      <c r="RC26" s="2"/>
      <c r="RD26" s="2"/>
      <c r="RE26" s="8">
        <v>18000</v>
      </c>
      <c r="RF26" s="8">
        <v>18000</v>
      </c>
      <c r="RG26" s="8">
        <v>30000</v>
      </c>
      <c r="RH26" s="8">
        <v>30000</v>
      </c>
      <c r="RI26" s="8">
        <v>553066</v>
      </c>
      <c r="RJ26" s="8">
        <v>553066</v>
      </c>
      <c r="RK26" s="8">
        <v>60000</v>
      </c>
      <c r="RL26" s="2"/>
      <c r="RM26" s="8">
        <v>60000</v>
      </c>
      <c r="RN26" s="8">
        <v>180500</v>
      </c>
      <c r="RO26" s="2"/>
      <c r="RP26" s="8">
        <v>180500</v>
      </c>
      <c r="RQ26" s="8">
        <v>125000</v>
      </c>
      <c r="RR26" s="2"/>
      <c r="RS26" s="8">
        <v>125000</v>
      </c>
      <c r="RT26" s="8">
        <v>10000</v>
      </c>
      <c r="RU26" s="2"/>
      <c r="RV26" s="8">
        <v>10000</v>
      </c>
      <c r="RW26" s="8">
        <v>100000</v>
      </c>
      <c r="RX26" s="8">
        <v>100000</v>
      </c>
      <c r="RY26" s="8">
        <v>72272</v>
      </c>
      <c r="RZ26" s="2"/>
      <c r="SA26" s="8">
        <v>72272</v>
      </c>
      <c r="SB26" s="8">
        <v>15000</v>
      </c>
      <c r="SC26" s="8">
        <v>15000</v>
      </c>
      <c r="SD26" s="8">
        <v>25000</v>
      </c>
      <c r="SE26" s="2"/>
      <c r="SF26" s="8">
        <v>25000</v>
      </c>
      <c r="SG26" s="2"/>
      <c r="SH26" s="8">
        <v>105990</v>
      </c>
      <c r="SI26" s="2"/>
      <c r="SJ26" s="8">
        <v>105990</v>
      </c>
      <c r="SK26" s="8">
        <v>150000</v>
      </c>
      <c r="SL26" s="8">
        <v>150000</v>
      </c>
      <c r="SM26" s="2"/>
      <c r="SN26" s="2"/>
      <c r="SO26" s="2"/>
      <c r="SP26" s="8">
        <v>2228790</v>
      </c>
      <c r="SQ26" s="8">
        <v>233842</v>
      </c>
      <c r="SR26" s="8">
        <v>2462632</v>
      </c>
      <c r="SS26" s="8">
        <v>123131</v>
      </c>
      <c r="ST26" s="2"/>
      <c r="SU26" s="8">
        <v>123131</v>
      </c>
      <c r="SV26" s="6">
        <v>123131.6</v>
      </c>
      <c r="SW26" s="8">
        <v>105000</v>
      </c>
      <c r="SX26" s="8">
        <v>105000</v>
      </c>
      <c r="SY26" s="2"/>
      <c r="SZ26" s="8">
        <v>836614</v>
      </c>
      <c r="TA26" s="2"/>
      <c r="TB26" s="8">
        <v>836614</v>
      </c>
      <c r="TC26" s="2"/>
      <c r="TD26" s="2"/>
      <c r="TE26" s="2"/>
      <c r="TF26" s="8">
        <v>49470</v>
      </c>
      <c r="TG26" s="8">
        <v>49470</v>
      </c>
      <c r="TH26" s="2"/>
      <c r="TI26" s="8">
        <v>20000</v>
      </c>
      <c r="TJ26" s="8">
        <v>20000</v>
      </c>
      <c r="TK26" s="2"/>
      <c r="TL26" s="2"/>
      <c r="TM26" s="8">
        <v>214010</v>
      </c>
      <c r="TN26" s="8">
        <v>214010</v>
      </c>
      <c r="TO26" s="8">
        <v>941614</v>
      </c>
      <c r="TP26" s="8">
        <v>283480</v>
      </c>
      <c r="TQ26" s="8">
        <v>1225094</v>
      </c>
      <c r="TR26" s="8">
        <v>20323691</v>
      </c>
      <c r="TS26" s="8">
        <v>542322</v>
      </c>
      <c r="TT26" s="8">
        <v>20866013</v>
      </c>
      <c r="TU26" s="8">
        <v>3755882</v>
      </c>
      <c r="TV26" s="8">
        <v>3755882</v>
      </c>
      <c r="TW26" s="6">
        <v>3755882</v>
      </c>
      <c r="TX26" s="8">
        <v>3755882</v>
      </c>
      <c r="TY26" s="8">
        <v>3755882</v>
      </c>
      <c r="TZ26" s="6">
        <v>3755882</v>
      </c>
      <c r="UA26" s="8">
        <v>2250000</v>
      </c>
      <c r="UB26" s="8">
        <v>2250000</v>
      </c>
      <c r="UC26" s="8">
        <v>24079573</v>
      </c>
      <c r="UD26" s="8">
        <v>2792322</v>
      </c>
      <c r="UE26" s="8">
        <v>26871895</v>
      </c>
      <c r="UF26" s="8">
        <v>14300000</v>
      </c>
      <c r="UG26" s="2" t="s">
        <v>4295</v>
      </c>
      <c r="UH26" s="2"/>
      <c r="UI26" s="2"/>
      <c r="UJ26" s="8">
        <v>9661900</v>
      </c>
      <c r="UK26" s="2"/>
      <c r="UL26" s="2" t="s">
        <v>96</v>
      </c>
      <c r="UM26" s="8">
        <v>5715800</v>
      </c>
      <c r="UN26" s="8">
        <v>3755882</v>
      </c>
      <c r="UO26" s="8">
        <v>33433582</v>
      </c>
      <c r="UP26" s="8">
        <v>6561687</v>
      </c>
      <c r="UQ26" s="8">
        <v>5000000</v>
      </c>
      <c r="UR26" s="2" t="s">
        <v>4295</v>
      </c>
      <c r="US26" s="2"/>
      <c r="UT26" s="2"/>
      <c r="UU26" s="2"/>
      <c r="UV26" s="2"/>
      <c r="UW26" s="8">
        <v>9661900</v>
      </c>
      <c r="UX26" s="2"/>
      <c r="UY26" s="2" t="s">
        <v>96</v>
      </c>
      <c r="UZ26" s="8">
        <v>11431600</v>
      </c>
      <c r="VA26" s="8">
        <v>3755882</v>
      </c>
      <c r="VB26" s="8">
        <v>29849382</v>
      </c>
      <c r="VC26" s="6">
        <v>14661900</v>
      </c>
      <c r="VD26" s="8">
        <v>2977487</v>
      </c>
      <c r="VE26" s="5">
        <v>410000</v>
      </c>
      <c r="VF26" s="5">
        <v>417500</v>
      </c>
      <c r="VG26" s="6">
        <v>286010.40999999997</v>
      </c>
      <c r="VH26" s="2" t="s">
        <v>9</v>
      </c>
      <c r="VI26" s="388" t="s">
        <v>286</v>
      </c>
      <c r="VJ26" s="2" t="s">
        <v>98</v>
      </c>
      <c r="VK26" s="2" t="s">
        <v>5256</v>
      </c>
      <c r="VL26" s="23">
        <f t="shared" si="0"/>
        <v>112</v>
      </c>
      <c r="VM26" s="17">
        <f t="shared" si="1"/>
        <v>1.3023255813953489</v>
      </c>
      <c r="VN26" s="17" t="str">
        <f t="shared" si="2"/>
        <v>NC-MR-F</v>
      </c>
      <c r="VO26" s="17" t="str">
        <f t="shared" si="15"/>
        <v>NC-MR-F-ESS</v>
      </c>
      <c r="VP26" s="57">
        <v>1</v>
      </c>
      <c r="VQ26" s="17">
        <f t="shared" si="3"/>
        <v>1.1100000000000001</v>
      </c>
      <c r="VR26" s="57">
        <f t="shared" si="4"/>
        <v>1</v>
      </c>
      <c r="VS26" s="14">
        <f t="shared" si="5"/>
        <v>1</v>
      </c>
      <c r="VT26" s="12">
        <f t="shared" si="6"/>
        <v>0.8448</v>
      </c>
      <c r="VU26" s="29">
        <f t="shared" si="7"/>
        <v>8364533.7599999998</v>
      </c>
      <c r="VV26" s="29">
        <f t="shared" si="8"/>
        <v>97262.02</v>
      </c>
      <c r="VW26" s="351" t="str">
        <f t="shared" si="21"/>
        <v>B</v>
      </c>
      <c r="VX26" s="12" t="str">
        <f t="shared" si="9"/>
        <v>NC-MR-ESS</v>
      </c>
      <c r="VY26" s="23">
        <f t="shared" si="22"/>
        <v>5</v>
      </c>
      <c r="WA26" s="12">
        <f t="shared" si="16"/>
        <v>0</v>
      </c>
      <c r="WB26" s="12">
        <f t="shared" si="17"/>
        <v>1</v>
      </c>
      <c r="WC26" s="12">
        <f t="shared" si="17"/>
        <v>0</v>
      </c>
      <c r="WD26" s="12">
        <f t="shared" si="17"/>
        <v>0</v>
      </c>
      <c r="WE26" s="12">
        <f t="shared" si="18"/>
        <v>1</v>
      </c>
      <c r="WF26" s="12">
        <f t="shared" si="10"/>
        <v>0</v>
      </c>
      <c r="WG26" s="12">
        <f t="shared" si="11"/>
        <v>1</v>
      </c>
      <c r="WH26" s="12">
        <f t="shared" si="12"/>
        <v>0</v>
      </c>
      <c r="WI26" s="31">
        <f t="shared" si="13"/>
        <v>3</v>
      </c>
      <c r="WJ26" s="2"/>
      <c r="WK26" s="444" t="str">
        <f t="shared" si="23"/>
        <v>NC-MR-ESS-BBY-BRN-NPH-F</v>
      </c>
      <c r="WL26" s="444"/>
      <c r="WM26" s="444"/>
    </row>
    <row r="27" spans="1:611" x14ac:dyDescent="0.25">
      <c r="A27" s="2">
        <v>9059</v>
      </c>
      <c r="B27" s="2" t="s">
        <v>5259</v>
      </c>
      <c r="C27" s="2" t="s">
        <v>5063</v>
      </c>
      <c r="D27" s="2">
        <v>9</v>
      </c>
      <c r="E27" s="2">
        <v>30.56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 t="s">
        <v>9</v>
      </c>
      <c r="BV27" s="6">
        <v>88231.59</v>
      </c>
      <c r="BW27" s="2" t="s">
        <v>126</v>
      </c>
      <c r="BX27" s="3">
        <v>45036</v>
      </c>
      <c r="BY27" s="2" t="s">
        <v>9</v>
      </c>
      <c r="BZ27" s="2">
        <v>1</v>
      </c>
      <c r="CA27" s="2" t="s">
        <v>9</v>
      </c>
      <c r="CB27" s="2">
        <v>1</v>
      </c>
      <c r="CC27" s="2" t="s">
        <v>9</v>
      </c>
      <c r="CD27" s="2">
        <v>0</v>
      </c>
      <c r="CE27" s="2" t="s">
        <v>5260</v>
      </c>
      <c r="CF27" s="2">
        <v>1</v>
      </c>
      <c r="CG27" s="2" t="s">
        <v>10</v>
      </c>
      <c r="CH27" s="2">
        <v>0</v>
      </c>
      <c r="CI27" s="2" t="s">
        <v>10</v>
      </c>
      <c r="CJ27" s="2">
        <v>0</v>
      </c>
      <c r="CK27" s="2" t="s">
        <v>11</v>
      </c>
      <c r="CL27" s="2">
        <v>0</v>
      </c>
      <c r="CM27" s="2" t="s">
        <v>9</v>
      </c>
      <c r="CN27" s="2">
        <v>2</v>
      </c>
      <c r="CO27" s="2" t="s">
        <v>9</v>
      </c>
      <c r="CP27" s="2">
        <v>2</v>
      </c>
      <c r="CQ27" s="2" t="s">
        <v>9</v>
      </c>
      <c r="CR27" s="2">
        <v>2</v>
      </c>
      <c r="CS27" s="2" t="s">
        <v>12</v>
      </c>
      <c r="CT27" s="2" t="s">
        <v>15</v>
      </c>
      <c r="CU27" s="2" t="s">
        <v>15</v>
      </c>
      <c r="CV27" s="2" t="s">
        <v>15</v>
      </c>
      <c r="CW27" s="2" t="s">
        <v>3901</v>
      </c>
      <c r="CX27" s="2" t="s">
        <v>15</v>
      </c>
      <c r="CY27" s="2" t="s">
        <v>15</v>
      </c>
      <c r="CZ27" s="2">
        <v>0</v>
      </c>
      <c r="DA27" s="2" t="s">
        <v>234</v>
      </c>
      <c r="DB27" s="2" t="s">
        <v>17</v>
      </c>
      <c r="DC27" s="4">
        <v>0.15</v>
      </c>
      <c r="DD27" s="2" t="s">
        <v>17</v>
      </c>
      <c r="DE27" s="2" t="s">
        <v>9</v>
      </c>
      <c r="DF27" s="2" t="s">
        <v>17</v>
      </c>
      <c r="DG27" s="2" t="s">
        <v>17</v>
      </c>
      <c r="DH27" s="2" t="s">
        <v>17</v>
      </c>
      <c r="DI27" s="2" t="s">
        <v>9</v>
      </c>
      <c r="DJ27" s="2" t="s">
        <v>17</v>
      </c>
      <c r="DK27" s="2" t="s">
        <v>17</v>
      </c>
      <c r="DL27" s="2" t="s">
        <v>17</v>
      </c>
      <c r="DM27" s="2" t="s">
        <v>17</v>
      </c>
      <c r="DN27" s="2" t="s">
        <v>2663</v>
      </c>
      <c r="DO27" s="2">
        <v>5</v>
      </c>
      <c r="DP27" s="5">
        <v>50000</v>
      </c>
      <c r="DQ27" s="5">
        <v>460000</v>
      </c>
      <c r="DR27" s="2">
        <v>0</v>
      </c>
      <c r="DS27" s="2">
        <v>5</v>
      </c>
      <c r="DT27" s="2">
        <v>0</v>
      </c>
      <c r="DU27" s="2">
        <v>6</v>
      </c>
      <c r="DV27" s="2">
        <v>0</v>
      </c>
      <c r="DW27" s="2">
        <v>0</v>
      </c>
      <c r="DX27" s="2">
        <v>1</v>
      </c>
      <c r="DY27" s="2">
        <v>0</v>
      </c>
      <c r="DZ27" s="2">
        <v>1</v>
      </c>
      <c r="EA27" s="2">
        <v>0</v>
      </c>
      <c r="EB27" s="2">
        <v>0</v>
      </c>
      <c r="EC27" s="2">
        <v>0</v>
      </c>
      <c r="ED27" s="2">
        <v>13</v>
      </c>
      <c r="EE27" s="2">
        <v>1</v>
      </c>
      <c r="EF27" s="2">
        <v>0</v>
      </c>
      <c r="EG27" s="2">
        <v>2</v>
      </c>
      <c r="EH27" s="2">
        <v>0</v>
      </c>
      <c r="EI27" s="2">
        <v>14</v>
      </c>
      <c r="EJ27" s="2">
        <v>11</v>
      </c>
      <c r="EK27" s="2">
        <v>0</v>
      </c>
      <c r="EL27" s="2" t="s">
        <v>17</v>
      </c>
      <c r="EM27" s="2" t="s">
        <v>17</v>
      </c>
      <c r="EN27" s="2" t="s">
        <v>17</v>
      </c>
      <c r="EO27" s="2" t="s">
        <v>17</v>
      </c>
      <c r="EP27" s="2" t="s">
        <v>17</v>
      </c>
      <c r="EQ27" s="2" t="s">
        <v>17</v>
      </c>
      <c r="ER27" s="2" t="s">
        <v>17</v>
      </c>
      <c r="ES27" s="2" t="s">
        <v>17</v>
      </c>
      <c r="ET27" s="2" t="s">
        <v>5261</v>
      </c>
      <c r="EU27" s="2"/>
      <c r="EV27" s="2"/>
      <c r="EW27" s="2" t="s">
        <v>9</v>
      </c>
      <c r="EX27" s="2" t="s">
        <v>5254</v>
      </c>
      <c r="EY27" s="2" t="s">
        <v>5261</v>
      </c>
      <c r="EZ27" s="2" t="s">
        <v>287</v>
      </c>
      <c r="FA27" s="2" t="s">
        <v>147</v>
      </c>
      <c r="FB27" s="2">
        <v>100</v>
      </c>
      <c r="FC27" s="2" t="s">
        <v>375</v>
      </c>
      <c r="FD27" s="2">
        <v>2021</v>
      </c>
      <c r="FE27" s="2" t="s">
        <v>26</v>
      </c>
      <c r="FF27" s="2" t="s">
        <v>4210</v>
      </c>
      <c r="FG27" s="2" t="s">
        <v>294</v>
      </c>
      <c r="FH27" s="2" t="s">
        <v>5255</v>
      </c>
      <c r="FI27" s="2" t="s">
        <v>296</v>
      </c>
      <c r="FJ27" s="2" t="s">
        <v>297</v>
      </c>
      <c r="FK27" s="2">
        <v>1</v>
      </c>
      <c r="FL27" s="2" t="s">
        <v>1060</v>
      </c>
      <c r="FM27" s="2" t="s">
        <v>299</v>
      </c>
      <c r="FN27" s="2" t="s">
        <v>5262</v>
      </c>
      <c r="FO27" s="2" t="s">
        <v>63</v>
      </c>
      <c r="FP27" s="2" t="s">
        <v>9</v>
      </c>
      <c r="FQ27" s="2" t="s">
        <v>17</v>
      </c>
      <c r="FR27" s="2" t="s">
        <v>17</v>
      </c>
      <c r="FS27" s="2" t="s">
        <v>9</v>
      </c>
      <c r="FT27" s="2">
        <v>0</v>
      </c>
      <c r="FU27" s="2">
        <v>0</v>
      </c>
      <c r="FV27" s="4">
        <v>0</v>
      </c>
      <c r="FW27" s="4">
        <v>0</v>
      </c>
      <c r="FX27" s="2" t="s">
        <v>65</v>
      </c>
      <c r="FY27" s="2" t="s">
        <v>66</v>
      </c>
      <c r="FZ27" s="2" t="s">
        <v>17</v>
      </c>
      <c r="GA27" s="2"/>
      <c r="GB27" s="2"/>
      <c r="GC27" s="2"/>
      <c r="GD27" s="2" t="s">
        <v>67</v>
      </c>
      <c r="GE27" s="2" t="s">
        <v>1612</v>
      </c>
      <c r="GF27" s="2"/>
      <c r="GG27" s="2"/>
      <c r="GH27" s="2"/>
      <c r="GI27" s="2">
        <v>80</v>
      </c>
      <c r="GJ27" s="2"/>
      <c r="GK27" s="2"/>
      <c r="GL27" s="2"/>
      <c r="GM27" s="2"/>
      <c r="GN27" s="2"/>
      <c r="GO27" s="2"/>
      <c r="GP27" s="2"/>
      <c r="GQ27" s="2">
        <v>80</v>
      </c>
      <c r="GR27" s="2" t="s">
        <v>1197</v>
      </c>
      <c r="GS27" s="2" t="s">
        <v>70</v>
      </c>
      <c r="GT27" s="2">
        <v>1</v>
      </c>
      <c r="GU27" s="2" t="s">
        <v>5263</v>
      </c>
      <c r="GV27" s="2" t="s">
        <v>1469</v>
      </c>
      <c r="GW27" s="2" t="s">
        <v>17</v>
      </c>
      <c r="GX27" s="2">
        <v>26.6021</v>
      </c>
      <c r="GY27" s="2">
        <v>-81.859206</v>
      </c>
      <c r="GZ27" s="2"/>
      <c r="HA27" s="2" t="s">
        <v>17</v>
      </c>
      <c r="HB27" s="2">
        <v>0</v>
      </c>
      <c r="HC27" s="2" t="s">
        <v>17</v>
      </c>
      <c r="HD27" s="2" t="s">
        <v>17</v>
      </c>
      <c r="HE27" s="2">
        <v>0</v>
      </c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>
        <v>26.599333000000001</v>
      </c>
      <c r="HQ27" s="2">
        <v>-81.866833</v>
      </c>
      <c r="HR27" s="2">
        <v>0.51</v>
      </c>
      <c r="HS27" s="2">
        <v>5</v>
      </c>
      <c r="HT27" s="2"/>
      <c r="HU27" s="2"/>
      <c r="HV27" s="2"/>
      <c r="HW27" s="2"/>
      <c r="HX27" s="2" t="s">
        <v>73</v>
      </c>
      <c r="HY27" s="2" t="s">
        <v>3281</v>
      </c>
      <c r="HZ27" s="2" t="s">
        <v>4695</v>
      </c>
      <c r="IA27" s="2">
        <v>0.76</v>
      </c>
      <c r="IB27" s="2">
        <v>2.5</v>
      </c>
      <c r="IC27" s="2" t="s">
        <v>4696</v>
      </c>
      <c r="ID27" s="2" t="s">
        <v>4697</v>
      </c>
      <c r="IE27" s="2">
        <v>0.68</v>
      </c>
      <c r="IF27" s="2">
        <v>3</v>
      </c>
      <c r="IG27" s="2"/>
      <c r="IH27" s="2"/>
      <c r="II27" s="2"/>
      <c r="IJ27" s="2"/>
      <c r="IK27" s="2" t="s">
        <v>4698</v>
      </c>
      <c r="IL27" s="2" t="s">
        <v>4731</v>
      </c>
      <c r="IM27" s="2">
        <v>1.04</v>
      </c>
      <c r="IN27" s="2">
        <v>2.5</v>
      </c>
      <c r="IO27" s="2">
        <v>5</v>
      </c>
      <c r="IP27" s="2">
        <v>8</v>
      </c>
      <c r="IQ27" s="2">
        <v>0</v>
      </c>
      <c r="IR27" s="2">
        <v>13</v>
      </c>
      <c r="IS27" s="2" t="s">
        <v>17</v>
      </c>
      <c r="IT27" s="2" t="s">
        <v>17</v>
      </c>
      <c r="IU27" s="2" t="s">
        <v>17</v>
      </c>
      <c r="IV27" s="2" t="s">
        <v>80</v>
      </c>
      <c r="IW27" s="2" t="s">
        <v>9</v>
      </c>
      <c r="IX27" s="2" t="s">
        <v>9</v>
      </c>
      <c r="IY27" s="2">
        <v>13</v>
      </c>
      <c r="IZ27" s="2">
        <v>80</v>
      </c>
      <c r="JA27" s="2"/>
      <c r="JB27" s="2"/>
      <c r="JC27" s="2"/>
      <c r="JD27" s="2"/>
      <c r="JE27" s="2"/>
      <c r="JF27" s="2"/>
      <c r="JG27" s="2"/>
      <c r="JH27" s="7">
        <v>0</v>
      </c>
      <c r="JI27" s="2">
        <v>0</v>
      </c>
      <c r="JJ27" s="7">
        <v>0</v>
      </c>
      <c r="JK27" s="2">
        <v>0</v>
      </c>
      <c r="JL27" s="7">
        <v>0</v>
      </c>
      <c r="JM27" s="2">
        <v>12</v>
      </c>
      <c r="JN27" s="2"/>
      <c r="JO27" s="2">
        <v>32</v>
      </c>
      <c r="JP27" s="2">
        <v>36</v>
      </c>
      <c r="JQ27" s="2"/>
      <c r="JR27" s="2">
        <v>0</v>
      </c>
      <c r="JS27" s="2">
        <v>0</v>
      </c>
      <c r="JT27" s="2"/>
      <c r="JU27" s="2"/>
      <c r="JV27" s="2">
        <v>80</v>
      </c>
      <c r="JW27" s="4">
        <v>1</v>
      </c>
      <c r="JX27" s="2">
        <v>80</v>
      </c>
      <c r="JY27" s="4">
        <v>0.6</v>
      </c>
      <c r="JZ27" s="2">
        <v>0</v>
      </c>
      <c r="KA27" s="2"/>
      <c r="KB27" s="2"/>
      <c r="KC27" s="2"/>
      <c r="KD27" s="2"/>
      <c r="KE27" s="2"/>
      <c r="KF27" s="2"/>
      <c r="KG27" s="2"/>
      <c r="KH27" s="2">
        <v>60</v>
      </c>
      <c r="KI27" s="2"/>
      <c r="KJ27" s="2"/>
      <c r="KK27" s="2">
        <v>20</v>
      </c>
      <c r="KL27" s="2"/>
      <c r="KM27" s="2"/>
      <c r="KN27" s="2"/>
      <c r="KO27" s="2"/>
      <c r="KP27" s="2"/>
      <c r="KQ27" s="2" t="s">
        <v>83</v>
      </c>
      <c r="KR27" s="2"/>
      <c r="KS27" s="2" t="s">
        <v>73</v>
      </c>
      <c r="KT27" s="2">
        <v>1</v>
      </c>
      <c r="KU27" s="2" t="s">
        <v>84</v>
      </c>
      <c r="KV27" s="2" t="s">
        <v>85</v>
      </c>
      <c r="KW27" s="2" t="s">
        <v>86</v>
      </c>
      <c r="KX27" s="2" t="s">
        <v>17</v>
      </c>
      <c r="KY27" s="2" t="s">
        <v>17</v>
      </c>
      <c r="KZ27" s="2" t="s">
        <v>17</v>
      </c>
      <c r="LA27" s="2" t="s">
        <v>17</v>
      </c>
      <c r="LB27" s="2" t="s">
        <v>17</v>
      </c>
      <c r="LC27" s="2" t="s">
        <v>17</v>
      </c>
      <c r="LD27" s="2" t="s">
        <v>17</v>
      </c>
      <c r="LE27" s="2" t="s">
        <v>17</v>
      </c>
      <c r="LF27" s="2" t="s">
        <v>17</v>
      </c>
      <c r="LG27" s="2" t="s">
        <v>17</v>
      </c>
      <c r="LH27" s="2" t="s">
        <v>17</v>
      </c>
      <c r="LI27" s="2" t="s">
        <v>17</v>
      </c>
      <c r="LJ27" s="2" t="s">
        <v>87</v>
      </c>
      <c r="LK27" s="2" t="s">
        <v>17</v>
      </c>
      <c r="LL27" s="2" t="s">
        <v>17</v>
      </c>
      <c r="LM27" s="2">
        <v>0</v>
      </c>
      <c r="LN27" s="2" t="s">
        <v>17</v>
      </c>
      <c r="LO27" s="2" t="s">
        <v>17</v>
      </c>
      <c r="LP27" s="2" t="s">
        <v>17</v>
      </c>
      <c r="LQ27" s="2" t="s">
        <v>17</v>
      </c>
      <c r="LR27" s="2" t="s">
        <v>17</v>
      </c>
      <c r="LS27" s="2" t="s">
        <v>17</v>
      </c>
      <c r="LT27" s="2" t="s">
        <v>17</v>
      </c>
      <c r="LU27" s="2" t="s">
        <v>17</v>
      </c>
      <c r="LV27" s="2" t="s">
        <v>9</v>
      </c>
      <c r="LW27" s="2" t="s">
        <v>9</v>
      </c>
      <c r="LX27" s="2" t="s">
        <v>9</v>
      </c>
      <c r="LY27" s="5">
        <v>8400000</v>
      </c>
      <c r="LZ27" s="5">
        <v>0</v>
      </c>
      <c r="MA27" s="5">
        <v>8400000</v>
      </c>
      <c r="MB27" s="5">
        <v>8300000</v>
      </c>
      <c r="MC27" s="5">
        <v>8300000</v>
      </c>
      <c r="MD27" s="5">
        <v>650600</v>
      </c>
      <c r="ME27" s="5">
        <v>650600</v>
      </c>
      <c r="MF27" s="5">
        <v>650600</v>
      </c>
      <c r="MG27" s="5">
        <v>8950600</v>
      </c>
      <c r="MH27" s="2">
        <v>0</v>
      </c>
      <c r="MI27" s="5">
        <v>0</v>
      </c>
      <c r="MJ27" s="5">
        <v>0</v>
      </c>
      <c r="MK27" s="2">
        <v>0</v>
      </c>
      <c r="ML27" s="2">
        <v>0</v>
      </c>
      <c r="MM27" s="2">
        <v>0</v>
      </c>
      <c r="MN27" s="5">
        <v>2950000</v>
      </c>
      <c r="MO27" s="5">
        <v>0</v>
      </c>
      <c r="MP27" s="5">
        <v>4600000</v>
      </c>
      <c r="MQ27" s="5">
        <v>0</v>
      </c>
      <c r="MR27" s="5">
        <v>0</v>
      </c>
      <c r="MS27" s="5">
        <v>0</v>
      </c>
      <c r="MT27" s="5">
        <v>0</v>
      </c>
      <c r="MU27" s="5">
        <v>2500000</v>
      </c>
      <c r="MV27" s="5">
        <v>0</v>
      </c>
      <c r="MW27" s="5">
        <v>0</v>
      </c>
      <c r="MX27" s="5">
        <v>0</v>
      </c>
      <c r="MY27" s="5">
        <v>2040000</v>
      </c>
      <c r="MZ27" s="5">
        <v>0</v>
      </c>
      <c r="NA27" s="5">
        <v>1235458</v>
      </c>
      <c r="NB27" s="2" t="s">
        <v>9</v>
      </c>
      <c r="NC27" s="2"/>
      <c r="ND27" s="2"/>
      <c r="NE27" s="2"/>
      <c r="NF27" s="2"/>
      <c r="NG27" s="2"/>
      <c r="NH27" s="2"/>
      <c r="NI27" s="61">
        <v>0</v>
      </c>
      <c r="NJ27" s="61"/>
      <c r="NK27" s="61"/>
      <c r="NL27" s="61"/>
      <c r="NM27" s="2" t="s">
        <v>17</v>
      </c>
      <c r="NN27" s="2"/>
      <c r="NO27" s="2" t="s">
        <v>17</v>
      </c>
      <c r="NP27" s="2"/>
      <c r="NQ27" s="2"/>
      <c r="NR27" s="2" t="s">
        <v>17</v>
      </c>
      <c r="NS27" s="2"/>
      <c r="NT27" s="2" t="s">
        <v>9</v>
      </c>
      <c r="NU27" s="2" t="s">
        <v>450</v>
      </c>
      <c r="NV27" s="2">
        <v>11.03</v>
      </c>
      <c r="NW27" s="2" t="s">
        <v>1221</v>
      </c>
      <c r="NX27" s="2" t="s">
        <v>118</v>
      </c>
      <c r="NY27" s="2" t="s">
        <v>118</v>
      </c>
      <c r="NZ27" s="2" t="s">
        <v>118</v>
      </c>
      <c r="OA27" s="2" t="s">
        <v>17</v>
      </c>
      <c r="OB27" s="2" t="s">
        <v>119</v>
      </c>
      <c r="OC27" s="5">
        <v>13000000</v>
      </c>
      <c r="OD27" s="2" t="s">
        <v>17</v>
      </c>
      <c r="OE27" s="2" t="s">
        <v>17</v>
      </c>
      <c r="OF27" s="2" t="s">
        <v>85</v>
      </c>
      <c r="OG27" s="6">
        <v>4418000</v>
      </c>
      <c r="OH27" s="6">
        <v>0</v>
      </c>
      <c r="OI27" s="2" t="s">
        <v>93</v>
      </c>
      <c r="OJ27" s="2" t="s">
        <v>93</v>
      </c>
      <c r="OK27" s="6">
        <v>0</v>
      </c>
      <c r="OL27" s="6">
        <v>0</v>
      </c>
      <c r="OM27" s="6">
        <v>0</v>
      </c>
      <c r="ON27" s="6">
        <v>0</v>
      </c>
      <c r="OO27" s="6">
        <v>0</v>
      </c>
      <c r="OP27" s="6">
        <v>0</v>
      </c>
      <c r="OQ27" s="4">
        <v>0</v>
      </c>
      <c r="OR27" s="6">
        <v>0</v>
      </c>
      <c r="OS27" s="4">
        <v>0</v>
      </c>
      <c r="OT27" s="2" t="s">
        <v>17</v>
      </c>
      <c r="OU27" s="2" t="s">
        <v>17</v>
      </c>
      <c r="OV27" s="2"/>
      <c r="OW27" s="2" t="s">
        <v>17</v>
      </c>
      <c r="OX27" s="5">
        <v>7058528</v>
      </c>
      <c r="OY27" s="6">
        <v>88231.59</v>
      </c>
      <c r="OZ27" s="2"/>
      <c r="PA27" s="2"/>
      <c r="PB27" s="2"/>
      <c r="PC27" s="2"/>
      <c r="PD27" s="2"/>
      <c r="PE27" s="2"/>
      <c r="PF27" s="8">
        <v>13564200</v>
      </c>
      <c r="PG27" s="2"/>
      <c r="PH27" s="8">
        <v>13564200</v>
      </c>
      <c r="PI27" s="2"/>
      <c r="PJ27" s="2"/>
      <c r="PK27" s="2"/>
      <c r="PL27" s="2"/>
      <c r="PM27" s="2"/>
      <c r="PN27" s="2"/>
      <c r="PO27" s="2"/>
      <c r="PP27" s="2"/>
      <c r="PQ27" s="2"/>
      <c r="PR27" s="8">
        <v>13564200</v>
      </c>
      <c r="PS27" s="2"/>
      <c r="PT27" s="8">
        <v>13564200</v>
      </c>
      <c r="PU27" s="8">
        <v>1898988</v>
      </c>
      <c r="PV27" s="8">
        <v>1898988</v>
      </c>
      <c r="PW27" s="6">
        <v>1898988</v>
      </c>
      <c r="PX27" s="8">
        <v>15463188</v>
      </c>
      <c r="PY27" s="2"/>
      <c r="PZ27" s="8">
        <v>15463188</v>
      </c>
      <c r="QA27" s="8">
        <v>773159</v>
      </c>
      <c r="QB27" s="8">
        <v>773159</v>
      </c>
      <c r="QC27" s="6">
        <v>773159.4</v>
      </c>
      <c r="QD27" s="8">
        <v>35000</v>
      </c>
      <c r="QE27" s="2"/>
      <c r="QF27" s="8">
        <v>35000</v>
      </c>
      <c r="QG27" s="8">
        <v>10000</v>
      </c>
      <c r="QH27" s="8">
        <v>10000</v>
      </c>
      <c r="QI27" s="8">
        <v>358000</v>
      </c>
      <c r="QJ27" s="8">
        <v>358000</v>
      </c>
      <c r="QK27" s="8">
        <v>50000</v>
      </c>
      <c r="QL27" s="8">
        <v>50000</v>
      </c>
      <c r="QM27" s="8">
        <v>203962</v>
      </c>
      <c r="QN27" s="2"/>
      <c r="QO27" s="8">
        <v>203962</v>
      </c>
      <c r="QP27" s="8">
        <v>165000</v>
      </c>
      <c r="QQ27" s="8">
        <v>165000</v>
      </c>
      <c r="QR27" s="2"/>
      <c r="QS27" s="2"/>
      <c r="QT27" s="8">
        <v>65000</v>
      </c>
      <c r="QU27" s="2"/>
      <c r="QV27" s="8">
        <v>65000</v>
      </c>
      <c r="QW27" s="8">
        <v>10000</v>
      </c>
      <c r="QX27" s="8">
        <v>10000</v>
      </c>
      <c r="QY27" s="8">
        <v>111191</v>
      </c>
      <c r="QZ27" s="8">
        <v>111191</v>
      </c>
      <c r="RA27" s="8">
        <v>4000</v>
      </c>
      <c r="RB27" s="8">
        <v>4000</v>
      </c>
      <c r="RC27" s="2"/>
      <c r="RD27" s="2"/>
      <c r="RE27" s="8">
        <v>18000</v>
      </c>
      <c r="RF27" s="8">
        <v>18000</v>
      </c>
      <c r="RG27" s="8">
        <v>30000</v>
      </c>
      <c r="RH27" s="8">
        <v>30000</v>
      </c>
      <c r="RI27" s="8">
        <v>695950</v>
      </c>
      <c r="RJ27" s="8">
        <v>695950</v>
      </c>
      <c r="RK27" s="8">
        <v>60000</v>
      </c>
      <c r="RL27" s="2"/>
      <c r="RM27" s="8">
        <v>60000</v>
      </c>
      <c r="RN27" s="8">
        <v>180500</v>
      </c>
      <c r="RO27" s="2"/>
      <c r="RP27" s="8">
        <v>180500</v>
      </c>
      <c r="RQ27" s="8">
        <v>125000</v>
      </c>
      <c r="RR27" s="2"/>
      <c r="RS27" s="8">
        <v>125000</v>
      </c>
      <c r="RT27" s="8">
        <v>10000</v>
      </c>
      <c r="RU27" s="2"/>
      <c r="RV27" s="8">
        <v>10000</v>
      </c>
      <c r="RW27" s="8">
        <v>100000</v>
      </c>
      <c r="RX27" s="8">
        <v>100000</v>
      </c>
      <c r="RY27" s="8">
        <v>72272</v>
      </c>
      <c r="RZ27" s="2"/>
      <c r="SA27" s="8">
        <v>72272</v>
      </c>
      <c r="SB27" s="8">
        <v>15000</v>
      </c>
      <c r="SC27" s="8">
        <v>15000</v>
      </c>
      <c r="SD27" s="8">
        <v>25000</v>
      </c>
      <c r="SE27" s="2"/>
      <c r="SF27" s="8">
        <v>25000</v>
      </c>
      <c r="SG27" s="2"/>
      <c r="SH27" s="8">
        <v>105990</v>
      </c>
      <c r="SI27" s="2"/>
      <c r="SJ27" s="8">
        <v>105990</v>
      </c>
      <c r="SK27" s="8">
        <v>150000</v>
      </c>
      <c r="SL27" s="8">
        <v>150000</v>
      </c>
      <c r="SM27" s="2"/>
      <c r="SN27" s="2"/>
      <c r="SO27" s="2"/>
      <c r="SP27" s="8">
        <v>2366674</v>
      </c>
      <c r="SQ27" s="8">
        <v>233191</v>
      </c>
      <c r="SR27" s="8">
        <v>2599865</v>
      </c>
      <c r="SS27" s="8">
        <v>129993</v>
      </c>
      <c r="ST27" s="2"/>
      <c r="SU27" s="8">
        <v>129993</v>
      </c>
      <c r="SV27" s="6">
        <v>129993.25</v>
      </c>
      <c r="SW27" s="8">
        <v>120000</v>
      </c>
      <c r="SX27" s="8">
        <v>120000</v>
      </c>
      <c r="SY27" s="2"/>
      <c r="SZ27" s="8">
        <v>768290</v>
      </c>
      <c r="TA27" s="2"/>
      <c r="TB27" s="8">
        <v>768290</v>
      </c>
      <c r="TC27" s="2"/>
      <c r="TD27" s="2"/>
      <c r="TE27" s="2"/>
      <c r="TF27" s="8">
        <v>51340</v>
      </c>
      <c r="TG27" s="8">
        <v>51340</v>
      </c>
      <c r="TH27" s="2"/>
      <c r="TI27" s="8">
        <v>20000</v>
      </c>
      <c r="TJ27" s="8">
        <v>20000</v>
      </c>
      <c r="TK27" s="2"/>
      <c r="TL27" s="2"/>
      <c r="TM27" s="8">
        <v>210010</v>
      </c>
      <c r="TN27" s="8">
        <v>210010</v>
      </c>
      <c r="TO27" s="8">
        <v>888290</v>
      </c>
      <c r="TP27" s="8">
        <v>281350</v>
      </c>
      <c r="TQ27" s="8">
        <v>1169640</v>
      </c>
      <c r="TR27" s="8">
        <v>19621304</v>
      </c>
      <c r="TS27" s="8">
        <v>514541</v>
      </c>
      <c r="TT27" s="8">
        <v>20135845</v>
      </c>
      <c r="TU27" s="8">
        <v>3624451</v>
      </c>
      <c r="TV27" s="8">
        <v>3624451</v>
      </c>
      <c r="TW27" s="6">
        <v>3624452</v>
      </c>
      <c r="TX27" s="8">
        <v>3624451</v>
      </c>
      <c r="TY27" s="8">
        <v>3624451</v>
      </c>
      <c r="TZ27" s="6">
        <v>3624452</v>
      </c>
      <c r="UA27" s="8">
        <v>1000000</v>
      </c>
      <c r="UB27" s="8">
        <v>1000000</v>
      </c>
      <c r="UC27" s="8">
        <v>23245755</v>
      </c>
      <c r="UD27" s="8">
        <v>1514541</v>
      </c>
      <c r="UE27" s="8">
        <v>24760296</v>
      </c>
      <c r="UF27" s="8">
        <v>13000000</v>
      </c>
      <c r="UG27" s="2" t="s">
        <v>4295</v>
      </c>
      <c r="UH27" s="2"/>
      <c r="UI27" s="2"/>
      <c r="UJ27" s="8">
        <v>8950600</v>
      </c>
      <c r="UK27" s="2"/>
      <c r="UL27" s="2" t="s">
        <v>96</v>
      </c>
      <c r="UM27" s="8">
        <v>5682550</v>
      </c>
      <c r="UN27" s="8">
        <v>3624451</v>
      </c>
      <c r="UO27" s="8">
        <v>31257601</v>
      </c>
      <c r="UP27" s="8">
        <v>6497305</v>
      </c>
      <c r="UQ27" s="8">
        <v>4418000</v>
      </c>
      <c r="UR27" s="2" t="s">
        <v>4295</v>
      </c>
      <c r="US27" s="2"/>
      <c r="UT27" s="2"/>
      <c r="UU27" s="2"/>
      <c r="UV27" s="2"/>
      <c r="UW27" s="8">
        <v>8950600</v>
      </c>
      <c r="UX27" s="2"/>
      <c r="UY27" s="2" t="s">
        <v>96</v>
      </c>
      <c r="UZ27" s="8">
        <v>11365100</v>
      </c>
      <c r="VA27" s="8">
        <v>3624451</v>
      </c>
      <c r="VB27" s="8">
        <v>28358151</v>
      </c>
      <c r="VC27" s="6">
        <v>13368600</v>
      </c>
      <c r="VD27" s="8">
        <v>3597855</v>
      </c>
      <c r="VE27" s="5">
        <v>410000</v>
      </c>
      <c r="VF27" s="5">
        <v>417500</v>
      </c>
      <c r="VG27" s="6">
        <v>297003.7</v>
      </c>
      <c r="VH27" s="2" t="s">
        <v>9</v>
      </c>
      <c r="VI27" s="388" t="s">
        <v>286</v>
      </c>
      <c r="VJ27" s="2" t="s">
        <v>98</v>
      </c>
      <c r="VK27" s="2" t="s">
        <v>5256</v>
      </c>
      <c r="VL27" s="23">
        <f t="shared" si="0"/>
        <v>100</v>
      </c>
      <c r="VM27" s="17">
        <f t="shared" si="1"/>
        <v>1.25</v>
      </c>
      <c r="VN27" s="17" t="str">
        <f t="shared" si="2"/>
        <v>NC-MR-E</v>
      </c>
      <c r="VO27" s="17" t="str">
        <f t="shared" si="15"/>
        <v>NC-MR-E-ESS</v>
      </c>
      <c r="VP27" s="57">
        <v>1</v>
      </c>
      <c r="VQ27" s="17">
        <f t="shared" si="3"/>
        <v>1.1100000000000001</v>
      </c>
      <c r="VR27" s="57">
        <f t="shared" si="4"/>
        <v>1</v>
      </c>
      <c r="VS27" s="14">
        <f t="shared" si="5"/>
        <v>1</v>
      </c>
      <c r="VT27" s="12">
        <f t="shared" si="6"/>
        <v>0.8448</v>
      </c>
      <c r="VU27" s="29">
        <f t="shared" si="7"/>
        <v>7783142.4000000004</v>
      </c>
      <c r="VV27" s="29">
        <f t="shared" si="8"/>
        <v>97289.279999999999</v>
      </c>
      <c r="VW27" s="351" t="str">
        <f t="shared" si="21"/>
        <v>B</v>
      </c>
      <c r="VX27" s="12" t="str">
        <f t="shared" si="9"/>
        <v>NC-MR-ESS</v>
      </c>
      <c r="VY27" s="23">
        <f t="shared" si="22"/>
        <v>5</v>
      </c>
      <c r="WA27" s="12">
        <f t="shared" si="16"/>
        <v>1</v>
      </c>
      <c r="WB27" s="12">
        <f t="shared" si="17"/>
        <v>1</v>
      </c>
      <c r="WC27" s="12">
        <f t="shared" si="17"/>
        <v>0</v>
      </c>
      <c r="WD27" s="12">
        <f t="shared" si="17"/>
        <v>0</v>
      </c>
      <c r="WE27" s="12">
        <f t="shared" si="18"/>
        <v>1</v>
      </c>
      <c r="WF27" s="12">
        <f t="shared" si="10"/>
        <v>0</v>
      </c>
      <c r="WG27" s="12">
        <f t="shared" si="11"/>
        <v>1</v>
      </c>
      <c r="WH27" s="12">
        <f t="shared" si="12"/>
        <v>0</v>
      </c>
      <c r="WI27" s="31">
        <f t="shared" si="13"/>
        <v>4</v>
      </c>
      <c r="WJ27" s="2"/>
      <c r="WK27" s="444" t="str">
        <f t="shared" si="23"/>
        <v>NC-MR-ESS-BBY-BRN-NPH-E</v>
      </c>
      <c r="WL27" s="444"/>
      <c r="WM27" s="444"/>
    </row>
    <row r="28" spans="1:611" x14ac:dyDescent="0.25">
      <c r="A28" s="2">
        <v>9072</v>
      </c>
      <c r="B28" s="2" t="s">
        <v>5264</v>
      </c>
      <c r="C28" s="2" t="s">
        <v>5063</v>
      </c>
      <c r="D28" s="2">
        <v>10</v>
      </c>
      <c r="E28" s="2">
        <v>30.2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 t="s">
        <v>9</v>
      </c>
      <c r="BV28" s="6">
        <v>89294.63</v>
      </c>
      <c r="BW28" s="2" t="s">
        <v>18</v>
      </c>
      <c r="BX28" s="3">
        <v>45036</v>
      </c>
      <c r="BY28" s="2" t="s">
        <v>9</v>
      </c>
      <c r="BZ28" s="2">
        <v>1</v>
      </c>
      <c r="CA28" s="2" t="s">
        <v>9</v>
      </c>
      <c r="CB28" s="2">
        <v>1</v>
      </c>
      <c r="CC28" s="2" t="s">
        <v>9</v>
      </c>
      <c r="CD28" s="2">
        <v>0</v>
      </c>
      <c r="CE28" s="2" t="s">
        <v>5265</v>
      </c>
      <c r="CF28" s="2">
        <v>1</v>
      </c>
      <c r="CG28" s="2" t="s">
        <v>10</v>
      </c>
      <c r="CH28" s="2">
        <v>0</v>
      </c>
      <c r="CI28" s="2" t="s">
        <v>10</v>
      </c>
      <c r="CJ28" s="2">
        <v>0</v>
      </c>
      <c r="CK28" s="2" t="s">
        <v>11</v>
      </c>
      <c r="CL28" s="2">
        <v>0</v>
      </c>
      <c r="CM28" s="2" t="s">
        <v>9</v>
      </c>
      <c r="CN28" s="2">
        <v>2</v>
      </c>
      <c r="CO28" s="2" t="s">
        <v>9</v>
      </c>
      <c r="CP28" s="2">
        <v>2</v>
      </c>
      <c r="CQ28" s="2" t="s">
        <v>9</v>
      </c>
      <c r="CR28" s="2">
        <v>2</v>
      </c>
      <c r="CS28" s="2" t="s">
        <v>12</v>
      </c>
      <c r="CT28" s="2" t="s">
        <v>785</v>
      </c>
      <c r="CU28" s="2" t="s">
        <v>785</v>
      </c>
      <c r="CV28" s="2" t="s">
        <v>15</v>
      </c>
      <c r="CW28" s="2" t="s">
        <v>15</v>
      </c>
      <c r="CX28" s="2" t="s">
        <v>15</v>
      </c>
      <c r="CY28" s="2" t="s">
        <v>15</v>
      </c>
      <c r="CZ28" s="2">
        <v>2</v>
      </c>
      <c r="DA28" s="2" t="s">
        <v>979</v>
      </c>
      <c r="DB28" s="2" t="s">
        <v>17</v>
      </c>
      <c r="DC28" s="4">
        <v>0.15476000000000001</v>
      </c>
      <c r="DD28" s="2" t="s">
        <v>17</v>
      </c>
      <c r="DE28" s="2" t="s">
        <v>9</v>
      </c>
      <c r="DF28" s="2" t="s">
        <v>17</v>
      </c>
      <c r="DG28" s="2" t="s">
        <v>17</v>
      </c>
      <c r="DH28" s="2" t="s">
        <v>17</v>
      </c>
      <c r="DI28" s="2" t="s">
        <v>9</v>
      </c>
      <c r="DJ28" s="2" t="s">
        <v>17</v>
      </c>
      <c r="DK28" s="2" t="s">
        <v>17</v>
      </c>
      <c r="DL28" s="2" t="s">
        <v>17</v>
      </c>
      <c r="DM28" s="2" t="s">
        <v>17</v>
      </c>
      <c r="DN28" s="2" t="s">
        <v>2663</v>
      </c>
      <c r="DO28" s="2">
        <v>5</v>
      </c>
      <c r="DP28" s="5">
        <v>50000</v>
      </c>
      <c r="DQ28" s="5">
        <v>460000</v>
      </c>
      <c r="DR28" s="2">
        <v>0</v>
      </c>
      <c r="DS28" s="2">
        <v>8</v>
      </c>
      <c r="DT28" s="2">
        <v>0</v>
      </c>
      <c r="DU28" s="2">
        <v>6</v>
      </c>
      <c r="DV28" s="2">
        <v>0</v>
      </c>
      <c r="DW28" s="2">
        <v>0</v>
      </c>
      <c r="DX28" s="2">
        <v>1</v>
      </c>
      <c r="DY28" s="2">
        <v>0</v>
      </c>
      <c r="DZ28" s="2">
        <v>1</v>
      </c>
      <c r="EA28" s="2">
        <v>0</v>
      </c>
      <c r="EB28" s="2">
        <v>0</v>
      </c>
      <c r="EC28" s="2">
        <v>0</v>
      </c>
      <c r="ED28" s="2">
        <v>13</v>
      </c>
      <c r="EE28" s="2">
        <v>1</v>
      </c>
      <c r="EF28" s="2">
        <v>0</v>
      </c>
      <c r="EG28" s="2">
        <v>3</v>
      </c>
      <c r="EH28" s="2">
        <v>0</v>
      </c>
      <c r="EI28" s="2">
        <v>14</v>
      </c>
      <c r="EJ28" s="2">
        <v>11</v>
      </c>
      <c r="EK28" s="2">
        <v>0</v>
      </c>
      <c r="EL28" s="2" t="s">
        <v>17</v>
      </c>
      <c r="EM28" s="2" t="s">
        <v>17</v>
      </c>
      <c r="EN28" s="2" t="s">
        <v>17</v>
      </c>
      <c r="EO28" s="2" t="s">
        <v>17</v>
      </c>
      <c r="EP28" s="2" t="s">
        <v>17</v>
      </c>
      <c r="EQ28" s="2" t="s">
        <v>17</v>
      </c>
      <c r="ER28" s="2" t="s">
        <v>17</v>
      </c>
      <c r="ES28" s="2" t="s">
        <v>17</v>
      </c>
      <c r="ET28" s="2" t="s">
        <v>5266</v>
      </c>
      <c r="EU28" s="2"/>
      <c r="EV28" s="2"/>
      <c r="EW28" s="2" t="s">
        <v>9</v>
      </c>
      <c r="EX28" s="2" t="s">
        <v>1132</v>
      </c>
      <c r="EY28" s="2" t="s">
        <v>5266</v>
      </c>
      <c r="EZ28" s="2" t="s">
        <v>1148</v>
      </c>
      <c r="FA28" s="2" t="s">
        <v>333</v>
      </c>
      <c r="FB28" s="2">
        <v>88</v>
      </c>
      <c r="FC28" s="2" t="s">
        <v>461</v>
      </c>
      <c r="FD28" s="2">
        <v>2015</v>
      </c>
      <c r="FE28" s="2" t="s">
        <v>26</v>
      </c>
      <c r="FF28" s="2" t="s">
        <v>4210</v>
      </c>
      <c r="FG28" s="2" t="s">
        <v>5267</v>
      </c>
      <c r="FH28" s="2"/>
      <c r="FI28" s="2" t="s">
        <v>1141</v>
      </c>
      <c r="FJ28" s="2" t="s">
        <v>1142</v>
      </c>
      <c r="FK28" s="2">
        <v>1</v>
      </c>
      <c r="FL28" s="2" t="s">
        <v>5268</v>
      </c>
      <c r="FM28" s="2" t="s">
        <v>1144</v>
      </c>
      <c r="FN28" s="2" t="s">
        <v>5269</v>
      </c>
      <c r="FO28" s="2" t="s">
        <v>63</v>
      </c>
      <c r="FP28" s="2" t="s">
        <v>9</v>
      </c>
      <c r="FQ28" s="2" t="s">
        <v>17</v>
      </c>
      <c r="FR28" s="2" t="s">
        <v>17</v>
      </c>
      <c r="FS28" s="2" t="s">
        <v>9</v>
      </c>
      <c r="FT28" s="2">
        <v>0</v>
      </c>
      <c r="FU28" s="2">
        <v>0</v>
      </c>
      <c r="FV28" s="4">
        <v>0</v>
      </c>
      <c r="FW28" s="4">
        <v>0</v>
      </c>
      <c r="FX28" s="2" t="s">
        <v>65</v>
      </c>
      <c r="FY28" s="2" t="s">
        <v>66</v>
      </c>
      <c r="FZ28" s="2" t="s">
        <v>17</v>
      </c>
      <c r="GA28" s="2"/>
      <c r="GB28" s="2"/>
      <c r="GC28" s="2"/>
      <c r="GD28" s="2" t="s">
        <v>67</v>
      </c>
      <c r="GE28" s="2" t="s">
        <v>108</v>
      </c>
      <c r="GF28" s="2"/>
      <c r="GG28" s="2"/>
      <c r="GH28" s="2"/>
      <c r="GI28" s="2">
        <v>84</v>
      </c>
      <c r="GJ28" s="2"/>
      <c r="GK28" s="2"/>
      <c r="GL28" s="2"/>
      <c r="GM28" s="2"/>
      <c r="GN28" s="2"/>
      <c r="GO28" s="2"/>
      <c r="GP28" s="2"/>
      <c r="GQ28" s="2">
        <v>84</v>
      </c>
      <c r="GR28" s="2" t="s">
        <v>968</v>
      </c>
      <c r="GS28" s="2" t="s">
        <v>70</v>
      </c>
      <c r="GT28" s="2">
        <v>1</v>
      </c>
      <c r="GU28" s="2" t="s">
        <v>5270</v>
      </c>
      <c r="GV28" s="2" t="s">
        <v>5271</v>
      </c>
      <c r="GW28" s="2" t="s">
        <v>17</v>
      </c>
      <c r="GX28" s="2">
        <v>29.028441999999998</v>
      </c>
      <c r="GY28" s="2">
        <v>-81.306437000000003</v>
      </c>
      <c r="GZ28" s="2"/>
      <c r="HA28" s="2" t="s">
        <v>17</v>
      </c>
      <c r="HB28" s="2">
        <v>0</v>
      </c>
      <c r="HC28" s="2" t="s">
        <v>17</v>
      </c>
      <c r="HD28" s="2"/>
      <c r="HE28" s="2">
        <v>0</v>
      </c>
      <c r="HF28" s="2">
        <v>29.02983</v>
      </c>
      <c r="HG28" s="2">
        <v>-81.304753000000005</v>
      </c>
      <c r="HH28" s="2">
        <v>0.14000000000000001</v>
      </c>
      <c r="HI28" s="2">
        <v>4</v>
      </c>
      <c r="HJ28" s="2">
        <v>29.029937</v>
      </c>
      <c r="HK28" s="2">
        <v>-81.304767999999996</v>
      </c>
      <c r="HL28" s="2">
        <v>0.14000000000000001</v>
      </c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 t="s">
        <v>73</v>
      </c>
      <c r="HY28" s="2" t="s">
        <v>359</v>
      </c>
      <c r="HZ28" s="2" t="s">
        <v>5272</v>
      </c>
      <c r="IA28" s="2">
        <v>1.06</v>
      </c>
      <c r="IB28" s="2">
        <v>2</v>
      </c>
      <c r="IC28" s="2"/>
      <c r="ID28" s="2"/>
      <c r="IE28" s="2"/>
      <c r="IF28" s="2"/>
      <c r="IG28" s="2" t="s">
        <v>224</v>
      </c>
      <c r="IH28" s="2" t="s">
        <v>5273</v>
      </c>
      <c r="II28" s="2">
        <v>0.46</v>
      </c>
      <c r="IJ28" s="2">
        <v>3.5</v>
      </c>
      <c r="IK28" s="2" t="s">
        <v>5274</v>
      </c>
      <c r="IL28" s="2" t="s">
        <v>5275</v>
      </c>
      <c r="IM28" s="2">
        <v>1.3</v>
      </c>
      <c r="IN28" s="2">
        <v>2</v>
      </c>
      <c r="IO28" s="2">
        <v>4</v>
      </c>
      <c r="IP28" s="2">
        <v>7.5</v>
      </c>
      <c r="IQ28" s="2">
        <v>0</v>
      </c>
      <c r="IR28" s="2">
        <v>11.5</v>
      </c>
      <c r="IS28" s="2" t="s">
        <v>17</v>
      </c>
      <c r="IT28" s="2" t="s">
        <v>17</v>
      </c>
      <c r="IU28" s="2" t="s">
        <v>17</v>
      </c>
      <c r="IV28" s="2" t="s">
        <v>80</v>
      </c>
      <c r="IW28" s="2" t="s">
        <v>9</v>
      </c>
      <c r="IX28" s="2" t="s">
        <v>9</v>
      </c>
      <c r="IY28" s="2">
        <v>11.5</v>
      </c>
      <c r="IZ28" s="2">
        <v>84</v>
      </c>
      <c r="JA28" s="2"/>
      <c r="JB28" s="2"/>
      <c r="JC28" s="2"/>
      <c r="JD28" s="2"/>
      <c r="JE28" s="2"/>
      <c r="JF28" s="2"/>
      <c r="JG28" s="2"/>
      <c r="JH28" s="7">
        <v>0</v>
      </c>
      <c r="JI28" s="2">
        <v>0</v>
      </c>
      <c r="JJ28" s="7">
        <v>0</v>
      </c>
      <c r="JK28" s="2">
        <v>0</v>
      </c>
      <c r="JL28" s="7">
        <v>0</v>
      </c>
      <c r="JM28" s="2">
        <v>13</v>
      </c>
      <c r="JN28" s="2"/>
      <c r="JO28" s="2">
        <v>52</v>
      </c>
      <c r="JP28" s="2"/>
      <c r="JQ28" s="2">
        <v>19</v>
      </c>
      <c r="JR28" s="2">
        <v>0</v>
      </c>
      <c r="JS28" s="2">
        <v>0</v>
      </c>
      <c r="JT28" s="2"/>
      <c r="JU28" s="2"/>
      <c r="JV28" s="2">
        <v>84</v>
      </c>
      <c r="JW28" s="4">
        <v>1</v>
      </c>
      <c r="JX28" s="2">
        <v>84</v>
      </c>
      <c r="JY28" s="4">
        <v>0.59880999999999995</v>
      </c>
      <c r="JZ28" s="2">
        <v>0</v>
      </c>
      <c r="KA28" s="2"/>
      <c r="KB28" s="2"/>
      <c r="KC28" s="2"/>
      <c r="KD28" s="2"/>
      <c r="KE28" s="2"/>
      <c r="KF28" s="2"/>
      <c r="KG28" s="2"/>
      <c r="KH28" s="2">
        <v>24</v>
      </c>
      <c r="KI28" s="2"/>
      <c r="KJ28" s="2"/>
      <c r="KK28" s="2">
        <v>48</v>
      </c>
      <c r="KL28" s="2">
        <v>12</v>
      </c>
      <c r="KM28" s="2"/>
      <c r="KN28" s="2"/>
      <c r="KO28" s="2"/>
      <c r="KP28" s="2"/>
      <c r="KQ28" s="2" t="s">
        <v>83</v>
      </c>
      <c r="KR28" s="2" t="s">
        <v>73</v>
      </c>
      <c r="KS28" s="2"/>
      <c r="KT28" s="2">
        <v>1</v>
      </c>
      <c r="KU28" s="2" t="s">
        <v>84</v>
      </c>
      <c r="KV28" s="2" t="s">
        <v>85</v>
      </c>
      <c r="KW28" s="2" t="s">
        <v>86</v>
      </c>
      <c r="KX28" s="2" t="s">
        <v>17</v>
      </c>
      <c r="KY28" s="2" t="s">
        <v>17</v>
      </c>
      <c r="KZ28" s="2" t="s">
        <v>17</v>
      </c>
      <c r="LA28" s="2" t="s">
        <v>17</v>
      </c>
      <c r="LB28" s="2" t="s">
        <v>17</v>
      </c>
      <c r="LC28" s="2" t="s">
        <v>17</v>
      </c>
      <c r="LD28" s="2" t="s">
        <v>17</v>
      </c>
      <c r="LE28" s="2" t="s">
        <v>17</v>
      </c>
      <c r="LF28" s="2" t="s">
        <v>17</v>
      </c>
      <c r="LG28" s="2" t="s">
        <v>17</v>
      </c>
      <c r="LH28" s="2" t="s">
        <v>17</v>
      </c>
      <c r="LI28" s="2" t="s">
        <v>17</v>
      </c>
      <c r="LJ28" s="2" t="s">
        <v>87</v>
      </c>
      <c r="LK28" s="2" t="s">
        <v>17</v>
      </c>
      <c r="LL28" s="2" t="s">
        <v>17</v>
      </c>
      <c r="LM28" s="2">
        <v>0</v>
      </c>
      <c r="LN28" s="2" t="s">
        <v>17</v>
      </c>
      <c r="LO28" s="2" t="s">
        <v>9</v>
      </c>
      <c r="LP28" s="2" t="s">
        <v>9</v>
      </c>
      <c r="LQ28" s="2" t="s">
        <v>17</v>
      </c>
      <c r="LR28" s="2" t="s">
        <v>9</v>
      </c>
      <c r="LS28" s="2" t="s">
        <v>17</v>
      </c>
      <c r="LT28" s="2" t="s">
        <v>17</v>
      </c>
      <c r="LU28" s="2" t="s">
        <v>17</v>
      </c>
      <c r="LV28" s="2" t="s">
        <v>17</v>
      </c>
      <c r="LW28" s="2" t="s">
        <v>17</v>
      </c>
      <c r="LX28" s="2" t="s">
        <v>17</v>
      </c>
      <c r="LY28" s="5">
        <v>8820000</v>
      </c>
      <c r="LZ28" s="5">
        <v>0</v>
      </c>
      <c r="MA28" s="5">
        <v>8820000</v>
      </c>
      <c r="MB28" s="5">
        <v>8820000</v>
      </c>
      <c r="MC28" s="5">
        <v>8820000</v>
      </c>
      <c r="MD28" s="5">
        <v>533500</v>
      </c>
      <c r="ME28" s="5">
        <v>533500</v>
      </c>
      <c r="MF28" s="5">
        <v>533500</v>
      </c>
      <c r="MG28" s="5">
        <v>9353500</v>
      </c>
      <c r="MH28" s="2">
        <v>0</v>
      </c>
      <c r="MI28" s="5">
        <v>0</v>
      </c>
      <c r="MJ28" s="5">
        <v>0</v>
      </c>
      <c r="MK28" s="2">
        <v>0</v>
      </c>
      <c r="ML28" s="2">
        <v>0</v>
      </c>
      <c r="MM28" s="2">
        <v>0</v>
      </c>
      <c r="MN28" s="5">
        <v>2950000</v>
      </c>
      <c r="MO28" s="5">
        <v>0</v>
      </c>
      <c r="MP28" s="5">
        <v>4600000</v>
      </c>
      <c r="MQ28" s="5">
        <v>0</v>
      </c>
      <c r="MR28" s="5">
        <v>0</v>
      </c>
      <c r="MS28" s="5">
        <v>0</v>
      </c>
      <c r="MT28" s="5">
        <v>0</v>
      </c>
      <c r="MU28" s="5">
        <v>2500000</v>
      </c>
      <c r="MV28" s="5">
        <v>0</v>
      </c>
      <c r="MW28" s="5">
        <v>0</v>
      </c>
      <c r="MX28" s="5">
        <v>0</v>
      </c>
      <c r="MY28" s="5">
        <v>2040000</v>
      </c>
      <c r="MZ28" s="5">
        <v>0</v>
      </c>
      <c r="NA28" s="5">
        <v>1216219</v>
      </c>
      <c r="NB28" s="2" t="s">
        <v>17</v>
      </c>
      <c r="NC28" s="2"/>
      <c r="ND28" s="2"/>
      <c r="NE28" s="2"/>
      <c r="NF28" s="2"/>
      <c r="NG28" s="2"/>
      <c r="NH28" s="2"/>
      <c r="NI28" s="61">
        <v>0</v>
      </c>
      <c r="NJ28" s="61"/>
      <c r="NK28" s="61"/>
      <c r="NL28" s="61"/>
      <c r="NM28" s="2" t="s">
        <v>17</v>
      </c>
      <c r="NN28" s="2"/>
      <c r="NO28" s="2" t="s">
        <v>17</v>
      </c>
      <c r="NP28" s="2"/>
      <c r="NQ28" s="2"/>
      <c r="NR28" s="2" t="s">
        <v>17</v>
      </c>
      <c r="NS28" s="2"/>
      <c r="NT28" s="2" t="s">
        <v>9</v>
      </c>
      <c r="NU28" s="2" t="s">
        <v>450</v>
      </c>
      <c r="NV28" s="2">
        <v>905</v>
      </c>
      <c r="NW28" s="2" t="s">
        <v>1363</v>
      </c>
      <c r="NX28" s="2" t="s">
        <v>118</v>
      </c>
      <c r="NY28" s="2" t="s">
        <v>118</v>
      </c>
      <c r="NZ28" s="2" t="s">
        <v>118</v>
      </c>
      <c r="OA28" s="2" t="s">
        <v>17</v>
      </c>
      <c r="OB28" s="2" t="s">
        <v>119</v>
      </c>
      <c r="OC28" s="5">
        <v>14000000</v>
      </c>
      <c r="OD28" s="2" t="s">
        <v>17</v>
      </c>
      <c r="OE28" s="2" t="s">
        <v>17</v>
      </c>
      <c r="OF28" s="2" t="s">
        <v>85</v>
      </c>
      <c r="OG28" s="6">
        <v>5000000</v>
      </c>
      <c r="OH28" s="6">
        <v>0</v>
      </c>
      <c r="OI28" s="2" t="s">
        <v>93</v>
      </c>
      <c r="OJ28" s="2" t="s">
        <v>93</v>
      </c>
      <c r="OK28" s="6">
        <v>0</v>
      </c>
      <c r="OL28" s="6">
        <v>0</v>
      </c>
      <c r="OM28" s="6">
        <v>0</v>
      </c>
      <c r="ON28" s="6">
        <v>0</v>
      </c>
      <c r="OO28" s="6">
        <v>0</v>
      </c>
      <c r="OP28" s="6">
        <v>0</v>
      </c>
      <c r="OQ28" s="4">
        <v>0</v>
      </c>
      <c r="OR28" s="6">
        <v>0</v>
      </c>
      <c r="OS28" s="4">
        <v>0</v>
      </c>
      <c r="OT28" s="2" t="s">
        <v>17</v>
      </c>
      <c r="OU28" s="2" t="s">
        <v>17</v>
      </c>
      <c r="OV28" s="2"/>
      <c r="OW28" s="2" t="s">
        <v>17</v>
      </c>
      <c r="OX28" s="5">
        <v>7500749</v>
      </c>
      <c r="OY28" s="6">
        <v>89294.63</v>
      </c>
      <c r="OZ28" s="2"/>
      <c r="PA28" s="2"/>
      <c r="PB28" s="2"/>
      <c r="PC28" s="2"/>
      <c r="PD28" s="2"/>
      <c r="PE28" s="2"/>
      <c r="PF28" s="8">
        <v>13125000</v>
      </c>
      <c r="PG28" s="2"/>
      <c r="PH28" s="8">
        <v>13125000</v>
      </c>
      <c r="PI28" s="2"/>
      <c r="PJ28" s="2"/>
      <c r="PK28" s="2"/>
      <c r="PL28" s="2"/>
      <c r="PM28" s="8">
        <v>757950</v>
      </c>
      <c r="PN28" s="8">
        <v>57050</v>
      </c>
      <c r="PO28" s="8">
        <v>815000</v>
      </c>
      <c r="PP28" s="2"/>
      <c r="PQ28" s="2"/>
      <c r="PR28" s="8">
        <v>13882950</v>
      </c>
      <c r="PS28" s="8">
        <v>57050</v>
      </c>
      <c r="PT28" s="8">
        <v>13940000</v>
      </c>
      <c r="PU28" s="8">
        <v>1951600</v>
      </c>
      <c r="PV28" s="8">
        <v>1951600</v>
      </c>
      <c r="PW28" s="6">
        <v>1951600</v>
      </c>
      <c r="PX28" s="8">
        <v>15834550</v>
      </c>
      <c r="PY28" s="8">
        <v>57050</v>
      </c>
      <c r="PZ28" s="8">
        <v>15891600</v>
      </c>
      <c r="QA28" s="8">
        <v>794580</v>
      </c>
      <c r="QB28" s="8">
        <v>794580</v>
      </c>
      <c r="QC28" s="6">
        <v>794580</v>
      </c>
      <c r="QD28" s="2"/>
      <c r="QE28" s="8">
        <v>30000</v>
      </c>
      <c r="QF28" s="8">
        <v>30000</v>
      </c>
      <c r="QG28" s="8" t="s">
        <v>5379</v>
      </c>
      <c r="QH28" s="8">
        <v>6500</v>
      </c>
      <c r="QI28" s="8">
        <v>255000</v>
      </c>
      <c r="QJ28" s="8">
        <v>255000</v>
      </c>
      <c r="QK28" s="8">
        <v>50000</v>
      </c>
      <c r="QL28" s="8">
        <v>50000</v>
      </c>
      <c r="QM28" s="2"/>
      <c r="QN28" s="2"/>
      <c r="QO28" s="2"/>
      <c r="QP28" s="8">
        <v>87543</v>
      </c>
      <c r="QQ28" s="8">
        <v>87543</v>
      </c>
      <c r="QR28" s="2"/>
      <c r="QS28" s="2"/>
      <c r="QT28" s="8">
        <v>100000</v>
      </c>
      <c r="QU28" s="2"/>
      <c r="QV28" s="8">
        <v>100000</v>
      </c>
      <c r="QW28" s="8">
        <v>10000</v>
      </c>
      <c r="QX28" s="8">
        <v>10000</v>
      </c>
      <c r="QY28" s="8">
        <v>109460</v>
      </c>
      <c r="QZ28" s="8">
        <v>109460</v>
      </c>
      <c r="RA28" s="8">
        <v>3000</v>
      </c>
      <c r="RB28" s="8">
        <v>3000</v>
      </c>
      <c r="RC28" s="2"/>
      <c r="RD28" s="2"/>
      <c r="RE28" s="8">
        <v>23006</v>
      </c>
      <c r="RF28" s="8">
        <v>23006</v>
      </c>
      <c r="RG28" s="8">
        <v>23000</v>
      </c>
      <c r="RH28" s="8">
        <v>23000</v>
      </c>
      <c r="RI28" s="8">
        <v>733484</v>
      </c>
      <c r="RJ28" s="8">
        <v>733484</v>
      </c>
      <c r="RK28" s="8">
        <v>50000</v>
      </c>
      <c r="RL28" s="2"/>
      <c r="RM28" s="8">
        <v>50000</v>
      </c>
      <c r="RN28" s="8">
        <v>262000</v>
      </c>
      <c r="RO28" s="2"/>
      <c r="RP28" s="8">
        <v>262000</v>
      </c>
      <c r="RQ28" s="8">
        <v>168750</v>
      </c>
      <c r="RR28" s="8">
        <v>81250</v>
      </c>
      <c r="RS28" s="8">
        <v>250000</v>
      </c>
      <c r="RT28" s="2"/>
      <c r="RU28" s="8">
        <v>5000</v>
      </c>
      <c r="RV28" s="8">
        <v>5000</v>
      </c>
      <c r="RW28" s="8">
        <v>15000</v>
      </c>
      <c r="RX28" s="8">
        <v>15000</v>
      </c>
      <c r="RY28" s="8">
        <v>20212</v>
      </c>
      <c r="RZ28" s="8">
        <v>20212</v>
      </c>
      <c r="SA28" s="8">
        <v>40424</v>
      </c>
      <c r="SB28" s="8">
        <v>25000</v>
      </c>
      <c r="SC28" s="8">
        <v>25000</v>
      </c>
      <c r="SD28" s="8">
        <v>20000</v>
      </c>
      <c r="SE28" s="2"/>
      <c r="SF28" s="8">
        <v>20000</v>
      </c>
      <c r="SG28" s="2"/>
      <c r="SH28" s="8">
        <v>88000</v>
      </c>
      <c r="SI28" s="8">
        <v>22000</v>
      </c>
      <c r="SJ28" s="8">
        <v>110000</v>
      </c>
      <c r="SK28" s="8">
        <v>50232</v>
      </c>
      <c r="SL28" s="8">
        <v>50232</v>
      </c>
      <c r="SM28" s="8">
        <v>263295</v>
      </c>
      <c r="SN28" s="2"/>
      <c r="SO28" s="8">
        <v>263295</v>
      </c>
      <c r="SP28" s="8">
        <v>2209766</v>
      </c>
      <c r="SQ28" s="8">
        <v>312178</v>
      </c>
      <c r="SR28" s="8">
        <v>2521944</v>
      </c>
      <c r="SS28" s="8">
        <v>126097</v>
      </c>
      <c r="ST28" s="2"/>
      <c r="SU28" s="8">
        <v>126097</v>
      </c>
      <c r="SV28" s="6">
        <v>126097.2</v>
      </c>
      <c r="SW28" s="8">
        <v>105000</v>
      </c>
      <c r="SX28" s="8">
        <v>105000</v>
      </c>
      <c r="SY28" s="2"/>
      <c r="SZ28" s="8">
        <v>573300</v>
      </c>
      <c r="TA28" s="8">
        <v>382200</v>
      </c>
      <c r="TB28" s="8">
        <v>955500</v>
      </c>
      <c r="TC28" s="2"/>
      <c r="TD28" s="2"/>
      <c r="TE28" s="2"/>
      <c r="TF28" s="8">
        <v>131035</v>
      </c>
      <c r="TG28" s="8">
        <v>131035</v>
      </c>
      <c r="TH28" s="2"/>
      <c r="TI28" s="8">
        <v>35000</v>
      </c>
      <c r="TJ28" s="8">
        <v>35000</v>
      </c>
      <c r="TK28" s="2"/>
      <c r="TL28" s="2"/>
      <c r="TM28" s="8">
        <v>276000</v>
      </c>
      <c r="TN28" s="8">
        <v>276000</v>
      </c>
      <c r="TO28" s="8">
        <v>678300</v>
      </c>
      <c r="TP28" s="8">
        <v>824235</v>
      </c>
      <c r="TQ28" s="8">
        <v>1502535</v>
      </c>
      <c r="TR28" s="8">
        <v>19643293</v>
      </c>
      <c r="TS28" s="8">
        <v>1193463</v>
      </c>
      <c r="TT28" s="8">
        <v>20836756</v>
      </c>
      <c r="TU28" s="8">
        <v>3750616</v>
      </c>
      <c r="TV28" s="8">
        <v>3750616</v>
      </c>
      <c r="TW28" s="6">
        <v>3750616</v>
      </c>
      <c r="TX28" s="8">
        <v>3750616</v>
      </c>
      <c r="TY28" s="8">
        <v>3750616</v>
      </c>
      <c r="TZ28" s="6">
        <v>3750616</v>
      </c>
      <c r="UA28" s="8">
        <v>2950000</v>
      </c>
      <c r="UB28" s="8">
        <v>2950000</v>
      </c>
      <c r="UC28" s="8">
        <v>23393909</v>
      </c>
      <c r="UD28" s="8">
        <v>4143463</v>
      </c>
      <c r="UE28" s="8">
        <v>27537372</v>
      </c>
      <c r="UF28" s="8">
        <v>14000000</v>
      </c>
      <c r="UG28" s="2" t="s">
        <v>4295</v>
      </c>
      <c r="UH28" s="2"/>
      <c r="UI28" s="2"/>
      <c r="UJ28" s="8">
        <v>9353500</v>
      </c>
      <c r="UK28" s="2"/>
      <c r="UL28" s="2" t="s">
        <v>96</v>
      </c>
      <c r="UM28" s="8">
        <v>1714698</v>
      </c>
      <c r="UN28" s="8">
        <v>3500000</v>
      </c>
      <c r="UO28" s="8">
        <v>28568198</v>
      </c>
      <c r="UP28" s="8">
        <v>1030826</v>
      </c>
      <c r="UQ28" s="8">
        <v>5000000</v>
      </c>
      <c r="UR28" s="2" t="s">
        <v>4295</v>
      </c>
      <c r="US28" s="2"/>
      <c r="UT28" s="2"/>
      <c r="UU28" s="2"/>
      <c r="UV28" s="2"/>
      <c r="UW28" s="8">
        <v>9353500</v>
      </c>
      <c r="UX28" s="2"/>
      <c r="UY28" s="2" t="s">
        <v>96</v>
      </c>
      <c r="UZ28" s="8">
        <v>11431315</v>
      </c>
      <c r="VA28" s="8">
        <v>3000000</v>
      </c>
      <c r="VB28" s="8">
        <v>28784815</v>
      </c>
      <c r="VC28" s="6">
        <v>14353500</v>
      </c>
      <c r="VD28" s="8">
        <v>1247443</v>
      </c>
      <c r="VE28" s="5">
        <v>410000</v>
      </c>
      <c r="VF28" s="5">
        <v>417500</v>
      </c>
      <c r="VG28" s="6">
        <v>292706.81</v>
      </c>
      <c r="VH28" s="2" t="s">
        <v>9</v>
      </c>
      <c r="VI28" s="388" t="s">
        <v>1132</v>
      </c>
      <c r="VJ28" s="2" t="s">
        <v>98</v>
      </c>
      <c r="VK28" s="2" t="s">
        <v>1168</v>
      </c>
      <c r="VL28" s="23">
        <f t="shared" si="0"/>
        <v>156</v>
      </c>
      <c r="VM28" s="17">
        <f t="shared" si="1"/>
        <v>1.8571428571428572</v>
      </c>
      <c r="VN28" s="17" t="str">
        <f t="shared" si="2"/>
        <v>NC-MR-F</v>
      </c>
      <c r="VO28" s="17" t="str">
        <f t="shared" si="15"/>
        <v>NC-MR-F-ESS</v>
      </c>
      <c r="VP28" s="57">
        <v>1</v>
      </c>
      <c r="VQ28" s="17">
        <f t="shared" si="3"/>
        <v>1.1100000000000001</v>
      </c>
      <c r="VR28" s="57">
        <f t="shared" si="4"/>
        <v>1</v>
      </c>
      <c r="VS28" s="14">
        <f t="shared" si="5"/>
        <v>1</v>
      </c>
      <c r="VT28" s="12">
        <f t="shared" si="6"/>
        <v>0.8448</v>
      </c>
      <c r="VU28" s="29">
        <f t="shared" si="7"/>
        <v>8270760.96</v>
      </c>
      <c r="VV28" s="29">
        <f t="shared" si="8"/>
        <v>98461.440000000002</v>
      </c>
      <c r="VW28" s="351" t="str">
        <f t="shared" si="21"/>
        <v>B</v>
      </c>
      <c r="VX28" s="12" t="str">
        <f t="shared" si="9"/>
        <v>NC-MR-ESS</v>
      </c>
      <c r="VY28" s="23">
        <f t="shared" si="22"/>
        <v>5</v>
      </c>
      <c r="WA28" s="12">
        <f t="shared" si="16"/>
        <v>0</v>
      </c>
      <c r="WB28" s="12">
        <f t="shared" si="17"/>
        <v>1</v>
      </c>
      <c r="WC28" s="12">
        <f t="shared" si="17"/>
        <v>0</v>
      </c>
      <c r="WD28" s="12">
        <f t="shared" si="17"/>
        <v>0</v>
      </c>
      <c r="WE28" s="12">
        <f t="shared" si="18"/>
        <v>1</v>
      </c>
      <c r="WF28" s="12">
        <f t="shared" si="10"/>
        <v>0</v>
      </c>
      <c r="WG28" s="12">
        <f t="shared" si="11"/>
        <v>1</v>
      </c>
      <c r="WH28" s="12">
        <f t="shared" si="12"/>
        <v>0</v>
      </c>
      <c r="WI28" s="31">
        <f t="shared" si="13"/>
        <v>3</v>
      </c>
      <c r="WJ28" s="2"/>
      <c r="WK28" s="444" t="str">
        <f t="shared" si="23"/>
        <v>NC-MR-ESS-BBY-BRN-NPH-F</v>
      </c>
      <c r="WL28" s="444"/>
      <c r="WM28" s="444"/>
    </row>
    <row r="29" spans="1:611" x14ac:dyDescent="0.25">
      <c r="A29" s="2">
        <v>9071</v>
      </c>
      <c r="B29" s="2" t="s">
        <v>5276</v>
      </c>
      <c r="C29" s="2" t="s">
        <v>5063</v>
      </c>
      <c r="D29" s="2">
        <v>7</v>
      </c>
      <c r="E29" s="2">
        <v>31.71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 t="s">
        <v>9</v>
      </c>
      <c r="BV29" s="6">
        <v>92046</v>
      </c>
      <c r="BW29" s="2" t="s">
        <v>18</v>
      </c>
      <c r="BX29" s="3">
        <v>45036</v>
      </c>
      <c r="BY29" s="2" t="s">
        <v>9</v>
      </c>
      <c r="BZ29" s="2">
        <v>1</v>
      </c>
      <c r="CA29" s="2" t="s">
        <v>9</v>
      </c>
      <c r="CB29" s="2">
        <v>1</v>
      </c>
      <c r="CC29" s="2" t="s">
        <v>9</v>
      </c>
      <c r="CD29" s="2">
        <v>0</v>
      </c>
      <c r="CE29" s="2" t="s">
        <v>5278</v>
      </c>
      <c r="CF29" s="2">
        <v>1</v>
      </c>
      <c r="CG29" s="2" t="s">
        <v>10</v>
      </c>
      <c r="CH29" s="2">
        <v>0</v>
      </c>
      <c r="CI29" s="2" t="s">
        <v>10</v>
      </c>
      <c r="CJ29" s="2">
        <v>0</v>
      </c>
      <c r="CK29" s="2" t="s">
        <v>11</v>
      </c>
      <c r="CL29" s="2">
        <v>0</v>
      </c>
      <c r="CM29" s="2" t="s">
        <v>9</v>
      </c>
      <c r="CN29" s="2">
        <v>2</v>
      </c>
      <c r="CO29" s="2" t="s">
        <v>9</v>
      </c>
      <c r="CP29" s="2">
        <v>2</v>
      </c>
      <c r="CQ29" s="2" t="s">
        <v>9</v>
      </c>
      <c r="CR29" s="2">
        <v>2</v>
      </c>
      <c r="CS29" s="2" t="s">
        <v>12</v>
      </c>
      <c r="CT29" s="2" t="s">
        <v>604</v>
      </c>
      <c r="CU29" s="2" t="s">
        <v>3390</v>
      </c>
      <c r="CV29" s="2" t="s">
        <v>4536</v>
      </c>
      <c r="CW29" s="2" t="s">
        <v>15</v>
      </c>
      <c r="CX29" s="2" t="s">
        <v>15</v>
      </c>
      <c r="CY29" s="2" t="s">
        <v>15</v>
      </c>
      <c r="CZ29" s="2">
        <v>3</v>
      </c>
      <c r="DA29" s="2" t="s">
        <v>5277</v>
      </c>
      <c r="DB29" s="2" t="s">
        <v>17</v>
      </c>
      <c r="DC29" s="4">
        <v>0.15</v>
      </c>
      <c r="DD29" s="2" t="s">
        <v>17</v>
      </c>
      <c r="DE29" s="2" t="s">
        <v>9</v>
      </c>
      <c r="DF29" s="2" t="s">
        <v>17</v>
      </c>
      <c r="DG29" s="2" t="s">
        <v>17</v>
      </c>
      <c r="DH29" s="2" t="s">
        <v>17</v>
      </c>
      <c r="DI29" s="2" t="s">
        <v>9</v>
      </c>
      <c r="DJ29" s="2" t="s">
        <v>17</v>
      </c>
      <c r="DK29" s="2" t="s">
        <v>17</v>
      </c>
      <c r="DL29" s="2" t="s">
        <v>17</v>
      </c>
      <c r="DM29" s="2" t="s">
        <v>17</v>
      </c>
      <c r="DN29" s="2" t="s">
        <v>2663</v>
      </c>
      <c r="DO29" s="2">
        <v>5</v>
      </c>
      <c r="DP29" s="5">
        <v>50000</v>
      </c>
      <c r="DQ29" s="5">
        <v>460000</v>
      </c>
      <c r="DR29" s="2">
        <v>0</v>
      </c>
      <c r="DS29" s="2">
        <v>6</v>
      </c>
      <c r="DT29" s="2">
        <v>0</v>
      </c>
      <c r="DU29" s="2">
        <v>6</v>
      </c>
      <c r="DV29" s="2">
        <v>0</v>
      </c>
      <c r="DW29" s="2">
        <v>0</v>
      </c>
      <c r="DX29" s="2">
        <v>1</v>
      </c>
      <c r="DY29" s="2">
        <v>0</v>
      </c>
      <c r="DZ29" s="2">
        <v>1</v>
      </c>
      <c r="EA29" s="2">
        <v>0</v>
      </c>
      <c r="EB29" s="2">
        <v>0</v>
      </c>
      <c r="EC29" s="2">
        <v>0</v>
      </c>
      <c r="ED29" s="2">
        <v>13</v>
      </c>
      <c r="EE29" s="2">
        <v>1</v>
      </c>
      <c r="EF29" s="2">
        <v>0</v>
      </c>
      <c r="EG29" s="2">
        <v>3</v>
      </c>
      <c r="EH29" s="2">
        <v>0</v>
      </c>
      <c r="EI29" s="2">
        <v>14</v>
      </c>
      <c r="EJ29" s="2">
        <v>11</v>
      </c>
      <c r="EK29" s="2">
        <v>0</v>
      </c>
      <c r="EL29" s="2" t="s">
        <v>17</v>
      </c>
      <c r="EM29" s="2" t="s">
        <v>17</v>
      </c>
      <c r="EN29" s="2" t="s">
        <v>17</v>
      </c>
      <c r="EO29" s="2" t="s">
        <v>17</v>
      </c>
      <c r="EP29" s="2" t="s">
        <v>17</v>
      </c>
      <c r="EQ29" s="2" t="s">
        <v>17</v>
      </c>
      <c r="ER29" s="2" t="s">
        <v>17</v>
      </c>
      <c r="ES29" s="2" t="s">
        <v>17</v>
      </c>
      <c r="ET29" s="2" t="s">
        <v>1678</v>
      </c>
      <c r="EU29" s="2"/>
      <c r="EV29" s="2"/>
      <c r="EW29" s="2" t="s">
        <v>9</v>
      </c>
      <c r="EX29" s="2" t="s">
        <v>1680</v>
      </c>
      <c r="EY29" s="2" t="s">
        <v>1678</v>
      </c>
      <c r="EZ29" s="2" t="s">
        <v>1681</v>
      </c>
      <c r="FA29" s="2" t="s">
        <v>1682</v>
      </c>
      <c r="FB29" s="2">
        <v>114</v>
      </c>
      <c r="FC29" s="2" t="s">
        <v>965</v>
      </c>
      <c r="FD29" s="2">
        <v>2018</v>
      </c>
      <c r="FE29" s="2" t="s">
        <v>26</v>
      </c>
      <c r="FF29" s="2" t="s">
        <v>4210</v>
      </c>
      <c r="FG29" s="2" t="s">
        <v>5066</v>
      </c>
      <c r="FH29" s="2" t="s">
        <v>665</v>
      </c>
      <c r="FI29" s="2" t="s">
        <v>1688</v>
      </c>
      <c r="FJ29" s="2" t="s">
        <v>1689</v>
      </c>
      <c r="FK29" s="2">
        <v>1</v>
      </c>
      <c r="FL29" s="2" t="s">
        <v>1690</v>
      </c>
      <c r="FM29" s="2" t="s">
        <v>1691</v>
      </c>
      <c r="FN29" s="2" t="s">
        <v>5279</v>
      </c>
      <c r="FO29" s="2" t="s">
        <v>63</v>
      </c>
      <c r="FP29" s="2" t="s">
        <v>9</v>
      </c>
      <c r="FQ29" s="2" t="s">
        <v>17</v>
      </c>
      <c r="FR29" s="2" t="s">
        <v>17</v>
      </c>
      <c r="FS29" s="2" t="s">
        <v>9</v>
      </c>
      <c r="FT29" s="2">
        <v>0</v>
      </c>
      <c r="FU29" s="2">
        <v>0</v>
      </c>
      <c r="FV29" s="4">
        <v>0</v>
      </c>
      <c r="FW29" s="4">
        <v>0</v>
      </c>
      <c r="FX29" s="2" t="s">
        <v>65</v>
      </c>
      <c r="FY29" s="2" t="s">
        <v>66</v>
      </c>
      <c r="FZ29" s="2" t="s">
        <v>17</v>
      </c>
      <c r="GA29" s="2"/>
      <c r="GB29" s="2"/>
      <c r="GC29" s="2"/>
      <c r="GD29" s="2" t="s">
        <v>67</v>
      </c>
      <c r="GE29" s="2" t="s">
        <v>68</v>
      </c>
      <c r="GF29" s="2">
        <v>60</v>
      </c>
      <c r="GG29" s="2">
        <v>60</v>
      </c>
      <c r="GH29" s="2"/>
      <c r="GI29" s="2"/>
      <c r="GJ29" s="2"/>
      <c r="GK29" s="2"/>
      <c r="GL29" s="2"/>
      <c r="GM29" s="2"/>
      <c r="GN29" s="2"/>
      <c r="GO29" s="2"/>
      <c r="GP29" s="2"/>
      <c r="GQ29" s="2">
        <v>60</v>
      </c>
      <c r="GR29" s="2" t="s">
        <v>1197</v>
      </c>
      <c r="GS29" s="2" t="s">
        <v>70</v>
      </c>
      <c r="GT29" s="2">
        <v>1</v>
      </c>
      <c r="GU29" s="2" t="s">
        <v>5280</v>
      </c>
      <c r="GV29" s="2" t="s">
        <v>1199</v>
      </c>
      <c r="GW29" s="2" t="s">
        <v>17</v>
      </c>
      <c r="GX29" s="2">
        <v>26.666585999999999</v>
      </c>
      <c r="GY29" s="2">
        <v>-81.811942000000002</v>
      </c>
      <c r="GZ29" s="2"/>
      <c r="HA29" s="2" t="s">
        <v>17</v>
      </c>
      <c r="HB29" s="2">
        <v>0</v>
      </c>
      <c r="HC29" s="2" t="s">
        <v>17</v>
      </c>
      <c r="HD29" s="2"/>
      <c r="HE29" s="2">
        <v>0</v>
      </c>
      <c r="HF29" s="2">
        <v>26.665644</v>
      </c>
      <c r="HG29" s="2">
        <v>-81.812436000000005</v>
      </c>
      <c r="HH29" s="2">
        <v>7.0000000000000007E-2</v>
      </c>
      <c r="HI29" s="2">
        <v>5</v>
      </c>
      <c r="HJ29" s="2">
        <v>26.673994</v>
      </c>
      <c r="HK29" s="2">
        <v>-81.816974999999999</v>
      </c>
      <c r="HL29" s="2">
        <v>0.59</v>
      </c>
      <c r="HM29" s="2">
        <v>26.673831</v>
      </c>
      <c r="HN29" s="2">
        <v>-81.816776000000004</v>
      </c>
      <c r="HO29" s="2">
        <v>0.57999999999999996</v>
      </c>
      <c r="HP29" s="2"/>
      <c r="HQ29" s="2"/>
      <c r="HR29" s="2"/>
      <c r="HS29" s="2"/>
      <c r="HT29" s="2"/>
      <c r="HU29" s="2"/>
      <c r="HV29" s="2"/>
      <c r="HW29" s="2"/>
      <c r="HX29" s="2" t="s">
        <v>73</v>
      </c>
      <c r="HY29" s="2" t="s">
        <v>5281</v>
      </c>
      <c r="HZ29" s="2" t="s">
        <v>5282</v>
      </c>
      <c r="IA29" s="2">
        <v>0.56999999999999995</v>
      </c>
      <c r="IB29" s="2">
        <v>3</v>
      </c>
      <c r="IC29" s="2"/>
      <c r="ID29" s="2"/>
      <c r="IE29" s="2"/>
      <c r="IF29" s="2"/>
      <c r="IG29" s="2" t="s">
        <v>527</v>
      </c>
      <c r="IH29" s="2" t="s">
        <v>5283</v>
      </c>
      <c r="II29" s="2">
        <v>0.56000000000000005</v>
      </c>
      <c r="IJ29" s="2">
        <v>3</v>
      </c>
      <c r="IK29" s="2" t="s">
        <v>5284</v>
      </c>
      <c r="IL29" s="2" t="s">
        <v>5285</v>
      </c>
      <c r="IM29" s="2">
        <v>0.57999999999999996</v>
      </c>
      <c r="IN29" s="2">
        <v>3.5</v>
      </c>
      <c r="IO29" s="2">
        <v>5</v>
      </c>
      <c r="IP29" s="2">
        <v>9.5</v>
      </c>
      <c r="IQ29" s="2">
        <v>0</v>
      </c>
      <c r="IR29" s="2">
        <v>14.5</v>
      </c>
      <c r="IS29" s="2" t="s">
        <v>17</v>
      </c>
      <c r="IT29" s="2" t="s">
        <v>17</v>
      </c>
      <c r="IU29" s="2" t="s">
        <v>17</v>
      </c>
      <c r="IV29" s="2" t="s">
        <v>80</v>
      </c>
      <c r="IW29" s="2" t="s">
        <v>9</v>
      </c>
      <c r="IX29" s="2" t="s">
        <v>9</v>
      </c>
      <c r="IY29" s="2">
        <v>14.5</v>
      </c>
      <c r="IZ29" s="2">
        <v>60</v>
      </c>
      <c r="JA29" s="2"/>
      <c r="JB29" s="2"/>
      <c r="JC29" s="2"/>
      <c r="JD29" s="2"/>
      <c r="JE29" s="2"/>
      <c r="JF29" s="2"/>
      <c r="JG29" s="2"/>
      <c r="JH29" s="7">
        <v>0</v>
      </c>
      <c r="JI29" s="2">
        <v>0</v>
      </c>
      <c r="JJ29" s="7">
        <v>0</v>
      </c>
      <c r="JK29" s="2">
        <v>0</v>
      </c>
      <c r="JL29" s="7">
        <v>0</v>
      </c>
      <c r="JM29" s="2">
        <v>9</v>
      </c>
      <c r="JN29" s="2">
        <v>10</v>
      </c>
      <c r="JO29" s="2">
        <v>16</v>
      </c>
      <c r="JP29" s="2">
        <v>13</v>
      </c>
      <c r="JQ29" s="2">
        <v>12</v>
      </c>
      <c r="JR29" s="2">
        <v>0</v>
      </c>
      <c r="JS29" s="2">
        <v>0</v>
      </c>
      <c r="JT29" s="2"/>
      <c r="JU29" s="2"/>
      <c r="JV29" s="2">
        <v>60</v>
      </c>
      <c r="JW29" s="4">
        <v>1</v>
      </c>
      <c r="JX29" s="2">
        <v>60</v>
      </c>
      <c r="JY29" s="4">
        <v>0.6</v>
      </c>
      <c r="JZ29" s="2">
        <v>0</v>
      </c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>
        <v>30</v>
      </c>
      <c r="KL29" s="2">
        <v>30</v>
      </c>
      <c r="KM29" s="2"/>
      <c r="KN29" s="2"/>
      <c r="KO29" s="2"/>
      <c r="KP29" s="2"/>
      <c r="KQ29" s="2" t="s">
        <v>83</v>
      </c>
      <c r="KR29" s="2" t="s">
        <v>73</v>
      </c>
      <c r="KS29" s="2"/>
      <c r="KT29" s="2">
        <v>3</v>
      </c>
      <c r="KU29" s="2" t="s">
        <v>84</v>
      </c>
      <c r="KV29" s="2" t="s">
        <v>85</v>
      </c>
      <c r="KW29" s="2" t="s">
        <v>530</v>
      </c>
      <c r="KX29" s="2" t="s">
        <v>17</v>
      </c>
      <c r="KY29" s="2" t="s">
        <v>17</v>
      </c>
      <c r="KZ29" s="2" t="s">
        <v>17</v>
      </c>
      <c r="LA29" s="2" t="s">
        <v>17</v>
      </c>
      <c r="LB29" s="2" t="s">
        <v>17</v>
      </c>
      <c r="LC29" s="2" t="s">
        <v>17</v>
      </c>
      <c r="LD29" s="2" t="s">
        <v>17</v>
      </c>
      <c r="LE29" s="2" t="s">
        <v>17</v>
      </c>
      <c r="LF29" s="2" t="s">
        <v>17</v>
      </c>
      <c r="LG29" s="2" t="s">
        <v>17</v>
      </c>
      <c r="LH29" s="2" t="s">
        <v>17</v>
      </c>
      <c r="LI29" s="2" t="s">
        <v>17</v>
      </c>
      <c r="LJ29" s="2" t="s">
        <v>87</v>
      </c>
      <c r="LK29" s="2" t="s">
        <v>17</v>
      </c>
      <c r="LL29" s="2" t="s">
        <v>17</v>
      </c>
      <c r="LM29" s="2">
        <v>0</v>
      </c>
      <c r="LN29" s="2" t="s">
        <v>17</v>
      </c>
      <c r="LO29" s="2" t="s">
        <v>17</v>
      </c>
      <c r="LP29" s="2" t="s">
        <v>9</v>
      </c>
      <c r="LQ29" s="2" t="s">
        <v>9</v>
      </c>
      <c r="LR29" s="2" t="s">
        <v>17</v>
      </c>
      <c r="LS29" s="2" t="s">
        <v>9</v>
      </c>
      <c r="LT29" s="2" t="s">
        <v>17</v>
      </c>
      <c r="LU29" s="2" t="s">
        <v>17</v>
      </c>
      <c r="LV29" s="2" t="s">
        <v>17</v>
      </c>
      <c r="LW29" s="2" t="s">
        <v>17</v>
      </c>
      <c r="LX29" s="2" t="s">
        <v>17</v>
      </c>
      <c r="LY29" s="5">
        <v>6300000</v>
      </c>
      <c r="LZ29" s="5">
        <v>0</v>
      </c>
      <c r="MA29" s="5">
        <v>6300000</v>
      </c>
      <c r="MB29" s="5">
        <v>6000000</v>
      </c>
      <c r="MC29" s="5">
        <v>6000000</v>
      </c>
      <c r="MD29" s="5">
        <v>582300</v>
      </c>
      <c r="ME29" s="5">
        <v>582300</v>
      </c>
      <c r="MF29" s="5">
        <v>582300</v>
      </c>
      <c r="MG29" s="5">
        <v>6582300</v>
      </c>
      <c r="MH29" s="2">
        <v>0</v>
      </c>
      <c r="MI29" s="5">
        <v>0</v>
      </c>
      <c r="MJ29" s="5">
        <v>0</v>
      </c>
      <c r="MK29" s="2">
        <v>0</v>
      </c>
      <c r="ML29" s="2">
        <v>0</v>
      </c>
      <c r="MM29" s="2">
        <v>0</v>
      </c>
      <c r="MN29" s="5">
        <v>2950000</v>
      </c>
      <c r="MO29" s="5">
        <v>0</v>
      </c>
      <c r="MP29" s="5">
        <v>4600000</v>
      </c>
      <c r="MQ29" s="5">
        <v>0</v>
      </c>
      <c r="MR29" s="5">
        <v>0</v>
      </c>
      <c r="MS29" s="5">
        <v>0</v>
      </c>
      <c r="MT29" s="5">
        <v>0</v>
      </c>
      <c r="MU29" s="5">
        <v>1925000</v>
      </c>
      <c r="MV29" s="5">
        <v>0</v>
      </c>
      <c r="MW29" s="5">
        <v>0</v>
      </c>
      <c r="MX29" s="5">
        <v>0</v>
      </c>
      <c r="MY29" s="5">
        <v>2040000</v>
      </c>
      <c r="MZ29" s="5">
        <v>0</v>
      </c>
      <c r="NA29" s="5">
        <v>865000</v>
      </c>
      <c r="NB29" s="2" t="s">
        <v>17</v>
      </c>
      <c r="NC29" s="2"/>
      <c r="ND29" s="2"/>
      <c r="NE29" s="2"/>
      <c r="NF29" s="2"/>
      <c r="NG29" s="2"/>
      <c r="NH29" s="2"/>
      <c r="NI29" s="61">
        <v>0</v>
      </c>
      <c r="NJ29" s="61"/>
      <c r="NK29" s="61"/>
      <c r="NL29" s="61"/>
      <c r="NM29" s="2" t="s">
        <v>17</v>
      </c>
      <c r="NN29" s="2"/>
      <c r="NO29" s="2" t="s">
        <v>17</v>
      </c>
      <c r="NP29" s="2"/>
      <c r="NQ29" s="2"/>
      <c r="NR29" s="2" t="s">
        <v>17</v>
      </c>
      <c r="NS29" s="2"/>
      <c r="NT29" s="2" t="s">
        <v>9</v>
      </c>
      <c r="NU29" s="2" t="s">
        <v>450</v>
      </c>
      <c r="NV29" s="2">
        <v>5.04</v>
      </c>
      <c r="NW29" s="2" t="s">
        <v>1221</v>
      </c>
      <c r="NX29" s="2" t="s">
        <v>118</v>
      </c>
      <c r="NY29" s="2" t="s">
        <v>118</v>
      </c>
      <c r="NZ29" s="2" t="s">
        <v>118</v>
      </c>
      <c r="OA29" s="2" t="s">
        <v>17</v>
      </c>
      <c r="OB29" s="2" t="s">
        <v>119</v>
      </c>
      <c r="OC29" s="5">
        <v>14000000</v>
      </c>
      <c r="OD29" s="2" t="s">
        <v>17</v>
      </c>
      <c r="OE29" s="2" t="s">
        <v>17</v>
      </c>
      <c r="OF29" s="2" t="s">
        <v>85</v>
      </c>
      <c r="OG29" s="6">
        <v>5200000</v>
      </c>
      <c r="OH29" s="6">
        <v>0</v>
      </c>
      <c r="OI29" s="2" t="s">
        <v>93</v>
      </c>
      <c r="OJ29" s="2" t="s">
        <v>93</v>
      </c>
      <c r="OK29" s="6">
        <v>0</v>
      </c>
      <c r="OL29" s="6">
        <v>0</v>
      </c>
      <c r="OM29" s="6">
        <v>0</v>
      </c>
      <c r="ON29" s="6">
        <v>0</v>
      </c>
      <c r="OO29" s="6">
        <v>0</v>
      </c>
      <c r="OP29" s="6">
        <v>0</v>
      </c>
      <c r="OQ29" s="4">
        <v>0</v>
      </c>
      <c r="OR29" s="6">
        <v>0</v>
      </c>
      <c r="OS29" s="4">
        <v>0</v>
      </c>
      <c r="OT29" s="2" t="s">
        <v>17</v>
      </c>
      <c r="OU29" s="2" t="s">
        <v>17</v>
      </c>
      <c r="OV29" s="2"/>
      <c r="OW29" s="2" t="s">
        <v>17</v>
      </c>
      <c r="OX29" s="5">
        <v>5522760</v>
      </c>
      <c r="OY29" s="6">
        <v>92046</v>
      </c>
      <c r="OZ29" s="2"/>
      <c r="PA29" s="2"/>
      <c r="PB29" s="2"/>
      <c r="PC29" s="2"/>
      <c r="PD29" s="2"/>
      <c r="PE29" s="2"/>
      <c r="PF29" s="8">
        <v>9600000</v>
      </c>
      <c r="PG29" s="2"/>
      <c r="PH29" s="8">
        <v>9600000</v>
      </c>
      <c r="PI29" s="2"/>
      <c r="PJ29" s="2"/>
      <c r="PK29" s="2"/>
      <c r="PL29" s="2"/>
      <c r="PM29" s="2"/>
      <c r="PN29" s="2"/>
      <c r="PO29" s="2"/>
      <c r="PP29" s="2"/>
      <c r="PQ29" s="2"/>
      <c r="PR29" s="8">
        <v>9600000</v>
      </c>
      <c r="PS29" s="2"/>
      <c r="PT29" s="8">
        <v>9600000</v>
      </c>
      <c r="PU29" s="8">
        <v>1344000</v>
      </c>
      <c r="PV29" s="8">
        <v>1344000</v>
      </c>
      <c r="PW29" s="6">
        <v>1344000</v>
      </c>
      <c r="PX29" s="8">
        <v>10944000</v>
      </c>
      <c r="PY29" s="2"/>
      <c r="PZ29" s="8">
        <v>10944000</v>
      </c>
      <c r="QA29" s="8">
        <v>500000</v>
      </c>
      <c r="QB29" s="8">
        <v>500000</v>
      </c>
      <c r="QC29" s="6">
        <v>547200</v>
      </c>
      <c r="QD29" s="8">
        <v>20000</v>
      </c>
      <c r="QE29" s="8">
        <v>20000</v>
      </c>
      <c r="QF29" s="8">
        <v>40000</v>
      </c>
      <c r="QG29" s="8">
        <v>10000</v>
      </c>
      <c r="QH29" s="8">
        <v>10000</v>
      </c>
      <c r="QI29" s="8">
        <v>250000</v>
      </c>
      <c r="QJ29" s="8">
        <v>250000</v>
      </c>
      <c r="QK29" s="8">
        <v>30000</v>
      </c>
      <c r="QL29" s="8">
        <v>30000</v>
      </c>
      <c r="QM29" s="8">
        <v>55000</v>
      </c>
      <c r="QN29" s="2"/>
      <c r="QO29" s="8">
        <v>55000</v>
      </c>
      <c r="QP29" s="8">
        <v>200000</v>
      </c>
      <c r="QQ29" s="8">
        <v>200000</v>
      </c>
      <c r="QR29" s="8">
        <v>10000</v>
      </c>
      <c r="QS29" s="8">
        <v>10000</v>
      </c>
      <c r="QT29" s="8">
        <v>200000</v>
      </c>
      <c r="QU29" s="2"/>
      <c r="QV29" s="8">
        <v>200000</v>
      </c>
      <c r="QW29" s="8">
        <v>20000</v>
      </c>
      <c r="QX29" s="8">
        <v>20000</v>
      </c>
      <c r="QY29" s="8">
        <v>77850</v>
      </c>
      <c r="QZ29" s="8">
        <v>77850</v>
      </c>
      <c r="RA29" s="8">
        <v>3000</v>
      </c>
      <c r="RB29" s="8">
        <v>3000</v>
      </c>
      <c r="RC29" s="8">
        <v>205111</v>
      </c>
      <c r="RD29" s="8">
        <v>205111</v>
      </c>
      <c r="RE29" s="8">
        <v>26781</v>
      </c>
      <c r="RF29" s="8">
        <v>26781</v>
      </c>
      <c r="RG29" s="8">
        <v>50000</v>
      </c>
      <c r="RH29" s="8">
        <v>50000</v>
      </c>
      <c r="RI29" s="8">
        <v>360000</v>
      </c>
      <c r="RJ29" s="8">
        <v>360000</v>
      </c>
      <c r="RK29" s="8">
        <v>55000</v>
      </c>
      <c r="RL29" s="2"/>
      <c r="RM29" s="8">
        <v>55000</v>
      </c>
      <c r="RN29" s="8">
        <v>140000</v>
      </c>
      <c r="RO29" s="2"/>
      <c r="RP29" s="8">
        <v>140000</v>
      </c>
      <c r="RQ29" s="8">
        <v>185000</v>
      </c>
      <c r="RR29" s="2"/>
      <c r="RS29" s="8">
        <v>185000</v>
      </c>
      <c r="RT29" s="2"/>
      <c r="RU29" s="8">
        <v>5000</v>
      </c>
      <c r="RV29" s="8">
        <v>5000</v>
      </c>
      <c r="RW29" s="2"/>
      <c r="RX29" s="2"/>
      <c r="RY29" s="8">
        <v>105000</v>
      </c>
      <c r="RZ29" s="2"/>
      <c r="SA29" s="8">
        <v>105000</v>
      </c>
      <c r="SB29" s="8">
        <v>20000</v>
      </c>
      <c r="SC29" s="8">
        <v>20000</v>
      </c>
      <c r="SD29" s="8">
        <v>25000</v>
      </c>
      <c r="SE29" s="2"/>
      <c r="SF29" s="8">
        <v>25000</v>
      </c>
      <c r="SG29" s="2"/>
      <c r="SH29" s="8">
        <v>100000</v>
      </c>
      <c r="SI29" s="2"/>
      <c r="SJ29" s="8">
        <v>100000</v>
      </c>
      <c r="SK29" s="8">
        <v>200000</v>
      </c>
      <c r="SL29" s="8">
        <v>200000</v>
      </c>
      <c r="SM29" s="8">
        <v>357120</v>
      </c>
      <c r="SN29" s="2"/>
      <c r="SO29" s="8">
        <v>357120</v>
      </c>
      <c r="SP29" s="8">
        <v>2392120</v>
      </c>
      <c r="SQ29" s="8">
        <v>337742</v>
      </c>
      <c r="SR29" s="8">
        <v>2729862</v>
      </c>
      <c r="SS29" s="8">
        <v>100000</v>
      </c>
      <c r="ST29" s="2"/>
      <c r="SU29" s="8">
        <v>100000</v>
      </c>
      <c r="SV29" s="6">
        <v>136493.1</v>
      </c>
      <c r="SW29" s="8">
        <v>140000</v>
      </c>
      <c r="SX29" s="8">
        <v>140000</v>
      </c>
      <c r="SY29" s="2"/>
      <c r="SZ29" s="8">
        <v>750000</v>
      </c>
      <c r="TA29" s="2"/>
      <c r="TB29" s="8">
        <v>750000</v>
      </c>
      <c r="TC29" s="2"/>
      <c r="TD29" s="2"/>
      <c r="TE29" s="2"/>
      <c r="TF29" s="8">
        <v>52000</v>
      </c>
      <c r="TG29" s="8">
        <v>52000</v>
      </c>
      <c r="TH29" s="2"/>
      <c r="TI29" s="8">
        <v>10000</v>
      </c>
      <c r="TJ29" s="8">
        <v>10000</v>
      </c>
      <c r="TK29" s="2"/>
      <c r="TL29" s="2"/>
      <c r="TM29" s="8">
        <v>265000</v>
      </c>
      <c r="TN29" s="8">
        <v>265000</v>
      </c>
      <c r="TO29" s="8">
        <v>890000</v>
      </c>
      <c r="TP29" s="8">
        <v>327000</v>
      </c>
      <c r="TQ29" s="8">
        <v>1217000</v>
      </c>
      <c r="TR29" s="8">
        <v>14826120</v>
      </c>
      <c r="TS29" s="8">
        <v>664742</v>
      </c>
      <c r="TT29" s="8">
        <v>15490862</v>
      </c>
      <c r="TU29" s="8">
        <v>2780000</v>
      </c>
      <c r="TV29" s="8">
        <v>2780000</v>
      </c>
      <c r="TW29" s="6">
        <v>2788355</v>
      </c>
      <c r="TX29" s="8">
        <v>2780000</v>
      </c>
      <c r="TY29" s="8">
        <v>2780000</v>
      </c>
      <c r="TZ29" s="6">
        <v>2788355</v>
      </c>
      <c r="UA29" s="8">
        <v>3500000</v>
      </c>
      <c r="UB29" s="8">
        <v>3500000</v>
      </c>
      <c r="UC29" s="8">
        <v>17606120</v>
      </c>
      <c r="UD29" s="8">
        <v>4164742</v>
      </c>
      <c r="UE29" s="8">
        <v>21770862</v>
      </c>
      <c r="UF29" s="8">
        <v>14000000</v>
      </c>
      <c r="UG29" s="2" t="s">
        <v>4295</v>
      </c>
      <c r="UH29" s="2"/>
      <c r="UI29" s="2"/>
      <c r="UJ29" s="8">
        <v>6582300</v>
      </c>
      <c r="UK29" s="2"/>
      <c r="UL29" s="2" t="s">
        <v>96</v>
      </c>
      <c r="UM29" s="8">
        <v>3044495.2</v>
      </c>
      <c r="UN29" s="8">
        <v>1000000</v>
      </c>
      <c r="UO29" s="8">
        <v>24626795.199999999</v>
      </c>
      <c r="UP29" s="8">
        <v>2855933.2</v>
      </c>
      <c r="UQ29" s="8">
        <v>5200000</v>
      </c>
      <c r="UR29" s="2" t="s">
        <v>4295</v>
      </c>
      <c r="US29" s="2"/>
      <c r="UT29" s="2"/>
      <c r="UU29" s="2"/>
      <c r="UV29" s="2"/>
      <c r="UW29" s="8">
        <v>6582300</v>
      </c>
      <c r="UX29" s="2"/>
      <c r="UY29" s="2" t="s">
        <v>96</v>
      </c>
      <c r="UZ29" s="8">
        <v>7611238</v>
      </c>
      <c r="VA29" s="8">
        <v>2700000</v>
      </c>
      <c r="VB29" s="8">
        <v>22093538</v>
      </c>
      <c r="VC29" s="6">
        <v>11782300</v>
      </c>
      <c r="VD29" s="8">
        <v>322676</v>
      </c>
      <c r="VE29" s="5">
        <v>370000</v>
      </c>
      <c r="VF29" s="5">
        <v>377500</v>
      </c>
      <c r="VG29" s="6">
        <v>304514.37</v>
      </c>
      <c r="VH29" s="2" t="s">
        <v>9</v>
      </c>
      <c r="VI29" s="2" t="s">
        <v>1680</v>
      </c>
      <c r="VJ29" s="2" t="s">
        <v>98</v>
      </c>
      <c r="VK29" s="2" t="s">
        <v>536</v>
      </c>
      <c r="VL29" s="23">
        <f t="shared" si="0"/>
        <v>150</v>
      </c>
      <c r="VM29" s="17">
        <f t="shared" si="1"/>
        <v>2.5</v>
      </c>
      <c r="VN29" s="17" t="str">
        <f t="shared" si="2"/>
        <v>NC-GA-F</v>
      </c>
      <c r="VO29" s="17" t="str">
        <f t="shared" si="15"/>
        <v>NC-GA-F-ESS</v>
      </c>
      <c r="VP29" s="57">
        <v>1</v>
      </c>
      <c r="VQ29" s="17">
        <f t="shared" si="3"/>
        <v>1.1100000000000001</v>
      </c>
      <c r="VR29" s="57">
        <f t="shared" si="4"/>
        <v>1</v>
      </c>
      <c r="VS29" s="14">
        <f t="shared" si="5"/>
        <v>1</v>
      </c>
      <c r="VT29" s="12">
        <f t="shared" si="6"/>
        <v>0.85439999999999994</v>
      </c>
      <c r="VU29" s="29">
        <f t="shared" si="7"/>
        <v>5690304</v>
      </c>
      <c r="VV29" s="29">
        <f t="shared" si="8"/>
        <v>94838.399999999994</v>
      </c>
      <c r="VW29" s="351" t="str">
        <f t="shared" si="21"/>
        <v>B</v>
      </c>
      <c r="VX29" s="12" t="str">
        <f t="shared" si="9"/>
        <v>NC-GA-ESS</v>
      </c>
      <c r="VY29" s="23">
        <f t="shared" si="22"/>
        <v>5</v>
      </c>
      <c r="WA29" s="12">
        <f t="shared" si="16"/>
        <v>0</v>
      </c>
      <c r="WB29" s="12">
        <f t="shared" si="17"/>
        <v>1</v>
      </c>
      <c r="WC29" s="12">
        <f t="shared" si="17"/>
        <v>0</v>
      </c>
      <c r="WD29" s="12">
        <f t="shared" si="17"/>
        <v>0</v>
      </c>
      <c r="WE29" s="12">
        <f t="shared" si="18"/>
        <v>1</v>
      </c>
      <c r="WF29" s="12">
        <f t="shared" si="10"/>
        <v>1</v>
      </c>
      <c r="WG29" s="12">
        <f t="shared" si="11"/>
        <v>0</v>
      </c>
      <c r="WH29" s="12">
        <f t="shared" si="12"/>
        <v>0</v>
      </c>
      <c r="WI29" s="31">
        <f t="shared" si="13"/>
        <v>3</v>
      </c>
      <c r="WJ29" s="2"/>
      <c r="WK29" s="444" t="str">
        <f t="shared" si="23"/>
        <v>NC-GA-ESS-BBY-BRN-NPH-F</v>
      </c>
      <c r="WL29" s="444"/>
      <c r="WM29" s="444"/>
    </row>
    <row r="30" spans="1:611" x14ac:dyDescent="0.25">
      <c r="A30" s="2">
        <v>9009</v>
      </c>
      <c r="B30" s="2" t="s">
        <v>5286</v>
      </c>
      <c r="C30" s="2" t="s">
        <v>5063</v>
      </c>
      <c r="D30" s="2">
        <v>10</v>
      </c>
      <c r="E30" s="2">
        <v>32.409999999999997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 t="s">
        <v>9</v>
      </c>
      <c r="BV30" s="6">
        <v>92822.29</v>
      </c>
      <c r="BW30" s="2" t="s">
        <v>18</v>
      </c>
      <c r="BX30" s="3">
        <v>45036</v>
      </c>
      <c r="BY30" s="2" t="s">
        <v>9</v>
      </c>
      <c r="BZ30" s="2">
        <v>1</v>
      </c>
      <c r="CA30" s="2" t="s">
        <v>9</v>
      </c>
      <c r="CB30" s="2">
        <v>1</v>
      </c>
      <c r="CC30" s="2" t="s">
        <v>9</v>
      </c>
      <c r="CD30" s="2">
        <v>0</v>
      </c>
      <c r="CE30" s="2" t="s">
        <v>4812</v>
      </c>
      <c r="CF30" s="2">
        <v>1</v>
      </c>
      <c r="CG30" s="2" t="s">
        <v>10</v>
      </c>
      <c r="CH30" s="2">
        <v>0</v>
      </c>
      <c r="CI30" s="2" t="s">
        <v>10</v>
      </c>
      <c r="CJ30" s="2">
        <v>0</v>
      </c>
      <c r="CK30" s="2" t="s">
        <v>11</v>
      </c>
      <c r="CL30" s="2">
        <v>0</v>
      </c>
      <c r="CM30" s="2" t="s">
        <v>9</v>
      </c>
      <c r="CN30" s="2">
        <v>2</v>
      </c>
      <c r="CO30" s="2" t="s">
        <v>9</v>
      </c>
      <c r="CP30" s="2">
        <v>2</v>
      </c>
      <c r="CQ30" s="2" t="s">
        <v>9</v>
      </c>
      <c r="CR30" s="2">
        <v>2</v>
      </c>
      <c r="CS30" s="2" t="s">
        <v>12</v>
      </c>
      <c r="CT30" s="2" t="s">
        <v>15</v>
      </c>
      <c r="CU30" s="2" t="s">
        <v>15</v>
      </c>
      <c r="CV30" s="2" t="s">
        <v>15</v>
      </c>
      <c r="CW30" s="2" t="s">
        <v>3562</v>
      </c>
      <c r="CX30" s="2" t="s">
        <v>15</v>
      </c>
      <c r="CY30" s="2" t="s">
        <v>15</v>
      </c>
      <c r="CZ30" s="2">
        <v>0</v>
      </c>
      <c r="DA30" s="2" t="s">
        <v>234</v>
      </c>
      <c r="DB30" s="2" t="s">
        <v>17</v>
      </c>
      <c r="DC30" s="4">
        <v>0.1</v>
      </c>
      <c r="DD30" s="2" t="s">
        <v>17</v>
      </c>
      <c r="DE30" s="2" t="s">
        <v>9</v>
      </c>
      <c r="DF30" s="2" t="s">
        <v>17</v>
      </c>
      <c r="DG30" s="2" t="s">
        <v>17</v>
      </c>
      <c r="DH30" s="2" t="s">
        <v>17</v>
      </c>
      <c r="DI30" s="2" t="s">
        <v>9</v>
      </c>
      <c r="DJ30" s="2" t="s">
        <v>17</v>
      </c>
      <c r="DK30" s="2" t="s">
        <v>17</v>
      </c>
      <c r="DL30" s="2" t="s">
        <v>17</v>
      </c>
      <c r="DM30" s="2" t="s">
        <v>17</v>
      </c>
      <c r="DN30" s="2" t="s">
        <v>2663</v>
      </c>
      <c r="DO30" s="2">
        <v>5</v>
      </c>
      <c r="DP30" s="5">
        <v>50000</v>
      </c>
      <c r="DQ30" s="5">
        <v>460000</v>
      </c>
      <c r="DR30" s="2">
        <v>0</v>
      </c>
      <c r="DS30" s="2">
        <v>5</v>
      </c>
      <c r="DT30" s="2">
        <v>0</v>
      </c>
      <c r="DU30" s="2">
        <v>6</v>
      </c>
      <c r="DV30" s="2">
        <v>0</v>
      </c>
      <c r="DW30" s="2">
        <v>0</v>
      </c>
      <c r="DX30" s="2">
        <v>1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13</v>
      </c>
      <c r="EE30" s="2">
        <v>1</v>
      </c>
      <c r="EF30" s="2">
        <v>0</v>
      </c>
      <c r="EG30" s="2">
        <v>3</v>
      </c>
      <c r="EH30" s="2">
        <v>0</v>
      </c>
      <c r="EI30" s="2">
        <v>13</v>
      </c>
      <c r="EJ30" s="2">
        <v>11</v>
      </c>
      <c r="EK30" s="2">
        <v>0</v>
      </c>
      <c r="EL30" s="2" t="s">
        <v>17</v>
      </c>
      <c r="EM30" s="2" t="s">
        <v>17</v>
      </c>
      <c r="EN30" s="2" t="s">
        <v>17</v>
      </c>
      <c r="EO30" s="2" t="s">
        <v>17</v>
      </c>
      <c r="EP30" s="2" t="s">
        <v>17</v>
      </c>
      <c r="EQ30" s="2" t="s">
        <v>17</v>
      </c>
      <c r="ER30" s="2" t="s">
        <v>17</v>
      </c>
      <c r="ES30" s="2" t="s">
        <v>17</v>
      </c>
      <c r="ET30" s="2" t="s">
        <v>1920</v>
      </c>
      <c r="EU30" s="2" t="s">
        <v>1921</v>
      </c>
      <c r="EV30" s="2"/>
      <c r="EW30" s="2" t="s">
        <v>9</v>
      </c>
      <c r="EX30" s="2" t="s">
        <v>1922</v>
      </c>
      <c r="EY30" s="2" t="s">
        <v>1920</v>
      </c>
      <c r="EZ30" s="2" t="s">
        <v>4605</v>
      </c>
      <c r="FA30" s="2" t="s">
        <v>330</v>
      </c>
      <c r="FB30" s="2">
        <v>220</v>
      </c>
      <c r="FC30" s="2" t="s">
        <v>4029</v>
      </c>
      <c r="FD30" s="2">
        <v>2012</v>
      </c>
      <c r="FE30" s="2" t="s">
        <v>26</v>
      </c>
      <c r="FF30" s="2" t="s">
        <v>4210</v>
      </c>
      <c r="FG30" s="2" t="s">
        <v>656</v>
      </c>
      <c r="FH30" s="2"/>
      <c r="FI30" s="2" t="s">
        <v>1929</v>
      </c>
      <c r="FJ30" s="2" t="s">
        <v>1930</v>
      </c>
      <c r="FK30" s="2">
        <v>1</v>
      </c>
      <c r="FL30" s="2" t="s">
        <v>1931</v>
      </c>
      <c r="FM30" s="2" t="s">
        <v>1932</v>
      </c>
      <c r="FN30" s="2" t="s">
        <v>4813</v>
      </c>
      <c r="FO30" s="2" t="s">
        <v>63</v>
      </c>
      <c r="FP30" s="2" t="s">
        <v>9</v>
      </c>
      <c r="FQ30" s="2" t="s">
        <v>17</v>
      </c>
      <c r="FR30" s="2" t="s">
        <v>17</v>
      </c>
      <c r="FS30" s="2" t="s">
        <v>9</v>
      </c>
      <c r="FT30" s="2">
        <v>0</v>
      </c>
      <c r="FU30" s="2">
        <v>0</v>
      </c>
      <c r="FV30" s="4">
        <v>0</v>
      </c>
      <c r="FW30" s="4">
        <v>0</v>
      </c>
      <c r="FX30" s="2" t="s">
        <v>65</v>
      </c>
      <c r="FY30" s="2" t="s">
        <v>66</v>
      </c>
      <c r="FZ30" s="2" t="s">
        <v>17</v>
      </c>
      <c r="GA30" s="2"/>
      <c r="GB30" s="2"/>
      <c r="GC30" s="2"/>
      <c r="GD30" s="2" t="s">
        <v>67</v>
      </c>
      <c r="GE30" s="2" t="s">
        <v>68</v>
      </c>
      <c r="GF30" s="2">
        <v>92</v>
      </c>
      <c r="GG30" s="2">
        <v>92</v>
      </c>
      <c r="GH30" s="2"/>
      <c r="GI30" s="2"/>
      <c r="GJ30" s="2"/>
      <c r="GK30" s="2"/>
      <c r="GL30" s="2"/>
      <c r="GM30" s="2"/>
      <c r="GN30" s="2"/>
      <c r="GO30" s="2"/>
      <c r="GP30" s="2"/>
      <c r="GQ30" s="2">
        <v>92</v>
      </c>
      <c r="GR30" s="2" t="s">
        <v>1197</v>
      </c>
      <c r="GS30" s="2" t="s">
        <v>70</v>
      </c>
      <c r="GT30" s="2">
        <v>1</v>
      </c>
      <c r="GU30" s="2" t="s">
        <v>4814</v>
      </c>
      <c r="GV30" s="2" t="s">
        <v>1469</v>
      </c>
      <c r="GW30" s="2" t="s">
        <v>17</v>
      </c>
      <c r="GX30" s="2">
        <v>26.610181000000001</v>
      </c>
      <c r="GY30" s="2">
        <v>-81.871010999999996</v>
      </c>
      <c r="GZ30" s="2"/>
      <c r="HA30" s="2" t="s">
        <v>17</v>
      </c>
      <c r="HB30" s="2">
        <v>0</v>
      </c>
      <c r="HC30" s="2" t="s">
        <v>17</v>
      </c>
      <c r="HD30" s="2"/>
      <c r="HE30" s="2">
        <v>0</v>
      </c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>
        <v>26.599301000000001</v>
      </c>
      <c r="HQ30" s="2">
        <v>-81.866781000000003</v>
      </c>
      <c r="HR30" s="2">
        <v>0.8</v>
      </c>
      <c r="HS30" s="2">
        <v>4.5</v>
      </c>
      <c r="HT30" s="2"/>
      <c r="HU30" s="2"/>
      <c r="HV30" s="2"/>
      <c r="HW30" s="2"/>
      <c r="HX30" s="2" t="s">
        <v>73</v>
      </c>
      <c r="HY30" s="2" t="s">
        <v>4815</v>
      </c>
      <c r="HZ30" s="2" t="s">
        <v>4546</v>
      </c>
      <c r="IA30" s="2">
        <v>0.53</v>
      </c>
      <c r="IB30" s="2">
        <v>3</v>
      </c>
      <c r="IC30" s="2"/>
      <c r="ID30" s="2"/>
      <c r="IE30" s="2"/>
      <c r="IF30" s="2"/>
      <c r="IG30" s="2" t="s">
        <v>224</v>
      </c>
      <c r="IH30" s="2" t="s">
        <v>4816</v>
      </c>
      <c r="II30" s="2">
        <v>0.1</v>
      </c>
      <c r="IJ30" s="2">
        <v>4</v>
      </c>
      <c r="IK30" s="2" t="s">
        <v>4817</v>
      </c>
      <c r="IL30" s="2" t="s">
        <v>4818</v>
      </c>
      <c r="IM30" s="2">
        <v>0.63</v>
      </c>
      <c r="IN30" s="2">
        <v>3.5</v>
      </c>
      <c r="IO30" s="2">
        <v>4.5</v>
      </c>
      <c r="IP30" s="2">
        <v>10.5</v>
      </c>
      <c r="IQ30" s="2">
        <v>0</v>
      </c>
      <c r="IR30" s="2">
        <v>15</v>
      </c>
      <c r="IS30" s="2" t="s">
        <v>17</v>
      </c>
      <c r="IT30" s="2" t="s">
        <v>17</v>
      </c>
      <c r="IU30" s="2" t="s">
        <v>17</v>
      </c>
      <c r="IV30" s="2" t="s">
        <v>80</v>
      </c>
      <c r="IW30" s="2" t="s">
        <v>9</v>
      </c>
      <c r="IX30" s="2" t="s">
        <v>9</v>
      </c>
      <c r="IY30" s="2">
        <v>15</v>
      </c>
      <c r="IZ30" s="2">
        <v>92</v>
      </c>
      <c r="JA30" s="2"/>
      <c r="JB30" s="2"/>
      <c r="JC30" s="2"/>
      <c r="JD30" s="7">
        <v>0.1</v>
      </c>
      <c r="JE30" s="2"/>
      <c r="JF30" s="7">
        <v>0.44</v>
      </c>
      <c r="JG30" s="7">
        <v>0.36</v>
      </c>
      <c r="JH30" s="7">
        <v>0.1</v>
      </c>
      <c r="JI30" s="2">
        <v>83</v>
      </c>
      <c r="JJ30" s="7">
        <v>0.9</v>
      </c>
      <c r="JK30" s="2">
        <v>92</v>
      </c>
      <c r="JL30" s="7">
        <v>1</v>
      </c>
      <c r="JM30" s="2"/>
      <c r="JN30" s="2"/>
      <c r="JO30" s="2"/>
      <c r="JP30" s="2"/>
      <c r="JQ30" s="2"/>
      <c r="JR30" s="2">
        <v>0</v>
      </c>
      <c r="JS30" s="2">
        <v>0</v>
      </c>
      <c r="JT30" s="2"/>
      <c r="JU30" s="2"/>
      <c r="JV30" s="2">
        <v>0</v>
      </c>
      <c r="JW30" s="4">
        <v>0</v>
      </c>
      <c r="JX30" s="2">
        <v>0</v>
      </c>
      <c r="JY30" s="4">
        <v>0</v>
      </c>
      <c r="JZ30" s="2">
        <v>92</v>
      </c>
      <c r="KA30" s="2"/>
      <c r="KB30" s="2"/>
      <c r="KC30" s="2"/>
      <c r="KD30" s="2"/>
      <c r="KE30" s="2"/>
      <c r="KF30" s="2"/>
      <c r="KG30" s="2"/>
      <c r="KH30" s="2">
        <v>50</v>
      </c>
      <c r="KI30" s="2">
        <v>42</v>
      </c>
      <c r="KJ30" s="2"/>
      <c r="KK30" s="2"/>
      <c r="KL30" s="2"/>
      <c r="KM30" s="2"/>
      <c r="KN30" s="2"/>
      <c r="KO30" s="2"/>
      <c r="KP30" s="2"/>
      <c r="KQ30" s="2" t="s">
        <v>83</v>
      </c>
      <c r="KR30" s="2" t="s">
        <v>73</v>
      </c>
      <c r="KS30" s="2"/>
      <c r="KT30" s="2">
        <v>4</v>
      </c>
      <c r="KU30" s="2" t="s">
        <v>84</v>
      </c>
      <c r="KV30" s="2" t="s">
        <v>85</v>
      </c>
      <c r="KW30" s="2" t="s">
        <v>86</v>
      </c>
      <c r="KX30" s="2" t="s">
        <v>17</v>
      </c>
      <c r="KY30" s="2" t="s">
        <v>17</v>
      </c>
      <c r="KZ30" s="2" t="s">
        <v>17</v>
      </c>
      <c r="LA30" s="2" t="s">
        <v>17</v>
      </c>
      <c r="LB30" s="2" t="s">
        <v>17</v>
      </c>
      <c r="LC30" s="2" t="s">
        <v>17</v>
      </c>
      <c r="LD30" s="2" t="s">
        <v>17</v>
      </c>
      <c r="LE30" s="2" t="s">
        <v>17</v>
      </c>
      <c r="LF30" s="2" t="s">
        <v>17</v>
      </c>
      <c r="LG30" s="2" t="s">
        <v>17</v>
      </c>
      <c r="LH30" s="2" t="s">
        <v>17</v>
      </c>
      <c r="LI30" s="2" t="s">
        <v>17</v>
      </c>
      <c r="LJ30" s="2" t="s">
        <v>87</v>
      </c>
      <c r="LK30" s="2" t="s">
        <v>17</v>
      </c>
      <c r="LL30" s="2" t="s">
        <v>17</v>
      </c>
      <c r="LM30" s="2">
        <v>0</v>
      </c>
      <c r="LN30" s="2" t="s">
        <v>17</v>
      </c>
      <c r="LO30" s="2" t="s">
        <v>17</v>
      </c>
      <c r="LP30" s="2" t="s">
        <v>9</v>
      </c>
      <c r="LQ30" s="2" t="s">
        <v>9</v>
      </c>
      <c r="LR30" s="2" t="s">
        <v>9</v>
      </c>
      <c r="LS30" s="2" t="s">
        <v>17</v>
      </c>
      <c r="LT30" s="2" t="s">
        <v>17</v>
      </c>
      <c r="LU30" s="2" t="s">
        <v>17</v>
      </c>
      <c r="LV30" s="2" t="s">
        <v>17</v>
      </c>
      <c r="LW30" s="2" t="s">
        <v>17</v>
      </c>
      <c r="LX30" s="2" t="s">
        <v>17</v>
      </c>
      <c r="LY30" s="5">
        <v>9660000</v>
      </c>
      <c r="LZ30" s="5">
        <v>0</v>
      </c>
      <c r="MA30" s="5">
        <v>9660000</v>
      </c>
      <c r="MB30" s="5">
        <v>9000000</v>
      </c>
      <c r="MC30" s="5">
        <v>9000000</v>
      </c>
      <c r="MD30" s="5">
        <v>846500</v>
      </c>
      <c r="ME30" s="5">
        <v>846500</v>
      </c>
      <c r="MF30" s="5">
        <v>846500</v>
      </c>
      <c r="MG30" s="5">
        <v>9846500</v>
      </c>
      <c r="MH30" s="2">
        <v>0</v>
      </c>
      <c r="MI30" s="5">
        <v>0</v>
      </c>
      <c r="MJ30" s="5">
        <v>0</v>
      </c>
      <c r="MK30" s="2">
        <v>0</v>
      </c>
      <c r="ML30" s="2">
        <v>0</v>
      </c>
      <c r="MM30" s="2">
        <v>0</v>
      </c>
      <c r="MN30" s="5">
        <v>2950000</v>
      </c>
      <c r="MO30" s="5">
        <v>0</v>
      </c>
      <c r="MP30" s="5">
        <v>4600000</v>
      </c>
      <c r="MQ30" s="5">
        <v>0</v>
      </c>
      <c r="MR30" s="5">
        <v>0</v>
      </c>
      <c r="MS30" s="5">
        <v>0</v>
      </c>
      <c r="MT30" s="5">
        <v>0</v>
      </c>
      <c r="MU30" s="5">
        <v>2500000</v>
      </c>
      <c r="MV30" s="5">
        <v>0</v>
      </c>
      <c r="MW30" s="5">
        <v>0</v>
      </c>
      <c r="MX30" s="5">
        <v>0</v>
      </c>
      <c r="MY30" s="5">
        <v>2040000</v>
      </c>
      <c r="MZ30" s="5">
        <v>0</v>
      </c>
      <c r="NA30" s="5">
        <v>1900628</v>
      </c>
      <c r="NB30" s="2" t="s">
        <v>17</v>
      </c>
      <c r="NC30" s="2"/>
      <c r="ND30" s="2"/>
      <c r="NE30" s="2"/>
      <c r="NF30" s="2"/>
      <c r="NG30" s="2"/>
      <c r="NH30" s="2"/>
      <c r="NI30" s="61">
        <v>0</v>
      </c>
      <c r="NJ30" s="61"/>
      <c r="NK30" s="61"/>
      <c r="NL30" s="61"/>
      <c r="NM30" s="2" t="s">
        <v>17</v>
      </c>
      <c r="NN30" s="2"/>
      <c r="NO30" s="2" t="s">
        <v>17</v>
      </c>
      <c r="NP30" s="2"/>
      <c r="NQ30" s="2"/>
      <c r="NR30" s="2" t="s">
        <v>17</v>
      </c>
      <c r="NS30" s="2"/>
      <c r="NT30" s="2" t="s">
        <v>9</v>
      </c>
      <c r="NU30" s="2" t="s">
        <v>450</v>
      </c>
      <c r="NV30" s="2">
        <v>11.04</v>
      </c>
      <c r="NW30" s="2" t="s">
        <v>1221</v>
      </c>
      <c r="NX30" s="2" t="s">
        <v>118</v>
      </c>
      <c r="NY30" s="2" t="s">
        <v>118</v>
      </c>
      <c r="NZ30" s="2" t="s">
        <v>118</v>
      </c>
      <c r="OA30" s="2" t="s">
        <v>17</v>
      </c>
      <c r="OB30" s="2" t="s">
        <v>119</v>
      </c>
      <c r="OC30" s="2"/>
      <c r="OD30" s="2" t="s">
        <v>17</v>
      </c>
      <c r="OE30" s="2" t="s">
        <v>17</v>
      </c>
      <c r="OF30" s="2" t="s">
        <v>85</v>
      </c>
      <c r="OG30" s="6">
        <v>4564000</v>
      </c>
      <c r="OH30" s="6">
        <v>0</v>
      </c>
      <c r="OI30" s="2" t="s">
        <v>93</v>
      </c>
      <c r="OJ30" s="2" t="s">
        <v>93</v>
      </c>
      <c r="OK30" s="6">
        <v>0</v>
      </c>
      <c r="OL30" s="6">
        <v>0</v>
      </c>
      <c r="OM30" s="6">
        <v>0</v>
      </c>
      <c r="ON30" s="6">
        <v>0</v>
      </c>
      <c r="OO30" s="6">
        <v>0</v>
      </c>
      <c r="OP30" s="6">
        <v>0</v>
      </c>
      <c r="OQ30" s="4">
        <v>0</v>
      </c>
      <c r="OR30" s="6">
        <v>0</v>
      </c>
      <c r="OS30" s="4">
        <v>0</v>
      </c>
      <c r="OT30" s="2" t="s">
        <v>17</v>
      </c>
      <c r="OU30" s="2" t="s">
        <v>9</v>
      </c>
      <c r="OV30" s="2" t="s">
        <v>1951</v>
      </c>
      <c r="OW30" s="2" t="s">
        <v>9</v>
      </c>
      <c r="OX30" s="5">
        <v>7704250</v>
      </c>
      <c r="OY30" s="6">
        <v>92822.29</v>
      </c>
      <c r="OZ30" s="2"/>
      <c r="PA30" s="2"/>
      <c r="PB30" s="2"/>
      <c r="PC30" s="2"/>
      <c r="PD30" s="8">
        <v>1122272</v>
      </c>
      <c r="PE30" s="8">
        <v>1122272</v>
      </c>
      <c r="PF30" s="8">
        <v>22126630</v>
      </c>
      <c r="PG30" s="2"/>
      <c r="PH30" s="8">
        <v>22126630</v>
      </c>
      <c r="PI30" s="2"/>
      <c r="PJ30" s="2"/>
      <c r="PK30" s="2"/>
      <c r="PL30" s="2"/>
      <c r="PM30" s="8">
        <v>4510236</v>
      </c>
      <c r="PN30" s="2"/>
      <c r="PO30" s="8">
        <v>4510236</v>
      </c>
      <c r="PP30" s="2"/>
      <c r="PQ30" s="2"/>
      <c r="PR30" s="8">
        <v>26636866</v>
      </c>
      <c r="PS30" s="8">
        <v>1122272</v>
      </c>
      <c r="PT30" s="8">
        <v>27759138</v>
      </c>
      <c r="PU30" s="8" t="s">
        <v>5361</v>
      </c>
      <c r="PV30" s="8">
        <v>3886279</v>
      </c>
      <c r="PW30" s="6">
        <v>3886279</v>
      </c>
      <c r="PX30" s="8">
        <v>30299690</v>
      </c>
      <c r="PY30" s="8">
        <v>1345727</v>
      </c>
      <c r="PZ30" s="8">
        <v>31645417</v>
      </c>
      <c r="QA30" s="2" t="s">
        <v>5362</v>
      </c>
      <c r="QB30" s="8">
        <v>1582270</v>
      </c>
      <c r="QC30" s="6">
        <v>1582270.85</v>
      </c>
      <c r="QD30" s="8">
        <v>9778</v>
      </c>
      <c r="QE30" s="8">
        <v>20222</v>
      </c>
      <c r="QF30" s="8">
        <v>30000</v>
      </c>
      <c r="QG30" s="8" t="s">
        <v>5378</v>
      </c>
      <c r="QH30" s="8">
        <v>13680</v>
      </c>
      <c r="QI30" s="8">
        <v>581925</v>
      </c>
      <c r="QJ30" s="8">
        <v>581925</v>
      </c>
      <c r="QK30" s="8">
        <v>186975</v>
      </c>
      <c r="QL30" s="8">
        <v>186975</v>
      </c>
      <c r="QM30" s="8">
        <v>87500</v>
      </c>
      <c r="QN30" s="8">
        <v>87500</v>
      </c>
      <c r="QO30" s="8">
        <v>175000</v>
      </c>
      <c r="QP30" s="2">
        <v>0</v>
      </c>
      <c r="QQ30" s="2"/>
      <c r="QR30" s="2">
        <v>0</v>
      </c>
      <c r="QS30" s="2"/>
      <c r="QT30" s="8">
        <v>85000</v>
      </c>
      <c r="QU30" s="2">
        <v>0</v>
      </c>
      <c r="QV30" s="8">
        <v>85000</v>
      </c>
      <c r="QW30" s="8">
        <v>48740</v>
      </c>
      <c r="QX30" s="8">
        <v>48740</v>
      </c>
      <c r="QY30" s="8">
        <v>171056</v>
      </c>
      <c r="QZ30" s="8">
        <v>171056</v>
      </c>
      <c r="RA30" s="8">
        <v>3000</v>
      </c>
      <c r="RB30" s="8">
        <v>3000</v>
      </c>
      <c r="RC30" s="8">
        <v>225000</v>
      </c>
      <c r="RD30" s="8">
        <v>225000</v>
      </c>
      <c r="RE30" s="8">
        <v>20506</v>
      </c>
      <c r="RF30" s="8">
        <v>20506</v>
      </c>
      <c r="RG30" s="8">
        <v>35000</v>
      </c>
      <c r="RH30" s="8">
        <v>35000</v>
      </c>
      <c r="RI30" s="2">
        <v>0</v>
      </c>
      <c r="RJ30" s="2"/>
      <c r="RK30" s="8">
        <v>2699</v>
      </c>
      <c r="RL30" s="8">
        <v>5581</v>
      </c>
      <c r="RM30" s="8">
        <v>8280</v>
      </c>
      <c r="RN30" s="8">
        <v>56057</v>
      </c>
      <c r="RO30" s="8">
        <v>637057</v>
      </c>
      <c r="RP30" s="8">
        <v>693114</v>
      </c>
      <c r="RQ30" s="8">
        <v>148810</v>
      </c>
      <c r="RR30" s="8">
        <v>307765</v>
      </c>
      <c r="RS30" s="8">
        <v>456575</v>
      </c>
      <c r="RT30" s="2">
        <v>0</v>
      </c>
      <c r="RU30" s="8">
        <v>10800</v>
      </c>
      <c r="RV30" s="8">
        <v>10800</v>
      </c>
      <c r="RW30" s="8">
        <v>470440</v>
      </c>
      <c r="RX30" s="8">
        <v>470440</v>
      </c>
      <c r="RY30" s="8">
        <v>34000</v>
      </c>
      <c r="RZ30" s="2">
        <v>0</v>
      </c>
      <c r="SA30" s="8">
        <v>34000</v>
      </c>
      <c r="SB30" s="8">
        <v>4700</v>
      </c>
      <c r="SC30" s="8">
        <v>4700</v>
      </c>
      <c r="SD30" s="8">
        <v>13000</v>
      </c>
      <c r="SE30" s="2">
        <v>0</v>
      </c>
      <c r="SF30" s="8">
        <v>13000</v>
      </c>
      <c r="SG30" s="2"/>
      <c r="SH30" s="8">
        <v>67500</v>
      </c>
      <c r="SI30" s="8">
        <v>76554</v>
      </c>
      <c r="SJ30" s="8">
        <v>144054</v>
      </c>
      <c r="SK30" s="2">
        <v>0</v>
      </c>
      <c r="SL30" s="2"/>
      <c r="SM30" s="8">
        <v>192200</v>
      </c>
      <c r="SN30" s="2">
        <v>0</v>
      </c>
      <c r="SO30" s="8">
        <v>192200</v>
      </c>
      <c r="SP30" s="8">
        <v>1558343</v>
      </c>
      <c r="SQ30" s="8">
        <v>2044702</v>
      </c>
      <c r="SR30" s="8">
        <v>3603045</v>
      </c>
      <c r="SS30" s="8">
        <v>180060</v>
      </c>
      <c r="ST30" s="2"/>
      <c r="SU30" s="8">
        <v>180060</v>
      </c>
      <c r="SV30" s="6">
        <v>180152.25</v>
      </c>
      <c r="SW30" s="2" t="s">
        <v>5370</v>
      </c>
      <c r="SX30" s="8">
        <v>493460</v>
      </c>
      <c r="SY30" s="2"/>
      <c r="SZ30" s="8">
        <v>1242494</v>
      </c>
      <c r="TA30" s="8">
        <v>1304610</v>
      </c>
      <c r="TB30" s="8">
        <v>2547104</v>
      </c>
      <c r="TC30" s="2"/>
      <c r="TD30" s="2"/>
      <c r="TE30" s="2"/>
      <c r="TF30" s="8">
        <v>25740</v>
      </c>
      <c r="TG30" s="8">
        <v>25740</v>
      </c>
      <c r="TH30" s="2"/>
      <c r="TI30" s="8">
        <v>120000</v>
      </c>
      <c r="TJ30" s="8">
        <v>120000</v>
      </c>
      <c r="TK30" s="8">
        <v>312450</v>
      </c>
      <c r="TL30" s="2"/>
      <c r="TM30" s="8">
        <v>146944</v>
      </c>
      <c r="TN30" s="8">
        <v>146944</v>
      </c>
      <c r="TO30" s="8">
        <v>1554944</v>
      </c>
      <c r="TP30" s="8">
        <v>2090754</v>
      </c>
      <c r="TQ30" s="8">
        <v>3645698</v>
      </c>
      <c r="TR30" s="8">
        <v>33593037</v>
      </c>
      <c r="TS30" s="8">
        <v>7063453</v>
      </c>
      <c r="TT30" s="8">
        <v>40656490</v>
      </c>
      <c r="TU30" s="8">
        <v>7318168</v>
      </c>
      <c r="TV30" s="8">
        <v>7318168</v>
      </c>
      <c r="TW30" s="6">
        <v>7318168</v>
      </c>
      <c r="TX30" s="8">
        <v>7318168</v>
      </c>
      <c r="TY30" s="8">
        <v>7318168</v>
      </c>
      <c r="TZ30" s="6">
        <v>7318168</v>
      </c>
      <c r="UA30" s="8">
        <v>2250099</v>
      </c>
      <c r="UB30" s="8">
        <v>2250099</v>
      </c>
      <c r="UC30" s="8">
        <v>40911205</v>
      </c>
      <c r="UD30" s="8">
        <v>9313552</v>
      </c>
      <c r="UE30" s="8">
        <v>50224757</v>
      </c>
      <c r="UF30" s="8">
        <v>24000000</v>
      </c>
      <c r="UG30" s="2" t="s">
        <v>4220</v>
      </c>
      <c r="UH30" s="8" t="s">
        <v>5377</v>
      </c>
      <c r="UI30" s="2" t="s">
        <v>413</v>
      </c>
      <c r="UJ30" s="8">
        <v>9846500</v>
      </c>
      <c r="UK30" s="2"/>
      <c r="UL30" s="2" t="s">
        <v>96</v>
      </c>
      <c r="UM30" s="8">
        <v>3192547</v>
      </c>
      <c r="UN30" s="8">
        <v>7318168</v>
      </c>
      <c r="UO30" s="8">
        <v>58722490</v>
      </c>
      <c r="UP30" s="8">
        <v>8497733</v>
      </c>
      <c r="UQ30" s="8">
        <v>2564000</v>
      </c>
      <c r="UR30" s="2" t="s">
        <v>4220</v>
      </c>
      <c r="US30" s="8" t="s">
        <v>5374</v>
      </c>
      <c r="UT30" s="2" t="s">
        <v>413</v>
      </c>
      <c r="UU30" s="8">
        <v>9365275</v>
      </c>
      <c r="UV30" s="2" t="s">
        <v>413</v>
      </c>
      <c r="UW30" s="8">
        <v>9846500</v>
      </c>
      <c r="UX30" s="2"/>
      <c r="UY30" s="2" t="s">
        <v>96</v>
      </c>
      <c r="UZ30" s="8">
        <v>18054160</v>
      </c>
      <c r="VA30" s="8">
        <v>7318168</v>
      </c>
      <c r="VB30" s="8">
        <v>52148103</v>
      </c>
      <c r="VC30" s="6">
        <v>26775775</v>
      </c>
      <c r="VD30" s="8">
        <v>1923346</v>
      </c>
      <c r="VE30" s="5">
        <v>370000</v>
      </c>
      <c r="VF30" s="5">
        <v>385000</v>
      </c>
      <c r="VG30" s="6">
        <v>509265.07</v>
      </c>
      <c r="VH30" s="2" t="s">
        <v>17</v>
      </c>
      <c r="VI30" s="2" t="s">
        <v>1922</v>
      </c>
      <c r="VJ30" s="2" t="s">
        <v>98</v>
      </c>
      <c r="VK30" s="2" t="s">
        <v>4819</v>
      </c>
      <c r="VL30" s="23">
        <f t="shared" si="0"/>
        <v>134</v>
      </c>
      <c r="VM30" s="17">
        <f t="shared" si="1"/>
        <v>1.4565217391304348</v>
      </c>
      <c r="VN30" s="17" t="str">
        <f t="shared" si="2"/>
        <v>NC-GA-F</v>
      </c>
      <c r="VO30" s="17" t="str">
        <f t="shared" si="15"/>
        <v>NC-GA-F-ESS</v>
      </c>
      <c r="VP30" s="57">
        <v>1</v>
      </c>
      <c r="VQ30" s="17">
        <f t="shared" si="3"/>
        <v>1.1100000000000001</v>
      </c>
      <c r="VR30" s="57">
        <f t="shared" si="4"/>
        <v>1</v>
      </c>
      <c r="VS30" s="14">
        <f t="shared" si="5"/>
        <v>0.87</v>
      </c>
      <c r="VT30" s="12">
        <f t="shared" si="6"/>
        <v>0.85439999999999994</v>
      </c>
      <c r="VU30" s="29">
        <f t="shared" si="7"/>
        <v>7425846.7199999997</v>
      </c>
      <c r="VV30" s="29">
        <f t="shared" si="8"/>
        <v>89468.03</v>
      </c>
      <c r="VW30" s="351" t="str">
        <f t="shared" si="21"/>
        <v>A</v>
      </c>
      <c r="VX30" s="12" t="str">
        <f t="shared" si="9"/>
        <v>NC-GA-ESS</v>
      </c>
      <c r="VY30" s="23">
        <f t="shared" si="22"/>
        <v>5</v>
      </c>
      <c r="WA30" s="12">
        <f t="shared" si="16"/>
        <v>0</v>
      </c>
      <c r="WB30" s="12">
        <f t="shared" si="17"/>
        <v>1</v>
      </c>
      <c r="WC30" s="12">
        <f t="shared" si="17"/>
        <v>0</v>
      </c>
      <c r="WD30" s="12">
        <f t="shared" si="17"/>
        <v>1</v>
      </c>
      <c r="WE30" s="12">
        <f t="shared" si="18"/>
        <v>1</v>
      </c>
      <c r="WF30" s="12">
        <f t="shared" si="10"/>
        <v>1</v>
      </c>
      <c r="WG30" s="12">
        <f t="shared" si="11"/>
        <v>0</v>
      </c>
      <c r="WH30" s="12">
        <f t="shared" si="12"/>
        <v>0</v>
      </c>
      <c r="WI30" s="31">
        <f t="shared" si="13"/>
        <v>4</v>
      </c>
      <c r="WJ30" s="2"/>
      <c r="WK30" s="444" t="str">
        <f t="shared" si="23"/>
        <v>NC-GA-ESS-BBY-BRN-PHA-F</v>
      </c>
      <c r="WL30" s="444"/>
      <c r="WM30" s="444"/>
    </row>
    <row r="31" spans="1:611" x14ac:dyDescent="0.25">
      <c r="A31" s="2">
        <v>9013</v>
      </c>
      <c r="B31" s="2" t="s">
        <v>5287</v>
      </c>
      <c r="C31" s="2" t="s">
        <v>5063</v>
      </c>
      <c r="D31" s="2">
        <v>10</v>
      </c>
      <c r="E31" s="2">
        <v>35.700000000000003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 t="s">
        <v>9</v>
      </c>
      <c r="BV31" s="6">
        <v>93982.52</v>
      </c>
      <c r="BW31" s="2" t="s">
        <v>18</v>
      </c>
      <c r="BX31" s="3">
        <v>45036</v>
      </c>
      <c r="BY31" s="2" t="s">
        <v>9</v>
      </c>
      <c r="BZ31" s="2">
        <v>1</v>
      </c>
      <c r="CA31" s="2" t="s">
        <v>9</v>
      </c>
      <c r="CB31" s="2">
        <v>1</v>
      </c>
      <c r="CC31" s="2" t="s">
        <v>9</v>
      </c>
      <c r="CD31" s="2">
        <v>0</v>
      </c>
      <c r="CE31" s="2" t="s">
        <v>1958</v>
      </c>
      <c r="CF31" s="2">
        <v>1</v>
      </c>
      <c r="CG31" s="2" t="s">
        <v>10</v>
      </c>
      <c r="CH31" s="2">
        <v>0</v>
      </c>
      <c r="CI31" s="2" t="s">
        <v>10</v>
      </c>
      <c r="CJ31" s="2">
        <v>0</v>
      </c>
      <c r="CK31" s="2" t="s">
        <v>11</v>
      </c>
      <c r="CL31" s="2">
        <v>0</v>
      </c>
      <c r="CM31" s="2" t="s">
        <v>9</v>
      </c>
      <c r="CN31" s="2">
        <v>2</v>
      </c>
      <c r="CO31" s="2" t="s">
        <v>9</v>
      </c>
      <c r="CP31" s="2">
        <v>2</v>
      </c>
      <c r="CQ31" s="2" t="s">
        <v>9</v>
      </c>
      <c r="CR31" s="2">
        <v>2</v>
      </c>
      <c r="CS31" s="2" t="s">
        <v>12</v>
      </c>
      <c r="CT31" s="2" t="s">
        <v>2914</v>
      </c>
      <c r="CU31" s="2" t="s">
        <v>15</v>
      </c>
      <c r="CV31" s="2" t="s">
        <v>15</v>
      </c>
      <c r="CW31" s="2" t="s">
        <v>15</v>
      </c>
      <c r="CX31" s="2" t="s">
        <v>15</v>
      </c>
      <c r="CY31" s="2" t="s">
        <v>15</v>
      </c>
      <c r="CZ31" s="2">
        <v>1</v>
      </c>
      <c r="DA31" s="2" t="s">
        <v>2915</v>
      </c>
      <c r="DB31" s="2" t="s">
        <v>17</v>
      </c>
      <c r="DC31" s="4">
        <v>0.1</v>
      </c>
      <c r="DD31" s="2" t="s">
        <v>17</v>
      </c>
      <c r="DE31" s="2" t="s">
        <v>9</v>
      </c>
      <c r="DF31" s="2" t="s">
        <v>17</v>
      </c>
      <c r="DG31" s="2" t="s">
        <v>17</v>
      </c>
      <c r="DH31" s="2" t="s">
        <v>17</v>
      </c>
      <c r="DI31" s="2" t="s">
        <v>9</v>
      </c>
      <c r="DJ31" s="2" t="s">
        <v>17</v>
      </c>
      <c r="DK31" s="2" t="s">
        <v>17</v>
      </c>
      <c r="DL31" s="2" t="s">
        <v>17</v>
      </c>
      <c r="DM31" s="2" t="s">
        <v>17</v>
      </c>
      <c r="DN31" s="2" t="s">
        <v>2663</v>
      </c>
      <c r="DO31" s="2">
        <v>5</v>
      </c>
      <c r="DP31" s="5">
        <v>50000</v>
      </c>
      <c r="DQ31" s="5">
        <v>460000</v>
      </c>
      <c r="DR31" s="2">
        <v>0</v>
      </c>
      <c r="DS31" s="2">
        <v>6</v>
      </c>
      <c r="DT31" s="2">
        <v>0</v>
      </c>
      <c r="DU31" s="2">
        <v>6</v>
      </c>
      <c r="DV31" s="2">
        <v>0</v>
      </c>
      <c r="DW31" s="2">
        <v>0</v>
      </c>
      <c r="DX31" s="2">
        <v>1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13</v>
      </c>
      <c r="EE31" s="2">
        <v>1</v>
      </c>
      <c r="EF31" s="2">
        <v>0</v>
      </c>
      <c r="EG31" s="2">
        <v>3</v>
      </c>
      <c r="EH31" s="2">
        <v>0</v>
      </c>
      <c r="EI31" s="2">
        <v>14</v>
      </c>
      <c r="EJ31" s="2">
        <v>11</v>
      </c>
      <c r="EK31" s="2">
        <v>0</v>
      </c>
      <c r="EL31" s="2" t="s">
        <v>17</v>
      </c>
      <c r="EM31" s="2" t="s">
        <v>17</v>
      </c>
      <c r="EN31" s="2" t="s">
        <v>17</v>
      </c>
      <c r="EO31" s="2" t="s">
        <v>17</v>
      </c>
      <c r="EP31" s="2" t="s">
        <v>17</v>
      </c>
      <c r="EQ31" s="2" t="s">
        <v>17</v>
      </c>
      <c r="ER31" s="2" t="s">
        <v>17</v>
      </c>
      <c r="ES31" s="2" t="s">
        <v>17</v>
      </c>
      <c r="ET31" s="2" t="s">
        <v>1959</v>
      </c>
      <c r="EU31" s="2"/>
      <c r="EV31" s="2"/>
      <c r="EW31" s="2" t="s">
        <v>9</v>
      </c>
      <c r="EX31" s="2" t="s">
        <v>1960</v>
      </c>
      <c r="EY31" s="2" t="s">
        <v>1959</v>
      </c>
      <c r="EZ31" s="2" t="s">
        <v>5288</v>
      </c>
      <c r="FA31" s="2" t="s">
        <v>620</v>
      </c>
      <c r="FB31" s="2">
        <v>126</v>
      </c>
      <c r="FC31" s="2" t="s">
        <v>3836</v>
      </c>
      <c r="FD31" s="2">
        <v>2013</v>
      </c>
      <c r="FE31" s="2" t="s">
        <v>26</v>
      </c>
      <c r="FF31" s="2" t="s">
        <v>4210</v>
      </c>
      <c r="FG31" s="2" t="s">
        <v>34</v>
      </c>
      <c r="FH31" s="2" t="s">
        <v>337</v>
      </c>
      <c r="FI31" s="2" t="s">
        <v>35</v>
      </c>
      <c r="FJ31" s="2" t="s">
        <v>36</v>
      </c>
      <c r="FK31" s="2">
        <v>1</v>
      </c>
      <c r="FL31" s="2" t="s">
        <v>4101</v>
      </c>
      <c r="FM31" s="2" t="s">
        <v>1974</v>
      </c>
      <c r="FN31" s="2" t="s">
        <v>5289</v>
      </c>
      <c r="FO31" s="2" t="s">
        <v>63</v>
      </c>
      <c r="FP31" s="2" t="s">
        <v>9</v>
      </c>
      <c r="FQ31" s="2" t="s">
        <v>17</v>
      </c>
      <c r="FR31" s="2" t="s">
        <v>17</v>
      </c>
      <c r="FS31" s="2" t="s">
        <v>9</v>
      </c>
      <c r="FT31" s="2">
        <v>0</v>
      </c>
      <c r="FU31" s="2">
        <v>0</v>
      </c>
      <c r="FV31" s="4">
        <v>0</v>
      </c>
      <c r="FW31" s="4">
        <v>0</v>
      </c>
      <c r="FX31" s="2" t="s">
        <v>65</v>
      </c>
      <c r="FY31" s="2" t="s">
        <v>66</v>
      </c>
      <c r="FZ31" s="2" t="s">
        <v>17</v>
      </c>
      <c r="GA31" s="2"/>
      <c r="GB31" s="2"/>
      <c r="GC31" s="2"/>
      <c r="GD31" s="2" t="s">
        <v>67</v>
      </c>
      <c r="GE31" s="2" t="s">
        <v>68</v>
      </c>
      <c r="GF31" s="2"/>
      <c r="GG31" s="2"/>
      <c r="GH31" s="2">
        <v>112</v>
      </c>
      <c r="GI31" s="2"/>
      <c r="GJ31" s="2"/>
      <c r="GK31" s="2"/>
      <c r="GL31" s="2"/>
      <c r="GM31" s="2"/>
      <c r="GN31" s="2"/>
      <c r="GO31" s="2"/>
      <c r="GP31" s="2"/>
      <c r="GQ31" s="2">
        <v>112</v>
      </c>
      <c r="GR31" s="2" t="s">
        <v>1197</v>
      </c>
      <c r="GS31" s="2" t="s">
        <v>70</v>
      </c>
      <c r="GT31" s="2">
        <v>1</v>
      </c>
      <c r="GU31" s="2" t="s">
        <v>5290</v>
      </c>
      <c r="GV31" s="2" t="s">
        <v>5291</v>
      </c>
      <c r="GW31" s="2" t="s">
        <v>17</v>
      </c>
      <c r="GX31" s="2">
        <v>26.701491000000001</v>
      </c>
      <c r="GY31" s="2">
        <v>-81.899581999999995</v>
      </c>
      <c r="GZ31" s="2"/>
      <c r="HA31" s="2" t="s">
        <v>17</v>
      </c>
      <c r="HB31" s="2">
        <v>0</v>
      </c>
      <c r="HC31" s="2" t="s">
        <v>17</v>
      </c>
      <c r="HD31" s="2"/>
      <c r="HE31" s="2">
        <v>0</v>
      </c>
      <c r="HF31" s="2">
        <v>26.702272000000001</v>
      </c>
      <c r="HG31" s="2">
        <v>-81.899942999999993</v>
      </c>
      <c r="HH31" s="2">
        <v>0.06</v>
      </c>
      <c r="HI31" s="2">
        <v>2</v>
      </c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 t="s">
        <v>73</v>
      </c>
      <c r="HY31" s="2" t="s">
        <v>74</v>
      </c>
      <c r="HZ31" s="2" t="s">
        <v>5292</v>
      </c>
      <c r="IA31" s="2">
        <v>1.48</v>
      </c>
      <c r="IB31" s="2">
        <v>1.5</v>
      </c>
      <c r="IC31" s="2"/>
      <c r="ID31" s="2"/>
      <c r="IE31" s="2"/>
      <c r="IF31" s="2"/>
      <c r="IG31" s="2" t="s">
        <v>1118</v>
      </c>
      <c r="IH31" s="2" t="s">
        <v>5293</v>
      </c>
      <c r="II31" s="2">
        <v>0.3</v>
      </c>
      <c r="IJ31" s="2">
        <v>4</v>
      </c>
      <c r="IK31" s="2" t="s">
        <v>5236</v>
      </c>
      <c r="IL31" s="2" t="s">
        <v>5294</v>
      </c>
      <c r="IM31" s="2">
        <v>1.02</v>
      </c>
      <c r="IN31" s="2">
        <v>2.5</v>
      </c>
      <c r="IO31" s="2">
        <v>2</v>
      </c>
      <c r="IP31" s="2">
        <v>8</v>
      </c>
      <c r="IQ31" s="2">
        <v>0</v>
      </c>
      <c r="IR31" s="2">
        <v>10</v>
      </c>
      <c r="IS31" s="2" t="s">
        <v>17</v>
      </c>
      <c r="IT31" s="2" t="s">
        <v>17</v>
      </c>
      <c r="IU31" s="2" t="s">
        <v>17</v>
      </c>
      <c r="IV31" s="2" t="s">
        <v>80</v>
      </c>
      <c r="IW31" s="2" t="s">
        <v>9</v>
      </c>
      <c r="IX31" s="2" t="s">
        <v>9</v>
      </c>
      <c r="IY31" s="2">
        <v>10</v>
      </c>
      <c r="IZ31" s="2">
        <v>112</v>
      </c>
      <c r="JA31" s="2"/>
      <c r="JB31" s="2"/>
      <c r="JC31" s="2"/>
      <c r="JD31" s="7">
        <v>0.1</v>
      </c>
      <c r="JE31" s="2"/>
      <c r="JF31" s="2"/>
      <c r="JG31" s="7">
        <v>0.9</v>
      </c>
      <c r="JH31" s="7">
        <v>0</v>
      </c>
      <c r="JI31" s="2">
        <v>112</v>
      </c>
      <c r="JJ31" s="7">
        <v>1</v>
      </c>
      <c r="JK31" s="2">
        <v>112</v>
      </c>
      <c r="JL31" s="7">
        <v>1</v>
      </c>
      <c r="JM31" s="2"/>
      <c r="JN31" s="2"/>
      <c r="JO31" s="2"/>
      <c r="JP31" s="2"/>
      <c r="JQ31" s="2"/>
      <c r="JR31" s="2">
        <v>0</v>
      </c>
      <c r="JS31" s="2">
        <v>0</v>
      </c>
      <c r="JT31" s="2"/>
      <c r="JU31" s="2"/>
      <c r="JV31" s="2">
        <v>0</v>
      </c>
      <c r="JW31" s="4">
        <v>0</v>
      </c>
      <c r="JX31" s="2">
        <v>0</v>
      </c>
      <c r="JY31" s="4">
        <v>0</v>
      </c>
      <c r="JZ31" s="2">
        <v>112</v>
      </c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>
        <v>56</v>
      </c>
      <c r="KL31" s="2">
        <v>56</v>
      </c>
      <c r="KM31" s="2"/>
      <c r="KN31" s="2"/>
      <c r="KO31" s="2"/>
      <c r="KP31" s="2"/>
      <c r="KQ31" s="2" t="s">
        <v>83</v>
      </c>
      <c r="KR31" s="2" t="s">
        <v>73</v>
      </c>
      <c r="KS31" s="2"/>
      <c r="KT31" s="2">
        <v>5</v>
      </c>
      <c r="KU31" s="2" t="s">
        <v>84</v>
      </c>
      <c r="KV31" s="2" t="s">
        <v>85</v>
      </c>
      <c r="KW31" s="2" t="s">
        <v>86</v>
      </c>
      <c r="KX31" s="2" t="s">
        <v>17</v>
      </c>
      <c r="KY31" s="2" t="s">
        <v>17</v>
      </c>
      <c r="KZ31" s="2" t="s">
        <v>17</v>
      </c>
      <c r="LA31" s="2" t="s">
        <v>17</v>
      </c>
      <c r="LB31" s="2" t="s">
        <v>17</v>
      </c>
      <c r="LC31" s="2" t="s">
        <v>17</v>
      </c>
      <c r="LD31" s="2" t="s">
        <v>17</v>
      </c>
      <c r="LE31" s="2" t="s">
        <v>17</v>
      </c>
      <c r="LF31" s="2" t="s">
        <v>17</v>
      </c>
      <c r="LG31" s="2" t="s">
        <v>17</v>
      </c>
      <c r="LH31" s="2" t="s">
        <v>17</v>
      </c>
      <c r="LI31" s="2" t="s">
        <v>17</v>
      </c>
      <c r="LJ31" s="2" t="s">
        <v>87</v>
      </c>
      <c r="LK31" s="2" t="s">
        <v>17</v>
      </c>
      <c r="LL31" s="2" t="s">
        <v>17</v>
      </c>
      <c r="LM31" s="2">
        <v>0</v>
      </c>
      <c r="LN31" s="2" t="s">
        <v>17</v>
      </c>
      <c r="LO31" s="2" t="s">
        <v>9</v>
      </c>
      <c r="LP31" s="2" t="s">
        <v>9</v>
      </c>
      <c r="LQ31" s="2" t="s">
        <v>17</v>
      </c>
      <c r="LR31" s="2" t="s">
        <v>9</v>
      </c>
      <c r="LS31" s="2" t="s">
        <v>17</v>
      </c>
      <c r="LT31" s="2" t="s">
        <v>17</v>
      </c>
      <c r="LU31" s="2" t="s">
        <v>17</v>
      </c>
      <c r="LV31" s="2" t="s">
        <v>17</v>
      </c>
      <c r="LW31" s="2" t="s">
        <v>17</v>
      </c>
      <c r="LX31" s="2" t="s">
        <v>17</v>
      </c>
      <c r="LY31" s="5">
        <v>10000000</v>
      </c>
      <c r="LZ31" s="5">
        <v>0</v>
      </c>
      <c r="MA31" s="5">
        <v>10000000</v>
      </c>
      <c r="MB31" s="5">
        <v>9949000</v>
      </c>
      <c r="MC31" s="5">
        <v>9949000</v>
      </c>
      <c r="MD31" s="5">
        <v>1164600</v>
      </c>
      <c r="ME31" s="5">
        <v>1164600</v>
      </c>
      <c r="MF31" s="5">
        <v>1164600</v>
      </c>
      <c r="MG31" s="5">
        <v>11113600</v>
      </c>
      <c r="MH31" s="2">
        <v>0</v>
      </c>
      <c r="MI31" s="5">
        <v>0</v>
      </c>
      <c r="MJ31" s="5">
        <v>0</v>
      </c>
      <c r="MK31" s="2">
        <v>0</v>
      </c>
      <c r="ML31" s="2">
        <v>0</v>
      </c>
      <c r="MM31" s="2">
        <v>0</v>
      </c>
      <c r="MN31" s="5">
        <v>2950000</v>
      </c>
      <c r="MO31" s="5">
        <v>0</v>
      </c>
      <c r="MP31" s="5">
        <v>4600000</v>
      </c>
      <c r="MQ31" s="5">
        <v>0</v>
      </c>
      <c r="MR31" s="5">
        <v>0</v>
      </c>
      <c r="MS31" s="5">
        <v>0</v>
      </c>
      <c r="MT31" s="5">
        <v>0</v>
      </c>
      <c r="MU31" s="5">
        <v>2500000</v>
      </c>
      <c r="MV31" s="5">
        <v>0</v>
      </c>
      <c r="MW31" s="5">
        <v>0</v>
      </c>
      <c r="MX31" s="5">
        <v>0</v>
      </c>
      <c r="MY31" s="5">
        <v>2040000</v>
      </c>
      <c r="MZ31" s="5">
        <v>0</v>
      </c>
      <c r="NA31" s="5">
        <v>1434330</v>
      </c>
      <c r="NB31" s="2" t="s">
        <v>9</v>
      </c>
      <c r="NC31" s="2"/>
      <c r="ND31" s="2"/>
      <c r="NE31" s="2"/>
      <c r="NF31" s="2"/>
      <c r="NG31" s="2"/>
      <c r="NH31" s="2"/>
      <c r="NI31" s="61">
        <v>0</v>
      </c>
      <c r="NJ31" s="61"/>
      <c r="NK31" s="61"/>
      <c r="NL31" s="61"/>
      <c r="NM31" s="2" t="s">
        <v>17</v>
      </c>
      <c r="NN31" s="2"/>
      <c r="NO31" s="2" t="s">
        <v>17</v>
      </c>
      <c r="NP31" s="2"/>
      <c r="NQ31" s="2"/>
      <c r="NR31" s="2" t="s">
        <v>17</v>
      </c>
      <c r="NS31" s="2"/>
      <c r="NT31" s="2" t="s">
        <v>9</v>
      </c>
      <c r="NU31" s="2" t="s">
        <v>450</v>
      </c>
      <c r="NV31" s="2">
        <v>208.02</v>
      </c>
      <c r="NW31" s="2" t="s">
        <v>1221</v>
      </c>
      <c r="NX31" s="2" t="s">
        <v>118</v>
      </c>
      <c r="NY31" s="2" t="s">
        <v>118</v>
      </c>
      <c r="NZ31" s="2" t="s">
        <v>118</v>
      </c>
      <c r="OA31" s="2" t="s">
        <v>17</v>
      </c>
      <c r="OB31" s="2" t="s">
        <v>119</v>
      </c>
      <c r="OC31" s="5">
        <v>16000000</v>
      </c>
      <c r="OD31" s="2" t="s">
        <v>17</v>
      </c>
      <c r="OE31" s="2" t="s">
        <v>17</v>
      </c>
      <c r="OF31" s="2" t="s">
        <v>85</v>
      </c>
      <c r="OG31" s="6">
        <v>4650000</v>
      </c>
      <c r="OH31" s="6">
        <v>0</v>
      </c>
      <c r="OI31" s="2" t="s">
        <v>93</v>
      </c>
      <c r="OJ31" s="2" t="s">
        <v>93</v>
      </c>
      <c r="OK31" s="6">
        <v>0</v>
      </c>
      <c r="OL31" s="6">
        <v>0</v>
      </c>
      <c r="OM31" s="6">
        <v>0</v>
      </c>
      <c r="ON31" s="6">
        <v>0</v>
      </c>
      <c r="OO31" s="6">
        <v>0</v>
      </c>
      <c r="OP31" s="6">
        <v>0</v>
      </c>
      <c r="OQ31" s="4">
        <v>0</v>
      </c>
      <c r="OR31" s="6">
        <v>0</v>
      </c>
      <c r="OS31" s="4">
        <v>0</v>
      </c>
      <c r="OT31" s="2" t="s">
        <v>17</v>
      </c>
      <c r="OU31" s="2" t="s">
        <v>17</v>
      </c>
      <c r="OV31" s="2"/>
      <c r="OW31" s="2" t="s">
        <v>17</v>
      </c>
      <c r="OX31" s="5">
        <v>10526042</v>
      </c>
      <c r="OY31" s="6">
        <v>93982.52</v>
      </c>
      <c r="OZ31" s="2"/>
      <c r="PA31" s="2"/>
      <c r="PB31" s="2"/>
      <c r="PC31" s="2"/>
      <c r="PD31" s="2"/>
      <c r="PE31" s="2"/>
      <c r="PF31" s="8">
        <v>17204849</v>
      </c>
      <c r="PG31" s="2">
        <v>0</v>
      </c>
      <c r="PH31" s="8">
        <v>17204849</v>
      </c>
      <c r="PI31" s="2"/>
      <c r="PJ31" s="2"/>
      <c r="PK31" s="2">
        <v>0</v>
      </c>
      <c r="PL31" s="2"/>
      <c r="PM31" s="2"/>
      <c r="PN31" s="2"/>
      <c r="PO31" s="2"/>
      <c r="PP31" s="2"/>
      <c r="PQ31" s="2"/>
      <c r="PR31" s="8">
        <v>17204849</v>
      </c>
      <c r="PS31" s="2"/>
      <c r="PT31" s="8">
        <v>17204849</v>
      </c>
      <c r="PU31" s="8">
        <v>2408678</v>
      </c>
      <c r="PV31" s="8">
        <v>2408678</v>
      </c>
      <c r="PW31" s="6">
        <v>2408678</v>
      </c>
      <c r="PX31" s="8">
        <v>19613527</v>
      </c>
      <c r="PY31" s="2"/>
      <c r="PZ31" s="8">
        <v>19613527</v>
      </c>
      <c r="QA31" s="8">
        <v>980676</v>
      </c>
      <c r="QB31" s="8">
        <v>980676</v>
      </c>
      <c r="QC31" s="6">
        <v>980676.35</v>
      </c>
      <c r="QD31" s="8">
        <v>25000</v>
      </c>
      <c r="QE31" s="2"/>
      <c r="QF31" s="8">
        <v>25000</v>
      </c>
      <c r="QG31" s="8">
        <v>6250</v>
      </c>
      <c r="QH31" s="8">
        <v>6250</v>
      </c>
      <c r="QI31" s="8">
        <v>252000</v>
      </c>
      <c r="QJ31" s="8">
        <v>252000</v>
      </c>
      <c r="QK31" s="8">
        <v>48000</v>
      </c>
      <c r="QL31" s="8">
        <v>48000</v>
      </c>
      <c r="QM31" s="8">
        <v>94627</v>
      </c>
      <c r="QN31" s="2"/>
      <c r="QO31" s="8">
        <v>94627</v>
      </c>
      <c r="QP31" s="8">
        <v>14458</v>
      </c>
      <c r="QQ31" s="8">
        <v>14458</v>
      </c>
      <c r="QR31" s="2"/>
      <c r="QS31" s="2"/>
      <c r="QT31" s="8">
        <v>75000</v>
      </c>
      <c r="QU31" s="2"/>
      <c r="QV31" s="8">
        <v>75000</v>
      </c>
      <c r="QW31" s="8">
        <v>15000</v>
      </c>
      <c r="QX31" s="8">
        <v>15000</v>
      </c>
      <c r="QY31" s="8">
        <v>128070</v>
      </c>
      <c r="QZ31" s="8">
        <v>128070</v>
      </c>
      <c r="RA31" s="8">
        <v>3000</v>
      </c>
      <c r="RB31" s="8">
        <v>3000</v>
      </c>
      <c r="RC31" s="2">
        <v>0</v>
      </c>
      <c r="RD31" s="2"/>
      <c r="RE31" s="8">
        <v>24943</v>
      </c>
      <c r="RF31" s="8">
        <v>24943</v>
      </c>
      <c r="RG31" s="8">
        <v>40000</v>
      </c>
      <c r="RH31" s="8">
        <v>40000</v>
      </c>
      <c r="RI31" s="8">
        <v>560112</v>
      </c>
      <c r="RJ31" s="8">
        <v>560112</v>
      </c>
      <c r="RK31" s="8">
        <v>40000</v>
      </c>
      <c r="RL31" s="2"/>
      <c r="RM31" s="8">
        <v>40000</v>
      </c>
      <c r="RN31" s="8">
        <v>35000</v>
      </c>
      <c r="RO31" s="2"/>
      <c r="RP31" s="8">
        <v>35000</v>
      </c>
      <c r="RQ31" s="8">
        <v>297250</v>
      </c>
      <c r="RR31" s="2"/>
      <c r="RS31" s="8">
        <v>297250</v>
      </c>
      <c r="RT31" s="8">
        <v>4500</v>
      </c>
      <c r="RU31" s="2"/>
      <c r="RV31" s="8">
        <v>4500</v>
      </c>
      <c r="RW31" s="8">
        <v>25000</v>
      </c>
      <c r="RX31" s="8">
        <v>25000</v>
      </c>
      <c r="RY31" s="8">
        <v>35000</v>
      </c>
      <c r="RZ31" s="2"/>
      <c r="SA31" s="8">
        <v>35000</v>
      </c>
      <c r="SB31" s="8">
        <v>7750</v>
      </c>
      <c r="SC31" s="8">
        <v>7750</v>
      </c>
      <c r="SD31" s="8">
        <v>25000</v>
      </c>
      <c r="SE31" s="2"/>
      <c r="SF31" s="8">
        <v>25000</v>
      </c>
      <c r="SG31" s="2"/>
      <c r="SH31" s="8">
        <v>75319</v>
      </c>
      <c r="SI31" s="2"/>
      <c r="SJ31" s="8">
        <v>75319</v>
      </c>
      <c r="SK31" s="8">
        <v>456960</v>
      </c>
      <c r="SL31" s="8">
        <v>456960</v>
      </c>
      <c r="SM31" s="2"/>
      <c r="SN31" s="2"/>
      <c r="SO31" s="2"/>
      <c r="SP31" s="8">
        <v>2107226</v>
      </c>
      <c r="SQ31" s="8">
        <v>181013</v>
      </c>
      <c r="SR31" s="8">
        <v>2288239</v>
      </c>
      <c r="SS31" s="8">
        <v>67366</v>
      </c>
      <c r="ST31" s="2"/>
      <c r="SU31" s="8">
        <v>67366</v>
      </c>
      <c r="SV31" s="6">
        <v>114411.95</v>
      </c>
      <c r="SW31" s="8">
        <v>160000</v>
      </c>
      <c r="SX31" s="8">
        <v>160000</v>
      </c>
      <c r="SY31" s="2"/>
      <c r="SZ31" s="8">
        <v>376654</v>
      </c>
      <c r="TA31" s="8">
        <v>148346</v>
      </c>
      <c r="TB31" s="8">
        <v>525000</v>
      </c>
      <c r="TC31" s="8">
        <v>71000</v>
      </c>
      <c r="TD31" s="2"/>
      <c r="TE31" s="8">
        <v>71000</v>
      </c>
      <c r="TF31" s="8">
        <v>157636</v>
      </c>
      <c r="TG31" s="8">
        <v>157636</v>
      </c>
      <c r="TH31" s="2"/>
      <c r="TI31" s="8">
        <v>423530</v>
      </c>
      <c r="TJ31" s="8">
        <v>423530</v>
      </c>
      <c r="TK31" s="2"/>
      <c r="TL31" s="2"/>
      <c r="TM31" s="2"/>
      <c r="TN31" s="2"/>
      <c r="TO31" s="8">
        <v>607654</v>
      </c>
      <c r="TP31" s="8">
        <v>729512</v>
      </c>
      <c r="TQ31" s="8">
        <v>1337166</v>
      </c>
      <c r="TR31" s="8">
        <v>23376449</v>
      </c>
      <c r="TS31" s="8">
        <v>910525</v>
      </c>
      <c r="TT31" s="8">
        <v>24286974</v>
      </c>
      <c r="TU31" s="8">
        <v>4371655</v>
      </c>
      <c r="TV31" s="8">
        <v>4371655</v>
      </c>
      <c r="TW31" s="6">
        <v>4371655</v>
      </c>
      <c r="TX31" s="8">
        <v>4371655</v>
      </c>
      <c r="TY31" s="8">
        <v>4371655</v>
      </c>
      <c r="TZ31" s="6">
        <v>4371655</v>
      </c>
      <c r="UA31" s="8">
        <v>1975000</v>
      </c>
      <c r="UB31" s="8">
        <v>1975000</v>
      </c>
      <c r="UC31" s="8">
        <v>27748104</v>
      </c>
      <c r="UD31" s="8">
        <v>2885525</v>
      </c>
      <c r="UE31" s="8">
        <v>30633629</v>
      </c>
      <c r="UF31" s="8">
        <v>16000000</v>
      </c>
      <c r="UG31" s="2" t="s">
        <v>4295</v>
      </c>
      <c r="UH31" s="2"/>
      <c r="UI31" s="2"/>
      <c r="UJ31" s="8">
        <v>11113600</v>
      </c>
      <c r="UK31" s="2"/>
      <c r="UL31" s="2" t="s">
        <v>96</v>
      </c>
      <c r="UM31" s="8">
        <v>1979178</v>
      </c>
      <c r="UN31" s="8">
        <v>2205451</v>
      </c>
      <c r="UO31" s="8">
        <v>31298229</v>
      </c>
      <c r="UP31" s="8">
        <v>664600</v>
      </c>
      <c r="UQ31" s="8">
        <v>4650000</v>
      </c>
      <c r="UR31" s="2" t="s">
        <v>95</v>
      </c>
      <c r="US31" s="2"/>
      <c r="UT31" s="2"/>
      <c r="UU31" s="2"/>
      <c r="UV31" s="2"/>
      <c r="UW31" s="8">
        <v>11113600</v>
      </c>
      <c r="UX31" s="2"/>
      <c r="UY31" s="2" t="s">
        <v>96</v>
      </c>
      <c r="UZ31" s="8">
        <v>13194520</v>
      </c>
      <c r="VA31" s="8">
        <v>2247155</v>
      </c>
      <c r="VB31" s="8">
        <v>31205275</v>
      </c>
      <c r="VC31" s="6">
        <v>15763600</v>
      </c>
      <c r="VD31" s="8">
        <v>571646</v>
      </c>
      <c r="VE31" s="5">
        <v>320000</v>
      </c>
      <c r="VF31" s="5">
        <v>327500</v>
      </c>
      <c r="VG31" s="6">
        <v>255880.62</v>
      </c>
      <c r="VH31" s="2" t="s">
        <v>9</v>
      </c>
      <c r="VI31" s="2" t="s">
        <v>1981</v>
      </c>
      <c r="VJ31" s="2" t="s">
        <v>98</v>
      </c>
      <c r="VK31" s="2" t="s">
        <v>5295</v>
      </c>
      <c r="VL31" s="23">
        <f t="shared" si="0"/>
        <v>280</v>
      </c>
      <c r="VM31" s="17">
        <f t="shared" si="1"/>
        <v>2.5</v>
      </c>
      <c r="VN31" s="17" t="str">
        <f t="shared" si="2"/>
        <v>NC-GA-F</v>
      </c>
      <c r="VO31" s="17" t="str">
        <f t="shared" si="15"/>
        <v>NC-GA-F-Non</v>
      </c>
      <c r="VP31" s="57">
        <v>1</v>
      </c>
      <c r="VQ31" s="17">
        <f t="shared" si="3"/>
        <v>1.1100000000000001</v>
      </c>
      <c r="VR31" s="57">
        <f t="shared" si="4"/>
        <v>1</v>
      </c>
      <c r="VS31" s="14">
        <f t="shared" si="5"/>
        <v>1</v>
      </c>
      <c r="VT31" s="12">
        <f t="shared" si="6"/>
        <v>0.89</v>
      </c>
      <c r="VU31" s="29">
        <f t="shared" si="7"/>
        <v>9828617.1000000015</v>
      </c>
      <c r="VV31" s="29">
        <f t="shared" si="8"/>
        <v>87755.51</v>
      </c>
      <c r="VW31" s="351" t="str">
        <f t="shared" si="21"/>
        <v>A</v>
      </c>
      <c r="VX31" s="12" t="str">
        <f t="shared" si="9"/>
        <v>NC-GA-Non</v>
      </c>
      <c r="VY31" s="23">
        <f t="shared" si="22"/>
        <v>4</v>
      </c>
      <c r="WA31" s="12">
        <f t="shared" si="16"/>
        <v>0</v>
      </c>
      <c r="WB31" s="12">
        <f t="shared" si="17"/>
        <v>1</v>
      </c>
      <c r="WC31" s="12">
        <f t="shared" si="17"/>
        <v>0</v>
      </c>
      <c r="WD31" s="12">
        <f t="shared" si="17"/>
        <v>0</v>
      </c>
      <c r="WE31" s="12">
        <f t="shared" si="18"/>
        <v>0</v>
      </c>
      <c r="WF31" s="12">
        <f t="shared" si="10"/>
        <v>1</v>
      </c>
      <c r="WG31" s="12">
        <f t="shared" si="11"/>
        <v>0</v>
      </c>
      <c r="WH31" s="12">
        <f t="shared" si="12"/>
        <v>0</v>
      </c>
      <c r="WI31" s="31">
        <f t="shared" si="13"/>
        <v>2</v>
      </c>
      <c r="WJ31" s="2"/>
      <c r="WK31" s="444" t="str">
        <f t="shared" si="23"/>
        <v>NC-GA-Non-BBY-BRN-NPH-F</v>
      </c>
      <c r="WL31" s="444"/>
      <c r="WM31" s="444"/>
    </row>
    <row r="32" spans="1:611" x14ac:dyDescent="0.25">
      <c r="A32" s="2">
        <v>8958</v>
      </c>
      <c r="B32" s="2" t="s">
        <v>5296</v>
      </c>
      <c r="C32" s="2" t="s">
        <v>5063</v>
      </c>
      <c r="D32" s="2">
        <v>10</v>
      </c>
      <c r="E32" s="2">
        <v>30.44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 t="s">
        <v>9</v>
      </c>
      <c r="BV32" s="6">
        <v>95833.33</v>
      </c>
      <c r="BW32" s="2" t="s">
        <v>18</v>
      </c>
      <c r="BX32" s="3">
        <v>45036</v>
      </c>
      <c r="BY32" s="2" t="s">
        <v>9</v>
      </c>
      <c r="BZ32" s="2">
        <v>1</v>
      </c>
      <c r="CA32" s="2" t="s">
        <v>9</v>
      </c>
      <c r="CB32" s="2">
        <v>1</v>
      </c>
      <c r="CC32" s="2" t="s">
        <v>9</v>
      </c>
      <c r="CD32" s="2">
        <v>0</v>
      </c>
      <c r="CE32" s="2" t="s">
        <v>5297</v>
      </c>
      <c r="CF32" s="2">
        <v>1</v>
      </c>
      <c r="CG32" s="2" t="s">
        <v>10</v>
      </c>
      <c r="CH32" s="2">
        <v>0</v>
      </c>
      <c r="CI32" s="2" t="s">
        <v>10</v>
      </c>
      <c r="CJ32" s="2">
        <v>0</v>
      </c>
      <c r="CK32" s="2" t="s">
        <v>11</v>
      </c>
      <c r="CL32" s="2">
        <v>0</v>
      </c>
      <c r="CM32" s="2" t="s">
        <v>9</v>
      </c>
      <c r="CN32" s="2">
        <v>2</v>
      </c>
      <c r="CO32" s="2" t="s">
        <v>9</v>
      </c>
      <c r="CP32" s="2">
        <v>2</v>
      </c>
      <c r="CQ32" s="2" t="s">
        <v>9</v>
      </c>
      <c r="CR32" s="2">
        <v>2</v>
      </c>
      <c r="CS32" s="2" t="s">
        <v>12</v>
      </c>
      <c r="CT32" s="2" t="s">
        <v>15</v>
      </c>
      <c r="CU32" s="2" t="s">
        <v>15</v>
      </c>
      <c r="CV32" s="2" t="s">
        <v>15</v>
      </c>
      <c r="CW32" s="2" t="s">
        <v>15</v>
      </c>
      <c r="CX32" s="2" t="s">
        <v>15</v>
      </c>
      <c r="CY32" s="2" t="s">
        <v>15</v>
      </c>
      <c r="CZ32" s="2">
        <v>0</v>
      </c>
      <c r="DA32" s="2" t="s">
        <v>234</v>
      </c>
      <c r="DB32" s="2" t="s">
        <v>17</v>
      </c>
      <c r="DC32" s="4">
        <v>0.15625</v>
      </c>
      <c r="DD32" s="2" t="s">
        <v>17</v>
      </c>
      <c r="DE32" s="2" t="s">
        <v>9</v>
      </c>
      <c r="DF32" s="2" t="s">
        <v>17</v>
      </c>
      <c r="DG32" s="2" t="s">
        <v>17</v>
      </c>
      <c r="DH32" s="2" t="s">
        <v>17</v>
      </c>
      <c r="DI32" s="2" t="s">
        <v>17</v>
      </c>
      <c r="DJ32" s="2" t="s">
        <v>17</v>
      </c>
      <c r="DK32" s="2" t="s">
        <v>17</v>
      </c>
      <c r="DL32" s="2" t="s">
        <v>17</v>
      </c>
      <c r="DM32" s="2" t="s">
        <v>17</v>
      </c>
      <c r="DN32" s="2" t="s">
        <v>2663</v>
      </c>
      <c r="DO32" s="2">
        <v>5</v>
      </c>
      <c r="DP32" s="5">
        <v>20000</v>
      </c>
      <c r="DQ32" s="5">
        <v>340000</v>
      </c>
      <c r="DR32" s="2">
        <v>0</v>
      </c>
      <c r="DS32" s="2">
        <v>5</v>
      </c>
      <c r="DT32" s="2">
        <v>0</v>
      </c>
      <c r="DU32" s="2">
        <v>6</v>
      </c>
      <c r="DV32" s="2">
        <v>0</v>
      </c>
      <c r="DW32" s="2">
        <v>0</v>
      </c>
      <c r="DX32" s="2">
        <v>1</v>
      </c>
      <c r="DY32" s="2">
        <v>0</v>
      </c>
      <c r="DZ32" s="2">
        <v>1</v>
      </c>
      <c r="EA32" s="2">
        <v>0</v>
      </c>
      <c r="EB32" s="2">
        <v>0</v>
      </c>
      <c r="EC32" s="2">
        <v>0</v>
      </c>
      <c r="ED32" s="2">
        <v>13</v>
      </c>
      <c r="EE32" s="2">
        <v>1</v>
      </c>
      <c r="EF32" s="2">
        <v>0</v>
      </c>
      <c r="EG32" s="2">
        <v>3</v>
      </c>
      <c r="EH32" s="2">
        <v>0</v>
      </c>
      <c r="EI32" s="2">
        <v>15</v>
      </c>
      <c r="EJ32" s="2">
        <v>11</v>
      </c>
      <c r="EK32" s="2">
        <v>0</v>
      </c>
      <c r="EL32" s="2" t="s">
        <v>17</v>
      </c>
      <c r="EM32" s="2" t="s">
        <v>17</v>
      </c>
      <c r="EN32" s="2" t="s">
        <v>17</v>
      </c>
      <c r="EO32" s="2" t="s">
        <v>17</v>
      </c>
      <c r="EP32" s="2" t="s">
        <v>17</v>
      </c>
      <c r="EQ32" s="2" t="s">
        <v>17</v>
      </c>
      <c r="ER32" s="2" t="s">
        <v>17</v>
      </c>
      <c r="ES32" s="2" t="s">
        <v>17</v>
      </c>
      <c r="ET32" s="2" t="s">
        <v>5298</v>
      </c>
      <c r="EU32" s="2" t="s">
        <v>789</v>
      </c>
      <c r="EV32" s="2"/>
      <c r="EW32" s="2" t="s">
        <v>9</v>
      </c>
      <c r="EX32" s="2" t="s">
        <v>791</v>
      </c>
      <c r="EY32" s="2" t="s">
        <v>789</v>
      </c>
      <c r="EZ32" s="2" t="s">
        <v>796</v>
      </c>
      <c r="FA32" s="2" t="s">
        <v>797</v>
      </c>
      <c r="FB32" s="2">
        <v>72</v>
      </c>
      <c r="FC32" s="2" t="s">
        <v>795</v>
      </c>
      <c r="FD32" s="2">
        <v>2012</v>
      </c>
      <c r="FE32" s="2" t="s">
        <v>26</v>
      </c>
      <c r="FF32" s="2" t="s">
        <v>4210</v>
      </c>
      <c r="FG32" s="2" t="s">
        <v>801</v>
      </c>
      <c r="FH32" s="2"/>
      <c r="FI32" s="2" t="s">
        <v>802</v>
      </c>
      <c r="FJ32" s="2" t="s">
        <v>803</v>
      </c>
      <c r="FK32" s="2">
        <v>1</v>
      </c>
      <c r="FL32" s="2" t="s">
        <v>2849</v>
      </c>
      <c r="FM32" s="2" t="s">
        <v>805</v>
      </c>
      <c r="FN32" s="2" t="s">
        <v>5299</v>
      </c>
      <c r="FO32" s="2" t="s">
        <v>63</v>
      </c>
      <c r="FP32" s="2" t="s">
        <v>9</v>
      </c>
      <c r="FQ32" s="2" t="s">
        <v>17</v>
      </c>
      <c r="FR32" s="2" t="s">
        <v>17</v>
      </c>
      <c r="FS32" s="2" t="s">
        <v>9</v>
      </c>
      <c r="FT32" s="2">
        <v>0</v>
      </c>
      <c r="FU32" s="2">
        <v>0</v>
      </c>
      <c r="FV32" s="4">
        <v>0</v>
      </c>
      <c r="FW32" s="4">
        <v>0</v>
      </c>
      <c r="FX32" s="2" t="s">
        <v>65</v>
      </c>
      <c r="FY32" s="2" t="s">
        <v>66</v>
      </c>
      <c r="FZ32" s="2" t="s">
        <v>17</v>
      </c>
      <c r="GA32" s="2"/>
      <c r="GB32" s="2"/>
      <c r="GC32" s="2"/>
      <c r="GD32" s="2" t="s">
        <v>67</v>
      </c>
      <c r="GE32" s="2" t="s">
        <v>68</v>
      </c>
      <c r="GF32" s="2"/>
      <c r="GG32" s="2"/>
      <c r="GH32" s="2">
        <v>96</v>
      </c>
      <c r="GI32" s="2"/>
      <c r="GJ32" s="2"/>
      <c r="GK32" s="2"/>
      <c r="GL32" s="2"/>
      <c r="GM32" s="2"/>
      <c r="GN32" s="2"/>
      <c r="GO32" s="2"/>
      <c r="GP32" s="2"/>
      <c r="GQ32" s="2">
        <v>96</v>
      </c>
      <c r="GR32" s="2" t="s">
        <v>142</v>
      </c>
      <c r="GS32" s="2" t="s">
        <v>70</v>
      </c>
      <c r="GT32" s="2">
        <v>1</v>
      </c>
      <c r="GU32" s="2" t="s">
        <v>5300</v>
      </c>
      <c r="GV32" s="2" t="s">
        <v>1563</v>
      </c>
      <c r="GW32" s="2" t="s">
        <v>17</v>
      </c>
      <c r="GX32" s="2">
        <v>26.949563000000001</v>
      </c>
      <c r="GY32" s="2">
        <v>-81.996903000000003</v>
      </c>
      <c r="GZ32" s="2"/>
      <c r="HA32" s="2" t="s">
        <v>17</v>
      </c>
      <c r="HB32" s="2">
        <v>0</v>
      </c>
      <c r="HC32" s="2" t="s">
        <v>17</v>
      </c>
      <c r="HD32" s="2"/>
      <c r="HE32" s="2">
        <v>0</v>
      </c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 t="s">
        <v>73</v>
      </c>
      <c r="HY32" s="2" t="s">
        <v>167</v>
      </c>
      <c r="HZ32" s="2" t="s">
        <v>5301</v>
      </c>
      <c r="IA32" s="2">
        <v>0.16</v>
      </c>
      <c r="IB32" s="2">
        <v>4</v>
      </c>
      <c r="IC32" s="2"/>
      <c r="ID32" s="2"/>
      <c r="IE32" s="2"/>
      <c r="IF32" s="2"/>
      <c r="IG32" s="2" t="s">
        <v>167</v>
      </c>
      <c r="IH32" s="2" t="s">
        <v>5301</v>
      </c>
      <c r="II32" s="2">
        <v>0.16</v>
      </c>
      <c r="IJ32" s="2">
        <v>4</v>
      </c>
      <c r="IK32" s="2" t="s">
        <v>5302</v>
      </c>
      <c r="IL32" s="2" t="s">
        <v>5303</v>
      </c>
      <c r="IM32" s="2">
        <v>0.76</v>
      </c>
      <c r="IN32" s="2">
        <v>3</v>
      </c>
      <c r="IO32" s="2">
        <v>0</v>
      </c>
      <c r="IP32" s="2">
        <v>11</v>
      </c>
      <c r="IQ32" s="2">
        <v>0</v>
      </c>
      <c r="IR32" s="2">
        <v>11</v>
      </c>
      <c r="IS32" s="2" t="s">
        <v>17</v>
      </c>
      <c r="IT32" s="2" t="s">
        <v>17</v>
      </c>
      <c r="IU32" s="2" t="s">
        <v>17</v>
      </c>
      <c r="IV32" s="2" t="s">
        <v>80</v>
      </c>
      <c r="IW32" s="2" t="s">
        <v>9</v>
      </c>
      <c r="IX32" s="2" t="s">
        <v>9</v>
      </c>
      <c r="IY32" s="2">
        <v>11</v>
      </c>
      <c r="IZ32" s="2">
        <v>96</v>
      </c>
      <c r="JA32" s="2"/>
      <c r="JB32" s="2"/>
      <c r="JC32" s="2"/>
      <c r="JD32" s="2"/>
      <c r="JE32" s="2"/>
      <c r="JF32" s="2"/>
      <c r="JG32" s="2"/>
      <c r="JH32" s="7">
        <v>0</v>
      </c>
      <c r="JI32" s="2">
        <v>0</v>
      </c>
      <c r="JJ32" s="7">
        <v>0</v>
      </c>
      <c r="JK32" s="2">
        <v>0</v>
      </c>
      <c r="JL32" s="7">
        <v>0</v>
      </c>
      <c r="JM32" s="2">
        <v>15</v>
      </c>
      <c r="JN32" s="2"/>
      <c r="JO32" s="2">
        <v>66</v>
      </c>
      <c r="JP32" s="2"/>
      <c r="JQ32" s="2">
        <v>15</v>
      </c>
      <c r="JR32" s="2">
        <v>0</v>
      </c>
      <c r="JS32" s="2">
        <v>0</v>
      </c>
      <c r="JT32" s="2"/>
      <c r="JU32" s="2"/>
      <c r="JV32" s="2">
        <v>96</v>
      </c>
      <c r="JW32" s="4">
        <v>1</v>
      </c>
      <c r="JX32" s="2">
        <v>96</v>
      </c>
      <c r="JY32" s="4">
        <v>0.58438000000000001</v>
      </c>
      <c r="JZ32" s="2">
        <v>0</v>
      </c>
      <c r="KA32" s="2"/>
      <c r="KB32" s="2"/>
      <c r="KC32" s="2"/>
      <c r="KD32" s="2"/>
      <c r="KE32" s="2"/>
      <c r="KF32" s="2"/>
      <c r="KG32" s="2"/>
      <c r="KH32" s="2">
        <v>16</v>
      </c>
      <c r="KI32" s="2"/>
      <c r="KJ32" s="2"/>
      <c r="KK32" s="2">
        <v>48</v>
      </c>
      <c r="KL32" s="2">
        <v>32</v>
      </c>
      <c r="KM32" s="2"/>
      <c r="KN32" s="2"/>
      <c r="KO32" s="2"/>
      <c r="KP32" s="2"/>
      <c r="KQ32" s="2" t="s">
        <v>83</v>
      </c>
      <c r="KR32" s="2" t="s">
        <v>73</v>
      </c>
      <c r="KS32" s="2"/>
      <c r="KT32" s="2">
        <v>4</v>
      </c>
      <c r="KU32" s="2" t="s">
        <v>84</v>
      </c>
      <c r="KV32" s="2" t="s">
        <v>85</v>
      </c>
      <c r="KW32" s="2" t="s">
        <v>86</v>
      </c>
      <c r="KX32" s="2" t="s">
        <v>17</v>
      </c>
      <c r="KY32" s="2" t="s">
        <v>17</v>
      </c>
      <c r="KZ32" s="2" t="s">
        <v>17</v>
      </c>
      <c r="LA32" s="2" t="s">
        <v>17</v>
      </c>
      <c r="LB32" s="2" t="s">
        <v>17</v>
      </c>
      <c r="LC32" s="2" t="s">
        <v>17</v>
      </c>
      <c r="LD32" s="2" t="s">
        <v>17</v>
      </c>
      <c r="LE32" s="2" t="s">
        <v>17</v>
      </c>
      <c r="LF32" s="2" t="s">
        <v>17</v>
      </c>
      <c r="LG32" s="2" t="s">
        <v>17</v>
      </c>
      <c r="LH32" s="2" t="s">
        <v>17</v>
      </c>
      <c r="LI32" s="2" t="s">
        <v>17</v>
      </c>
      <c r="LJ32" s="2" t="s">
        <v>87</v>
      </c>
      <c r="LK32" s="2" t="s">
        <v>17</v>
      </c>
      <c r="LL32" s="2" t="s">
        <v>17</v>
      </c>
      <c r="LM32" s="2">
        <v>0</v>
      </c>
      <c r="LN32" s="2" t="s">
        <v>17</v>
      </c>
      <c r="LO32" s="2" t="s">
        <v>17</v>
      </c>
      <c r="LP32" s="2" t="s">
        <v>9</v>
      </c>
      <c r="LQ32" s="2" t="s">
        <v>17</v>
      </c>
      <c r="LR32" s="2" t="s">
        <v>9</v>
      </c>
      <c r="LS32" s="2" t="s">
        <v>9</v>
      </c>
      <c r="LT32" s="2" t="s">
        <v>17</v>
      </c>
      <c r="LU32" s="2" t="s">
        <v>17</v>
      </c>
      <c r="LV32" s="2" t="s">
        <v>17</v>
      </c>
      <c r="LW32" s="2" t="s">
        <v>17</v>
      </c>
      <c r="LX32" s="2" t="s">
        <v>17</v>
      </c>
      <c r="LY32" s="5">
        <v>10000000</v>
      </c>
      <c r="LZ32" s="5">
        <v>0</v>
      </c>
      <c r="MA32" s="5">
        <v>10000000</v>
      </c>
      <c r="MB32" s="5">
        <v>10000000</v>
      </c>
      <c r="MC32" s="5">
        <v>10000000</v>
      </c>
      <c r="MD32" s="5">
        <v>614600</v>
      </c>
      <c r="ME32" s="5">
        <v>614600</v>
      </c>
      <c r="MF32" s="5">
        <v>614600</v>
      </c>
      <c r="MG32" s="5">
        <v>10614600</v>
      </c>
      <c r="MH32" s="2">
        <v>0</v>
      </c>
      <c r="MI32" s="5">
        <v>0</v>
      </c>
      <c r="MJ32" s="5">
        <v>0</v>
      </c>
      <c r="MK32" s="2">
        <v>0</v>
      </c>
      <c r="ML32" s="2">
        <v>0</v>
      </c>
      <c r="MM32" s="2">
        <v>0</v>
      </c>
      <c r="MN32" s="5">
        <v>2950000</v>
      </c>
      <c r="MO32" s="5">
        <v>0</v>
      </c>
      <c r="MP32" s="5">
        <v>4600000</v>
      </c>
      <c r="MQ32" s="5">
        <v>0</v>
      </c>
      <c r="MR32" s="5">
        <v>0</v>
      </c>
      <c r="MS32" s="5">
        <v>0</v>
      </c>
      <c r="MT32" s="5">
        <v>0</v>
      </c>
      <c r="MU32" s="5">
        <v>2500000</v>
      </c>
      <c r="MV32" s="5">
        <v>0</v>
      </c>
      <c r="MW32" s="5">
        <v>0</v>
      </c>
      <c r="MX32" s="5">
        <v>0</v>
      </c>
      <c r="MY32" s="5">
        <v>2040000</v>
      </c>
      <c r="MZ32" s="5">
        <v>0</v>
      </c>
      <c r="NA32" s="5">
        <v>944352</v>
      </c>
      <c r="NB32" s="2" t="s">
        <v>17</v>
      </c>
      <c r="NC32" s="2"/>
      <c r="ND32" s="2"/>
      <c r="NE32" s="2"/>
      <c r="NF32" s="2"/>
      <c r="NG32" s="2"/>
      <c r="NH32" s="2"/>
      <c r="NI32" s="61">
        <v>0</v>
      </c>
      <c r="NJ32" s="61"/>
      <c r="NK32" s="61"/>
      <c r="NL32" s="61"/>
      <c r="NM32" s="2" t="s">
        <v>17</v>
      </c>
      <c r="NN32" s="2"/>
      <c r="NO32" s="2" t="s">
        <v>17</v>
      </c>
      <c r="NP32" s="2"/>
      <c r="NQ32" s="2"/>
      <c r="NR32" s="2" t="s">
        <v>17</v>
      </c>
      <c r="NS32" s="2"/>
      <c r="NT32" s="2" t="s">
        <v>17</v>
      </c>
      <c r="NU32" s="2"/>
      <c r="NV32" s="2"/>
      <c r="NW32" s="2"/>
      <c r="NX32" s="2" t="s">
        <v>118</v>
      </c>
      <c r="NY32" s="2" t="s">
        <v>118</v>
      </c>
      <c r="NZ32" s="2" t="s">
        <v>118</v>
      </c>
      <c r="OA32" s="2" t="s">
        <v>17</v>
      </c>
      <c r="OB32" s="2" t="s">
        <v>5089</v>
      </c>
      <c r="OC32" s="2"/>
      <c r="OD32" s="2" t="s">
        <v>17</v>
      </c>
      <c r="OE32" s="2" t="s">
        <v>17</v>
      </c>
      <c r="OF32" s="2" t="s">
        <v>85</v>
      </c>
      <c r="OG32" s="6">
        <v>4050000</v>
      </c>
      <c r="OH32" s="6">
        <v>0</v>
      </c>
      <c r="OI32" s="2" t="s">
        <v>93</v>
      </c>
      <c r="OJ32" s="2" t="s">
        <v>93</v>
      </c>
      <c r="OK32" s="6">
        <v>0</v>
      </c>
      <c r="OL32" s="6">
        <v>0</v>
      </c>
      <c r="OM32" s="6">
        <v>0</v>
      </c>
      <c r="ON32" s="6">
        <v>0</v>
      </c>
      <c r="OO32" s="6">
        <v>0</v>
      </c>
      <c r="OP32" s="6">
        <v>0</v>
      </c>
      <c r="OQ32" s="4">
        <v>0</v>
      </c>
      <c r="OR32" s="6">
        <v>0</v>
      </c>
      <c r="OS32" s="4">
        <v>0</v>
      </c>
      <c r="OT32" s="2" t="s">
        <v>17</v>
      </c>
      <c r="OU32" s="2" t="s">
        <v>17</v>
      </c>
      <c r="OV32" s="2"/>
      <c r="OW32" s="2" t="s">
        <v>17</v>
      </c>
      <c r="OX32" s="5">
        <v>9200000</v>
      </c>
      <c r="OY32" s="6">
        <v>95833.33</v>
      </c>
      <c r="OZ32" s="2"/>
      <c r="PA32" s="2"/>
      <c r="PB32" s="2"/>
      <c r="PC32" s="2"/>
      <c r="PD32" s="2"/>
      <c r="PE32" s="2"/>
      <c r="PF32" s="8">
        <v>12912403</v>
      </c>
      <c r="PG32" s="2"/>
      <c r="PH32" s="8">
        <v>12912403</v>
      </c>
      <c r="PI32" s="2"/>
      <c r="PJ32" s="2"/>
      <c r="PK32" s="2"/>
      <c r="PL32" s="2"/>
      <c r="PM32" s="8">
        <v>1151850</v>
      </c>
      <c r="PN32" s="8">
        <v>493650</v>
      </c>
      <c r="PO32" s="8">
        <v>1645500</v>
      </c>
      <c r="PP32" s="2"/>
      <c r="PQ32" s="2"/>
      <c r="PR32" s="8">
        <v>14064253</v>
      </c>
      <c r="PS32" s="8">
        <v>493650</v>
      </c>
      <c r="PT32" s="8">
        <v>14557903</v>
      </c>
      <c r="PU32" s="8">
        <v>2038106</v>
      </c>
      <c r="PV32" s="8">
        <v>2038106</v>
      </c>
      <c r="PW32" s="6">
        <v>2038106</v>
      </c>
      <c r="PX32" s="8">
        <v>16102359</v>
      </c>
      <c r="PY32" s="8">
        <v>493650</v>
      </c>
      <c r="PZ32" s="8">
        <v>16596009</v>
      </c>
      <c r="QA32" s="8">
        <v>829800</v>
      </c>
      <c r="QB32" s="8">
        <v>829800</v>
      </c>
      <c r="QC32" s="6">
        <v>829800.45</v>
      </c>
      <c r="QD32" s="8">
        <v>30000</v>
      </c>
      <c r="QE32" s="2"/>
      <c r="QF32" s="8">
        <v>30000</v>
      </c>
      <c r="QG32" s="8">
        <v>7500</v>
      </c>
      <c r="QH32" s="8">
        <v>7500</v>
      </c>
      <c r="QI32" s="8">
        <v>295000</v>
      </c>
      <c r="QJ32" s="8">
        <v>295000</v>
      </c>
      <c r="QK32" s="8">
        <v>50000</v>
      </c>
      <c r="QL32" s="8">
        <v>50000</v>
      </c>
      <c r="QM32" s="8">
        <v>250000</v>
      </c>
      <c r="QN32" s="2"/>
      <c r="QO32" s="8">
        <v>250000</v>
      </c>
      <c r="QP32" s="8">
        <v>120400</v>
      </c>
      <c r="QQ32" s="8">
        <v>120400</v>
      </c>
      <c r="QR32" s="2"/>
      <c r="QS32" s="2"/>
      <c r="QT32" s="8">
        <v>130000</v>
      </c>
      <c r="QU32" s="2"/>
      <c r="QV32" s="8">
        <v>130000</v>
      </c>
      <c r="QW32" s="8">
        <v>15000</v>
      </c>
      <c r="QX32" s="8">
        <v>15000</v>
      </c>
      <c r="QY32" s="8">
        <v>84992</v>
      </c>
      <c r="QZ32" s="8">
        <v>84992</v>
      </c>
      <c r="RA32" s="8">
        <v>3000</v>
      </c>
      <c r="RB32" s="8">
        <v>3000</v>
      </c>
      <c r="RC32" s="8">
        <v>210000</v>
      </c>
      <c r="RD32" s="8">
        <v>210000</v>
      </c>
      <c r="RE32" s="8">
        <v>15000</v>
      </c>
      <c r="RF32" s="8">
        <v>15000</v>
      </c>
      <c r="RG32" s="8">
        <v>25000</v>
      </c>
      <c r="RH32" s="8">
        <v>25000</v>
      </c>
      <c r="RI32" s="2"/>
      <c r="RJ32" s="2"/>
      <c r="RK32" s="8">
        <v>90000</v>
      </c>
      <c r="RL32" s="2"/>
      <c r="RM32" s="8">
        <v>90000</v>
      </c>
      <c r="RN32" s="2"/>
      <c r="RO32" s="2"/>
      <c r="RP32" s="2"/>
      <c r="RQ32" s="8">
        <v>160000</v>
      </c>
      <c r="RR32" s="8">
        <v>85000</v>
      </c>
      <c r="RS32" s="8">
        <v>245000</v>
      </c>
      <c r="RT32" s="8">
        <v>7500</v>
      </c>
      <c r="RU32" s="2"/>
      <c r="RV32" s="8">
        <v>7500</v>
      </c>
      <c r="RW32" s="8">
        <v>150000</v>
      </c>
      <c r="RX32" s="8">
        <v>150000</v>
      </c>
      <c r="RY32" s="8">
        <v>10000</v>
      </c>
      <c r="RZ32" s="2"/>
      <c r="SA32" s="8">
        <v>10000</v>
      </c>
      <c r="SB32" s="8">
        <v>15000</v>
      </c>
      <c r="SC32" s="8">
        <v>15000</v>
      </c>
      <c r="SD32" s="8">
        <v>30000</v>
      </c>
      <c r="SE32" s="2"/>
      <c r="SF32" s="8">
        <v>30000</v>
      </c>
      <c r="SG32" s="2"/>
      <c r="SH32" s="8">
        <v>125000</v>
      </c>
      <c r="SI32" s="8">
        <v>100000</v>
      </c>
      <c r="SJ32" s="8">
        <v>225000</v>
      </c>
      <c r="SK32" s="8">
        <v>451553</v>
      </c>
      <c r="SL32" s="8">
        <v>451553</v>
      </c>
      <c r="SM32" s="2"/>
      <c r="SN32" s="2"/>
      <c r="SO32" s="2"/>
      <c r="SP32" s="8">
        <v>1811953</v>
      </c>
      <c r="SQ32" s="8">
        <v>647992</v>
      </c>
      <c r="SR32" s="8">
        <v>2459945</v>
      </c>
      <c r="SS32" s="8">
        <v>122997</v>
      </c>
      <c r="ST32" s="2"/>
      <c r="SU32" s="8">
        <v>122997</v>
      </c>
      <c r="SV32" s="6">
        <v>122997.25</v>
      </c>
      <c r="SW32" s="8">
        <v>215000</v>
      </c>
      <c r="SX32" s="8">
        <v>215000</v>
      </c>
      <c r="SY32" s="2"/>
      <c r="SZ32" s="8">
        <v>680000</v>
      </c>
      <c r="TA32" s="8">
        <v>370000</v>
      </c>
      <c r="TB32" s="8">
        <v>1050000</v>
      </c>
      <c r="TC32" s="8">
        <v>90000</v>
      </c>
      <c r="TD32" s="2"/>
      <c r="TE32" s="8">
        <v>90000</v>
      </c>
      <c r="TF32" s="8">
        <v>65750</v>
      </c>
      <c r="TG32" s="8">
        <v>65750</v>
      </c>
      <c r="TH32" s="2"/>
      <c r="TI32" s="8">
        <v>60000</v>
      </c>
      <c r="TJ32" s="8">
        <v>60000</v>
      </c>
      <c r="TK32" s="2"/>
      <c r="TL32" s="2"/>
      <c r="TM32" s="8">
        <v>400000</v>
      </c>
      <c r="TN32" s="8">
        <v>400000</v>
      </c>
      <c r="TO32" s="8">
        <v>985000</v>
      </c>
      <c r="TP32" s="8">
        <v>895750</v>
      </c>
      <c r="TQ32" s="8">
        <v>1880750</v>
      </c>
      <c r="TR32" s="8">
        <v>19852109</v>
      </c>
      <c r="TS32" s="8">
        <v>2037392</v>
      </c>
      <c r="TT32" s="8">
        <v>21889501</v>
      </c>
      <c r="TU32" s="8">
        <v>3940110</v>
      </c>
      <c r="TV32" s="8">
        <v>3940110</v>
      </c>
      <c r="TW32" s="6">
        <v>3940110</v>
      </c>
      <c r="TX32" s="8">
        <v>3940110</v>
      </c>
      <c r="TY32" s="8">
        <v>3940110</v>
      </c>
      <c r="TZ32" s="6">
        <v>3940110</v>
      </c>
      <c r="UA32" s="8">
        <v>1403900</v>
      </c>
      <c r="UB32" s="8">
        <v>1403900</v>
      </c>
      <c r="UC32" s="8">
        <v>23792219</v>
      </c>
      <c r="UD32" s="8">
        <v>3441292</v>
      </c>
      <c r="UE32" s="8">
        <v>27233511</v>
      </c>
      <c r="UF32" s="8">
        <v>14000000</v>
      </c>
      <c r="UG32" s="2" t="s">
        <v>4220</v>
      </c>
      <c r="UH32" s="2"/>
      <c r="UI32" s="2"/>
      <c r="UJ32" s="8">
        <v>10614600</v>
      </c>
      <c r="UK32" s="2"/>
      <c r="UL32" s="2" t="s">
        <v>96</v>
      </c>
      <c r="UM32" s="8">
        <v>1317240</v>
      </c>
      <c r="UN32" s="8">
        <v>3940110</v>
      </c>
      <c r="UO32" s="8">
        <v>29871950</v>
      </c>
      <c r="UP32" s="8">
        <v>2638439</v>
      </c>
      <c r="UQ32" s="8">
        <v>4050000</v>
      </c>
      <c r="UR32" s="2" t="s">
        <v>95</v>
      </c>
      <c r="US32" s="2"/>
      <c r="UT32" s="2"/>
      <c r="UU32" s="2"/>
      <c r="UV32" s="2"/>
      <c r="UW32" s="8">
        <v>10614600</v>
      </c>
      <c r="UX32" s="2"/>
      <c r="UY32" s="2" t="s">
        <v>96</v>
      </c>
      <c r="UZ32" s="8">
        <v>8781595</v>
      </c>
      <c r="VA32" s="8">
        <v>3940110</v>
      </c>
      <c r="VB32" s="8">
        <v>27386305</v>
      </c>
      <c r="VC32" s="6">
        <v>14664600</v>
      </c>
      <c r="VD32" s="8">
        <v>152794</v>
      </c>
      <c r="VE32" s="5">
        <v>320000</v>
      </c>
      <c r="VF32" s="5">
        <v>327500</v>
      </c>
      <c r="VG32" s="6">
        <v>269058.45</v>
      </c>
      <c r="VH32" s="2" t="s">
        <v>9</v>
      </c>
      <c r="VI32" s="2" t="s">
        <v>5304</v>
      </c>
      <c r="VJ32" s="2" t="s">
        <v>98</v>
      </c>
      <c r="VK32" s="2" t="s">
        <v>5305</v>
      </c>
      <c r="VL32" s="23">
        <f t="shared" si="0"/>
        <v>208</v>
      </c>
      <c r="VM32" s="17">
        <f t="shared" si="1"/>
        <v>2.1666666666666665</v>
      </c>
      <c r="VN32" s="17" t="str">
        <f t="shared" si="2"/>
        <v>NC-GA-F</v>
      </c>
      <c r="VO32" s="17" t="str">
        <f t="shared" si="15"/>
        <v>NC-GA-F-Non</v>
      </c>
      <c r="VP32" s="57">
        <v>1</v>
      </c>
      <c r="VQ32" s="17">
        <f t="shared" si="3"/>
        <v>1</v>
      </c>
      <c r="VR32" s="57">
        <f t="shared" si="4"/>
        <v>1</v>
      </c>
      <c r="VS32" s="14">
        <f t="shared" si="5"/>
        <v>1</v>
      </c>
      <c r="VT32" s="12">
        <f t="shared" si="6"/>
        <v>0.89</v>
      </c>
      <c r="VU32" s="29">
        <f t="shared" si="7"/>
        <v>8900000</v>
      </c>
      <c r="VV32" s="29">
        <f t="shared" si="8"/>
        <v>92708.33</v>
      </c>
      <c r="VW32" s="351" t="str">
        <f t="shared" si="21"/>
        <v>A</v>
      </c>
      <c r="VX32" s="12" t="str">
        <f t="shared" si="9"/>
        <v>NC-GA-Non</v>
      </c>
      <c r="VY32" s="23">
        <f t="shared" si="22"/>
        <v>5</v>
      </c>
      <c r="WA32" s="12">
        <f t="shared" si="16"/>
        <v>0</v>
      </c>
      <c r="WB32" s="12">
        <f t="shared" si="17"/>
        <v>0</v>
      </c>
      <c r="WC32" s="12">
        <f t="shared" si="17"/>
        <v>0</v>
      </c>
      <c r="WD32" s="12">
        <f t="shared" si="17"/>
        <v>0</v>
      </c>
      <c r="WE32" s="12">
        <f t="shared" si="18"/>
        <v>0</v>
      </c>
      <c r="WF32" s="12">
        <f t="shared" si="10"/>
        <v>1</v>
      </c>
      <c r="WG32" s="12">
        <f t="shared" si="11"/>
        <v>0</v>
      </c>
      <c r="WH32" s="12">
        <f t="shared" si="12"/>
        <v>0</v>
      </c>
      <c r="WI32" s="31">
        <f t="shared" si="13"/>
        <v>1</v>
      </c>
      <c r="WJ32" s="2"/>
      <c r="WK32" s="444" t="str">
        <f t="shared" si="23"/>
        <v>NC-GA-Non-BBN-BRN-NPH-F</v>
      </c>
      <c r="WL32" s="444"/>
      <c r="WM32" s="444"/>
    </row>
    <row r="33" spans="1:611" x14ac:dyDescent="0.25">
      <c r="A33" s="2">
        <v>9040</v>
      </c>
      <c r="B33" s="2" t="s">
        <v>5306</v>
      </c>
      <c r="C33" s="2" t="s">
        <v>5063</v>
      </c>
      <c r="D33" s="2">
        <v>8</v>
      </c>
      <c r="E33" s="2">
        <v>33.82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 t="s">
        <v>9</v>
      </c>
      <c r="BV33" s="6">
        <v>99187.5</v>
      </c>
      <c r="BW33" s="2" t="s">
        <v>18</v>
      </c>
      <c r="BX33" s="3">
        <v>45036</v>
      </c>
      <c r="BY33" s="2" t="s">
        <v>9</v>
      </c>
      <c r="BZ33" s="2">
        <v>1</v>
      </c>
      <c r="CA33" s="2" t="s">
        <v>9</v>
      </c>
      <c r="CB33" s="2">
        <v>1</v>
      </c>
      <c r="CC33" s="2" t="s">
        <v>9</v>
      </c>
      <c r="CD33" s="2">
        <v>0</v>
      </c>
      <c r="CE33" s="2" t="s">
        <v>5307</v>
      </c>
      <c r="CF33" s="2">
        <v>1</v>
      </c>
      <c r="CG33" s="2" t="s">
        <v>10</v>
      </c>
      <c r="CH33" s="2">
        <v>0</v>
      </c>
      <c r="CI33" s="2" t="s">
        <v>10</v>
      </c>
      <c r="CJ33" s="2">
        <v>0</v>
      </c>
      <c r="CK33" s="2" t="s">
        <v>11</v>
      </c>
      <c r="CL33" s="2">
        <v>0</v>
      </c>
      <c r="CM33" s="2" t="s">
        <v>9</v>
      </c>
      <c r="CN33" s="2">
        <v>2</v>
      </c>
      <c r="CO33" s="2" t="s">
        <v>9</v>
      </c>
      <c r="CP33" s="2">
        <v>2</v>
      </c>
      <c r="CQ33" s="2" t="s">
        <v>9</v>
      </c>
      <c r="CR33" s="2">
        <v>2</v>
      </c>
      <c r="CS33" s="2" t="s">
        <v>12</v>
      </c>
      <c r="CT33" s="2" t="s">
        <v>15</v>
      </c>
      <c r="CU33" s="2" t="s">
        <v>15</v>
      </c>
      <c r="CV33" s="2" t="s">
        <v>15</v>
      </c>
      <c r="CW33" s="2" t="s">
        <v>15</v>
      </c>
      <c r="CX33" s="2" t="s">
        <v>15</v>
      </c>
      <c r="CY33" s="2" t="s">
        <v>15</v>
      </c>
      <c r="CZ33" s="2">
        <v>0</v>
      </c>
      <c r="DA33" s="2" t="s">
        <v>234</v>
      </c>
      <c r="DB33" s="2" t="s">
        <v>17</v>
      </c>
      <c r="DC33" s="4">
        <v>0.1</v>
      </c>
      <c r="DD33" s="2" t="s">
        <v>17</v>
      </c>
      <c r="DE33" s="2" t="s">
        <v>9</v>
      </c>
      <c r="DF33" s="2" t="s">
        <v>17</v>
      </c>
      <c r="DG33" s="2" t="s">
        <v>17</v>
      </c>
      <c r="DH33" s="2" t="s">
        <v>17</v>
      </c>
      <c r="DI33" s="2" t="s">
        <v>9</v>
      </c>
      <c r="DJ33" s="2" t="s">
        <v>17</v>
      </c>
      <c r="DK33" s="2" t="s">
        <v>17</v>
      </c>
      <c r="DL33" s="2" t="s">
        <v>17</v>
      </c>
      <c r="DM33" s="2" t="s">
        <v>17</v>
      </c>
      <c r="DN33" s="2" t="s">
        <v>2663</v>
      </c>
      <c r="DO33" s="2">
        <v>5</v>
      </c>
      <c r="DP33" s="5">
        <v>75000</v>
      </c>
      <c r="DQ33" s="5">
        <v>610000</v>
      </c>
      <c r="DR33" s="2">
        <v>0</v>
      </c>
      <c r="DS33" s="2">
        <v>2</v>
      </c>
      <c r="DT33" s="2">
        <v>0</v>
      </c>
      <c r="DU33" s="2">
        <v>6</v>
      </c>
      <c r="DV33" s="2">
        <v>0</v>
      </c>
      <c r="DW33" s="2">
        <v>0</v>
      </c>
      <c r="DX33" s="2">
        <v>2</v>
      </c>
      <c r="DY33" s="2">
        <v>5</v>
      </c>
      <c r="DZ33" s="2">
        <v>0</v>
      </c>
      <c r="EA33" s="2">
        <v>0</v>
      </c>
      <c r="EB33" s="2">
        <v>0</v>
      </c>
      <c r="EC33" s="2">
        <v>0</v>
      </c>
      <c r="ED33" s="2">
        <v>13</v>
      </c>
      <c r="EE33" s="2">
        <v>1</v>
      </c>
      <c r="EF33" s="2">
        <v>0</v>
      </c>
      <c r="EG33" s="2">
        <v>3</v>
      </c>
      <c r="EH33" s="2">
        <v>0</v>
      </c>
      <c r="EI33" s="2">
        <v>11</v>
      </c>
      <c r="EJ33" s="2">
        <v>11</v>
      </c>
      <c r="EK33" s="2">
        <v>0</v>
      </c>
      <c r="EL33" s="2" t="s">
        <v>17</v>
      </c>
      <c r="EM33" s="2" t="s">
        <v>17</v>
      </c>
      <c r="EN33" s="2" t="s">
        <v>17</v>
      </c>
      <c r="EO33" s="2" t="s">
        <v>17</v>
      </c>
      <c r="EP33" s="2" t="s">
        <v>17</v>
      </c>
      <c r="EQ33" s="2" t="s">
        <v>17</v>
      </c>
      <c r="ER33" s="2" t="s">
        <v>17</v>
      </c>
      <c r="ES33" s="2" t="s">
        <v>17</v>
      </c>
      <c r="ET33" s="2" t="s">
        <v>369</v>
      </c>
      <c r="EU33" s="2" t="s">
        <v>5308</v>
      </c>
      <c r="EV33" s="2" t="s">
        <v>371</v>
      </c>
      <c r="EW33" s="2" t="s">
        <v>9</v>
      </c>
      <c r="EX33" s="2" t="s">
        <v>372</v>
      </c>
      <c r="EY33" s="2" t="s">
        <v>369</v>
      </c>
      <c r="EZ33" s="2" t="s">
        <v>373</v>
      </c>
      <c r="FA33" s="2" t="s">
        <v>374</v>
      </c>
      <c r="FB33" s="2">
        <v>120</v>
      </c>
      <c r="FC33" s="2" t="s">
        <v>5309</v>
      </c>
      <c r="FD33" s="2">
        <v>2019</v>
      </c>
      <c r="FE33" s="2" t="s">
        <v>26</v>
      </c>
      <c r="FF33" s="2" t="s">
        <v>4210</v>
      </c>
      <c r="FG33" s="2" t="s">
        <v>380</v>
      </c>
      <c r="FH33" s="2" t="s">
        <v>381</v>
      </c>
      <c r="FI33" s="2" t="s">
        <v>382</v>
      </c>
      <c r="FJ33" s="2" t="s">
        <v>5310</v>
      </c>
      <c r="FK33" s="2">
        <v>1</v>
      </c>
      <c r="FL33" s="2" t="s">
        <v>5311</v>
      </c>
      <c r="FM33" s="2" t="s">
        <v>385</v>
      </c>
      <c r="FN33" s="2" t="s">
        <v>5312</v>
      </c>
      <c r="FO33" s="2" t="s">
        <v>63</v>
      </c>
      <c r="FP33" s="2" t="s">
        <v>9</v>
      </c>
      <c r="FQ33" s="2" t="s">
        <v>17</v>
      </c>
      <c r="FR33" s="2" t="s">
        <v>17</v>
      </c>
      <c r="FS33" s="2" t="s">
        <v>9</v>
      </c>
      <c r="FT33" s="2">
        <v>0</v>
      </c>
      <c r="FU33" s="2">
        <v>0</v>
      </c>
      <c r="FV33" s="4">
        <v>0</v>
      </c>
      <c r="FW33" s="4">
        <v>0</v>
      </c>
      <c r="FX33" s="2" t="s">
        <v>65</v>
      </c>
      <c r="FY33" s="2" t="s">
        <v>66</v>
      </c>
      <c r="FZ33" s="2" t="s">
        <v>17</v>
      </c>
      <c r="GA33" s="2"/>
      <c r="GB33" s="2"/>
      <c r="GC33" s="2"/>
      <c r="GD33" s="2" t="s">
        <v>67</v>
      </c>
      <c r="GE33" s="2" t="s">
        <v>68</v>
      </c>
      <c r="GF33" s="2"/>
      <c r="GG33" s="2"/>
      <c r="GH33" s="2">
        <v>64</v>
      </c>
      <c r="GI33" s="2"/>
      <c r="GJ33" s="2"/>
      <c r="GK33" s="2"/>
      <c r="GL33" s="2"/>
      <c r="GM33" s="2"/>
      <c r="GN33" s="2"/>
      <c r="GO33" s="2"/>
      <c r="GP33" s="2"/>
      <c r="GQ33" s="2">
        <v>64</v>
      </c>
      <c r="GR33" s="2" t="s">
        <v>2960</v>
      </c>
      <c r="GS33" s="2" t="s">
        <v>2686</v>
      </c>
      <c r="GT33" s="2">
        <v>2</v>
      </c>
      <c r="GU33" s="2" t="s">
        <v>5313</v>
      </c>
      <c r="GV33" s="2" t="s">
        <v>5314</v>
      </c>
      <c r="GW33" s="2" t="s">
        <v>17</v>
      </c>
      <c r="GX33" s="2">
        <v>28.008206000000001</v>
      </c>
      <c r="GY33" s="2">
        <v>-82.112646999999996</v>
      </c>
      <c r="GZ33" s="2"/>
      <c r="HA33" s="2" t="s">
        <v>17</v>
      </c>
      <c r="HB33" s="2">
        <v>0</v>
      </c>
      <c r="HC33" s="2" t="s">
        <v>17</v>
      </c>
      <c r="HD33" s="2"/>
      <c r="HE33" s="2">
        <v>0</v>
      </c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 t="s">
        <v>73</v>
      </c>
      <c r="HY33" s="2" t="s">
        <v>4815</v>
      </c>
      <c r="HZ33" s="2" t="s">
        <v>5315</v>
      </c>
      <c r="IA33" s="2">
        <v>0.69</v>
      </c>
      <c r="IB33" s="2">
        <v>3</v>
      </c>
      <c r="IC33" s="2"/>
      <c r="ID33" s="2"/>
      <c r="IE33" s="2"/>
      <c r="IF33" s="2"/>
      <c r="IG33" s="2" t="s">
        <v>5316</v>
      </c>
      <c r="IH33" s="2" t="s">
        <v>5317</v>
      </c>
      <c r="II33" s="2">
        <v>0.72</v>
      </c>
      <c r="IJ33" s="2">
        <v>3</v>
      </c>
      <c r="IK33" s="2" t="s">
        <v>5318</v>
      </c>
      <c r="IL33" s="2" t="s">
        <v>5319</v>
      </c>
      <c r="IM33" s="2">
        <v>0.34</v>
      </c>
      <c r="IN33" s="2">
        <v>4</v>
      </c>
      <c r="IO33" s="2">
        <v>0</v>
      </c>
      <c r="IP33" s="2">
        <v>10</v>
      </c>
      <c r="IQ33" s="2">
        <v>0</v>
      </c>
      <c r="IR33" s="2">
        <v>10</v>
      </c>
      <c r="IS33" s="2" t="s">
        <v>17</v>
      </c>
      <c r="IT33" s="2" t="s">
        <v>17</v>
      </c>
      <c r="IU33" s="2" t="s">
        <v>17</v>
      </c>
      <c r="IV33" s="2" t="s">
        <v>17</v>
      </c>
      <c r="IW33" s="2" t="s">
        <v>17</v>
      </c>
      <c r="IX33" s="2" t="s">
        <v>17</v>
      </c>
      <c r="IY33" s="2">
        <v>10</v>
      </c>
      <c r="IZ33" s="2">
        <v>64</v>
      </c>
      <c r="JA33" s="2"/>
      <c r="JB33" s="2"/>
      <c r="JC33" s="2"/>
      <c r="JD33" s="7">
        <v>0.1</v>
      </c>
      <c r="JE33" s="2"/>
      <c r="JF33" s="2"/>
      <c r="JG33" s="7">
        <v>0.9</v>
      </c>
      <c r="JH33" s="7">
        <v>0</v>
      </c>
      <c r="JI33" s="2">
        <v>64</v>
      </c>
      <c r="JJ33" s="7">
        <v>1</v>
      </c>
      <c r="JK33" s="2">
        <v>64</v>
      </c>
      <c r="JL33" s="7">
        <v>1</v>
      </c>
      <c r="JM33" s="2"/>
      <c r="JN33" s="2"/>
      <c r="JO33" s="2">
        <v>0</v>
      </c>
      <c r="JP33" s="2">
        <v>0</v>
      </c>
      <c r="JQ33" s="2">
        <v>7</v>
      </c>
      <c r="JR33" s="2">
        <v>57</v>
      </c>
      <c r="JS33" s="2">
        <v>57</v>
      </c>
      <c r="JT33" s="2"/>
      <c r="JU33" s="2"/>
      <c r="JV33" s="52">
        <v>7</v>
      </c>
      <c r="JW33" s="4">
        <v>0.10938000000000001</v>
      </c>
      <c r="JX33" s="2">
        <v>64</v>
      </c>
      <c r="JY33" s="4">
        <v>0.8</v>
      </c>
      <c r="JZ33" s="2">
        <v>64</v>
      </c>
      <c r="KA33" s="2"/>
      <c r="KB33" s="2"/>
      <c r="KC33" s="2"/>
      <c r="KD33" s="2"/>
      <c r="KE33" s="2"/>
      <c r="KF33" s="2"/>
      <c r="KG33" s="2"/>
      <c r="KH33" s="2">
        <v>4</v>
      </c>
      <c r="KI33" s="2"/>
      <c r="KJ33" s="2"/>
      <c r="KK33" s="2">
        <v>48</v>
      </c>
      <c r="KL33" s="2">
        <v>12</v>
      </c>
      <c r="KM33" s="2"/>
      <c r="KN33" s="2"/>
      <c r="KO33" s="2"/>
      <c r="KP33" s="2"/>
      <c r="KQ33" s="2" t="s">
        <v>83</v>
      </c>
      <c r="KR33" s="2" t="s">
        <v>73</v>
      </c>
      <c r="KS33" s="2"/>
      <c r="KT33" s="2">
        <v>3</v>
      </c>
      <c r="KU33" s="2" t="s">
        <v>84</v>
      </c>
      <c r="KV33" s="2" t="s">
        <v>85</v>
      </c>
      <c r="KW33" s="2" t="s">
        <v>86</v>
      </c>
      <c r="KX33" s="2" t="s">
        <v>17</v>
      </c>
      <c r="KY33" s="2" t="s">
        <v>17</v>
      </c>
      <c r="KZ33" s="2" t="s">
        <v>17</v>
      </c>
      <c r="LA33" s="2" t="s">
        <v>17</v>
      </c>
      <c r="LB33" s="2" t="s">
        <v>17</v>
      </c>
      <c r="LC33" s="2" t="s">
        <v>17</v>
      </c>
      <c r="LD33" s="2" t="s">
        <v>17</v>
      </c>
      <c r="LE33" s="2" t="s">
        <v>17</v>
      </c>
      <c r="LF33" s="2" t="s">
        <v>17</v>
      </c>
      <c r="LG33" s="2" t="s">
        <v>17</v>
      </c>
      <c r="LH33" s="2" t="s">
        <v>17</v>
      </c>
      <c r="LI33" s="2" t="s">
        <v>17</v>
      </c>
      <c r="LJ33" s="2" t="s">
        <v>87</v>
      </c>
      <c r="LK33" s="2" t="s">
        <v>17</v>
      </c>
      <c r="LL33" s="2" t="s">
        <v>17</v>
      </c>
      <c r="LM33" s="2">
        <v>0</v>
      </c>
      <c r="LN33" s="2" t="s">
        <v>17</v>
      </c>
      <c r="LO33" s="2" t="s">
        <v>9</v>
      </c>
      <c r="LP33" s="2" t="s">
        <v>9</v>
      </c>
      <c r="LQ33" s="2" t="s">
        <v>17</v>
      </c>
      <c r="LR33" s="2" t="s">
        <v>9</v>
      </c>
      <c r="LS33" s="2" t="s">
        <v>17</v>
      </c>
      <c r="LT33" s="2" t="s">
        <v>17</v>
      </c>
      <c r="LU33" s="2" t="s">
        <v>17</v>
      </c>
      <c r="LV33" s="2" t="s">
        <v>17</v>
      </c>
      <c r="LW33" s="2" t="s">
        <v>17</v>
      </c>
      <c r="LX33" s="2" t="s">
        <v>17</v>
      </c>
      <c r="LY33" s="5">
        <v>6720000</v>
      </c>
      <c r="LZ33" s="5">
        <v>6500000</v>
      </c>
      <c r="MA33" s="5">
        <v>6720000</v>
      </c>
      <c r="MB33" s="5">
        <v>6000000</v>
      </c>
      <c r="MC33" s="5">
        <v>6000000</v>
      </c>
      <c r="MD33" s="5">
        <v>650700</v>
      </c>
      <c r="ME33" s="5">
        <v>650700</v>
      </c>
      <c r="MF33" s="5">
        <v>650700</v>
      </c>
      <c r="MG33" s="5">
        <v>6650700</v>
      </c>
      <c r="MH33" s="2">
        <v>0</v>
      </c>
      <c r="MI33" s="5">
        <v>0</v>
      </c>
      <c r="MJ33" s="5">
        <v>0</v>
      </c>
      <c r="MK33" s="2">
        <v>0</v>
      </c>
      <c r="ML33" s="2">
        <v>0</v>
      </c>
      <c r="MM33" s="2">
        <v>0</v>
      </c>
      <c r="MN33" s="5">
        <v>2950000</v>
      </c>
      <c r="MO33" s="5">
        <v>0</v>
      </c>
      <c r="MP33" s="5">
        <v>4600000</v>
      </c>
      <c r="MQ33" s="5">
        <v>0</v>
      </c>
      <c r="MR33" s="5">
        <v>0</v>
      </c>
      <c r="MS33" s="5">
        <v>0</v>
      </c>
      <c r="MT33" s="5">
        <v>0</v>
      </c>
      <c r="MU33" s="5">
        <v>2080000</v>
      </c>
      <c r="MV33" s="5">
        <v>0</v>
      </c>
      <c r="MW33" s="5">
        <v>0</v>
      </c>
      <c r="MX33" s="5">
        <v>0</v>
      </c>
      <c r="MY33" s="5">
        <v>0</v>
      </c>
      <c r="MZ33" s="5">
        <v>0</v>
      </c>
      <c r="NA33" s="5">
        <v>930551</v>
      </c>
      <c r="NB33" s="2" t="s">
        <v>17</v>
      </c>
      <c r="NC33" s="2"/>
      <c r="ND33" s="2"/>
      <c r="NE33" s="2"/>
      <c r="NF33" s="2"/>
      <c r="NG33" s="2"/>
      <c r="NH33" s="2"/>
      <c r="NI33" s="61">
        <v>0</v>
      </c>
      <c r="NJ33" s="61"/>
      <c r="NK33" s="61"/>
      <c r="NL33" s="61"/>
      <c r="NM33" s="2" t="s">
        <v>17</v>
      </c>
      <c r="NN33" s="2"/>
      <c r="NO33" s="2" t="s">
        <v>17</v>
      </c>
      <c r="NP33" s="2"/>
      <c r="NQ33" s="2"/>
      <c r="NR33" s="2" t="s">
        <v>17</v>
      </c>
      <c r="NS33" s="2"/>
      <c r="NT33" s="2" t="s">
        <v>9</v>
      </c>
      <c r="NU33" s="2" t="s">
        <v>450</v>
      </c>
      <c r="NV33" s="2">
        <v>129</v>
      </c>
      <c r="NW33" s="2" t="s">
        <v>2967</v>
      </c>
      <c r="NX33" s="2" t="s">
        <v>118</v>
      </c>
      <c r="NY33" s="2" t="s">
        <v>118</v>
      </c>
      <c r="NZ33" s="2" t="s">
        <v>118</v>
      </c>
      <c r="OA33" s="2" t="s">
        <v>17</v>
      </c>
      <c r="OB33" s="2" t="s">
        <v>119</v>
      </c>
      <c r="OC33" s="5">
        <v>9700000</v>
      </c>
      <c r="OD33" s="2" t="s">
        <v>17</v>
      </c>
      <c r="OE33" s="2" t="s">
        <v>17</v>
      </c>
      <c r="OF33" s="2" t="s">
        <v>85</v>
      </c>
      <c r="OG33" s="6">
        <v>3234491</v>
      </c>
      <c r="OH33" s="6">
        <v>0</v>
      </c>
      <c r="OI33" s="2" t="s">
        <v>93</v>
      </c>
      <c r="OJ33" s="2" t="s">
        <v>93</v>
      </c>
      <c r="OK33" s="6">
        <v>0</v>
      </c>
      <c r="OL33" s="6">
        <v>0</v>
      </c>
      <c r="OM33" s="6">
        <v>0</v>
      </c>
      <c r="ON33" s="6">
        <v>0</v>
      </c>
      <c r="OO33" s="6">
        <v>0</v>
      </c>
      <c r="OP33" s="6">
        <v>0</v>
      </c>
      <c r="OQ33" s="4">
        <v>0</v>
      </c>
      <c r="OR33" s="6">
        <v>0</v>
      </c>
      <c r="OS33" s="4">
        <v>0</v>
      </c>
      <c r="OT33" s="2" t="s">
        <v>17</v>
      </c>
      <c r="OU33" s="2" t="s">
        <v>17</v>
      </c>
      <c r="OV33" s="2"/>
      <c r="OW33" s="2" t="s">
        <v>17</v>
      </c>
      <c r="OX33" s="5">
        <v>6348000</v>
      </c>
      <c r="OY33" s="6">
        <v>99187.5</v>
      </c>
      <c r="OZ33" s="8">
        <v>300000</v>
      </c>
      <c r="PA33" s="8">
        <v>300000</v>
      </c>
      <c r="PB33" s="2"/>
      <c r="PC33" s="2"/>
      <c r="PD33" s="2"/>
      <c r="PE33" s="2"/>
      <c r="PF33" s="8">
        <v>8556763</v>
      </c>
      <c r="PG33" s="2"/>
      <c r="PH33" s="8">
        <v>8556763</v>
      </c>
      <c r="PI33" s="2"/>
      <c r="PJ33" s="2"/>
      <c r="PK33" s="8">
        <v>64000</v>
      </c>
      <c r="PL33" s="8">
        <v>64000</v>
      </c>
      <c r="PM33" s="8">
        <v>892828</v>
      </c>
      <c r="PN33" s="2"/>
      <c r="PO33" s="8">
        <v>892828</v>
      </c>
      <c r="PP33" s="2">
        <v>0</v>
      </c>
      <c r="PQ33" s="2"/>
      <c r="PR33" s="8">
        <v>9813591</v>
      </c>
      <c r="PS33" s="2"/>
      <c r="PT33" s="8">
        <v>9813591</v>
      </c>
      <c r="PU33" s="8">
        <v>1360461</v>
      </c>
      <c r="PV33" s="8">
        <v>1360461</v>
      </c>
      <c r="PW33" s="6">
        <v>1373902</v>
      </c>
      <c r="PX33" s="8">
        <v>11174052</v>
      </c>
      <c r="PY33" s="2"/>
      <c r="PZ33" s="8">
        <v>11174052</v>
      </c>
      <c r="QA33" s="8">
        <v>558702</v>
      </c>
      <c r="QB33" s="8">
        <v>558702</v>
      </c>
      <c r="QC33" s="6">
        <v>558702.6</v>
      </c>
      <c r="QD33" s="8">
        <v>28000</v>
      </c>
      <c r="QE33" s="8">
        <v>7000</v>
      </c>
      <c r="QF33" s="8">
        <v>35000</v>
      </c>
      <c r="QG33" s="8">
        <v>5600</v>
      </c>
      <c r="QH33" s="8">
        <v>5600</v>
      </c>
      <c r="QI33" s="8">
        <v>220800</v>
      </c>
      <c r="QJ33" s="8">
        <v>220800</v>
      </c>
      <c r="QK33" s="8">
        <v>64000</v>
      </c>
      <c r="QL33" s="8">
        <v>64000</v>
      </c>
      <c r="QM33" s="8">
        <v>80000</v>
      </c>
      <c r="QN33" s="2"/>
      <c r="QO33" s="8">
        <v>80000</v>
      </c>
      <c r="QP33" s="8">
        <v>23638</v>
      </c>
      <c r="QQ33" s="8">
        <v>23638</v>
      </c>
      <c r="QR33" s="2"/>
      <c r="QS33" s="2"/>
      <c r="QT33" s="8">
        <v>67200</v>
      </c>
      <c r="QU33" s="2"/>
      <c r="QV33" s="8">
        <v>67200</v>
      </c>
      <c r="QW33" s="8">
        <v>4000</v>
      </c>
      <c r="QX33" s="8">
        <v>4000</v>
      </c>
      <c r="QY33" s="8">
        <v>83750</v>
      </c>
      <c r="QZ33" s="8">
        <v>83750</v>
      </c>
      <c r="RA33" s="8">
        <v>3000</v>
      </c>
      <c r="RB33" s="8">
        <v>3000</v>
      </c>
      <c r="RC33" s="8">
        <v>215900</v>
      </c>
      <c r="RD33" s="8">
        <v>215900</v>
      </c>
      <c r="RE33" s="8">
        <v>26781</v>
      </c>
      <c r="RF33" s="8">
        <v>26781</v>
      </c>
      <c r="RG33" s="8">
        <v>20000</v>
      </c>
      <c r="RH33" s="8">
        <v>20000</v>
      </c>
      <c r="RI33" s="8">
        <v>789342</v>
      </c>
      <c r="RJ33" s="8">
        <v>789342</v>
      </c>
      <c r="RK33" s="8">
        <v>35000</v>
      </c>
      <c r="RL33" s="8">
        <v>2400</v>
      </c>
      <c r="RM33" s="8">
        <v>37400</v>
      </c>
      <c r="RN33" s="8">
        <v>54400</v>
      </c>
      <c r="RO33" s="8">
        <v>8000</v>
      </c>
      <c r="RP33" s="8">
        <v>62400</v>
      </c>
      <c r="RQ33" s="8">
        <v>200000</v>
      </c>
      <c r="RR33" s="8">
        <v>105000</v>
      </c>
      <c r="RS33" s="8">
        <v>305000</v>
      </c>
      <c r="RT33" s="8">
        <v>4500</v>
      </c>
      <c r="RU33" s="2"/>
      <c r="RV33" s="8">
        <v>4500</v>
      </c>
      <c r="RW33" s="8">
        <v>32000</v>
      </c>
      <c r="RX33" s="8">
        <v>32000</v>
      </c>
      <c r="RY33" s="8">
        <v>17189</v>
      </c>
      <c r="RZ33" s="2"/>
      <c r="SA33" s="8">
        <v>17189</v>
      </c>
      <c r="SB33" s="8">
        <v>8500</v>
      </c>
      <c r="SC33" s="8">
        <v>8500</v>
      </c>
      <c r="SD33" s="8">
        <v>12000</v>
      </c>
      <c r="SE33" s="2"/>
      <c r="SF33" s="8">
        <v>12000</v>
      </c>
      <c r="SG33" s="2"/>
      <c r="SH33" s="8">
        <v>74240</v>
      </c>
      <c r="SI33" s="8">
        <v>18560</v>
      </c>
      <c r="SJ33" s="8">
        <v>92800</v>
      </c>
      <c r="SK33" s="8">
        <v>262784</v>
      </c>
      <c r="SL33" s="8">
        <v>262784</v>
      </c>
      <c r="SM33" s="2">
        <v>0</v>
      </c>
      <c r="SN33" s="2">
        <v>0</v>
      </c>
      <c r="SO33" s="2"/>
      <c r="SP33" s="8">
        <v>1971193</v>
      </c>
      <c r="SQ33" s="8">
        <v>502391</v>
      </c>
      <c r="SR33" s="8">
        <v>2473584</v>
      </c>
      <c r="SS33" s="8">
        <v>123679</v>
      </c>
      <c r="ST33" s="2"/>
      <c r="SU33" s="8">
        <v>123679</v>
      </c>
      <c r="SV33" s="6">
        <v>123679.2</v>
      </c>
      <c r="SW33" s="8">
        <v>97000</v>
      </c>
      <c r="SX33" s="8">
        <v>97000</v>
      </c>
      <c r="SY33" s="8">
        <v>6595</v>
      </c>
      <c r="SZ33" s="8">
        <v>630112</v>
      </c>
      <c r="TA33" s="8">
        <v>157528</v>
      </c>
      <c r="TB33" s="8">
        <v>787640</v>
      </c>
      <c r="TC33" s="2">
        <v>0</v>
      </c>
      <c r="TD33" s="2"/>
      <c r="TE33" s="2"/>
      <c r="TF33" s="8">
        <v>32345</v>
      </c>
      <c r="TG33" s="8">
        <v>32345</v>
      </c>
      <c r="TH33" s="8">
        <v>32345</v>
      </c>
      <c r="TI33" s="8">
        <v>60000</v>
      </c>
      <c r="TJ33" s="8">
        <v>60000</v>
      </c>
      <c r="TK33" s="2"/>
      <c r="TL33" s="8">
        <v>482134</v>
      </c>
      <c r="TM33" s="8">
        <v>15000</v>
      </c>
      <c r="TN33" s="8">
        <v>497134</v>
      </c>
      <c r="TO33" s="8">
        <v>1215841</v>
      </c>
      <c r="TP33" s="8">
        <v>297218</v>
      </c>
      <c r="TQ33" s="8">
        <v>1513059</v>
      </c>
      <c r="TR33" s="8">
        <v>15043467</v>
      </c>
      <c r="TS33" s="8">
        <v>799609</v>
      </c>
      <c r="TT33" s="8">
        <v>15843076</v>
      </c>
      <c r="TU33" s="8">
        <v>2851753</v>
      </c>
      <c r="TV33" s="8">
        <v>2851753</v>
      </c>
      <c r="TW33" s="6">
        <v>2851753</v>
      </c>
      <c r="TX33" s="8">
        <v>2851753</v>
      </c>
      <c r="TY33" s="8">
        <v>2851753</v>
      </c>
      <c r="TZ33" s="6">
        <v>2851753</v>
      </c>
      <c r="UA33" s="8">
        <v>745000</v>
      </c>
      <c r="UB33" s="8">
        <v>745000</v>
      </c>
      <c r="UC33" s="8">
        <v>17895220</v>
      </c>
      <c r="UD33" s="8">
        <v>1544609</v>
      </c>
      <c r="UE33" s="8">
        <v>19439829</v>
      </c>
      <c r="UF33" s="2"/>
      <c r="UG33" s="2"/>
      <c r="UH33" s="2">
        <v>9700000</v>
      </c>
      <c r="UI33" s="2" t="s">
        <v>5376</v>
      </c>
      <c r="UJ33" s="8">
        <v>6650700</v>
      </c>
      <c r="UK33" s="2"/>
      <c r="UL33" s="2" t="s">
        <v>96</v>
      </c>
      <c r="UM33" s="8">
        <v>2077248</v>
      </c>
      <c r="UN33" s="8">
        <v>1011881</v>
      </c>
      <c r="UO33" s="8">
        <v>19439829</v>
      </c>
      <c r="UP33" s="2">
        <v>0</v>
      </c>
      <c r="UQ33" s="8">
        <v>3234491</v>
      </c>
      <c r="UR33" s="2" t="s">
        <v>95</v>
      </c>
      <c r="US33" s="2"/>
      <c r="UT33" s="2"/>
      <c r="UU33" s="2">
        <v>100</v>
      </c>
      <c r="UV33" s="2" t="s">
        <v>5373</v>
      </c>
      <c r="UW33" s="8">
        <v>6650700</v>
      </c>
      <c r="UX33" s="2"/>
      <c r="UY33" s="2" t="s">
        <v>96</v>
      </c>
      <c r="UZ33" s="8">
        <v>8746309</v>
      </c>
      <c r="VA33" s="8">
        <v>808229</v>
      </c>
      <c r="VB33" s="8">
        <v>19439829</v>
      </c>
      <c r="VC33" s="6">
        <v>9885291</v>
      </c>
      <c r="VD33" s="2">
        <v>0</v>
      </c>
      <c r="VE33" s="5">
        <v>320000</v>
      </c>
      <c r="VF33" s="5">
        <v>327500</v>
      </c>
      <c r="VG33" s="6">
        <v>292106.7</v>
      </c>
      <c r="VH33" s="2" t="s">
        <v>9</v>
      </c>
      <c r="VI33" s="2" t="s">
        <v>372</v>
      </c>
      <c r="VJ33" s="2" t="s">
        <v>98</v>
      </c>
      <c r="VK33" s="2" t="s">
        <v>417</v>
      </c>
      <c r="VL33" s="23">
        <f t="shared" si="0"/>
        <v>136</v>
      </c>
      <c r="VM33" s="17">
        <f t="shared" si="1"/>
        <v>2.125</v>
      </c>
      <c r="VN33" s="17" t="str">
        <f t="shared" si="2"/>
        <v>NC-GA-F</v>
      </c>
      <c r="VO33" s="17" t="str">
        <f t="shared" si="15"/>
        <v>NC-GA-F-Non</v>
      </c>
      <c r="VP33" s="57">
        <v>1</v>
      </c>
      <c r="VQ33" s="17">
        <f t="shared" si="3"/>
        <v>1.1100000000000001</v>
      </c>
      <c r="VR33" s="57">
        <f t="shared" si="4"/>
        <v>1</v>
      </c>
      <c r="VS33" s="14">
        <f t="shared" si="5"/>
        <v>1</v>
      </c>
      <c r="VT33" s="12">
        <f t="shared" si="6"/>
        <v>0.89</v>
      </c>
      <c r="VU33" s="29">
        <f t="shared" si="7"/>
        <v>5927400.0000000009</v>
      </c>
      <c r="VV33" s="29">
        <f t="shared" si="8"/>
        <v>92615.63</v>
      </c>
      <c r="VW33" s="351" t="str">
        <f t="shared" si="21"/>
        <v>A</v>
      </c>
      <c r="VX33" s="12" t="str">
        <f t="shared" si="9"/>
        <v>NC-GA-Non</v>
      </c>
      <c r="VY33" s="23">
        <f t="shared" si="22"/>
        <v>5</v>
      </c>
      <c r="WA33" s="12">
        <f t="shared" si="16"/>
        <v>0</v>
      </c>
      <c r="WB33" s="12">
        <f t="shared" si="17"/>
        <v>1</v>
      </c>
      <c r="WC33" s="12">
        <f t="shared" si="17"/>
        <v>0</v>
      </c>
      <c r="WD33" s="12">
        <f t="shared" si="17"/>
        <v>0</v>
      </c>
      <c r="WE33" s="12">
        <f t="shared" si="18"/>
        <v>0</v>
      </c>
      <c r="WF33" s="12">
        <f t="shared" si="10"/>
        <v>1</v>
      </c>
      <c r="WG33" s="12">
        <f t="shared" si="11"/>
        <v>0</v>
      </c>
      <c r="WH33" s="12">
        <f t="shared" si="12"/>
        <v>0</v>
      </c>
      <c r="WI33" s="31">
        <f t="shared" si="13"/>
        <v>2</v>
      </c>
      <c r="WJ33" s="2"/>
      <c r="WK33" s="444" t="str">
        <f t="shared" si="23"/>
        <v>NC-GA-Non-BBY-BRN-NPH-F</v>
      </c>
      <c r="WL33" s="444"/>
      <c r="WM33" s="444"/>
    </row>
    <row r="34" spans="1:611" x14ac:dyDescent="0.25">
      <c r="A34" s="2">
        <v>9056</v>
      </c>
      <c r="B34" s="2" t="s">
        <v>5320</v>
      </c>
      <c r="C34" s="2" t="s">
        <v>5063</v>
      </c>
      <c r="D34" s="2">
        <v>8</v>
      </c>
      <c r="E34" s="2">
        <v>30.2</v>
      </c>
      <c r="F34" s="2"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 t="s">
        <v>9</v>
      </c>
      <c r="BV34" s="6">
        <v>111090</v>
      </c>
      <c r="BW34" s="2" t="s">
        <v>18</v>
      </c>
      <c r="BX34" s="3">
        <v>45036</v>
      </c>
      <c r="BY34" s="2" t="s">
        <v>9</v>
      </c>
      <c r="BZ34" s="2">
        <v>1</v>
      </c>
      <c r="CA34" s="2" t="s">
        <v>9</v>
      </c>
      <c r="CB34" s="2">
        <v>1</v>
      </c>
      <c r="CC34" s="2" t="s">
        <v>9</v>
      </c>
      <c r="CD34" s="2">
        <v>0</v>
      </c>
      <c r="CE34" s="2" t="s">
        <v>5321</v>
      </c>
      <c r="CF34" s="2">
        <v>1</v>
      </c>
      <c r="CG34" s="2" t="s">
        <v>10</v>
      </c>
      <c r="CH34" s="2">
        <v>0</v>
      </c>
      <c r="CI34" s="2" t="s">
        <v>10</v>
      </c>
      <c r="CJ34" s="2">
        <v>0</v>
      </c>
      <c r="CK34" s="2" t="s">
        <v>11</v>
      </c>
      <c r="CL34" s="2">
        <v>0</v>
      </c>
      <c r="CM34" s="2" t="s">
        <v>9</v>
      </c>
      <c r="CN34" s="2">
        <v>2</v>
      </c>
      <c r="CO34" s="2" t="s">
        <v>9</v>
      </c>
      <c r="CP34" s="2">
        <v>2</v>
      </c>
      <c r="CQ34" s="2" t="s">
        <v>9</v>
      </c>
      <c r="CR34" s="2">
        <v>2</v>
      </c>
      <c r="CS34" s="2" t="s">
        <v>12</v>
      </c>
      <c r="CT34" s="2" t="s">
        <v>944</v>
      </c>
      <c r="CU34" s="2" t="s">
        <v>282</v>
      </c>
      <c r="CV34" s="2" t="s">
        <v>123</v>
      </c>
      <c r="CW34" s="2" t="s">
        <v>15</v>
      </c>
      <c r="CX34" s="2" t="s">
        <v>15</v>
      </c>
      <c r="CY34" s="2" t="s">
        <v>15</v>
      </c>
      <c r="CZ34" s="2">
        <v>3</v>
      </c>
      <c r="DA34" s="2" t="s">
        <v>283</v>
      </c>
      <c r="DB34" s="2" t="s">
        <v>17</v>
      </c>
      <c r="DC34" s="4">
        <v>0.15625</v>
      </c>
      <c r="DD34" s="2" t="s">
        <v>17</v>
      </c>
      <c r="DE34" s="2" t="s">
        <v>9</v>
      </c>
      <c r="DF34" s="2" t="s">
        <v>17</v>
      </c>
      <c r="DG34" s="2" t="s">
        <v>9</v>
      </c>
      <c r="DH34" s="2" t="s">
        <v>17</v>
      </c>
      <c r="DI34" s="2" t="s">
        <v>17</v>
      </c>
      <c r="DJ34" s="2" t="s">
        <v>17</v>
      </c>
      <c r="DK34" s="2" t="s">
        <v>17</v>
      </c>
      <c r="DL34" s="2" t="s">
        <v>17</v>
      </c>
      <c r="DM34" s="2" t="s">
        <v>17</v>
      </c>
      <c r="DN34" s="2" t="s">
        <v>2663</v>
      </c>
      <c r="DO34" s="2">
        <v>5</v>
      </c>
      <c r="DP34" s="5">
        <v>75000</v>
      </c>
      <c r="DQ34" s="5">
        <v>610000</v>
      </c>
      <c r="DR34" s="2">
        <v>0</v>
      </c>
      <c r="DS34" s="2">
        <v>8</v>
      </c>
      <c r="DT34" s="2">
        <v>0</v>
      </c>
      <c r="DU34" s="2">
        <v>6</v>
      </c>
      <c r="DV34" s="2">
        <v>0</v>
      </c>
      <c r="DW34" s="2">
        <v>0</v>
      </c>
      <c r="DX34" s="2">
        <v>0</v>
      </c>
      <c r="DY34" s="2">
        <v>3</v>
      </c>
      <c r="DZ34" s="2">
        <v>1</v>
      </c>
      <c r="EA34" s="2">
        <v>0</v>
      </c>
      <c r="EB34" s="2">
        <v>0</v>
      </c>
      <c r="EC34" s="2">
        <v>0</v>
      </c>
      <c r="ED34" s="2">
        <v>13</v>
      </c>
      <c r="EE34" s="2">
        <v>1</v>
      </c>
      <c r="EF34" s="2">
        <v>0</v>
      </c>
      <c r="EG34" s="2">
        <v>3</v>
      </c>
      <c r="EH34" s="2">
        <v>0</v>
      </c>
      <c r="EI34" s="2">
        <v>14</v>
      </c>
      <c r="EJ34" s="2">
        <v>11</v>
      </c>
      <c r="EK34" s="2">
        <v>0</v>
      </c>
      <c r="EL34" s="2" t="s">
        <v>17</v>
      </c>
      <c r="EM34" s="2" t="s">
        <v>17</v>
      </c>
      <c r="EN34" s="2" t="s">
        <v>17</v>
      </c>
      <c r="EO34" s="2" t="s">
        <v>17</v>
      </c>
      <c r="EP34" s="2" t="s">
        <v>17</v>
      </c>
      <c r="EQ34" s="2" t="s">
        <v>17</v>
      </c>
      <c r="ER34" s="2" t="s">
        <v>17</v>
      </c>
      <c r="ES34" s="2" t="s">
        <v>17</v>
      </c>
      <c r="ET34" s="2" t="s">
        <v>4612</v>
      </c>
      <c r="EU34" s="2"/>
      <c r="EV34" s="2"/>
      <c r="EW34" s="2" t="s">
        <v>9</v>
      </c>
      <c r="EX34" s="2" t="s">
        <v>1231</v>
      </c>
      <c r="EY34" s="2" t="s">
        <v>4612</v>
      </c>
      <c r="EZ34" s="2" t="s">
        <v>1237</v>
      </c>
      <c r="FA34" s="2" t="s">
        <v>1238</v>
      </c>
      <c r="FB34" s="2">
        <v>60</v>
      </c>
      <c r="FC34" s="2" t="s">
        <v>5309</v>
      </c>
      <c r="FD34" s="2">
        <v>2021</v>
      </c>
      <c r="FE34" s="2" t="s">
        <v>26</v>
      </c>
      <c r="FF34" s="2" t="s">
        <v>4210</v>
      </c>
      <c r="FG34" s="2" t="s">
        <v>812</v>
      </c>
      <c r="FH34" s="2"/>
      <c r="FI34" s="2" t="s">
        <v>948</v>
      </c>
      <c r="FJ34" s="2" t="s">
        <v>1239</v>
      </c>
      <c r="FK34" s="2">
        <v>1</v>
      </c>
      <c r="FL34" s="2" t="s">
        <v>1240</v>
      </c>
      <c r="FM34" s="2" t="s">
        <v>479</v>
      </c>
      <c r="FN34" s="2" t="s">
        <v>4613</v>
      </c>
      <c r="FO34" s="2" t="s">
        <v>63</v>
      </c>
      <c r="FP34" s="2" t="s">
        <v>9</v>
      </c>
      <c r="FQ34" s="2" t="s">
        <v>17</v>
      </c>
      <c r="FR34" s="2" t="s">
        <v>17</v>
      </c>
      <c r="FS34" s="2" t="s">
        <v>9</v>
      </c>
      <c r="FT34" s="2">
        <v>0</v>
      </c>
      <c r="FU34" s="2">
        <v>0</v>
      </c>
      <c r="FV34" s="4">
        <v>0</v>
      </c>
      <c r="FW34" s="4">
        <v>0</v>
      </c>
      <c r="FX34" s="2" t="s">
        <v>65</v>
      </c>
      <c r="FY34" s="2" t="s">
        <v>66</v>
      </c>
      <c r="FZ34" s="2" t="s">
        <v>17</v>
      </c>
      <c r="GA34" s="2"/>
      <c r="GB34" s="2"/>
      <c r="GC34" s="2"/>
      <c r="GD34" s="2" t="s">
        <v>67</v>
      </c>
      <c r="GE34" s="2" t="s">
        <v>68</v>
      </c>
      <c r="GF34" s="2"/>
      <c r="GG34" s="2"/>
      <c r="GH34" s="2">
        <v>64</v>
      </c>
      <c r="GI34" s="2"/>
      <c r="GJ34" s="2"/>
      <c r="GK34" s="2"/>
      <c r="GL34" s="2"/>
      <c r="GM34" s="2"/>
      <c r="GN34" s="2"/>
      <c r="GO34" s="2"/>
      <c r="GP34" s="2"/>
      <c r="GQ34" s="2">
        <v>64</v>
      </c>
      <c r="GR34" s="2" t="s">
        <v>2802</v>
      </c>
      <c r="GS34" s="2" t="s">
        <v>2686</v>
      </c>
      <c r="GT34" s="2">
        <v>3</v>
      </c>
      <c r="GU34" s="2" t="s">
        <v>4614</v>
      </c>
      <c r="GV34" s="2" t="s">
        <v>1144</v>
      </c>
      <c r="GW34" s="2" t="s">
        <v>17</v>
      </c>
      <c r="GX34" s="2">
        <v>27.867979999999999</v>
      </c>
      <c r="GY34" s="2">
        <v>-82.639775999999998</v>
      </c>
      <c r="GZ34" s="2"/>
      <c r="HA34" s="2" t="s">
        <v>17</v>
      </c>
      <c r="HB34" s="2">
        <v>0</v>
      </c>
      <c r="HC34" s="2" t="s">
        <v>17</v>
      </c>
      <c r="HD34" s="2"/>
      <c r="HE34" s="2">
        <v>0</v>
      </c>
      <c r="HF34" s="2">
        <v>27.871448999999998</v>
      </c>
      <c r="HG34" s="2">
        <v>-82.639009000000001</v>
      </c>
      <c r="HH34" s="2">
        <v>0.24</v>
      </c>
      <c r="HI34" s="2">
        <v>5.5</v>
      </c>
      <c r="HJ34" s="2">
        <v>27.869133000000001</v>
      </c>
      <c r="HK34" s="2">
        <v>-82.647197000000006</v>
      </c>
      <c r="HL34" s="2">
        <v>0.46</v>
      </c>
      <c r="HM34" s="2">
        <v>27.866387</v>
      </c>
      <c r="HN34" s="2">
        <v>-82.646844999999999</v>
      </c>
      <c r="HO34" s="2">
        <v>0.45</v>
      </c>
      <c r="HP34" s="2"/>
      <c r="HQ34" s="2"/>
      <c r="HR34" s="2"/>
      <c r="HS34" s="2"/>
      <c r="HT34" s="2"/>
      <c r="HU34" s="2"/>
      <c r="HV34" s="2"/>
      <c r="HW34" s="2"/>
      <c r="HX34" s="2" t="s">
        <v>73</v>
      </c>
      <c r="HY34" s="2" t="s">
        <v>112</v>
      </c>
      <c r="HZ34" s="2" t="s">
        <v>4615</v>
      </c>
      <c r="IA34" s="2">
        <v>0.39</v>
      </c>
      <c r="IB34" s="2">
        <v>3.5</v>
      </c>
      <c r="IC34" s="2" t="s">
        <v>4616</v>
      </c>
      <c r="ID34" s="2" t="s">
        <v>4617</v>
      </c>
      <c r="IE34" s="2">
        <v>1.07</v>
      </c>
      <c r="IF34" s="2">
        <v>2</v>
      </c>
      <c r="IG34" s="2" t="s">
        <v>115</v>
      </c>
      <c r="IH34" s="2" t="s">
        <v>4615</v>
      </c>
      <c r="II34" s="2">
        <v>0.39</v>
      </c>
      <c r="IJ34" s="2">
        <v>3.5</v>
      </c>
      <c r="IK34" s="2"/>
      <c r="IL34" s="2"/>
      <c r="IM34" s="2"/>
      <c r="IN34" s="2"/>
      <c r="IO34" s="2">
        <v>5.5</v>
      </c>
      <c r="IP34" s="2">
        <v>9</v>
      </c>
      <c r="IQ34" s="2">
        <v>0</v>
      </c>
      <c r="IR34" s="2">
        <v>14.5</v>
      </c>
      <c r="IS34" s="2" t="s">
        <v>17</v>
      </c>
      <c r="IT34" s="2" t="s">
        <v>17</v>
      </c>
      <c r="IU34" s="2" t="s">
        <v>17</v>
      </c>
      <c r="IV34" s="2" t="s">
        <v>9</v>
      </c>
      <c r="IW34" s="2" t="s">
        <v>9</v>
      </c>
      <c r="IX34" s="2" t="s">
        <v>9</v>
      </c>
      <c r="IY34" s="2">
        <v>14.5</v>
      </c>
      <c r="IZ34" s="2">
        <v>64</v>
      </c>
      <c r="JA34" s="2"/>
      <c r="JB34" s="2"/>
      <c r="JC34" s="2"/>
      <c r="JD34" s="2"/>
      <c r="JE34" s="2"/>
      <c r="JF34" s="2"/>
      <c r="JG34" s="2"/>
      <c r="JH34" s="7">
        <v>0</v>
      </c>
      <c r="JI34" s="2">
        <v>0</v>
      </c>
      <c r="JJ34" s="7">
        <v>0</v>
      </c>
      <c r="JK34" s="2">
        <v>0</v>
      </c>
      <c r="JL34" s="7">
        <v>0</v>
      </c>
      <c r="JM34" s="2">
        <v>10</v>
      </c>
      <c r="JN34" s="2"/>
      <c r="JO34" s="2">
        <v>39</v>
      </c>
      <c r="JP34" s="2"/>
      <c r="JQ34" s="2">
        <v>15</v>
      </c>
      <c r="JR34" s="2">
        <v>0</v>
      </c>
      <c r="JS34" s="2">
        <v>0</v>
      </c>
      <c r="JT34" s="2"/>
      <c r="JU34" s="2"/>
      <c r="JV34" s="2">
        <v>64</v>
      </c>
      <c r="JW34" s="4">
        <v>1</v>
      </c>
      <c r="JX34" s="2">
        <v>64</v>
      </c>
      <c r="JY34" s="4">
        <v>0.6</v>
      </c>
      <c r="JZ34" s="2">
        <v>0</v>
      </c>
      <c r="KA34" s="2"/>
      <c r="KB34" s="2"/>
      <c r="KC34" s="2"/>
      <c r="KD34" s="2"/>
      <c r="KE34" s="2"/>
      <c r="KF34" s="2"/>
      <c r="KG34" s="2"/>
      <c r="KH34" s="2">
        <v>24</v>
      </c>
      <c r="KI34" s="2"/>
      <c r="KJ34" s="2"/>
      <c r="KK34" s="2">
        <v>40</v>
      </c>
      <c r="KL34" s="2"/>
      <c r="KM34" s="2"/>
      <c r="KN34" s="2"/>
      <c r="KO34" s="2"/>
      <c r="KP34" s="2"/>
      <c r="KQ34" s="2" t="s">
        <v>83</v>
      </c>
      <c r="KR34" s="2" t="s">
        <v>73</v>
      </c>
      <c r="KS34" s="2"/>
      <c r="KT34" s="2">
        <v>3</v>
      </c>
      <c r="KU34" s="2" t="s">
        <v>84</v>
      </c>
      <c r="KV34" s="2" t="s">
        <v>85</v>
      </c>
      <c r="KW34" s="2" t="s">
        <v>86</v>
      </c>
      <c r="KX34" s="2" t="s">
        <v>17</v>
      </c>
      <c r="KY34" s="2" t="s">
        <v>17</v>
      </c>
      <c r="KZ34" s="2" t="s">
        <v>17</v>
      </c>
      <c r="LA34" s="2" t="s">
        <v>17</v>
      </c>
      <c r="LB34" s="2" t="s">
        <v>17</v>
      </c>
      <c r="LC34" s="2" t="s">
        <v>17</v>
      </c>
      <c r="LD34" s="2" t="s">
        <v>17</v>
      </c>
      <c r="LE34" s="2" t="s">
        <v>17</v>
      </c>
      <c r="LF34" s="2" t="s">
        <v>17</v>
      </c>
      <c r="LG34" s="2" t="s">
        <v>17</v>
      </c>
      <c r="LH34" s="2" t="s">
        <v>17</v>
      </c>
      <c r="LI34" s="2" t="s">
        <v>17</v>
      </c>
      <c r="LJ34" s="2" t="s">
        <v>87</v>
      </c>
      <c r="LK34" s="2" t="s">
        <v>17</v>
      </c>
      <c r="LL34" s="2" t="s">
        <v>17</v>
      </c>
      <c r="LM34" s="2">
        <v>0</v>
      </c>
      <c r="LN34" s="2" t="s">
        <v>17</v>
      </c>
      <c r="LO34" s="2" t="s">
        <v>9</v>
      </c>
      <c r="LP34" s="2" t="s">
        <v>9</v>
      </c>
      <c r="LQ34" s="2" t="s">
        <v>17</v>
      </c>
      <c r="LR34" s="2" t="s">
        <v>9</v>
      </c>
      <c r="LS34" s="2" t="s">
        <v>17</v>
      </c>
      <c r="LT34" s="2" t="s">
        <v>17</v>
      </c>
      <c r="LU34" s="2" t="s">
        <v>17</v>
      </c>
      <c r="LV34" s="2" t="s">
        <v>17</v>
      </c>
      <c r="LW34" s="2" t="s">
        <v>17</v>
      </c>
      <c r="LX34" s="2" t="s">
        <v>17</v>
      </c>
      <c r="LY34" s="5">
        <v>6720000</v>
      </c>
      <c r="LZ34" s="5">
        <v>0</v>
      </c>
      <c r="MA34" s="5">
        <v>6720000</v>
      </c>
      <c r="MB34" s="5">
        <v>6720000</v>
      </c>
      <c r="MC34" s="5">
        <v>6720000</v>
      </c>
      <c r="MD34" s="5">
        <v>611300</v>
      </c>
      <c r="ME34" s="5">
        <v>611300</v>
      </c>
      <c r="MF34" s="5">
        <v>611300</v>
      </c>
      <c r="MG34" s="5">
        <v>7331300</v>
      </c>
      <c r="MH34" s="2">
        <v>0</v>
      </c>
      <c r="MI34" s="5">
        <v>0</v>
      </c>
      <c r="MJ34" s="5">
        <v>0</v>
      </c>
      <c r="MK34" s="2">
        <v>0</v>
      </c>
      <c r="ML34" s="2">
        <v>0</v>
      </c>
      <c r="MM34" s="2">
        <v>0</v>
      </c>
      <c r="MN34" s="5">
        <v>2950000</v>
      </c>
      <c r="MO34" s="5">
        <v>0</v>
      </c>
      <c r="MP34" s="5">
        <v>4600000</v>
      </c>
      <c r="MQ34" s="5">
        <v>0</v>
      </c>
      <c r="MR34" s="5">
        <v>0</v>
      </c>
      <c r="MS34" s="5">
        <v>0</v>
      </c>
      <c r="MT34" s="5">
        <v>0</v>
      </c>
      <c r="MU34" s="5">
        <v>2080000</v>
      </c>
      <c r="MV34" s="5">
        <v>0</v>
      </c>
      <c r="MW34" s="5">
        <v>0</v>
      </c>
      <c r="MX34" s="5">
        <v>0</v>
      </c>
      <c r="MY34" s="5">
        <v>0</v>
      </c>
      <c r="MZ34" s="5">
        <v>0</v>
      </c>
      <c r="NA34" s="5">
        <v>966608</v>
      </c>
      <c r="NB34" s="2" t="s">
        <v>17</v>
      </c>
      <c r="NC34" s="2"/>
      <c r="ND34" s="2"/>
      <c r="NE34" s="2"/>
      <c r="NF34" s="2"/>
      <c r="NG34" s="2"/>
      <c r="NH34" s="2"/>
      <c r="NI34" s="61">
        <v>0</v>
      </c>
      <c r="NJ34" s="61"/>
      <c r="NK34" s="61"/>
      <c r="NL34" s="61"/>
      <c r="NM34" s="2" t="s">
        <v>17</v>
      </c>
      <c r="NN34" s="2"/>
      <c r="NO34" s="2" t="s">
        <v>9</v>
      </c>
      <c r="NP34" s="2">
        <v>33716</v>
      </c>
      <c r="NQ34" s="2" t="s">
        <v>3249</v>
      </c>
      <c r="NR34" s="2" t="s">
        <v>17</v>
      </c>
      <c r="NS34" s="2"/>
      <c r="NT34" s="2" t="s">
        <v>17</v>
      </c>
      <c r="NU34" s="2"/>
      <c r="NV34" s="2"/>
      <c r="NW34" s="2"/>
      <c r="NX34" s="2" t="s">
        <v>118</v>
      </c>
      <c r="NY34" s="2" t="s">
        <v>118</v>
      </c>
      <c r="NZ34" s="2" t="s">
        <v>118</v>
      </c>
      <c r="OA34" s="2" t="s">
        <v>17</v>
      </c>
      <c r="OB34" s="2" t="s">
        <v>119</v>
      </c>
      <c r="OC34" s="5">
        <v>11500000</v>
      </c>
      <c r="OD34" s="2" t="s">
        <v>17</v>
      </c>
      <c r="OE34" s="2" t="s">
        <v>17</v>
      </c>
      <c r="OF34" s="2" t="s">
        <v>85</v>
      </c>
      <c r="OG34" s="6">
        <v>3800000</v>
      </c>
      <c r="OH34" s="6">
        <v>0</v>
      </c>
      <c r="OI34" s="2" t="s">
        <v>93</v>
      </c>
      <c r="OJ34" s="2" t="s">
        <v>93</v>
      </c>
      <c r="OK34" s="6">
        <v>0</v>
      </c>
      <c r="OL34" s="6">
        <v>0</v>
      </c>
      <c r="OM34" s="6">
        <v>0</v>
      </c>
      <c r="ON34" s="6">
        <v>0</v>
      </c>
      <c r="OO34" s="6">
        <v>0</v>
      </c>
      <c r="OP34" s="6">
        <v>0</v>
      </c>
      <c r="OQ34" s="4">
        <v>0</v>
      </c>
      <c r="OR34" s="6">
        <v>0</v>
      </c>
      <c r="OS34" s="4">
        <v>0</v>
      </c>
      <c r="OT34" s="2" t="s">
        <v>17</v>
      </c>
      <c r="OU34" s="2" t="s">
        <v>17</v>
      </c>
      <c r="OV34" s="2"/>
      <c r="OW34" s="2" t="s">
        <v>17</v>
      </c>
      <c r="OX34" s="5">
        <v>7109760</v>
      </c>
      <c r="OY34" s="6">
        <v>111090</v>
      </c>
      <c r="OZ34" s="2"/>
      <c r="PA34" s="2"/>
      <c r="PB34" s="2"/>
      <c r="PC34" s="2"/>
      <c r="PD34" s="2"/>
      <c r="PE34" s="2"/>
      <c r="PF34" s="8">
        <v>9128330</v>
      </c>
      <c r="PG34" s="2"/>
      <c r="PH34" s="8">
        <v>9128330</v>
      </c>
      <c r="PI34" s="2"/>
      <c r="PJ34" s="2"/>
      <c r="PK34" s="8">
        <v>324859</v>
      </c>
      <c r="PL34" s="8">
        <v>324859</v>
      </c>
      <c r="PM34" s="8">
        <v>1500000</v>
      </c>
      <c r="PN34" s="2"/>
      <c r="PO34" s="8">
        <v>1500000</v>
      </c>
      <c r="PP34" s="2"/>
      <c r="PQ34" s="2"/>
      <c r="PR34" s="8">
        <v>10953189</v>
      </c>
      <c r="PS34" s="2"/>
      <c r="PT34" s="8">
        <v>10953189</v>
      </c>
      <c r="PU34" s="8">
        <v>1487966</v>
      </c>
      <c r="PV34" s="8">
        <v>1487966</v>
      </c>
      <c r="PW34" s="6">
        <v>1533446</v>
      </c>
      <c r="PX34" s="8">
        <v>12441155</v>
      </c>
      <c r="PY34" s="2"/>
      <c r="PZ34" s="8">
        <v>12441155</v>
      </c>
      <c r="QA34" s="8">
        <v>605815</v>
      </c>
      <c r="QB34" s="8">
        <v>605815</v>
      </c>
      <c r="QC34" s="6">
        <v>622057.75</v>
      </c>
      <c r="QD34" s="8">
        <v>50000</v>
      </c>
      <c r="QE34" s="2"/>
      <c r="QF34" s="8">
        <v>50000</v>
      </c>
      <c r="QG34" s="8">
        <v>6500</v>
      </c>
      <c r="QH34" s="8">
        <v>6500</v>
      </c>
      <c r="QI34" s="8">
        <v>224000</v>
      </c>
      <c r="QJ34" s="8">
        <v>224000</v>
      </c>
      <c r="QK34" s="8">
        <v>75000</v>
      </c>
      <c r="QL34" s="8">
        <v>75000</v>
      </c>
      <c r="QM34" s="8">
        <v>94462</v>
      </c>
      <c r="QN34" s="2"/>
      <c r="QO34" s="8">
        <v>94462</v>
      </c>
      <c r="QP34" s="8">
        <v>79712</v>
      </c>
      <c r="QQ34" s="8">
        <v>79712</v>
      </c>
      <c r="QR34" s="8">
        <v>5000</v>
      </c>
      <c r="QS34" s="8">
        <v>5000</v>
      </c>
      <c r="QT34" s="8">
        <v>125000</v>
      </c>
      <c r="QU34" s="2"/>
      <c r="QV34" s="8">
        <v>125000</v>
      </c>
      <c r="QW34" s="8">
        <v>7500</v>
      </c>
      <c r="QX34" s="8">
        <v>7500</v>
      </c>
      <c r="QY34" s="8">
        <v>72757</v>
      </c>
      <c r="QZ34" s="8">
        <v>72757</v>
      </c>
      <c r="RA34" s="8">
        <v>3000</v>
      </c>
      <c r="RB34" s="8">
        <v>3000</v>
      </c>
      <c r="RC34" s="8">
        <v>130000</v>
      </c>
      <c r="RD34" s="8">
        <v>130000</v>
      </c>
      <c r="RE34" s="8">
        <v>50000</v>
      </c>
      <c r="RF34" s="8">
        <v>50000</v>
      </c>
      <c r="RG34" s="8">
        <v>45000</v>
      </c>
      <c r="RH34" s="8">
        <v>45000</v>
      </c>
      <c r="RI34" s="8">
        <v>158468</v>
      </c>
      <c r="RJ34" s="8">
        <v>158468</v>
      </c>
      <c r="RK34" s="8">
        <v>30000</v>
      </c>
      <c r="RL34" s="2"/>
      <c r="RM34" s="8">
        <v>30000</v>
      </c>
      <c r="RN34" s="8">
        <v>19200</v>
      </c>
      <c r="RO34" s="2"/>
      <c r="RP34" s="8">
        <v>19200</v>
      </c>
      <c r="RQ34" s="8">
        <v>195000</v>
      </c>
      <c r="RR34" s="8">
        <v>105000</v>
      </c>
      <c r="RS34" s="8">
        <v>300000</v>
      </c>
      <c r="RT34" s="8">
        <v>3500</v>
      </c>
      <c r="RU34" s="2"/>
      <c r="RV34" s="8">
        <v>3500</v>
      </c>
      <c r="RW34" s="8">
        <v>75000</v>
      </c>
      <c r="RX34" s="8">
        <v>75000</v>
      </c>
      <c r="RY34" s="2"/>
      <c r="RZ34" s="2"/>
      <c r="SA34" s="2"/>
      <c r="SB34" s="2"/>
      <c r="SC34" s="2"/>
      <c r="SD34" s="8">
        <v>10000</v>
      </c>
      <c r="SE34" s="2"/>
      <c r="SF34" s="8">
        <v>10000</v>
      </c>
      <c r="SG34" s="2"/>
      <c r="SH34" s="8">
        <v>45170</v>
      </c>
      <c r="SI34" s="8">
        <v>7971</v>
      </c>
      <c r="SJ34" s="8">
        <v>53141</v>
      </c>
      <c r="SK34" s="8">
        <v>160000</v>
      </c>
      <c r="SL34" s="8">
        <v>160000</v>
      </c>
      <c r="SM34" s="8">
        <v>258640</v>
      </c>
      <c r="SN34" s="2"/>
      <c r="SO34" s="8">
        <v>258640</v>
      </c>
      <c r="SP34" s="8">
        <v>1592152</v>
      </c>
      <c r="SQ34" s="8">
        <v>443728</v>
      </c>
      <c r="SR34" s="8">
        <v>2035880</v>
      </c>
      <c r="SS34" s="8">
        <v>68898</v>
      </c>
      <c r="ST34" s="8">
        <v>5109</v>
      </c>
      <c r="SU34" s="8">
        <v>74007</v>
      </c>
      <c r="SV34" s="6">
        <v>101794</v>
      </c>
      <c r="SW34" s="8" t="s">
        <v>5371</v>
      </c>
      <c r="SX34" s="8">
        <v>301000</v>
      </c>
      <c r="SY34" s="2"/>
      <c r="SZ34" s="8">
        <v>828000</v>
      </c>
      <c r="TA34" s="8">
        <v>276000</v>
      </c>
      <c r="TB34" s="8">
        <v>1104000</v>
      </c>
      <c r="TC34" s="8">
        <v>241913</v>
      </c>
      <c r="TD34" s="8">
        <v>143373</v>
      </c>
      <c r="TE34" s="8">
        <v>385286</v>
      </c>
      <c r="TF34" s="8">
        <v>75000</v>
      </c>
      <c r="TG34" s="8">
        <v>75000</v>
      </c>
      <c r="TH34" s="2"/>
      <c r="TI34" s="2"/>
      <c r="TJ34" s="2"/>
      <c r="TK34" s="2"/>
      <c r="TL34" s="2"/>
      <c r="TM34" s="2"/>
      <c r="TN34" s="2"/>
      <c r="TO34" s="8">
        <v>1218163</v>
      </c>
      <c r="TP34" s="8">
        <v>647123</v>
      </c>
      <c r="TQ34" s="8">
        <v>1865286</v>
      </c>
      <c r="TR34" s="8">
        <v>15926183</v>
      </c>
      <c r="TS34" s="8">
        <v>1095960</v>
      </c>
      <c r="TT34" s="8">
        <v>17022143</v>
      </c>
      <c r="TU34" s="8">
        <v>3005511</v>
      </c>
      <c r="TV34" s="8">
        <v>3005511</v>
      </c>
      <c r="TW34" s="6">
        <v>3063985</v>
      </c>
      <c r="TX34" s="8">
        <v>3005511</v>
      </c>
      <c r="TY34" s="8">
        <v>3005511</v>
      </c>
      <c r="TZ34" s="6">
        <v>3063985</v>
      </c>
      <c r="UA34" s="8">
        <v>2900000</v>
      </c>
      <c r="UB34" s="8">
        <v>2900000</v>
      </c>
      <c r="UC34" s="8">
        <v>18931694</v>
      </c>
      <c r="UD34" s="8">
        <v>3995960</v>
      </c>
      <c r="UE34" s="8">
        <v>22927654</v>
      </c>
      <c r="UF34" s="8">
        <v>11500000</v>
      </c>
      <c r="UG34" s="2" t="s">
        <v>4295</v>
      </c>
      <c r="UH34" s="2"/>
      <c r="UI34" s="2"/>
      <c r="UJ34" s="8">
        <v>7331300</v>
      </c>
      <c r="UK34" s="2"/>
      <c r="UL34" s="2" t="s">
        <v>96</v>
      </c>
      <c r="UM34" s="8">
        <v>2271302</v>
      </c>
      <c r="UN34" s="8">
        <v>2900000</v>
      </c>
      <c r="UO34" s="8">
        <v>24002602</v>
      </c>
      <c r="UP34" s="8">
        <v>1074948</v>
      </c>
      <c r="UQ34" s="8">
        <v>3800000</v>
      </c>
      <c r="UR34" s="2" t="s">
        <v>4295</v>
      </c>
      <c r="US34" s="2"/>
      <c r="UT34" s="2"/>
      <c r="UU34" s="2"/>
      <c r="UV34" s="2"/>
      <c r="UW34" s="8">
        <v>7331300</v>
      </c>
      <c r="UX34" s="2"/>
      <c r="UY34" s="2" t="s">
        <v>96</v>
      </c>
      <c r="UZ34" s="8">
        <v>9085206</v>
      </c>
      <c r="VA34" s="8">
        <v>2900000</v>
      </c>
      <c r="VB34" s="8">
        <v>23116506</v>
      </c>
      <c r="VC34" s="6">
        <v>11131300</v>
      </c>
      <c r="VD34" s="8">
        <v>188852</v>
      </c>
      <c r="VE34" s="5">
        <v>320000</v>
      </c>
      <c r="VF34" s="5">
        <v>327500</v>
      </c>
      <c r="VG34" s="6">
        <v>312932.09000000003</v>
      </c>
      <c r="VH34" s="2" t="s">
        <v>9</v>
      </c>
      <c r="VI34" s="2" t="s">
        <v>1231</v>
      </c>
      <c r="VJ34" s="2" t="s">
        <v>98</v>
      </c>
      <c r="VK34" s="2" t="s">
        <v>1247</v>
      </c>
      <c r="VL34" s="23">
        <f t="shared" si="0"/>
        <v>104</v>
      </c>
      <c r="VM34" s="17">
        <f t="shared" si="1"/>
        <v>1.625</v>
      </c>
      <c r="VN34" s="17" t="str">
        <f t="shared" si="2"/>
        <v>NC-GA-F</v>
      </c>
      <c r="VO34" s="17" t="str">
        <f t="shared" si="15"/>
        <v>NC-GA-F-Non</v>
      </c>
      <c r="VP34" s="57">
        <v>1</v>
      </c>
      <c r="VQ34" s="17">
        <f t="shared" si="3"/>
        <v>1.1100000000000001</v>
      </c>
      <c r="VR34" s="57">
        <f t="shared" si="4"/>
        <v>1</v>
      </c>
      <c r="VS34" s="14">
        <f t="shared" si="5"/>
        <v>1</v>
      </c>
      <c r="VT34" s="12">
        <f t="shared" si="6"/>
        <v>0.89</v>
      </c>
      <c r="VU34" s="29">
        <f t="shared" si="7"/>
        <v>6638688.0000000009</v>
      </c>
      <c r="VV34" s="29">
        <f t="shared" si="8"/>
        <v>103729.5</v>
      </c>
      <c r="VW34" s="351" t="str">
        <f t="shared" si="21"/>
        <v>B</v>
      </c>
      <c r="VX34" s="12" t="str">
        <f t="shared" si="9"/>
        <v>NC-GA-Non</v>
      </c>
      <c r="VY34" s="23">
        <f t="shared" si="22"/>
        <v>5</v>
      </c>
      <c r="WA34" s="12">
        <f t="shared" si="16"/>
        <v>0</v>
      </c>
      <c r="WB34" s="12">
        <f t="shared" si="17"/>
        <v>1</v>
      </c>
      <c r="WC34" s="12">
        <f t="shared" si="17"/>
        <v>0</v>
      </c>
      <c r="WD34" s="12">
        <f t="shared" si="17"/>
        <v>0</v>
      </c>
      <c r="WE34" s="12">
        <f t="shared" si="18"/>
        <v>0</v>
      </c>
      <c r="WF34" s="12">
        <f t="shared" si="10"/>
        <v>1</v>
      </c>
      <c r="WG34" s="12">
        <f t="shared" si="11"/>
        <v>0</v>
      </c>
      <c r="WH34" s="12">
        <f t="shared" si="12"/>
        <v>0</v>
      </c>
      <c r="WI34" s="31">
        <f t="shared" si="13"/>
        <v>2</v>
      </c>
      <c r="WJ34" s="2"/>
      <c r="WK34" s="444" t="str">
        <f t="shared" si="23"/>
        <v>NC-GA-Non-BBY-BRN-NPH-F</v>
      </c>
      <c r="WL34" s="444"/>
      <c r="WM34" s="444"/>
    </row>
    <row r="35" spans="1:611" x14ac:dyDescent="0.25">
      <c r="A35" s="172"/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6"/>
      <c r="BW35" s="172"/>
      <c r="BX35" s="173"/>
      <c r="BY35" s="172"/>
      <c r="BZ35" s="172"/>
      <c r="CA35" s="172"/>
      <c r="CB35" s="172"/>
      <c r="CC35" s="172"/>
      <c r="CD35" s="172"/>
      <c r="CE35" s="17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4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18"/>
      <c r="DO35" s="2"/>
      <c r="DP35" s="5"/>
      <c r="DQ35" s="5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172"/>
      <c r="FO35" s="172"/>
      <c r="FP35" s="172"/>
      <c r="FQ35" s="172"/>
      <c r="FR35" s="172"/>
      <c r="FS35" s="172"/>
      <c r="FT35" s="172"/>
      <c r="FU35" s="172"/>
      <c r="FV35" s="174"/>
      <c r="FW35" s="174"/>
      <c r="FX35" s="172"/>
      <c r="FY35" s="172"/>
      <c r="FZ35" s="172"/>
      <c r="GA35" s="172"/>
      <c r="GB35" s="172"/>
      <c r="GC35" s="172"/>
      <c r="GD35" s="172"/>
      <c r="GE35" s="172"/>
      <c r="GF35" s="172"/>
      <c r="GG35" s="172"/>
      <c r="GH35" s="172"/>
      <c r="GI35" s="172"/>
      <c r="GJ35" s="172"/>
      <c r="GK35" s="172"/>
      <c r="GL35" s="172"/>
      <c r="GM35" s="172"/>
      <c r="GN35" s="172"/>
      <c r="GO35" s="172"/>
      <c r="GP35" s="172"/>
      <c r="GQ35" s="172"/>
      <c r="GR35" s="172"/>
      <c r="GS35" s="172"/>
      <c r="GT35" s="172"/>
      <c r="GU35" s="172"/>
      <c r="GV35" s="172"/>
      <c r="GW35" s="172"/>
      <c r="GX35" s="172"/>
      <c r="GY35" s="172"/>
      <c r="GZ35" s="172"/>
      <c r="HA35" s="172"/>
      <c r="HB35" s="172"/>
      <c r="HC35" s="172"/>
      <c r="HD35" s="172"/>
      <c r="HE35" s="172"/>
      <c r="HF35" s="172"/>
      <c r="HG35" s="172"/>
      <c r="HH35" s="172"/>
      <c r="HI35" s="172"/>
      <c r="HJ35" s="172"/>
      <c r="HK35" s="172"/>
      <c r="HL35" s="172"/>
      <c r="HM35" s="172"/>
      <c r="HN35" s="172"/>
      <c r="HO35" s="172"/>
      <c r="HP35" s="172"/>
      <c r="HQ35" s="172"/>
      <c r="HR35" s="172"/>
      <c r="HS35" s="172"/>
      <c r="HT35" s="172"/>
      <c r="HU35" s="172"/>
      <c r="HV35" s="172"/>
      <c r="HW35" s="172"/>
      <c r="HX35" s="172"/>
      <c r="HY35" s="172"/>
      <c r="HZ35" s="172"/>
      <c r="IA35" s="172"/>
      <c r="IB35" s="172"/>
      <c r="IC35" s="172"/>
      <c r="ID35" s="172"/>
      <c r="IE35" s="172"/>
      <c r="IF35" s="172"/>
      <c r="IG35" s="172"/>
      <c r="IH35" s="172"/>
      <c r="II35" s="172"/>
      <c r="IJ35" s="172"/>
      <c r="IK35" s="172"/>
      <c r="IL35" s="172"/>
      <c r="IM35" s="172"/>
      <c r="IN35" s="172"/>
      <c r="IO35" s="172"/>
      <c r="IP35" s="172"/>
      <c r="IQ35" s="172"/>
      <c r="IR35" s="172"/>
      <c r="IS35" s="172"/>
      <c r="IT35" s="172"/>
      <c r="IU35" s="172"/>
      <c r="IV35" s="172"/>
      <c r="IW35" s="172"/>
      <c r="IX35" s="172"/>
      <c r="IY35" s="172"/>
      <c r="IZ35" s="172"/>
      <c r="JA35" s="172"/>
      <c r="JB35" s="172"/>
      <c r="JC35" s="172"/>
      <c r="JD35" s="172"/>
      <c r="JE35" s="178"/>
      <c r="JF35" s="172"/>
      <c r="JG35" s="178"/>
      <c r="JH35" s="178"/>
      <c r="JI35" s="172"/>
      <c r="JJ35" s="178"/>
      <c r="JK35" s="172"/>
      <c r="JL35" s="178"/>
      <c r="JM35" s="172"/>
      <c r="JN35" s="172"/>
      <c r="JO35" s="172"/>
      <c r="JP35" s="172"/>
      <c r="JQ35" s="172"/>
      <c r="JR35" s="172"/>
      <c r="JS35" s="172"/>
      <c r="JT35" s="172"/>
      <c r="JU35" s="172"/>
      <c r="JV35" s="172"/>
      <c r="JW35" s="174"/>
      <c r="JX35" s="172"/>
      <c r="JY35" s="174"/>
      <c r="JZ35" s="172"/>
      <c r="KA35" s="172"/>
      <c r="KB35" s="172"/>
      <c r="KC35" s="172"/>
      <c r="KD35" s="172"/>
      <c r="KE35" s="172"/>
      <c r="KF35" s="172"/>
      <c r="KG35" s="172"/>
      <c r="KH35" s="172"/>
      <c r="KI35" s="172"/>
      <c r="KJ35" s="172"/>
      <c r="KK35" s="172"/>
      <c r="KL35" s="172"/>
      <c r="KM35" s="172"/>
      <c r="KN35" s="172"/>
      <c r="KO35" s="172"/>
      <c r="KP35" s="172"/>
      <c r="KQ35" s="172"/>
      <c r="KR35" s="172"/>
      <c r="KS35" s="172"/>
      <c r="KT35" s="172"/>
      <c r="KU35" s="172"/>
      <c r="KV35" s="172"/>
      <c r="KW35" s="172"/>
      <c r="KX35" s="172"/>
      <c r="KY35" s="172"/>
      <c r="KZ35" s="172"/>
      <c r="LA35" s="172"/>
      <c r="LB35" s="172"/>
      <c r="LC35" s="172"/>
      <c r="LD35" s="172"/>
      <c r="LE35" s="172"/>
      <c r="LF35" s="172"/>
      <c r="LG35" s="172"/>
      <c r="LH35" s="172"/>
      <c r="LI35" s="172"/>
      <c r="LJ35" s="172"/>
      <c r="LK35" s="172"/>
      <c r="LL35" s="172"/>
      <c r="LM35" s="172"/>
      <c r="LN35" s="172"/>
      <c r="LO35" s="172"/>
      <c r="LP35" s="172"/>
      <c r="LQ35" s="172"/>
      <c r="LR35" s="172"/>
      <c r="LS35" s="172"/>
      <c r="LT35" s="172"/>
      <c r="LU35" s="172"/>
      <c r="LV35" s="172"/>
      <c r="LW35" s="172"/>
      <c r="LX35" s="172"/>
      <c r="LY35" s="175"/>
      <c r="LZ35" s="175"/>
      <c r="MA35" s="175"/>
      <c r="MB35" s="175"/>
      <c r="MC35" s="175"/>
      <c r="MD35" s="175"/>
      <c r="ME35" s="175"/>
      <c r="MF35" s="175"/>
      <c r="MG35" s="175"/>
      <c r="MH35" s="172"/>
      <c r="MI35" s="175"/>
      <c r="MJ35" s="175"/>
      <c r="MK35" s="172"/>
      <c r="ML35" s="172"/>
      <c r="MM35" s="172"/>
      <c r="MN35" s="175"/>
      <c r="MO35" s="175"/>
      <c r="MP35" s="175"/>
      <c r="MQ35" s="175"/>
      <c r="MR35" s="175"/>
      <c r="MS35" s="175"/>
      <c r="MT35" s="175"/>
      <c r="MU35" s="175"/>
      <c r="MV35" s="175"/>
      <c r="MW35" s="175"/>
      <c r="MX35" s="175"/>
      <c r="MY35" s="175"/>
      <c r="MZ35" s="175"/>
      <c r="NA35" s="175"/>
      <c r="NB35" s="172"/>
      <c r="NC35" s="172"/>
      <c r="ND35" s="172"/>
      <c r="NE35" s="172"/>
      <c r="NF35" s="172"/>
      <c r="NG35" s="172"/>
      <c r="NH35" s="172"/>
      <c r="NI35" s="187"/>
      <c r="NJ35" s="187"/>
      <c r="NK35" s="187"/>
      <c r="NL35" s="187"/>
      <c r="NM35" s="172"/>
      <c r="NN35" s="172"/>
      <c r="NO35" s="172"/>
      <c r="NP35" s="172"/>
      <c r="NQ35" s="172"/>
      <c r="NR35" s="172"/>
      <c r="NS35" s="172"/>
      <c r="NT35" s="172"/>
      <c r="NU35" s="172"/>
      <c r="NV35" s="172"/>
      <c r="NW35" s="172"/>
      <c r="NX35" s="172"/>
      <c r="NY35" s="172"/>
      <c r="NZ35" s="172"/>
      <c r="OA35" s="172"/>
      <c r="OB35" s="172"/>
      <c r="OC35" s="175"/>
      <c r="OD35" s="172"/>
      <c r="OE35" s="172"/>
      <c r="OF35" s="172"/>
      <c r="OG35" s="176"/>
      <c r="OH35" s="176"/>
      <c r="OI35" s="172"/>
      <c r="OJ35" s="172"/>
      <c r="OK35" s="176"/>
      <c r="OL35" s="176"/>
      <c r="OM35" s="176"/>
      <c r="ON35" s="176"/>
      <c r="OO35" s="176"/>
      <c r="OP35" s="176"/>
      <c r="OQ35" s="174"/>
      <c r="OR35" s="176"/>
      <c r="OS35" s="174"/>
      <c r="OT35" s="172"/>
      <c r="OU35" s="172"/>
      <c r="OV35" s="172"/>
      <c r="OW35" s="172"/>
      <c r="OX35" s="175"/>
      <c r="OY35" s="176"/>
      <c r="OZ35" s="172"/>
      <c r="PA35" s="172"/>
      <c r="PB35" s="179"/>
      <c r="PC35" s="179"/>
      <c r="PD35" s="172"/>
      <c r="PE35" s="172"/>
      <c r="PF35" s="179"/>
      <c r="PG35" s="179"/>
      <c r="PH35" s="179"/>
      <c r="PI35" s="172"/>
      <c r="PJ35" s="172"/>
      <c r="PK35" s="172"/>
      <c r="PL35" s="172"/>
      <c r="PM35" s="179"/>
      <c r="PN35" s="172"/>
      <c r="PO35" s="179"/>
      <c r="PP35" s="172"/>
      <c r="PQ35" s="172"/>
      <c r="PR35" s="179"/>
      <c r="PS35" s="179"/>
      <c r="PT35" s="179"/>
      <c r="PU35" s="179"/>
      <c r="PV35" s="179"/>
      <c r="PW35" s="176"/>
      <c r="PX35" s="179"/>
      <c r="PY35" s="179"/>
      <c r="PZ35" s="179"/>
      <c r="QA35" s="179"/>
      <c r="QB35" s="179"/>
      <c r="QC35" s="176"/>
      <c r="QD35" s="179"/>
      <c r="QE35" s="179"/>
      <c r="QF35" s="179"/>
      <c r="QG35" s="179"/>
      <c r="QH35" s="179"/>
      <c r="QI35" s="179"/>
      <c r="QJ35" s="179"/>
      <c r="QK35" s="179"/>
      <c r="QL35" s="179"/>
      <c r="QM35" s="179"/>
      <c r="QN35" s="172"/>
      <c r="QO35" s="179"/>
      <c r="QP35" s="179"/>
      <c r="QQ35" s="179"/>
      <c r="QR35" s="172"/>
      <c r="QS35" s="172"/>
      <c r="QT35" s="179"/>
      <c r="QU35" s="172"/>
      <c r="QV35" s="179"/>
      <c r="QW35" s="179"/>
      <c r="QX35" s="179"/>
      <c r="QY35" s="179"/>
      <c r="QZ35" s="179"/>
      <c r="RA35" s="179"/>
      <c r="RB35" s="179"/>
      <c r="RC35" s="179"/>
      <c r="RD35" s="179"/>
      <c r="RE35" s="179"/>
      <c r="RF35" s="179"/>
      <c r="RG35" s="179"/>
      <c r="RH35" s="179"/>
      <c r="RI35" s="179"/>
      <c r="RJ35" s="179"/>
      <c r="RK35" s="179"/>
      <c r="RL35" s="172"/>
      <c r="RM35" s="179"/>
      <c r="RN35" s="179"/>
      <c r="RO35" s="172"/>
      <c r="RP35" s="179"/>
      <c r="RQ35" s="179"/>
      <c r="RR35" s="179"/>
      <c r="RS35" s="179"/>
      <c r="RT35" s="179"/>
      <c r="RU35" s="179"/>
      <c r="RV35" s="179"/>
      <c r="RW35" s="179"/>
      <c r="RX35" s="179"/>
      <c r="RY35" s="172"/>
      <c r="RZ35" s="172"/>
      <c r="SA35" s="172"/>
      <c r="SB35" s="179"/>
      <c r="SC35" s="179"/>
      <c r="SD35" s="179"/>
      <c r="SE35" s="172"/>
      <c r="SF35" s="179"/>
      <c r="SG35" s="179"/>
      <c r="SH35" s="179"/>
      <c r="SI35" s="179"/>
      <c r="SJ35" s="179"/>
      <c r="SK35" s="179"/>
      <c r="SL35" s="179"/>
      <c r="SM35" s="172"/>
      <c r="SN35" s="172"/>
      <c r="SO35" s="172"/>
      <c r="SP35" s="179"/>
      <c r="SQ35" s="179"/>
      <c r="SR35" s="179"/>
      <c r="SS35" s="179"/>
      <c r="ST35" s="179"/>
      <c r="SU35" s="179"/>
      <c r="SV35" s="176"/>
      <c r="SW35" s="179"/>
      <c r="SX35" s="179"/>
      <c r="SY35" s="172"/>
      <c r="SZ35" s="179"/>
      <c r="TA35" s="179"/>
      <c r="TB35" s="179"/>
      <c r="TC35" s="179"/>
      <c r="TD35" s="172"/>
      <c r="TE35" s="179"/>
      <c r="TF35" s="179"/>
      <c r="TG35" s="179"/>
      <c r="TH35" s="172"/>
      <c r="TI35" s="179"/>
      <c r="TJ35" s="179"/>
      <c r="TK35" s="172"/>
      <c r="TL35" s="179"/>
      <c r="TM35" s="172"/>
      <c r="TN35" s="179"/>
      <c r="TO35" s="179"/>
      <c r="TP35" s="179"/>
      <c r="TQ35" s="179"/>
      <c r="TR35" s="179"/>
      <c r="TS35" s="179"/>
      <c r="TT35" s="179"/>
      <c r="TU35" s="179"/>
      <c r="TV35" s="179"/>
      <c r="TW35" s="176"/>
      <c r="TX35" s="179"/>
      <c r="TY35" s="179"/>
      <c r="TZ35" s="176"/>
      <c r="UA35" s="172"/>
      <c r="UB35" s="172"/>
      <c r="UC35" s="179"/>
      <c r="UD35" s="179"/>
      <c r="UE35" s="179"/>
      <c r="UF35" s="179"/>
      <c r="UG35" s="172"/>
      <c r="UH35" s="172"/>
      <c r="UI35" s="172"/>
      <c r="UJ35" s="179"/>
      <c r="UK35" s="172"/>
      <c r="UL35" s="172"/>
      <c r="UM35" s="179"/>
      <c r="UN35" s="179"/>
      <c r="UO35" s="179"/>
      <c r="UP35" s="179"/>
      <c r="UQ35" s="179"/>
      <c r="UR35" s="172"/>
      <c r="US35" s="172"/>
      <c r="UT35" s="172"/>
      <c r="UU35" s="172"/>
      <c r="UV35" s="172"/>
      <c r="UW35" s="179"/>
      <c r="UX35" s="172"/>
      <c r="UY35" s="172"/>
      <c r="UZ35" s="179"/>
      <c r="VA35" s="179"/>
      <c r="VB35" s="179"/>
      <c r="VC35" s="176"/>
      <c r="VD35" s="179"/>
      <c r="VE35" s="175"/>
      <c r="VF35" s="175"/>
      <c r="VG35" s="176"/>
      <c r="VH35" s="172"/>
      <c r="VI35" s="172"/>
      <c r="VJ35" s="172"/>
      <c r="VK35" s="172"/>
      <c r="VL35" s="180"/>
      <c r="VM35" s="181"/>
      <c r="VN35" s="181"/>
      <c r="VO35" s="181"/>
      <c r="VP35" s="183"/>
      <c r="VQ35" s="181"/>
      <c r="VR35" s="183"/>
      <c r="VS35" s="184"/>
      <c r="VT35" s="182"/>
      <c r="VU35" s="185"/>
      <c r="VV35" s="30"/>
      <c r="VW35" s="54"/>
      <c r="VX35" s="54"/>
      <c r="VY35" s="58"/>
      <c r="WA35" s="182"/>
      <c r="WB35" s="182"/>
      <c r="WC35" s="182"/>
      <c r="WD35" s="182"/>
      <c r="WE35" s="182"/>
      <c r="WF35" s="182"/>
      <c r="WG35" s="182"/>
      <c r="WH35" s="182"/>
      <c r="WI35" s="186"/>
      <c r="WJ35" s="2"/>
      <c r="WK35" s="2"/>
    </row>
    <row r="36" spans="1:611" x14ac:dyDescent="0.25">
      <c r="A36" s="172"/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6"/>
      <c r="BW36" s="172"/>
      <c r="BX36" s="173"/>
      <c r="BY36" s="172"/>
      <c r="BZ36" s="172"/>
      <c r="CA36" s="172"/>
      <c r="CB36" s="172"/>
      <c r="CC36" s="172"/>
      <c r="CD36" s="172"/>
      <c r="CE36" s="17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4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18"/>
      <c r="DO36" s="2"/>
      <c r="DP36" s="5"/>
      <c r="DQ36" s="5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172"/>
      <c r="FO36" s="172"/>
      <c r="FP36" s="172"/>
      <c r="FQ36" s="172"/>
      <c r="FR36" s="172"/>
      <c r="FS36" s="172"/>
      <c r="FT36" s="172"/>
      <c r="FU36" s="172"/>
      <c r="FV36" s="174"/>
      <c r="FW36" s="174"/>
      <c r="FX36" s="172"/>
      <c r="FY36" s="172"/>
      <c r="FZ36" s="172"/>
      <c r="GA36" s="172"/>
      <c r="GB36" s="172"/>
      <c r="GC36" s="172"/>
      <c r="GD36" s="172"/>
      <c r="GE36" s="172"/>
      <c r="GF36" s="172"/>
      <c r="GG36" s="172"/>
      <c r="GH36" s="172"/>
      <c r="GI36" s="172"/>
      <c r="GJ36" s="172"/>
      <c r="GK36" s="172"/>
      <c r="GL36" s="172"/>
      <c r="GM36" s="172"/>
      <c r="GN36" s="172"/>
      <c r="GO36" s="172"/>
      <c r="GP36" s="172"/>
      <c r="GQ36" s="172"/>
      <c r="GR36" s="172"/>
      <c r="GS36" s="172"/>
      <c r="GT36" s="172"/>
      <c r="GU36" s="172"/>
      <c r="GV36" s="172"/>
      <c r="GW36" s="172"/>
      <c r="GX36" s="172"/>
      <c r="GY36" s="172"/>
      <c r="GZ36" s="172"/>
      <c r="HA36" s="172"/>
      <c r="HB36" s="172"/>
      <c r="HC36" s="172"/>
      <c r="HD36" s="172"/>
      <c r="HE36" s="172"/>
      <c r="HF36" s="172"/>
      <c r="HG36" s="172"/>
      <c r="HH36" s="172"/>
      <c r="HI36" s="172"/>
      <c r="HJ36" s="172"/>
      <c r="HK36" s="172"/>
      <c r="HL36" s="172"/>
      <c r="HM36" s="172"/>
      <c r="HN36" s="172"/>
      <c r="HO36" s="172"/>
      <c r="HP36" s="172"/>
      <c r="HQ36" s="172"/>
      <c r="HR36" s="172"/>
      <c r="HS36" s="172"/>
      <c r="HT36" s="172"/>
      <c r="HU36" s="172"/>
      <c r="HV36" s="172"/>
      <c r="HW36" s="172"/>
      <c r="HX36" s="172"/>
      <c r="HY36" s="172"/>
      <c r="HZ36" s="172"/>
      <c r="IA36" s="172"/>
      <c r="IB36" s="172"/>
      <c r="IC36" s="172"/>
      <c r="ID36" s="172"/>
      <c r="IE36" s="172"/>
      <c r="IF36" s="172"/>
      <c r="IG36" s="172"/>
      <c r="IH36" s="172"/>
      <c r="II36" s="172"/>
      <c r="IJ36" s="172"/>
      <c r="IK36" s="172"/>
      <c r="IL36" s="172"/>
      <c r="IM36" s="172"/>
      <c r="IN36" s="172"/>
      <c r="IO36" s="172"/>
      <c r="IP36" s="172"/>
      <c r="IQ36" s="172"/>
      <c r="IR36" s="172"/>
      <c r="IS36" s="172"/>
      <c r="IT36" s="172"/>
      <c r="IU36" s="172"/>
      <c r="IV36" s="172"/>
      <c r="IW36" s="172"/>
      <c r="IX36" s="172"/>
      <c r="IY36" s="172"/>
      <c r="IZ36" s="172"/>
      <c r="JA36" s="172"/>
      <c r="JB36" s="172"/>
      <c r="JC36" s="172"/>
      <c r="JD36" s="172"/>
      <c r="JE36" s="178"/>
      <c r="JF36" s="172"/>
      <c r="JG36" s="178"/>
      <c r="JH36" s="178"/>
      <c r="JI36" s="172"/>
      <c r="JJ36" s="178"/>
      <c r="JK36" s="172"/>
      <c r="JL36" s="178"/>
      <c r="JM36" s="172"/>
      <c r="JN36" s="172"/>
      <c r="JO36" s="172"/>
      <c r="JP36" s="172"/>
      <c r="JQ36" s="172"/>
      <c r="JR36" s="172"/>
      <c r="JS36" s="172"/>
      <c r="JT36" s="172"/>
      <c r="JU36" s="172"/>
      <c r="JV36" s="172"/>
      <c r="JW36" s="174"/>
      <c r="JX36" s="172"/>
      <c r="JY36" s="174"/>
      <c r="JZ36" s="172"/>
      <c r="KA36" s="172"/>
      <c r="KB36" s="172"/>
      <c r="KC36" s="172"/>
      <c r="KD36" s="172"/>
      <c r="KE36" s="172"/>
      <c r="KF36" s="172"/>
      <c r="KG36" s="172"/>
      <c r="KH36" s="172"/>
      <c r="KI36" s="172"/>
      <c r="KJ36" s="172"/>
      <c r="KK36" s="172"/>
      <c r="KL36" s="172"/>
      <c r="KM36" s="172"/>
      <c r="KN36" s="172"/>
      <c r="KO36" s="172"/>
      <c r="KP36" s="172"/>
      <c r="KQ36" s="172"/>
      <c r="KR36" s="172"/>
      <c r="KS36" s="172"/>
      <c r="KT36" s="172"/>
      <c r="KU36" s="172"/>
      <c r="KV36" s="172"/>
      <c r="KW36" s="172"/>
      <c r="KX36" s="172"/>
      <c r="KY36" s="172"/>
      <c r="KZ36" s="172"/>
      <c r="LA36" s="172"/>
      <c r="LB36" s="172"/>
      <c r="LC36" s="172"/>
      <c r="LD36" s="172"/>
      <c r="LE36" s="172"/>
      <c r="LF36" s="172"/>
      <c r="LG36" s="172"/>
      <c r="LH36" s="172"/>
      <c r="LI36" s="172"/>
      <c r="LJ36" s="172"/>
      <c r="LK36" s="172"/>
      <c r="LL36" s="172"/>
      <c r="LM36" s="172"/>
      <c r="LN36" s="172"/>
      <c r="LO36" s="172"/>
      <c r="LP36" s="172"/>
      <c r="LQ36" s="172"/>
      <c r="LR36" s="172"/>
      <c r="LS36" s="172"/>
      <c r="LT36" s="172"/>
      <c r="LU36" s="172"/>
      <c r="LV36" s="172"/>
      <c r="LW36" s="172"/>
      <c r="LX36" s="172"/>
      <c r="LY36" s="175"/>
      <c r="LZ36" s="175"/>
      <c r="MA36" s="175"/>
      <c r="MB36" s="175"/>
      <c r="MC36" s="175"/>
      <c r="MD36" s="175"/>
      <c r="ME36" s="175"/>
      <c r="MF36" s="175"/>
      <c r="MG36" s="175"/>
      <c r="MH36" s="172"/>
      <c r="MI36" s="175"/>
      <c r="MJ36" s="175"/>
      <c r="MK36" s="172"/>
      <c r="ML36" s="172"/>
      <c r="MM36" s="172"/>
      <c r="MN36" s="175"/>
      <c r="MO36" s="175"/>
      <c r="MP36" s="175"/>
      <c r="MQ36" s="175"/>
      <c r="MR36" s="175"/>
      <c r="MS36" s="175"/>
      <c r="MT36" s="175"/>
      <c r="MU36" s="175"/>
      <c r="MV36" s="175"/>
      <c r="MW36" s="175"/>
      <c r="MX36" s="175"/>
      <c r="MY36" s="175"/>
      <c r="MZ36" s="175"/>
      <c r="NA36" s="175"/>
      <c r="NB36" s="172"/>
      <c r="NC36" s="172"/>
      <c r="ND36" s="172"/>
      <c r="NE36" s="172"/>
      <c r="NF36" s="172"/>
      <c r="NG36" s="172"/>
      <c r="NH36" s="172"/>
      <c r="NI36" s="187"/>
      <c r="NJ36" s="187"/>
      <c r="NK36" s="187"/>
      <c r="NL36" s="187"/>
      <c r="NM36" s="172"/>
      <c r="NN36" s="172"/>
      <c r="NO36" s="172"/>
      <c r="NP36" s="172"/>
      <c r="NQ36" s="172"/>
      <c r="NR36" s="172"/>
      <c r="NS36" s="172"/>
      <c r="NT36" s="172"/>
      <c r="NU36" s="172"/>
      <c r="NV36" s="172"/>
      <c r="NW36" s="172"/>
      <c r="NX36" s="172"/>
      <c r="NY36" s="172"/>
      <c r="NZ36" s="172"/>
      <c r="OA36" s="172"/>
      <c r="OB36" s="172"/>
      <c r="OC36" s="175"/>
      <c r="OD36" s="172"/>
      <c r="OE36" s="172"/>
      <c r="OF36" s="172"/>
      <c r="OG36" s="176"/>
      <c r="OH36" s="176"/>
      <c r="OI36" s="172"/>
      <c r="OJ36" s="172"/>
      <c r="OK36" s="176"/>
      <c r="OL36" s="176"/>
      <c r="OM36" s="176"/>
      <c r="ON36" s="176"/>
      <c r="OO36" s="176"/>
      <c r="OP36" s="176"/>
      <c r="OQ36" s="174"/>
      <c r="OR36" s="176"/>
      <c r="OS36" s="174"/>
      <c r="OT36" s="172"/>
      <c r="OU36" s="172"/>
      <c r="OV36" s="172"/>
      <c r="OW36" s="172"/>
      <c r="OX36" s="175"/>
      <c r="OY36" s="176"/>
      <c r="OZ36" s="172"/>
      <c r="PA36" s="172"/>
      <c r="PB36" s="172"/>
      <c r="PC36" s="172"/>
      <c r="PD36" s="172"/>
      <c r="PE36" s="172"/>
      <c r="PF36" s="179"/>
      <c r="PG36" s="172"/>
      <c r="PH36" s="179"/>
      <c r="PI36" s="172"/>
      <c r="PJ36" s="172"/>
      <c r="PK36" s="179"/>
      <c r="PL36" s="179"/>
      <c r="PM36" s="172"/>
      <c r="PN36" s="172"/>
      <c r="PO36" s="172"/>
      <c r="PP36" s="172"/>
      <c r="PQ36" s="172"/>
      <c r="PR36" s="179"/>
      <c r="PS36" s="172"/>
      <c r="PT36" s="179"/>
      <c r="PU36" s="179"/>
      <c r="PV36" s="179"/>
      <c r="PW36" s="176"/>
      <c r="PX36" s="179"/>
      <c r="PY36" s="172"/>
      <c r="PZ36" s="179"/>
      <c r="QA36" s="179"/>
      <c r="QB36" s="179"/>
      <c r="QC36" s="176"/>
      <c r="QD36" s="179"/>
      <c r="QE36" s="179"/>
      <c r="QF36" s="179"/>
      <c r="QG36" s="179"/>
      <c r="QH36" s="179"/>
      <c r="QI36" s="179"/>
      <c r="QJ36" s="179"/>
      <c r="QK36" s="179"/>
      <c r="QL36" s="179"/>
      <c r="QM36" s="179"/>
      <c r="QN36" s="172"/>
      <c r="QO36" s="179"/>
      <c r="QP36" s="179"/>
      <c r="QQ36" s="179"/>
      <c r="QR36" s="172"/>
      <c r="QS36" s="172"/>
      <c r="QT36" s="179"/>
      <c r="QU36" s="172"/>
      <c r="QV36" s="179"/>
      <c r="QW36" s="179"/>
      <c r="QX36" s="179"/>
      <c r="QY36" s="179"/>
      <c r="QZ36" s="179"/>
      <c r="RA36" s="179"/>
      <c r="RB36" s="179"/>
      <c r="RC36" s="179"/>
      <c r="RD36" s="179"/>
      <c r="RE36" s="179"/>
      <c r="RF36" s="179"/>
      <c r="RG36" s="179"/>
      <c r="RH36" s="179"/>
      <c r="RI36" s="179"/>
      <c r="RJ36" s="179"/>
      <c r="RK36" s="179"/>
      <c r="RL36" s="172"/>
      <c r="RM36" s="179"/>
      <c r="RN36" s="172"/>
      <c r="RO36" s="179"/>
      <c r="RP36" s="179"/>
      <c r="RQ36" s="179"/>
      <c r="RR36" s="179"/>
      <c r="RS36" s="179"/>
      <c r="RT36" s="172"/>
      <c r="RU36" s="179"/>
      <c r="RV36" s="179"/>
      <c r="RW36" s="179"/>
      <c r="RX36" s="179"/>
      <c r="RY36" s="172"/>
      <c r="RZ36" s="172"/>
      <c r="SA36" s="172"/>
      <c r="SB36" s="179"/>
      <c r="SC36" s="179"/>
      <c r="SD36" s="179"/>
      <c r="SE36" s="179"/>
      <c r="SF36" s="179"/>
      <c r="SG36" s="172"/>
      <c r="SH36" s="179"/>
      <c r="SI36" s="179"/>
      <c r="SJ36" s="179"/>
      <c r="SK36" s="179"/>
      <c r="SL36" s="179"/>
      <c r="SM36" s="179"/>
      <c r="SN36" s="172"/>
      <c r="SO36" s="179"/>
      <c r="SP36" s="179"/>
      <c r="SQ36" s="179"/>
      <c r="SR36" s="179"/>
      <c r="SS36" s="179"/>
      <c r="ST36" s="172"/>
      <c r="SU36" s="179"/>
      <c r="SV36" s="176"/>
      <c r="SW36" s="179"/>
      <c r="SX36" s="179"/>
      <c r="SY36" s="172"/>
      <c r="SZ36" s="179"/>
      <c r="TA36" s="179"/>
      <c r="TB36" s="179"/>
      <c r="TC36" s="179"/>
      <c r="TD36" s="172"/>
      <c r="TE36" s="179"/>
      <c r="TF36" s="179"/>
      <c r="TG36" s="179"/>
      <c r="TH36" s="172"/>
      <c r="TI36" s="179"/>
      <c r="TJ36" s="179"/>
      <c r="TK36" s="172"/>
      <c r="TL36" s="179"/>
      <c r="TM36" s="179"/>
      <c r="TN36" s="179"/>
      <c r="TO36" s="179"/>
      <c r="TP36" s="179"/>
      <c r="TQ36" s="179"/>
      <c r="TR36" s="179"/>
      <c r="TS36" s="179"/>
      <c r="TT36" s="179"/>
      <c r="TU36" s="179"/>
      <c r="TV36" s="179"/>
      <c r="TW36" s="176"/>
      <c r="TX36" s="179"/>
      <c r="TY36" s="179"/>
      <c r="TZ36" s="176"/>
      <c r="UA36" s="179"/>
      <c r="UB36" s="179"/>
      <c r="UC36" s="179"/>
      <c r="UD36" s="179"/>
      <c r="UE36" s="179"/>
      <c r="UF36" s="179"/>
      <c r="UG36" s="172"/>
      <c r="UH36" s="172"/>
      <c r="UI36" s="172"/>
      <c r="UJ36" s="179"/>
      <c r="UK36" s="172"/>
      <c r="UL36" s="172"/>
      <c r="UM36" s="179"/>
      <c r="UN36" s="179"/>
      <c r="UO36" s="179"/>
      <c r="UP36" s="179"/>
      <c r="UQ36" s="179"/>
      <c r="UR36" s="172"/>
      <c r="US36" s="172"/>
      <c r="UT36" s="172"/>
      <c r="UU36" s="172"/>
      <c r="UV36" s="172"/>
      <c r="UW36" s="179"/>
      <c r="UX36" s="172"/>
      <c r="UY36" s="172"/>
      <c r="UZ36" s="179"/>
      <c r="VA36" s="179"/>
      <c r="VB36" s="179"/>
      <c r="VC36" s="176"/>
      <c r="VD36" s="179"/>
      <c r="VE36" s="175"/>
      <c r="VF36" s="175"/>
      <c r="VG36" s="176"/>
      <c r="VH36" s="172"/>
      <c r="VI36" s="172"/>
      <c r="VJ36" s="172"/>
      <c r="VK36" s="172"/>
      <c r="VL36" s="180"/>
      <c r="VM36" s="181"/>
      <c r="VN36" s="181"/>
      <c r="VO36" s="181"/>
      <c r="VP36" s="183"/>
      <c r="VQ36" s="181"/>
      <c r="VR36" s="183"/>
      <c r="VS36" s="184"/>
      <c r="VT36" s="182"/>
      <c r="VU36" s="185"/>
      <c r="VV36" s="30"/>
      <c r="VW36" s="54"/>
      <c r="VX36" s="54"/>
      <c r="VY36" s="58"/>
      <c r="WA36" s="182"/>
      <c r="WB36" s="182"/>
      <c r="WC36" s="182"/>
      <c r="WD36" s="182"/>
      <c r="WE36" s="182"/>
      <c r="WF36" s="182"/>
      <c r="WG36" s="182"/>
      <c r="WH36" s="182"/>
      <c r="WI36" s="186"/>
      <c r="WJ36" s="2"/>
      <c r="WK36" s="2"/>
    </row>
    <row r="37" spans="1:611" x14ac:dyDescent="0.25">
      <c r="A37" s="172"/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6"/>
      <c r="BW37" s="172"/>
      <c r="BX37" s="173"/>
      <c r="BY37" s="172"/>
      <c r="BZ37" s="172"/>
      <c r="CA37" s="172"/>
      <c r="CB37" s="172"/>
      <c r="CC37" s="172"/>
      <c r="CD37" s="172"/>
      <c r="CE37" s="17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4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18"/>
      <c r="DO37" s="2"/>
      <c r="DP37" s="5"/>
      <c r="DQ37" s="5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172"/>
      <c r="FO37" s="172"/>
      <c r="FP37" s="172"/>
      <c r="FQ37" s="172"/>
      <c r="FR37" s="172"/>
      <c r="FS37" s="172"/>
      <c r="FT37" s="172"/>
      <c r="FU37" s="172"/>
      <c r="FV37" s="174"/>
      <c r="FW37" s="174"/>
      <c r="FX37" s="172"/>
      <c r="FY37" s="172"/>
      <c r="FZ37" s="172"/>
      <c r="GA37" s="172"/>
      <c r="GB37" s="172"/>
      <c r="GC37" s="172"/>
      <c r="GD37" s="172"/>
      <c r="GE37" s="172"/>
      <c r="GF37" s="172"/>
      <c r="GG37" s="172"/>
      <c r="GH37" s="172"/>
      <c r="GI37" s="172"/>
      <c r="GJ37" s="172"/>
      <c r="GK37" s="172"/>
      <c r="GL37" s="172"/>
      <c r="GM37" s="172"/>
      <c r="GN37" s="172"/>
      <c r="GO37" s="172"/>
      <c r="GP37" s="172"/>
      <c r="GQ37" s="172"/>
      <c r="GR37" s="172"/>
      <c r="GS37" s="172"/>
      <c r="GT37" s="172"/>
      <c r="GU37" s="172"/>
      <c r="GV37" s="172"/>
      <c r="GW37" s="172"/>
      <c r="GX37" s="172"/>
      <c r="GY37" s="172"/>
      <c r="GZ37" s="172"/>
      <c r="HA37" s="172"/>
      <c r="HB37" s="172"/>
      <c r="HC37" s="172"/>
      <c r="HD37" s="172"/>
      <c r="HE37" s="172"/>
      <c r="HF37" s="172"/>
      <c r="HG37" s="172"/>
      <c r="HH37" s="172"/>
      <c r="HI37" s="172"/>
      <c r="HJ37" s="172"/>
      <c r="HK37" s="172"/>
      <c r="HL37" s="172"/>
      <c r="HM37" s="172"/>
      <c r="HN37" s="172"/>
      <c r="HO37" s="172"/>
      <c r="HP37" s="172"/>
      <c r="HQ37" s="172"/>
      <c r="HR37" s="172"/>
      <c r="HS37" s="172"/>
      <c r="HT37" s="172"/>
      <c r="HU37" s="172"/>
      <c r="HV37" s="172"/>
      <c r="HW37" s="172"/>
      <c r="HX37" s="172"/>
      <c r="HY37" s="172"/>
      <c r="HZ37" s="172"/>
      <c r="IA37" s="172"/>
      <c r="IB37" s="172"/>
      <c r="IC37" s="172"/>
      <c r="ID37" s="172"/>
      <c r="IE37" s="172"/>
      <c r="IF37" s="172"/>
      <c r="IG37" s="172"/>
      <c r="IH37" s="172"/>
      <c r="II37" s="172"/>
      <c r="IJ37" s="172"/>
      <c r="IK37" s="172"/>
      <c r="IL37" s="172"/>
      <c r="IM37" s="172"/>
      <c r="IN37" s="172"/>
      <c r="IO37" s="172"/>
      <c r="IP37" s="172"/>
      <c r="IQ37" s="172"/>
      <c r="IR37" s="172"/>
      <c r="IS37" s="172"/>
      <c r="IT37" s="172"/>
      <c r="IU37" s="172"/>
      <c r="IV37" s="172"/>
      <c r="IW37" s="172"/>
      <c r="IX37" s="172"/>
      <c r="IY37" s="172"/>
      <c r="IZ37" s="172"/>
      <c r="JA37" s="172"/>
      <c r="JB37" s="172"/>
      <c r="JC37" s="172"/>
      <c r="JD37" s="172"/>
      <c r="JE37" s="172"/>
      <c r="JF37" s="172"/>
      <c r="JG37" s="172"/>
      <c r="JH37" s="178"/>
      <c r="JI37" s="172"/>
      <c r="JJ37" s="178"/>
      <c r="JK37" s="172"/>
      <c r="JL37" s="178"/>
      <c r="JM37" s="172"/>
      <c r="JN37" s="172"/>
      <c r="JO37" s="172"/>
      <c r="JP37" s="172"/>
      <c r="JQ37" s="172"/>
      <c r="JR37" s="172"/>
      <c r="JS37" s="172"/>
      <c r="JT37" s="172"/>
      <c r="JU37" s="172"/>
      <c r="JV37" s="172"/>
      <c r="JW37" s="174"/>
      <c r="JX37" s="172"/>
      <c r="JY37" s="174"/>
      <c r="JZ37" s="172"/>
      <c r="KA37" s="172"/>
      <c r="KB37" s="172"/>
      <c r="KC37" s="172"/>
      <c r="KD37" s="172"/>
      <c r="KE37" s="172"/>
      <c r="KF37" s="172"/>
      <c r="KG37" s="172"/>
      <c r="KH37" s="172"/>
      <c r="KI37" s="172"/>
      <c r="KJ37" s="172"/>
      <c r="KK37" s="172"/>
      <c r="KL37" s="172"/>
      <c r="KM37" s="172"/>
      <c r="KN37" s="172"/>
      <c r="KO37" s="172"/>
      <c r="KP37" s="172"/>
      <c r="KQ37" s="172"/>
      <c r="KR37" s="172"/>
      <c r="KS37" s="172"/>
      <c r="KT37" s="172"/>
      <c r="KU37" s="172"/>
      <c r="KV37" s="172"/>
      <c r="KW37" s="172"/>
      <c r="KX37" s="172"/>
      <c r="KY37" s="172"/>
      <c r="KZ37" s="172"/>
      <c r="LA37" s="172"/>
      <c r="LB37" s="172"/>
      <c r="LC37" s="172"/>
      <c r="LD37" s="172"/>
      <c r="LE37" s="172"/>
      <c r="LF37" s="172"/>
      <c r="LG37" s="172"/>
      <c r="LH37" s="172"/>
      <c r="LI37" s="172"/>
      <c r="LJ37" s="172"/>
      <c r="LK37" s="172"/>
      <c r="LL37" s="172"/>
      <c r="LM37" s="172"/>
      <c r="LN37" s="172"/>
      <c r="LO37" s="172"/>
      <c r="LP37" s="172"/>
      <c r="LQ37" s="172"/>
      <c r="LR37" s="172"/>
      <c r="LS37" s="172"/>
      <c r="LT37" s="172"/>
      <c r="LU37" s="172"/>
      <c r="LV37" s="172"/>
      <c r="LW37" s="172"/>
      <c r="LX37" s="172"/>
      <c r="LY37" s="175"/>
      <c r="LZ37" s="175"/>
      <c r="MA37" s="175"/>
      <c r="MB37" s="175"/>
      <c r="MC37" s="175"/>
      <c r="MD37" s="175"/>
      <c r="ME37" s="175"/>
      <c r="MF37" s="175"/>
      <c r="MG37" s="175"/>
      <c r="MH37" s="172"/>
      <c r="MI37" s="175"/>
      <c r="MJ37" s="175"/>
      <c r="MK37" s="172"/>
      <c r="ML37" s="172"/>
      <c r="MM37" s="172"/>
      <c r="MN37" s="175"/>
      <c r="MO37" s="175"/>
      <c r="MP37" s="175"/>
      <c r="MQ37" s="175"/>
      <c r="MR37" s="175"/>
      <c r="MS37" s="175"/>
      <c r="MT37" s="175"/>
      <c r="MU37" s="175"/>
      <c r="MV37" s="175"/>
      <c r="MW37" s="175"/>
      <c r="MX37" s="175"/>
      <c r="MY37" s="175"/>
      <c r="MZ37" s="175"/>
      <c r="NA37" s="175"/>
      <c r="NB37" s="172"/>
      <c r="NC37" s="172"/>
      <c r="ND37" s="172"/>
      <c r="NE37" s="172"/>
      <c r="NF37" s="172"/>
      <c r="NG37" s="172"/>
      <c r="NH37" s="172"/>
      <c r="NI37" s="187"/>
      <c r="NJ37" s="187"/>
      <c r="NK37" s="187"/>
      <c r="NL37" s="187"/>
      <c r="NM37" s="172"/>
      <c r="NN37" s="172"/>
      <c r="NO37" s="172"/>
      <c r="NP37" s="172"/>
      <c r="NQ37" s="172"/>
      <c r="NR37" s="172"/>
      <c r="NS37" s="172"/>
      <c r="NT37" s="172"/>
      <c r="NU37" s="172"/>
      <c r="NV37" s="172"/>
      <c r="NW37" s="172"/>
      <c r="NX37" s="172"/>
      <c r="NY37" s="172"/>
      <c r="NZ37" s="172"/>
      <c r="OA37" s="172"/>
      <c r="OB37" s="172"/>
      <c r="OC37" s="175"/>
      <c r="OD37" s="172"/>
      <c r="OE37" s="172"/>
      <c r="OF37" s="172"/>
      <c r="OG37" s="176"/>
      <c r="OH37" s="176"/>
      <c r="OI37" s="172"/>
      <c r="OJ37" s="172"/>
      <c r="OK37" s="176"/>
      <c r="OL37" s="176"/>
      <c r="OM37" s="176"/>
      <c r="ON37" s="176"/>
      <c r="OO37" s="176"/>
      <c r="OP37" s="176"/>
      <c r="OQ37" s="174"/>
      <c r="OR37" s="176"/>
      <c r="OS37" s="174"/>
      <c r="OT37" s="172"/>
      <c r="OU37" s="172"/>
      <c r="OV37" s="172"/>
      <c r="OW37" s="172"/>
      <c r="OX37" s="175"/>
      <c r="OY37" s="176"/>
      <c r="OZ37" s="172"/>
      <c r="PA37" s="172"/>
      <c r="PB37" s="172"/>
      <c r="PC37" s="172"/>
      <c r="PD37" s="172"/>
      <c r="PE37" s="172"/>
      <c r="PF37" s="179"/>
      <c r="PG37" s="172"/>
      <c r="PH37" s="179"/>
      <c r="PI37" s="172"/>
      <c r="PJ37" s="172"/>
      <c r="PK37" s="172"/>
      <c r="PL37" s="172"/>
      <c r="PM37" s="172"/>
      <c r="PN37" s="172"/>
      <c r="PO37" s="172"/>
      <c r="PP37" s="172"/>
      <c r="PQ37" s="172"/>
      <c r="PR37" s="179"/>
      <c r="PS37" s="172"/>
      <c r="PT37" s="179"/>
      <c r="PU37" s="179"/>
      <c r="PV37" s="179"/>
      <c r="PW37" s="176"/>
      <c r="PX37" s="179"/>
      <c r="PY37" s="172"/>
      <c r="PZ37" s="179"/>
      <c r="QA37" s="179"/>
      <c r="QB37" s="179"/>
      <c r="QC37" s="176"/>
      <c r="QD37" s="179"/>
      <c r="QE37" s="179"/>
      <c r="QF37" s="179"/>
      <c r="QG37" s="179"/>
      <c r="QH37" s="179"/>
      <c r="QI37" s="179"/>
      <c r="QJ37" s="179"/>
      <c r="QK37" s="179"/>
      <c r="QL37" s="179"/>
      <c r="QM37" s="179"/>
      <c r="QN37" s="172"/>
      <c r="QO37" s="179"/>
      <c r="QP37" s="179"/>
      <c r="QQ37" s="179"/>
      <c r="QR37" s="179"/>
      <c r="QS37" s="179"/>
      <c r="QT37" s="179"/>
      <c r="QU37" s="172"/>
      <c r="QV37" s="179"/>
      <c r="QW37" s="179"/>
      <c r="QX37" s="179"/>
      <c r="QY37" s="179"/>
      <c r="QZ37" s="179"/>
      <c r="RA37" s="179"/>
      <c r="RB37" s="179"/>
      <c r="RC37" s="179"/>
      <c r="RD37" s="179"/>
      <c r="RE37" s="179"/>
      <c r="RF37" s="179"/>
      <c r="RG37" s="179"/>
      <c r="RH37" s="179"/>
      <c r="RI37" s="179"/>
      <c r="RJ37" s="179"/>
      <c r="RK37" s="179"/>
      <c r="RL37" s="172"/>
      <c r="RM37" s="179"/>
      <c r="RN37" s="179"/>
      <c r="RO37" s="172"/>
      <c r="RP37" s="179"/>
      <c r="RQ37" s="179"/>
      <c r="RR37" s="179"/>
      <c r="RS37" s="179"/>
      <c r="RT37" s="172"/>
      <c r="RU37" s="179"/>
      <c r="RV37" s="179"/>
      <c r="RW37" s="172"/>
      <c r="RX37" s="172"/>
      <c r="RY37" s="179"/>
      <c r="RZ37" s="172"/>
      <c r="SA37" s="179"/>
      <c r="SB37" s="179"/>
      <c r="SC37" s="179"/>
      <c r="SD37" s="179"/>
      <c r="SE37" s="172"/>
      <c r="SF37" s="179"/>
      <c r="SG37" s="172"/>
      <c r="SH37" s="179"/>
      <c r="SI37" s="172"/>
      <c r="SJ37" s="179"/>
      <c r="SK37" s="179"/>
      <c r="SL37" s="179"/>
      <c r="SM37" s="179"/>
      <c r="SN37" s="172"/>
      <c r="SO37" s="179"/>
      <c r="SP37" s="179"/>
      <c r="SQ37" s="179"/>
      <c r="SR37" s="179"/>
      <c r="SS37" s="179"/>
      <c r="ST37" s="172"/>
      <c r="SU37" s="179"/>
      <c r="SV37" s="176"/>
      <c r="SW37" s="179"/>
      <c r="SX37" s="179"/>
      <c r="SY37" s="172"/>
      <c r="SZ37" s="179"/>
      <c r="TA37" s="172"/>
      <c r="TB37" s="179"/>
      <c r="TC37" s="172"/>
      <c r="TD37" s="172"/>
      <c r="TE37" s="172"/>
      <c r="TF37" s="179"/>
      <c r="TG37" s="179"/>
      <c r="TH37" s="172"/>
      <c r="TI37" s="179"/>
      <c r="TJ37" s="179"/>
      <c r="TK37" s="172"/>
      <c r="TL37" s="172"/>
      <c r="TM37" s="179"/>
      <c r="TN37" s="179"/>
      <c r="TO37" s="179"/>
      <c r="TP37" s="179"/>
      <c r="TQ37" s="179"/>
      <c r="TR37" s="179"/>
      <c r="TS37" s="179"/>
      <c r="TT37" s="179"/>
      <c r="TU37" s="179"/>
      <c r="TV37" s="179"/>
      <c r="TW37" s="176"/>
      <c r="TX37" s="179"/>
      <c r="TY37" s="179"/>
      <c r="TZ37" s="176"/>
      <c r="UA37" s="179"/>
      <c r="UB37" s="179"/>
      <c r="UC37" s="179"/>
      <c r="UD37" s="179"/>
      <c r="UE37" s="179"/>
      <c r="UF37" s="179"/>
      <c r="UG37" s="172"/>
      <c r="UH37" s="172"/>
      <c r="UI37" s="172"/>
      <c r="UJ37" s="179"/>
      <c r="UK37" s="172"/>
      <c r="UL37" s="172"/>
      <c r="UM37" s="179"/>
      <c r="UN37" s="179"/>
      <c r="UO37" s="179"/>
      <c r="UP37" s="179"/>
      <c r="UQ37" s="179"/>
      <c r="UR37" s="172"/>
      <c r="US37" s="172"/>
      <c r="UT37" s="172"/>
      <c r="UU37" s="172"/>
      <c r="UV37" s="172"/>
      <c r="UW37" s="179"/>
      <c r="UX37" s="172"/>
      <c r="UY37" s="172"/>
      <c r="UZ37" s="179"/>
      <c r="VA37" s="179"/>
      <c r="VB37" s="179"/>
      <c r="VC37" s="176"/>
      <c r="VD37" s="179"/>
      <c r="VE37" s="175"/>
      <c r="VF37" s="175"/>
      <c r="VG37" s="176"/>
      <c r="VH37" s="172"/>
      <c r="VI37" s="172"/>
      <c r="VJ37" s="172"/>
      <c r="VK37" s="172"/>
      <c r="VL37" s="180"/>
      <c r="VM37" s="181"/>
      <c r="VN37" s="181"/>
      <c r="VO37" s="181"/>
      <c r="VP37" s="183"/>
      <c r="VQ37" s="181"/>
      <c r="VR37" s="183"/>
      <c r="VS37" s="184"/>
      <c r="VT37" s="182"/>
      <c r="VU37" s="185"/>
      <c r="VV37" s="30"/>
      <c r="VW37" s="54"/>
      <c r="VX37" s="54"/>
      <c r="VY37" s="58"/>
      <c r="WA37" s="182"/>
      <c r="WB37" s="182"/>
      <c r="WC37" s="182"/>
      <c r="WD37" s="182"/>
      <c r="WE37" s="182"/>
      <c r="WF37" s="182"/>
      <c r="WG37" s="182"/>
      <c r="WH37" s="182"/>
      <c r="WI37" s="186"/>
      <c r="WJ37" s="2"/>
      <c r="WK37" s="2"/>
    </row>
    <row r="38" spans="1:611" x14ac:dyDescent="0.25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  <c r="LG38" s="67"/>
      <c r="LH38" s="67"/>
      <c r="LI38" s="67"/>
      <c r="LJ38" s="67"/>
      <c r="LK38" s="67"/>
      <c r="LL38" s="67"/>
      <c r="LM38" s="67"/>
      <c r="LN38" s="67"/>
      <c r="LO38" s="67"/>
      <c r="LP38" s="67"/>
      <c r="LQ38" s="67"/>
      <c r="LR38" s="67"/>
      <c r="LS38" s="67"/>
      <c r="LT38" s="67"/>
      <c r="LU38" s="67"/>
      <c r="LV38" s="67"/>
      <c r="LW38" s="67"/>
      <c r="LX38" s="67"/>
      <c r="LY38" s="67"/>
      <c r="LZ38" s="67"/>
      <c r="MA38" s="67"/>
      <c r="MB38" s="67"/>
      <c r="MC38" s="67"/>
      <c r="MD38" s="67"/>
      <c r="ME38" s="67"/>
      <c r="MF38" s="67"/>
      <c r="MG38" s="67"/>
      <c r="MH38" s="67"/>
      <c r="MI38" s="67"/>
      <c r="MJ38" s="67"/>
      <c r="MK38" s="67"/>
      <c r="ML38" s="67"/>
      <c r="MM38" s="67"/>
      <c r="MN38" s="67"/>
      <c r="MO38" s="67"/>
      <c r="MP38" s="67"/>
      <c r="MQ38" s="67"/>
      <c r="MR38" s="67"/>
      <c r="MS38" s="67"/>
      <c r="MT38" s="67"/>
      <c r="MU38" s="67"/>
      <c r="MV38" s="67"/>
      <c r="MW38" s="67"/>
      <c r="MX38" s="67"/>
      <c r="MY38" s="67"/>
      <c r="MZ38" s="67"/>
      <c r="NA38" s="67"/>
      <c r="NB38" s="67"/>
      <c r="NC38" s="67"/>
      <c r="ND38" s="67"/>
      <c r="NE38" s="67"/>
      <c r="NF38" s="67"/>
      <c r="NG38" s="67"/>
      <c r="NH38" s="67"/>
      <c r="NI38" s="67"/>
      <c r="NJ38" s="67"/>
      <c r="NK38" s="67"/>
      <c r="NL38" s="67"/>
      <c r="NM38" s="67"/>
      <c r="NN38" s="67"/>
      <c r="NO38" s="67"/>
      <c r="NP38" s="67"/>
      <c r="NQ38" s="67"/>
      <c r="NR38" s="67"/>
      <c r="NS38" s="67"/>
      <c r="NT38" s="67"/>
      <c r="NU38" s="67"/>
      <c r="NV38" s="67"/>
      <c r="NW38" s="67"/>
      <c r="NX38" s="67"/>
      <c r="NY38" s="67"/>
      <c r="NZ38" s="67"/>
      <c r="OA38" s="67"/>
      <c r="OB38" s="67"/>
      <c r="OC38" s="67"/>
      <c r="OD38" s="67"/>
      <c r="OE38" s="67"/>
      <c r="OF38" s="67"/>
      <c r="OG38" s="67"/>
      <c r="OH38" s="67"/>
      <c r="OI38" s="67"/>
      <c r="OJ38" s="67"/>
      <c r="OK38" s="67"/>
      <c r="OL38" s="67"/>
      <c r="OM38" s="67"/>
      <c r="ON38" s="67"/>
      <c r="OO38" s="67"/>
      <c r="OP38" s="67"/>
      <c r="OQ38" s="67"/>
      <c r="OR38" s="67"/>
      <c r="OS38" s="67"/>
      <c r="OT38" s="67"/>
      <c r="OU38" s="67"/>
      <c r="OV38" s="67"/>
      <c r="OW38" s="67"/>
      <c r="OX38" s="67"/>
      <c r="OY38" s="67"/>
      <c r="OZ38" s="67"/>
      <c r="PA38" s="67"/>
      <c r="PB38" s="67"/>
      <c r="PC38" s="67"/>
      <c r="PD38" s="67"/>
      <c r="PE38" s="67"/>
      <c r="PF38" s="67"/>
      <c r="PG38" s="67"/>
      <c r="PH38" s="67"/>
      <c r="PI38" s="67"/>
      <c r="PJ38" s="67"/>
      <c r="PK38" s="67"/>
      <c r="PL38" s="67"/>
      <c r="PM38" s="67"/>
      <c r="PN38" s="67"/>
      <c r="PO38" s="67"/>
      <c r="PP38" s="67"/>
      <c r="PQ38" s="67"/>
      <c r="PR38" s="67"/>
      <c r="PS38" s="67"/>
      <c r="PT38" s="67"/>
      <c r="PU38" s="67"/>
      <c r="PV38" s="67"/>
      <c r="PW38" s="67"/>
      <c r="PX38" s="67"/>
      <c r="PY38" s="67"/>
      <c r="PZ38" s="67"/>
      <c r="QA38" s="67"/>
      <c r="QB38" s="67"/>
      <c r="QC38" s="67"/>
      <c r="QD38" s="67"/>
      <c r="QE38" s="67"/>
      <c r="QF38" s="67"/>
      <c r="QG38" s="67"/>
      <c r="QH38" s="67"/>
      <c r="QI38" s="67"/>
      <c r="QJ38" s="67"/>
      <c r="QK38" s="67"/>
      <c r="QL38" s="67"/>
      <c r="QM38" s="67"/>
      <c r="QN38" s="67"/>
      <c r="QO38" s="67"/>
      <c r="QP38" s="67"/>
      <c r="QQ38" s="67"/>
      <c r="QR38" s="67"/>
      <c r="QS38" s="67"/>
      <c r="QT38" s="67"/>
      <c r="QU38" s="67"/>
      <c r="QV38" s="67"/>
      <c r="QW38" s="67"/>
      <c r="QX38" s="67"/>
      <c r="QY38" s="67"/>
      <c r="QZ38" s="67"/>
      <c r="RA38" s="67"/>
      <c r="RB38" s="67"/>
      <c r="RC38" s="67"/>
      <c r="RD38" s="67"/>
      <c r="RE38" s="67"/>
      <c r="RF38" s="67"/>
      <c r="RG38" s="67"/>
      <c r="RH38" s="67"/>
      <c r="RI38" s="67"/>
      <c r="RJ38" s="67"/>
      <c r="RK38" s="67"/>
      <c r="RL38" s="67"/>
      <c r="RM38" s="67"/>
      <c r="RN38" s="67"/>
      <c r="RO38" s="67"/>
      <c r="RP38" s="67"/>
      <c r="RQ38" s="67"/>
      <c r="RR38" s="67"/>
      <c r="RS38" s="67"/>
      <c r="RT38" s="67"/>
      <c r="RU38" s="67"/>
      <c r="RV38" s="67"/>
      <c r="RW38" s="67"/>
      <c r="RX38" s="67"/>
      <c r="RY38" s="67"/>
      <c r="RZ38" s="67"/>
      <c r="SA38" s="67"/>
      <c r="SB38" s="67"/>
      <c r="SC38" s="67"/>
      <c r="SD38" s="67"/>
      <c r="SE38" s="67"/>
      <c r="SF38" s="67"/>
      <c r="SG38" s="67"/>
      <c r="SH38" s="67"/>
      <c r="SI38" s="67"/>
      <c r="SJ38" s="67"/>
      <c r="SK38" s="67"/>
      <c r="SL38" s="67"/>
      <c r="SM38" s="67"/>
      <c r="SN38" s="67"/>
      <c r="SO38" s="67"/>
      <c r="SP38" s="67"/>
      <c r="SQ38" s="67"/>
      <c r="SR38" s="67"/>
      <c r="SS38" s="67"/>
      <c r="ST38" s="67"/>
      <c r="SU38" s="67"/>
      <c r="SV38" s="67"/>
      <c r="SW38" s="67"/>
      <c r="SX38" s="67"/>
      <c r="SY38" s="67"/>
      <c r="SZ38" s="67"/>
      <c r="TA38" s="67"/>
      <c r="TB38" s="67"/>
      <c r="TC38" s="67"/>
      <c r="TD38" s="67"/>
      <c r="TE38" s="67"/>
      <c r="TF38" s="67"/>
      <c r="TG38" s="67"/>
      <c r="TH38" s="67"/>
      <c r="TI38" s="67"/>
      <c r="TJ38" s="67"/>
      <c r="TK38" s="67"/>
      <c r="TL38" s="67"/>
      <c r="TM38" s="67"/>
      <c r="TN38" s="67"/>
      <c r="TO38" s="67"/>
      <c r="TP38" s="67"/>
      <c r="TQ38" s="67"/>
      <c r="TR38" s="67"/>
      <c r="TS38" s="67"/>
      <c r="TT38" s="67"/>
      <c r="TU38" s="67"/>
      <c r="TV38" s="67"/>
      <c r="TW38" s="67"/>
      <c r="TX38" s="67"/>
      <c r="TY38" s="67"/>
      <c r="TZ38" s="67"/>
      <c r="UA38" s="67"/>
      <c r="UB38" s="67"/>
      <c r="UC38" s="67"/>
      <c r="UD38" s="67"/>
      <c r="UE38" s="67"/>
      <c r="UF38" s="67"/>
      <c r="UG38" s="67"/>
      <c r="UH38" s="67"/>
      <c r="UI38" s="67"/>
      <c r="UJ38" s="67"/>
      <c r="UK38" s="67"/>
      <c r="UL38" s="67"/>
      <c r="UM38" s="67"/>
      <c r="UN38" s="67"/>
      <c r="UO38" s="67"/>
      <c r="UP38" s="67"/>
      <c r="UQ38" s="67"/>
      <c r="UR38" s="67"/>
      <c r="US38" s="67"/>
      <c r="UT38" s="67"/>
      <c r="UU38" s="67"/>
      <c r="UV38" s="67"/>
      <c r="UW38" s="67"/>
      <c r="UX38" s="67"/>
      <c r="UY38" s="67"/>
      <c r="UZ38" s="67"/>
      <c r="VA38" s="67"/>
      <c r="VB38" s="67"/>
      <c r="VC38" s="67"/>
      <c r="VD38" s="67"/>
      <c r="VE38" s="67"/>
      <c r="VF38" s="67"/>
      <c r="VG38" s="67"/>
      <c r="VH38" s="67"/>
      <c r="VI38" s="67"/>
      <c r="VJ38" s="67"/>
      <c r="VK38" s="67"/>
      <c r="VL38" s="67"/>
      <c r="VM38" s="67"/>
      <c r="VN38" s="67"/>
      <c r="VO38" s="67"/>
      <c r="VP38" s="67"/>
      <c r="VQ38" s="67"/>
      <c r="VR38" s="67"/>
      <c r="VS38" s="67"/>
      <c r="VT38" s="67"/>
      <c r="VU38" s="67"/>
      <c r="VV38" s="67"/>
      <c r="VW38" s="67"/>
      <c r="VX38" s="67"/>
      <c r="VY38" s="67"/>
      <c r="WA38" s="67"/>
      <c r="WB38" s="67"/>
      <c r="WC38" s="67"/>
      <c r="WD38" s="67"/>
      <c r="WE38" s="67"/>
      <c r="WF38" s="67"/>
      <c r="WG38" s="67"/>
      <c r="WH38" s="67"/>
      <c r="WI38" s="67"/>
      <c r="WJ38" s="2"/>
      <c r="WK38" s="2"/>
    </row>
    <row r="39" spans="1:611" x14ac:dyDescent="0.25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  <c r="LH39" s="67"/>
      <c r="LI39" s="67"/>
      <c r="LJ39" s="67"/>
      <c r="LK39" s="67"/>
      <c r="LL39" s="67"/>
      <c r="LM39" s="67"/>
      <c r="LN39" s="67"/>
      <c r="LO39" s="67"/>
      <c r="LP39" s="67"/>
      <c r="LQ39" s="67"/>
      <c r="LR39" s="67"/>
      <c r="LS39" s="67"/>
      <c r="LT39" s="67"/>
      <c r="LU39" s="67"/>
      <c r="LV39" s="67"/>
      <c r="LW39" s="67"/>
      <c r="LX39" s="67"/>
      <c r="LY39" s="67"/>
      <c r="LZ39" s="67"/>
      <c r="MA39" s="67"/>
      <c r="MB39" s="67"/>
      <c r="MC39" s="67"/>
      <c r="MD39" s="67"/>
      <c r="ME39" s="67"/>
      <c r="MF39" s="67"/>
      <c r="MG39" s="67"/>
      <c r="MH39" s="67"/>
      <c r="MI39" s="67"/>
      <c r="MJ39" s="67"/>
      <c r="MK39" s="67"/>
      <c r="ML39" s="67"/>
      <c r="MM39" s="67"/>
      <c r="MN39" s="67"/>
      <c r="MO39" s="67"/>
      <c r="MP39" s="67"/>
      <c r="MQ39" s="67"/>
      <c r="MR39" s="67"/>
      <c r="MS39" s="67"/>
      <c r="MT39" s="67"/>
      <c r="MU39" s="67"/>
      <c r="MV39" s="67"/>
      <c r="MW39" s="67"/>
      <c r="MX39" s="67"/>
      <c r="MY39" s="67"/>
      <c r="MZ39" s="67"/>
      <c r="NA39" s="67"/>
      <c r="NB39" s="67"/>
      <c r="NC39" s="67"/>
      <c r="ND39" s="67"/>
      <c r="NE39" s="67"/>
      <c r="NF39" s="67"/>
      <c r="NG39" s="67"/>
      <c r="NH39" s="67"/>
      <c r="NI39" s="67"/>
      <c r="NJ39" s="67"/>
      <c r="NK39" s="67"/>
      <c r="NL39" s="67"/>
      <c r="NM39" s="67"/>
      <c r="NN39" s="67"/>
      <c r="NO39" s="67"/>
      <c r="NP39" s="67"/>
      <c r="NQ39" s="67"/>
      <c r="NR39" s="67"/>
      <c r="NS39" s="67"/>
      <c r="NT39" s="67"/>
      <c r="NU39" s="67"/>
      <c r="NV39" s="67"/>
      <c r="NW39" s="67"/>
      <c r="NX39" s="67"/>
      <c r="NY39" s="67"/>
      <c r="NZ39" s="67"/>
      <c r="OA39" s="67"/>
      <c r="OB39" s="67"/>
      <c r="OC39" s="67"/>
      <c r="OD39" s="67"/>
      <c r="OE39" s="67"/>
      <c r="OF39" s="67"/>
      <c r="OG39" s="67"/>
      <c r="OH39" s="67"/>
      <c r="OI39" s="67"/>
      <c r="OJ39" s="67"/>
      <c r="OK39" s="67"/>
      <c r="OL39" s="67"/>
      <c r="OM39" s="67"/>
      <c r="ON39" s="67"/>
      <c r="OO39" s="67"/>
      <c r="OP39" s="67"/>
      <c r="OQ39" s="67"/>
      <c r="OR39" s="67"/>
      <c r="OS39" s="67"/>
      <c r="OT39" s="67"/>
      <c r="OU39" s="67"/>
      <c r="OV39" s="67"/>
      <c r="OW39" s="67"/>
      <c r="OX39" s="67"/>
      <c r="OY39" s="67"/>
      <c r="OZ39" s="67"/>
      <c r="PA39" s="67"/>
      <c r="PB39" s="67"/>
      <c r="PC39" s="67"/>
      <c r="PD39" s="67"/>
      <c r="PE39" s="67"/>
      <c r="PF39" s="67"/>
      <c r="PG39" s="67"/>
      <c r="PH39" s="67"/>
      <c r="PI39" s="67"/>
      <c r="PJ39" s="67"/>
      <c r="PK39" s="67"/>
      <c r="PL39" s="67"/>
      <c r="PM39" s="67"/>
      <c r="PN39" s="67"/>
      <c r="PO39" s="67"/>
      <c r="PP39" s="67"/>
      <c r="PQ39" s="67"/>
      <c r="PR39" s="67"/>
      <c r="PS39" s="67"/>
      <c r="PT39" s="67"/>
      <c r="PU39" s="67"/>
      <c r="PV39" s="67"/>
      <c r="PW39" s="67"/>
      <c r="PX39" s="67"/>
      <c r="PY39" s="67"/>
      <c r="PZ39" s="67"/>
      <c r="QA39" s="67"/>
      <c r="QB39" s="67"/>
      <c r="QC39" s="67"/>
      <c r="QD39" s="67"/>
      <c r="QE39" s="67"/>
      <c r="QF39" s="67"/>
      <c r="QG39" s="67"/>
      <c r="QH39" s="67"/>
      <c r="QI39" s="67"/>
      <c r="QJ39" s="67"/>
      <c r="QK39" s="67"/>
      <c r="QL39" s="67"/>
      <c r="QM39" s="67"/>
      <c r="QN39" s="67"/>
      <c r="QO39" s="67"/>
      <c r="QP39" s="67"/>
      <c r="QQ39" s="67"/>
      <c r="QR39" s="67"/>
      <c r="QS39" s="67"/>
      <c r="QT39" s="67"/>
      <c r="QU39" s="67"/>
      <c r="QV39" s="67"/>
      <c r="QW39" s="67"/>
      <c r="QX39" s="67"/>
      <c r="QY39" s="67"/>
      <c r="QZ39" s="67"/>
      <c r="RA39" s="67"/>
      <c r="RB39" s="67"/>
      <c r="RC39" s="67"/>
      <c r="RD39" s="67"/>
      <c r="RE39" s="67"/>
      <c r="RF39" s="67"/>
      <c r="RG39" s="67"/>
      <c r="RH39" s="67"/>
      <c r="RI39" s="67"/>
      <c r="RJ39" s="67"/>
      <c r="RK39" s="67"/>
      <c r="RL39" s="67"/>
      <c r="RM39" s="67"/>
      <c r="RN39" s="67"/>
      <c r="RO39" s="67"/>
      <c r="RP39" s="67"/>
      <c r="RQ39" s="67"/>
      <c r="RR39" s="67"/>
      <c r="RS39" s="67"/>
      <c r="RT39" s="67"/>
      <c r="RU39" s="67"/>
      <c r="RV39" s="67"/>
      <c r="RW39" s="67"/>
      <c r="RX39" s="67"/>
      <c r="RY39" s="67"/>
      <c r="RZ39" s="67"/>
      <c r="SA39" s="67"/>
      <c r="SB39" s="67"/>
      <c r="SC39" s="67"/>
      <c r="SD39" s="67"/>
      <c r="SE39" s="67"/>
      <c r="SF39" s="67"/>
      <c r="SG39" s="67"/>
      <c r="SH39" s="67"/>
      <c r="SI39" s="67"/>
      <c r="SJ39" s="67"/>
      <c r="SK39" s="67"/>
      <c r="SL39" s="67"/>
      <c r="SM39" s="67"/>
      <c r="SN39" s="67"/>
      <c r="SO39" s="67"/>
      <c r="SP39" s="67"/>
      <c r="SQ39" s="67"/>
      <c r="SR39" s="67"/>
      <c r="SS39" s="67"/>
      <c r="ST39" s="67"/>
      <c r="SU39" s="67"/>
      <c r="SV39" s="67"/>
      <c r="SW39" s="67"/>
      <c r="SX39" s="67"/>
      <c r="SY39" s="67"/>
      <c r="SZ39" s="67"/>
      <c r="TA39" s="67"/>
      <c r="TB39" s="67"/>
      <c r="TC39" s="67"/>
      <c r="TD39" s="67"/>
      <c r="TE39" s="67"/>
      <c r="TF39" s="67"/>
      <c r="TG39" s="67"/>
      <c r="TH39" s="67"/>
      <c r="TI39" s="67"/>
      <c r="TJ39" s="67"/>
      <c r="TK39" s="67"/>
      <c r="TL39" s="67"/>
      <c r="TM39" s="67"/>
      <c r="TN39" s="67"/>
      <c r="TO39" s="67"/>
      <c r="TP39" s="67"/>
      <c r="TQ39" s="67"/>
      <c r="TR39" s="67"/>
      <c r="TS39" s="67"/>
      <c r="TT39" s="67"/>
      <c r="TU39" s="67"/>
      <c r="TV39" s="67"/>
      <c r="TW39" s="67"/>
      <c r="TX39" s="67"/>
      <c r="TY39" s="67"/>
      <c r="TZ39" s="67"/>
      <c r="UA39" s="67"/>
      <c r="UB39" s="67"/>
      <c r="UC39" s="67"/>
      <c r="UD39" s="67"/>
      <c r="UE39" s="67"/>
      <c r="UF39" s="67"/>
      <c r="UG39" s="67"/>
      <c r="UH39" s="67"/>
      <c r="UI39" s="67"/>
      <c r="UJ39" s="67"/>
      <c r="UK39" s="67"/>
      <c r="UL39" s="67"/>
      <c r="UM39" s="67"/>
      <c r="UN39" s="67"/>
      <c r="UO39" s="67"/>
      <c r="UP39" s="67"/>
      <c r="UQ39" s="67"/>
      <c r="UR39" s="67"/>
      <c r="US39" s="67"/>
      <c r="UT39" s="67"/>
      <c r="UU39" s="67"/>
      <c r="UV39" s="67"/>
      <c r="UW39" s="67"/>
      <c r="UX39" s="67"/>
      <c r="UY39" s="67"/>
      <c r="UZ39" s="67"/>
      <c r="VA39" s="67"/>
      <c r="VB39" s="67"/>
      <c r="VC39" s="67"/>
      <c r="VD39" s="67"/>
      <c r="VE39" s="67"/>
      <c r="VF39" s="67"/>
      <c r="VG39" s="67"/>
      <c r="VH39" s="67"/>
      <c r="VI39" s="67"/>
      <c r="VJ39" s="67"/>
      <c r="VK39" s="67"/>
      <c r="VL39" s="67"/>
      <c r="VM39" s="67"/>
      <c r="VN39" s="67"/>
      <c r="VO39" s="67"/>
      <c r="VP39" s="67"/>
      <c r="VQ39" s="67"/>
      <c r="VR39" s="67"/>
      <c r="VS39" s="67"/>
      <c r="VT39" s="67"/>
      <c r="VU39" s="67"/>
      <c r="VV39" s="67"/>
      <c r="VW39" s="67"/>
      <c r="VX39" s="67"/>
      <c r="VY39" s="67"/>
      <c r="WA39" s="67"/>
      <c r="WB39" s="67"/>
      <c r="WC39" s="67"/>
      <c r="WD39" s="67"/>
      <c r="WE39" s="67"/>
      <c r="WF39" s="67"/>
      <c r="WG39" s="67"/>
      <c r="WH39" s="67"/>
      <c r="WI39" s="67"/>
      <c r="WJ39" s="2"/>
      <c r="WK39" s="2"/>
    </row>
    <row r="40" spans="1:611" x14ac:dyDescent="0.25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67"/>
      <c r="GH40" s="67"/>
      <c r="GI40" s="67"/>
      <c r="GJ40" s="67"/>
      <c r="GK40" s="67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  <c r="HX40" s="67"/>
      <c r="HY40" s="67"/>
      <c r="HZ40" s="67"/>
      <c r="IA40" s="67"/>
      <c r="IB40" s="67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  <c r="LH40" s="67"/>
      <c r="LI40" s="67"/>
      <c r="LJ40" s="67"/>
      <c r="LK40" s="67"/>
      <c r="LL40" s="67"/>
      <c r="LM40" s="67"/>
      <c r="LN40" s="67"/>
      <c r="LO40" s="67"/>
      <c r="LP40" s="67"/>
      <c r="LQ40" s="67"/>
      <c r="LR40" s="67"/>
      <c r="LS40" s="67"/>
      <c r="LT40" s="67"/>
      <c r="LU40" s="67"/>
      <c r="LV40" s="67"/>
      <c r="LW40" s="67"/>
      <c r="LX40" s="67"/>
      <c r="LY40" s="67"/>
      <c r="LZ40" s="67"/>
      <c r="MA40" s="67"/>
      <c r="MB40" s="67"/>
      <c r="MC40" s="67"/>
      <c r="MD40" s="67"/>
      <c r="ME40" s="67"/>
      <c r="MF40" s="67"/>
      <c r="MG40" s="67"/>
      <c r="MH40" s="67"/>
      <c r="MI40" s="67"/>
      <c r="MJ40" s="67"/>
      <c r="MK40" s="67"/>
      <c r="ML40" s="67"/>
      <c r="MM40" s="67"/>
      <c r="MN40" s="67"/>
      <c r="MO40" s="67"/>
      <c r="MP40" s="67"/>
      <c r="MQ40" s="67"/>
      <c r="MR40" s="67"/>
      <c r="MS40" s="67"/>
      <c r="MT40" s="67"/>
      <c r="MU40" s="67"/>
      <c r="MV40" s="67"/>
      <c r="MW40" s="67"/>
      <c r="MX40" s="67"/>
      <c r="MY40" s="67"/>
      <c r="MZ40" s="67"/>
      <c r="NA40" s="67"/>
      <c r="NB40" s="67"/>
      <c r="NC40" s="67"/>
      <c r="ND40" s="67"/>
      <c r="NE40" s="67"/>
      <c r="NF40" s="67"/>
      <c r="NG40" s="67"/>
      <c r="NH40" s="67"/>
      <c r="NI40" s="67"/>
      <c r="NJ40" s="67"/>
      <c r="NK40" s="67"/>
      <c r="NL40" s="67"/>
      <c r="NM40" s="67"/>
      <c r="NN40" s="67"/>
      <c r="NO40" s="67"/>
      <c r="NP40" s="67"/>
      <c r="NQ40" s="67"/>
      <c r="NR40" s="67"/>
      <c r="NS40" s="67"/>
      <c r="NT40" s="67"/>
      <c r="NU40" s="67"/>
      <c r="NV40" s="67"/>
      <c r="NW40" s="67"/>
      <c r="NX40" s="67"/>
      <c r="NY40" s="67"/>
      <c r="NZ40" s="67"/>
      <c r="OA40" s="67"/>
      <c r="OB40" s="67"/>
      <c r="OC40" s="67"/>
      <c r="OD40" s="67"/>
      <c r="OE40" s="67"/>
      <c r="OF40" s="67"/>
      <c r="OG40" s="67"/>
      <c r="OH40" s="67"/>
      <c r="OI40" s="67"/>
      <c r="OJ40" s="67"/>
      <c r="OK40" s="67"/>
      <c r="OL40" s="67"/>
      <c r="OM40" s="67"/>
      <c r="ON40" s="67"/>
      <c r="OO40" s="67"/>
      <c r="OP40" s="67"/>
      <c r="OQ40" s="67"/>
      <c r="OR40" s="67"/>
      <c r="OS40" s="67"/>
      <c r="OT40" s="67"/>
      <c r="OU40" s="67"/>
      <c r="OV40" s="67"/>
      <c r="OW40" s="67"/>
      <c r="OX40" s="67"/>
      <c r="OY40" s="67"/>
      <c r="OZ40" s="67"/>
      <c r="PA40" s="67"/>
      <c r="PB40" s="67"/>
      <c r="PC40" s="67"/>
      <c r="PD40" s="67"/>
      <c r="PE40" s="67"/>
      <c r="PF40" s="67"/>
      <c r="PG40" s="67"/>
      <c r="PH40" s="67"/>
      <c r="PI40" s="67"/>
      <c r="PJ40" s="67"/>
      <c r="PK40" s="67"/>
      <c r="PL40" s="67"/>
      <c r="PM40" s="67"/>
      <c r="PN40" s="67"/>
      <c r="PO40" s="67"/>
      <c r="PP40" s="67"/>
      <c r="PQ40" s="67"/>
      <c r="PR40" s="67"/>
      <c r="PS40" s="67"/>
      <c r="PT40" s="67"/>
      <c r="PU40" s="67"/>
      <c r="PV40" s="67"/>
      <c r="PW40" s="67"/>
      <c r="PX40" s="67"/>
      <c r="PY40" s="67"/>
      <c r="PZ40" s="67"/>
      <c r="QA40" s="67"/>
      <c r="QB40" s="67"/>
      <c r="QC40" s="67"/>
      <c r="QD40" s="67"/>
      <c r="QE40" s="67"/>
      <c r="QF40" s="67"/>
      <c r="QG40" s="67"/>
      <c r="QH40" s="67"/>
      <c r="QI40" s="67"/>
      <c r="QJ40" s="67"/>
      <c r="QK40" s="67"/>
      <c r="QL40" s="67"/>
      <c r="QM40" s="67"/>
      <c r="QN40" s="67"/>
      <c r="QO40" s="67"/>
      <c r="QP40" s="67"/>
      <c r="QQ40" s="67"/>
      <c r="QR40" s="67"/>
      <c r="QS40" s="67"/>
      <c r="QT40" s="67"/>
      <c r="QU40" s="67"/>
      <c r="QV40" s="67"/>
      <c r="QW40" s="67"/>
      <c r="QX40" s="67"/>
      <c r="QY40" s="67"/>
      <c r="QZ40" s="67"/>
      <c r="RA40" s="67"/>
      <c r="RB40" s="67"/>
      <c r="RC40" s="67"/>
      <c r="RD40" s="67"/>
      <c r="RE40" s="67"/>
      <c r="RF40" s="67"/>
      <c r="RG40" s="67"/>
      <c r="RH40" s="67"/>
      <c r="RI40" s="67"/>
      <c r="RJ40" s="67"/>
      <c r="RK40" s="67"/>
      <c r="RL40" s="67"/>
      <c r="RM40" s="67"/>
      <c r="RN40" s="67"/>
      <c r="RO40" s="67"/>
      <c r="RP40" s="67"/>
      <c r="RQ40" s="67"/>
      <c r="RR40" s="67"/>
      <c r="RS40" s="67"/>
      <c r="RT40" s="67"/>
      <c r="RU40" s="67"/>
      <c r="RV40" s="67"/>
      <c r="RW40" s="67"/>
      <c r="RX40" s="67"/>
      <c r="RY40" s="67"/>
      <c r="RZ40" s="67"/>
      <c r="SA40" s="67"/>
      <c r="SB40" s="67"/>
      <c r="SC40" s="67"/>
      <c r="SD40" s="67"/>
      <c r="SE40" s="67"/>
      <c r="SF40" s="67"/>
      <c r="SG40" s="67"/>
      <c r="SH40" s="67"/>
      <c r="SI40" s="67"/>
      <c r="SJ40" s="67"/>
      <c r="SK40" s="67"/>
      <c r="SL40" s="67"/>
      <c r="SM40" s="67"/>
      <c r="SN40" s="67"/>
      <c r="SO40" s="67"/>
      <c r="SP40" s="67"/>
      <c r="SQ40" s="67"/>
      <c r="SR40" s="67"/>
      <c r="SS40" s="67"/>
      <c r="ST40" s="67"/>
      <c r="SU40" s="67"/>
      <c r="SV40" s="67"/>
      <c r="SW40" s="67"/>
      <c r="SX40" s="67"/>
      <c r="SY40" s="67"/>
      <c r="SZ40" s="67"/>
      <c r="TA40" s="67"/>
      <c r="TB40" s="67"/>
      <c r="TC40" s="67"/>
      <c r="TD40" s="67"/>
      <c r="TE40" s="67"/>
      <c r="TF40" s="67"/>
      <c r="TG40" s="67"/>
      <c r="TH40" s="67"/>
      <c r="TI40" s="67"/>
      <c r="TJ40" s="67"/>
      <c r="TK40" s="67"/>
      <c r="TL40" s="67"/>
      <c r="TM40" s="67"/>
      <c r="TN40" s="67"/>
      <c r="TO40" s="67"/>
      <c r="TP40" s="67"/>
      <c r="TQ40" s="67"/>
      <c r="TR40" s="67"/>
      <c r="TS40" s="67"/>
      <c r="TT40" s="67"/>
      <c r="TU40" s="67"/>
      <c r="TV40" s="67"/>
      <c r="TW40" s="67"/>
      <c r="TX40" s="67"/>
      <c r="TY40" s="67"/>
      <c r="TZ40" s="67"/>
      <c r="UA40" s="67"/>
      <c r="UB40" s="67"/>
      <c r="UC40" s="67"/>
      <c r="UD40" s="67"/>
      <c r="UE40" s="67"/>
      <c r="UF40" s="67"/>
      <c r="UG40" s="67"/>
      <c r="UH40" s="67"/>
      <c r="UI40" s="67"/>
      <c r="UJ40" s="67"/>
      <c r="UK40" s="67"/>
      <c r="UL40" s="67"/>
      <c r="UM40" s="67"/>
      <c r="UN40" s="67"/>
      <c r="UO40" s="67"/>
      <c r="UP40" s="67"/>
      <c r="UQ40" s="67"/>
      <c r="UR40" s="67"/>
      <c r="US40" s="67"/>
      <c r="UT40" s="67"/>
      <c r="UU40" s="67"/>
      <c r="UV40" s="67"/>
      <c r="UW40" s="67"/>
      <c r="UX40" s="67"/>
      <c r="UY40" s="67"/>
      <c r="UZ40" s="67"/>
      <c r="VA40" s="67"/>
      <c r="VB40" s="67"/>
      <c r="VC40" s="67"/>
      <c r="VD40" s="67"/>
      <c r="VE40" s="67"/>
      <c r="VF40" s="67"/>
      <c r="VG40" s="67"/>
      <c r="VH40" s="67"/>
      <c r="VI40" s="67"/>
      <c r="VJ40" s="67"/>
      <c r="VK40" s="67"/>
      <c r="VL40" s="67"/>
      <c r="VM40" s="67"/>
      <c r="VN40" s="67"/>
      <c r="VO40" s="67"/>
      <c r="VP40" s="67"/>
      <c r="VQ40" s="67"/>
      <c r="VR40" s="67"/>
      <c r="VS40" s="67"/>
      <c r="VT40" s="67"/>
      <c r="VU40" s="67"/>
      <c r="VV40" s="67"/>
      <c r="VW40" s="67"/>
      <c r="VX40" s="67"/>
      <c r="VY40" s="67"/>
      <c r="WA40" s="67"/>
      <c r="WB40" s="67"/>
      <c r="WC40" s="67"/>
      <c r="WD40" s="67"/>
      <c r="WE40" s="67"/>
      <c r="WF40" s="67"/>
      <c r="WG40" s="67"/>
      <c r="WH40" s="67"/>
      <c r="WI40" s="67"/>
      <c r="WJ40" s="2"/>
      <c r="WK40" s="2"/>
    </row>
    <row r="41" spans="1:611" x14ac:dyDescent="0.2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  <c r="LH41" s="67"/>
      <c r="LI41" s="67"/>
      <c r="LJ41" s="67"/>
      <c r="LK41" s="67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67"/>
      <c r="LW41" s="67"/>
      <c r="LX41" s="67"/>
      <c r="LY41" s="67"/>
      <c r="LZ41" s="67"/>
      <c r="MA41" s="67"/>
      <c r="MB41" s="67"/>
      <c r="MC41" s="67"/>
      <c r="MD41" s="67"/>
      <c r="ME41" s="67"/>
      <c r="MF41" s="67"/>
      <c r="MG41" s="67"/>
      <c r="MH41" s="67"/>
      <c r="MI41" s="67"/>
      <c r="MJ41" s="67"/>
      <c r="MK41" s="67"/>
      <c r="ML41" s="67"/>
      <c r="MM41" s="67"/>
      <c r="MN41" s="67"/>
      <c r="MO41" s="67"/>
      <c r="MP41" s="67"/>
      <c r="MQ41" s="67"/>
      <c r="MR41" s="67"/>
      <c r="MS41" s="67"/>
      <c r="MT41" s="67"/>
      <c r="MU41" s="67"/>
      <c r="MV41" s="67"/>
      <c r="MW41" s="67"/>
      <c r="MX41" s="67"/>
      <c r="MY41" s="67"/>
      <c r="MZ41" s="67"/>
      <c r="NA41" s="67"/>
      <c r="NB41" s="67"/>
      <c r="NC41" s="67"/>
      <c r="ND41" s="67"/>
      <c r="NE41" s="67"/>
      <c r="NF41" s="67"/>
      <c r="NG41" s="67"/>
      <c r="NH41" s="67"/>
      <c r="NI41" s="67"/>
      <c r="NJ41" s="67"/>
      <c r="NK41" s="67"/>
      <c r="NL41" s="67"/>
      <c r="NM41" s="67"/>
      <c r="NN41" s="67"/>
      <c r="NO41" s="67"/>
      <c r="NP41" s="67"/>
      <c r="NQ41" s="67"/>
      <c r="NR41" s="67"/>
      <c r="NS41" s="67"/>
      <c r="NT41" s="67"/>
      <c r="NU41" s="67"/>
      <c r="NV41" s="67"/>
      <c r="NW41" s="67"/>
      <c r="NX41" s="67"/>
      <c r="NY41" s="67"/>
      <c r="NZ41" s="67"/>
      <c r="OA41" s="67"/>
      <c r="OB41" s="67"/>
      <c r="OC41" s="67"/>
      <c r="OD41" s="67"/>
      <c r="OE41" s="67"/>
      <c r="OF41" s="67"/>
      <c r="OG41" s="67"/>
      <c r="OH41" s="67"/>
      <c r="OI41" s="67"/>
      <c r="OJ41" s="67"/>
      <c r="OK41" s="67"/>
      <c r="OL41" s="67"/>
      <c r="OM41" s="67"/>
      <c r="ON41" s="67"/>
      <c r="OO41" s="67"/>
      <c r="OP41" s="67"/>
      <c r="OQ41" s="67"/>
      <c r="OR41" s="67"/>
      <c r="OS41" s="67"/>
      <c r="OT41" s="67"/>
      <c r="OU41" s="67"/>
      <c r="OV41" s="67"/>
      <c r="OW41" s="67"/>
      <c r="OX41" s="67"/>
      <c r="OY41" s="67"/>
      <c r="OZ41" s="67"/>
      <c r="PA41" s="67"/>
      <c r="PB41" s="67"/>
      <c r="PC41" s="67"/>
      <c r="PD41" s="67"/>
      <c r="PE41" s="67"/>
      <c r="PF41" s="67"/>
      <c r="PG41" s="67"/>
      <c r="PH41" s="67"/>
      <c r="PI41" s="67"/>
      <c r="PJ41" s="67"/>
      <c r="PK41" s="67"/>
      <c r="PL41" s="67"/>
      <c r="PM41" s="67"/>
      <c r="PN41" s="67"/>
      <c r="PO41" s="67"/>
      <c r="PP41" s="67"/>
      <c r="PQ41" s="67"/>
      <c r="PR41" s="67"/>
      <c r="PS41" s="67"/>
      <c r="PT41" s="67"/>
      <c r="PU41" s="67"/>
      <c r="PV41" s="67"/>
      <c r="PW41" s="67"/>
      <c r="PX41" s="67"/>
      <c r="PY41" s="67"/>
      <c r="PZ41" s="67"/>
      <c r="QA41" s="67"/>
      <c r="QB41" s="67"/>
      <c r="QC41" s="67"/>
      <c r="QD41" s="67"/>
      <c r="QE41" s="67"/>
      <c r="QF41" s="67"/>
      <c r="QG41" s="67"/>
      <c r="QH41" s="67"/>
      <c r="QI41" s="67"/>
      <c r="QJ41" s="67"/>
      <c r="QK41" s="67"/>
      <c r="QL41" s="67"/>
      <c r="QM41" s="67"/>
      <c r="QN41" s="67"/>
      <c r="QO41" s="67"/>
      <c r="QP41" s="67"/>
      <c r="QQ41" s="67"/>
      <c r="QR41" s="67"/>
      <c r="QS41" s="67"/>
      <c r="QT41" s="67"/>
      <c r="QU41" s="67"/>
      <c r="QV41" s="67"/>
      <c r="QW41" s="67"/>
      <c r="QX41" s="67"/>
      <c r="QY41" s="67"/>
      <c r="QZ41" s="67"/>
      <c r="RA41" s="67"/>
      <c r="RB41" s="67"/>
      <c r="RC41" s="67"/>
      <c r="RD41" s="67"/>
      <c r="RE41" s="67"/>
      <c r="RF41" s="67"/>
      <c r="RG41" s="67"/>
      <c r="RH41" s="67"/>
      <c r="RI41" s="67"/>
      <c r="RJ41" s="67"/>
      <c r="RK41" s="67"/>
      <c r="RL41" s="67"/>
      <c r="RM41" s="67"/>
      <c r="RN41" s="67"/>
      <c r="RO41" s="67"/>
      <c r="RP41" s="67"/>
      <c r="RQ41" s="67"/>
      <c r="RR41" s="67"/>
      <c r="RS41" s="67"/>
      <c r="RT41" s="67"/>
      <c r="RU41" s="67"/>
      <c r="RV41" s="67"/>
      <c r="RW41" s="67"/>
      <c r="RX41" s="67"/>
      <c r="RY41" s="67"/>
      <c r="RZ41" s="67"/>
      <c r="SA41" s="67"/>
      <c r="SB41" s="67"/>
      <c r="SC41" s="67"/>
      <c r="SD41" s="67"/>
      <c r="SE41" s="67"/>
      <c r="SF41" s="67"/>
      <c r="SG41" s="67"/>
      <c r="SH41" s="67"/>
      <c r="SI41" s="67"/>
      <c r="SJ41" s="67"/>
      <c r="SK41" s="67"/>
      <c r="SL41" s="67"/>
      <c r="SM41" s="67"/>
      <c r="SN41" s="67"/>
      <c r="SO41" s="67"/>
      <c r="SP41" s="67"/>
      <c r="SQ41" s="67"/>
      <c r="SR41" s="67"/>
      <c r="SS41" s="67"/>
      <c r="ST41" s="67"/>
      <c r="SU41" s="67"/>
      <c r="SV41" s="67"/>
      <c r="SW41" s="67"/>
      <c r="SX41" s="67"/>
      <c r="SY41" s="67"/>
      <c r="SZ41" s="67"/>
      <c r="TA41" s="67"/>
      <c r="TB41" s="67"/>
      <c r="TC41" s="67"/>
      <c r="TD41" s="67"/>
      <c r="TE41" s="67"/>
      <c r="TF41" s="67"/>
      <c r="TG41" s="67"/>
      <c r="TH41" s="67"/>
      <c r="TI41" s="67"/>
      <c r="TJ41" s="67"/>
      <c r="TK41" s="67"/>
      <c r="TL41" s="67"/>
      <c r="TM41" s="67"/>
      <c r="TN41" s="67"/>
      <c r="TO41" s="67"/>
      <c r="TP41" s="67"/>
      <c r="TQ41" s="67"/>
      <c r="TR41" s="67"/>
      <c r="TS41" s="67"/>
      <c r="TT41" s="67"/>
      <c r="TU41" s="67"/>
      <c r="TV41" s="67"/>
      <c r="TW41" s="67"/>
      <c r="TX41" s="67"/>
      <c r="TY41" s="67"/>
      <c r="TZ41" s="67"/>
      <c r="UA41" s="67"/>
      <c r="UB41" s="67"/>
      <c r="UC41" s="67"/>
      <c r="UD41" s="67"/>
      <c r="UE41" s="67"/>
      <c r="UF41" s="67"/>
      <c r="UG41" s="67"/>
      <c r="UH41" s="67"/>
      <c r="UI41" s="67"/>
      <c r="UJ41" s="67"/>
      <c r="UK41" s="67"/>
      <c r="UL41" s="67"/>
      <c r="UM41" s="67"/>
      <c r="UN41" s="67"/>
      <c r="UO41" s="67"/>
      <c r="UP41" s="67"/>
      <c r="UQ41" s="67"/>
      <c r="UR41" s="67"/>
      <c r="US41" s="67"/>
      <c r="UT41" s="67"/>
      <c r="UU41" s="67"/>
      <c r="UV41" s="67"/>
      <c r="UW41" s="67"/>
      <c r="UX41" s="67"/>
      <c r="UY41" s="67"/>
      <c r="UZ41" s="67"/>
      <c r="VA41" s="67"/>
      <c r="VB41" s="67"/>
      <c r="VC41" s="67"/>
      <c r="VD41" s="67"/>
      <c r="VE41" s="67"/>
      <c r="VF41" s="67"/>
      <c r="VG41" s="67"/>
      <c r="VH41" s="67"/>
      <c r="VI41" s="67"/>
      <c r="VJ41" s="67"/>
      <c r="VK41" s="67"/>
      <c r="VL41" s="67"/>
      <c r="VM41" s="67"/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WA41" s="67"/>
      <c r="WB41" s="67"/>
      <c r="WC41" s="67"/>
      <c r="WD41" s="67"/>
      <c r="WE41" s="67"/>
      <c r="WF41" s="67"/>
      <c r="WG41" s="67"/>
      <c r="WH41" s="67"/>
      <c r="WI41" s="67"/>
      <c r="WJ41" s="2"/>
      <c r="WK41" s="2"/>
    </row>
    <row r="42" spans="1:611" x14ac:dyDescent="0.25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  <c r="DQ42" s="67"/>
      <c r="DR42" s="67"/>
      <c r="DS42" s="67"/>
      <c r="DT42" s="67"/>
      <c r="DU42" s="67"/>
      <c r="DV42" s="67"/>
      <c r="DW42" s="67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  <c r="LG42" s="67"/>
      <c r="LH42" s="67"/>
      <c r="LI42" s="67"/>
      <c r="LJ42" s="67"/>
      <c r="LK42" s="67"/>
      <c r="LL42" s="67"/>
      <c r="LM42" s="67"/>
      <c r="LN42" s="67"/>
      <c r="LO42" s="67"/>
      <c r="LP42" s="67"/>
      <c r="LQ42" s="67"/>
      <c r="LR42" s="67"/>
      <c r="LS42" s="67"/>
      <c r="LT42" s="67"/>
      <c r="LU42" s="67"/>
      <c r="LV42" s="67"/>
      <c r="LW42" s="67"/>
      <c r="LX42" s="67"/>
      <c r="LY42" s="67"/>
      <c r="LZ42" s="67"/>
      <c r="MA42" s="67"/>
      <c r="MB42" s="67"/>
      <c r="MC42" s="67"/>
      <c r="MD42" s="67"/>
      <c r="ME42" s="67"/>
      <c r="MF42" s="67"/>
      <c r="MG42" s="67"/>
      <c r="MH42" s="67"/>
      <c r="MI42" s="67"/>
      <c r="MJ42" s="67"/>
      <c r="MK42" s="67"/>
      <c r="ML42" s="67"/>
      <c r="MM42" s="67"/>
      <c r="MN42" s="67"/>
      <c r="MO42" s="67"/>
      <c r="MP42" s="67"/>
      <c r="MQ42" s="67"/>
      <c r="MR42" s="67"/>
      <c r="MS42" s="67"/>
      <c r="MT42" s="67"/>
      <c r="MU42" s="67"/>
      <c r="MV42" s="67"/>
      <c r="MW42" s="67"/>
      <c r="MX42" s="67"/>
      <c r="MY42" s="67"/>
      <c r="MZ42" s="67"/>
      <c r="NA42" s="67"/>
      <c r="NB42" s="67"/>
      <c r="NC42" s="67"/>
      <c r="ND42" s="67"/>
      <c r="NE42" s="67"/>
      <c r="NF42" s="67"/>
      <c r="NG42" s="67"/>
      <c r="NH42" s="67"/>
      <c r="NI42" s="67"/>
      <c r="NJ42" s="67"/>
      <c r="NK42" s="67"/>
      <c r="NL42" s="67"/>
      <c r="NM42" s="67"/>
      <c r="NN42" s="67"/>
      <c r="NO42" s="67"/>
      <c r="NP42" s="67"/>
      <c r="NQ42" s="67"/>
      <c r="NR42" s="67"/>
      <c r="NS42" s="67"/>
      <c r="NT42" s="67"/>
      <c r="NU42" s="67"/>
      <c r="NV42" s="67"/>
      <c r="NW42" s="67"/>
      <c r="NX42" s="67"/>
      <c r="NY42" s="67"/>
      <c r="NZ42" s="67"/>
      <c r="OA42" s="67"/>
      <c r="OB42" s="67"/>
      <c r="OC42" s="67"/>
      <c r="OD42" s="67"/>
      <c r="OE42" s="67"/>
      <c r="OF42" s="67"/>
      <c r="OG42" s="67"/>
      <c r="OH42" s="67"/>
      <c r="OI42" s="67"/>
      <c r="OJ42" s="67"/>
      <c r="OK42" s="67"/>
      <c r="OL42" s="67"/>
      <c r="OM42" s="67"/>
      <c r="ON42" s="67"/>
      <c r="OO42" s="67"/>
      <c r="OP42" s="67"/>
      <c r="OQ42" s="67"/>
      <c r="OR42" s="67"/>
      <c r="OS42" s="67"/>
      <c r="OT42" s="67"/>
      <c r="OU42" s="67"/>
      <c r="OV42" s="67"/>
      <c r="OW42" s="67"/>
      <c r="OX42" s="67"/>
      <c r="OY42" s="67"/>
      <c r="OZ42" s="67"/>
      <c r="PA42" s="67"/>
      <c r="PB42" s="67"/>
      <c r="PC42" s="67"/>
      <c r="PD42" s="67"/>
      <c r="PE42" s="67"/>
      <c r="PF42" s="67"/>
      <c r="PG42" s="67"/>
      <c r="PH42" s="67"/>
      <c r="PI42" s="67"/>
      <c r="PJ42" s="67"/>
      <c r="PK42" s="67"/>
      <c r="PL42" s="67"/>
      <c r="PM42" s="67"/>
      <c r="PN42" s="67"/>
      <c r="PO42" s="67"/>
      <c r="PP42" s="67"/>
      <c r="PQ42" s="67"/>
      <c r="PR42" s="67"/>
      <c r="PS42" s="67"/>
      <c r="PT42" s="67"/>
      <c r="PU42" s="67"/>
      <c r="PV42" s="67"/>
      <c r="PW42" s="67"/>
      <c r="PX42" s="67"/>
      <c r="PY42" s="67"/>
      <c r="PZ42" s="67"/>
      <c r="QA42" s="67"/>
      <c r="QB42" s="67"/>
      <c r="QC42" s="67"/>
      <c r="QD42" s="67"/>
      <c r="QE42" s="67"/>
      <c r="QF42" s="67"/>
      <c r="QG42" s="67"/>
      <c r="QH42" s="67"/>
      <c r="QI42" s="67"/>
      <c r="QJ42" s="67"/>
      <c r="QK42" s="67"/>
      <c r="QL42" s="67"/>
      <c r="QM42" s="67"/>
      <c r="QN42" s="67"/>
      <c r="QO42" s="67"/>
      <c r="QP42" s="67"/>
      <c r="QQ42" s="67"/>
      <c r="QR42" s="67"/>
      <c r="QS42" s="67"/>
      <c r="QT42" s="67"/>
      <c r="QU42" s="67"/>
      <c r="QV42" s="67"/>
      <c r="QW42" s="67"/>
      <c r="QX42" s="67"/>
      <c r="QY42" s="67"/>
      <c r="QZ42" s="67"/>
      <c r="RA42" s="67"/>
      <c r="RB42" s="67"/>
      <c r="RC42" s="67"/>
      <c r="RD42" s="67"/>
      <c r="RE42" s="67"/>
      <c r="RF42" s="67"/>
      <c r="RG42" s="67"/>
      <c r="RH42" s="67"/>
      <c r="RI42" s="67"/>
      <c r="RJ42" s="67"/>
      <c r="RK42" s="67"/>
      <c r="RL42" s="67"/>
      <c r="RM42" s="67"/>
      <c r="RN42" s="67"/>
      <c r="RO42" s="67"/>
      <c r="RP42" s="67"/>
      <c r="RQ42" s="67"/>
      <c r="RR42" s="67"/>
      <c r="RS42" s="67"/>
      <c r="RT42" s="67"/>
      <c r="RU42" s="67"/>
      <c r="RV42" s="67"/>
      <c r="RW42" s="67"/>
      <c r="RX42" s="67"/>
      <c r="RY42" s="67"/>
      <c r="RZ42" s="67"/>
      <c r="SA42" s="67"/>
      <c r="SB42" s="67"/>
      <c r="SC42" s="67"/>
      <c r="SD42" s="67"/>
      <c r="SE42" s="67"/>
      <c r="SF42" s="67"/>
      <c r="SG42" s="67"/>
      <c r="SH42" s="67"/>
      <c r="SI42" s="67"/>
      <c r="SJ42" s="67"/>
      <c r="SK42" s="67"/>
      <c r="SL42" s="67"/>
      <c r="SM42" s="67"/>
      <c r="SN42" s="67"/>
      <c r="SO42" s="67"/>
      <c r="SP42" s="67"/>
      <c r="SQ42" s="67"/>
      <c r="SR42" s="67"/>
      <c r="SS42" s="67"/>
      <c r="ST42" s="67"/>
      <c r="SU42" s="67"/>
      <c r="SV42" s="67"/>
      <c r="SW42" s="67"/>
      <c r="SX42" s="67"/>
      <c r="SY42" s="67"/>
      <c r="SZ42" s="67"/>
      <c r="TA42" s="67"/>
      <c r="TB42" s="67"/>
      <c r="TC42" s="67"/>
      <c r="TD42" s="67"/>
      <c r="TE42" s="67"/>
      <c r="TF42" s="67"/>
      <c r="TG42" s="67"/>
      <c r="TH42" s="67"/>
      <c r="TI42" s="67"/>
      <c r="TJ42" s="67"/>
      <c r="TK42" s="67"/>
      <c r="TL42" s="67"/>
      <c r="TM42" s="67"/>
      <c r="TN42" s="67"/>
      <c r="TO42" s="67"/>
      <c r="TP42" s="67"/>
      <c r="TQ42" s="67"/>
      <c r="TR42" s="67"/>
      <c r="TS42" s="67"/>
      <c r="TT42" s="67"/>
      <c r="TU42" s="67"/>
      <c r="TV42" s="67"/>
      <c r="TW42" s="67"/>
      <c r="TX42" s="67"/>
      <c r="TY42" s="67"/>
      <c r="TZ42" s="67"/>
      <c r="UA42" s="67"/>
      <c r="UB42" s="67"/>
      <c r="UC42" s="67"/>
      <c r="UD42" s="67"/>
      <c r="UE42" s="67"/>
      <c r="UF42" s="67"/>
      <c r="UG42" s="67"/>
      <c r="UH42" s="67"/>
      <c r="UI42" s="67"/>
      <c r="UJ42" s="67"/>
      <c r="UK42" s="67"/>
      <c r="UL42" s="67"/>
      <c r="UM42" s="67"/>
      <c r="UN42" s="67"/>
      <c r="UO42" s="67"/>
      <c r="UP42" s="67"/>
      <c r="UQ42" s="67"/>
      <c r="UR42" s="67"/>
      <c r="US42" s="67"/>
      <c r="UT42" s="67"/>
      <c r="UU42" s="67"/>
      <c r="UV42" s="67"/>
      <c r="UW42" s="67"/>
      <c r="UX42" s="67"/>
      <c r="UY42" s="67"/>
      <c r="UZ42" s="67"/>
      <c r="VA42" s="67"/>
      <c r="VB42" s="67"/>
      <c r="VC42" s="67"/>
      <c r="VD42" s="67"/>
      <c r="VE42" s="67"/>
      <c r="VF42" s="67"/>
      <c r="VG42" s="67"/>
      <c r="VH42" s="67"/>
      <c r="VI42" s="67"/>
      <c r="VJ42" s="67"/>
      <c r="VK42" s="67"/>
      <c r="VL42" s="67"/>
      <c r="VM42" s="67"/>
      <c r="VN42" s="67"/>
      <c r="VO42" s="67"/>
      <c r="VP42" s="67"/>
      <c r="VQ42" s="67"/>
      <c r="VR42" s="67"/>
      <c r="VS42" s="67"/>
      <c r="VT42" s="67"/>
      <c r="VU42" s="67"/>
      <c r="VV42" s="67"/>
      <c r="VW42" s="67"/>
      <c r="VX42" s="67"/>
      <c r="VY42" s="67"/>
      <c r="WA42" s="67"/>
      <c r="WB42" s="67"/>
      <c r="WC42" s="67"/>
      <c r="WD42" s="67"/>
      <c r="WE42" s="67"/>
      <c r="WF42" s="67"/>
      <c r="WG42" s="67"/>
      <c r="WH42" s="67"/>
      <c r="WI42" s="67"/>
      <c r="WJ42" s="2"/>
      <c r="WK42" s="2"/>
    </row>
    <row r="43" spans="1:611" x14ac:dyDescent="0.25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7"/>
      <c r="LP43" s="67"/>
      <c r="LQ43" s="67"/>
      <c r="LR43" s="67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7"/>
      <c r="MF43" s="67"/>
      <c r="MG43" s="67"/>
      <c r="MH43" s="67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7"/>
      <c r="MV43" s="67"/>
      <c r="MW43" s="67"/>
      <c r="MX43" s="67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7"/>
      <c r="NL43" s="67"/>
      <c r="NM43" s="67"/>
      <c r="NN43" s="67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7"/>
      <c r="OB43" s="67"/>
      <c r="OC43" s="67"/>
      <c r="OD43" s="67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7"/>
      <c r="OR43" s="67"/>
      <c r="OS43" s="67"/>
      <c r="OT43" s="67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7"/>
      <c r="PH43" s="67"/>
      <c r="PI43" s="67"/>
      <c r="PJ43" s="67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7"/>
      <c r="PX43" s="67"/>
      <c r="PY43" s="67"/>
      <c r="PZ43" s="67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7"/>
      <c r="QN43" s="67"/>
      <c r="QO43" s="67"/>
      <c r="QP43" s="67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7"/>
      <c r="RD43" s="67"/>
      <c r="RE43" s="67"/>
      <c r="RF43" s="67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7"/>
      <c r="RT43" s="67"/>
      <c r="RU43" s="67"/>
      <c r="RV43" s="67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7"/>
      <c r="SJ43" s="67"/>
      <c r="SK43" s="67"/>
      <c r="SL43" s="67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7"/>
      <c r="SZ43" s="67"/>
      <c r="TA43" s="67"/>
      <c r="TB43" s="67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7"/>
      <c r="TP43" s="67"/>
      <c r="TQ43" s="67"/>
      <c r="TR43" s="67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7"/>
      <c r="UF43" s="67"/>
      <c r="UG43" s="67"/>
      <c r="UH43" s="67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7"/>
      <c r="UV43" s="67"/>
      <c r="UW43" s="67"/>
      <c r="UX43" s="67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7"/>
      <c r="VL43" s="67"/>
      <c r="VM43" s="67"/>
      <c r="VN43" s="67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WA43" s="67"/>
      <c r="WB43" s="67"/>
      <c r="WC43" s="67"/>
      <c r="WD43" s="67"/>
      <c r="WE43" s="67"/>
      <c r="WF43" s="67"/>
      <c r="WG43" s="67"/>
      <c r="WH43" s="67"/>
      <c r="WI43" s="67"/>
      <c r="WJ43" s="2"/>
      <c r="WK43" s="2"/>
    </row>
    <row r="44" spans="1:611" x14ac:dyDescent="0.25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7"/>
      <c r="LP44" s="67"/>
      <c r="LQ44" s="67"/>
      <c r="LR44" s="67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7"/>
      <c r="MF44" s="67"/>
      <c r="MG44" s="67"/>
      <c r="MH44" s="67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7"/>
      <c r="MV44" s="67"/>
      <c r="MW44" s="67"/>
      <c r="MX44" s="67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7"/>
      <c r="NL44" s="67"/>
      <c r="NM44" s="67"/>
      <c r="NN44" s="67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7"/>
      <c r="OB44" s="67"/>
      <c r="OC44" s="67"/>
      <c r="OD44" s="67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7"/>
      <c r="OR44" s="67"/>
      <c r="OS44" s="67"/>
      <c r="OT44" s="67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7"/>
      <c r="PH44" s="67"/>
      <c r="PI44" s="67"/>
      <c r="PJ44" s="67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7"/>
      <c r="PX44" s="67"/>
      <c r="PY44" s="67"/>
      <c r="PZ44" s="67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7"/>
      <c r="QN44" s="67"/>
      <c r="QO44" s="67"/>
      <c r="QP44" s="67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7"/>
      <c r="RD44" s="67"/>
      <c r="RE44" s="67"/>
      <c r="RF44" s="67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7"/>
      <c r="RT44" s="67"/>
      <c r="RU44" s="67"/>
      <c r="RV44" s="67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7"/>
      <c r="SJ44" s="67"/>
      <c r="SK44" s="67"/>
      <c r="SL44" s="67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7"/>
      <c r="SZ44" s="67"/>
      <c r="TA44" s="67"/>
      <c r="TB44" s="67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7"/>
      <c r="TP44" s="67"/>
      <c r="TQ44" s="67"/>
      <c r="TR44" s="67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7"/>
      <c r="UF44" s="67"/>
      <c r="UG44" s="67"/>
      <c r="UH44" s="67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7"/>
      <c r="UV44" s="67"/>
      <c r="UW44" s="67"/>
      <c r="UX44" s="67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7"/>
      <c r="VL44" s="67"/>
      <c r="VM44" s="67"/>
      <c r="VN44" s="67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WA44" s="67"/>
      <c r="WB44" s="67"/>
      <c r="WC44" s="67"/>
      <c r="WD44" s="67"/>
      <c r="WE44" s="67"/>
      <c r="WF44" s="67"/>
      <c r="WG44" s="67"/>
      <c r="WH44" s="67"/>
      <c r="WI44" s="67"/>
      <c r="WJ44" s="2"/>
      <c r="WK44" s="2"/>
    </row>
    <row r="45" spans="1:611" x14ac:dyDescent="0.25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  <c r="LH45" s="67"/>
      <c r="LI45" s="67"/>
      <c r="LJ45" s="67"/>
      <c r="LK45" s="67"/>
      <c r="LL45" s="67"/>
      <c r="LM45" s="67"/>
      <c r="LN45" s="67"/>
      <c r="LO45" s="67"/>
      <c r="LP45" s="67"/>
      <c r="LQ45" s="67"/>
      <c r="LR45" s="67"/>
      <c r="LS45" s="67"/>
      <c r="LT45" s="67"/>
      <c r="LU45" s="67"/>
      <c r="LV45" s="67"/>
      <c r="LW45" s="67"/>
      <c r="LX45" s="67"/>
      <c r="LY45" s="67"/>
      <c r="LZ45" s="67"/>
      <c r="MA45" s="67"/>
      <c r="MB45" s="67"/>
      <c r="MC45" s="67"/>
      <c r="MD45" s="67"/>
      <c r="ME45" s="67"/>
      <c r="MF45" s="67"/>
      <c r="MG45" s="67"/>
      <c r="MH45" s="67"/>
      <c r="MI45" s="67"/>
      <c r="MJ45" s="67"/>
      <c r="MK45" s="67"/>
      <c r="ML45" s="67"/>
      <c r="MM45" s="67"/>
      <c r="MN45" s="67"/>
      <c r="MO45" s="67"/>
      <c r="MP45" s="67"/>
      <c r="MQ45" s="67"/>
      <c r="MR45" s="67"/>
      <c r="MS45" s="67"/>
      <c r="MT45" s="67"/>
      <c r="MU45" s="67"/>
      <c r="MV45" s="67"/>
      <c r="MW45" s="67"/>
      <c r="MX45" s="67"/>
      <c r="MY45" s="67"/>
      <c r="MZ45" s="67"/>
      <c r="NA45" s="67"/>
      <c r="NB45" s="67"/>
      <c r="NC45" s="67"/>
      <c r="ND45" s="67"/>
      <c r="NE45" s="67"/>
      <c r="NF45" s="67"/>
      <c r="NG45" s="67"/>
      <c r="NH45" s="67"/>
      <c r="NI45" s="67"/>
      <c r="NJ45" s="67"/>
      <c r="NK45" s="67"/>
      <c r="NL45" s="67"/>
      <c r="NM45" s="67"/>
      <c r="NN45" s="67"/>
      <c r="NO45" s="67"/>
      <c r="NP45" s="67"/>
      <c r="NQ45" s="67"/>
      <c r="NR45" s="67"/>
      <c r="NS45" s="67"/>
      <c r="NT45" s="67"/>
      <c r="NU45" s="67"/>
      <c r="NV45" s="67"/>
      <c r="NW45" s="67"/>
      <c r="NX45" s="67"/>
      <c r="NY45" s="67"/>
      <c r="NZ45" s="67"/>
      <c r="OA45" s="67"/>
      <c r="OB45" s="67"/>
      <c r="OC45" s="67"/>
      <c r="OD45" s="67"/>
      <c r="OE45" s="67"/>
      <c r="OF45" s="67"/>
      <c r="OG45" s="67"/>
      <c r="OH45" s="67"/>
      <c r="OI45" s="67"/>
      <c r="OJ45" s="67"/>
      <c r="OK45" s="67"/>
      <c r="OL45" s="67"/>
      <c r="OM45" s="67"/>
      <c r="ON45" s="67"/>
      <c r="OO45" s="67"/>
      <c r="OP45" s="67"/>
      <c r="OQ45" s="67"/>
      <c r="OR45" s="67"/>
      <c r="OS45" s="67"/>
      <c r="OT45" s="67"/>
      <c r="OU45" s="67"/>
      <c r="OV45" s="67"/>
      <c r="OW45" s="67"/>
      <c r="OX45" s="67"/>
      <c r="OY45" s="67"/>
      <c r="OZ45" s="67"/>
      <c r="PA45" s="67"/>
      <c r="PB45" s="67"/>
      <c r="PC45" s="67"/>
      <c r="PD45" s="67"/>
      <c r="PE45" s="67"/>
      <c r="PF45" s="67"/>
      <c r="PG45" s="67"/>
      <c r="PH45" s="67"/>
      <c r="PI45" s="67"/>
      <c r="PJ45" s="67"/>
      <c r="PK45" s="67"/>
      <c r="PL45" s="67"/>
      <c r="PM45" s="67"/>
      <c r="PN45" s="67"/>
      <c r="PO45" s="67"/>
      <c r="PP45" s="67"/>
      <c r="PQ45" s="67"/>
      <c r="PR45" s="67"/>
      <c r="PS45" s="67"/>
      <c r="PT45" s="67"/>
      <c r="PU45" s="67"/>
      <c r="PV45" s="67"/>
      <c r="PW45" s="67"/>
      <c r="PX45" s="67"/>
      <c r="PY45" s="67"/>
      <c r="PZ45" s="67"/>
      <c r="QA45" s="67"/>
      <c r="QB45" s="67"/>
      <c r="QC45" s="67"/>
      <c r="QD45" s="67"/>
      <c r="QE45" s="67"/>
      <c r="QF45" s="67"/>
      <c r="QG45" s="67"/>
      <c r="QH45" s="67"/>
      <c r="QI45" s="67"/>
      <c r="QJ45" s="67"/>
      <c r="QK45" s="67"/>
      <c r="QL45" s="67"/>
      <c r="QM45" s="67"/>
      <c r="QN45" s="67"/>
      <c r="QO45" s="67"/>
      <c r="QP45" s="67"/>
      <c r="QQ45" s="67"/>
      <c r="QR45" s="67"/>
      <c r="QS45" s="67"/>
      <c r="QT45" s="67"/>
      <c r="QU45" s="67"/>
      <c r="QV45" s="67"/>
      <c r="QW45" s="67"/>
      <c r="QX45" s="67"/>
      <c r="QY45" s="67"/>
      <c r="QZ45" s="67"/>
      <c r="RA45" s="67"/>
      <c r="RB45" s="67"/>
      <c r="RC45" s="67"/>
      <c r="RD45" s="67"/>
      <c r="RE45" s="67"/>
      <c r="RF45" s="67"/>
      <c r="RG45" s="67"/>
      <c r="RH45" s="67"/>
      <c r="RI45" s="67"/>
      <c r="RJ45" s="67"/>
      <c r="RK45" s="67"/>
      <c r="RL45" s="67"/>
      <c r="RM45" s="67"/>
      <c r="RN45" s="67"/>
      <c r="RO45" s="67"/>
      <c r="RP45" s="67"/>
      <c r="RQ45" s="67"/>
      <c r="RR45" s="67"/>
      <c r="RS45" s="67"/>
      <c r="RT45" s="67"/>
      <c r="RU45" s="67"/>
      <c r="RV45" s="67"/>
      <c r="RW45" s="67"/>
      <c r="RX45" s="67"/>
      <c r="RY45" s="67"/>
      <c r="RZ45" s="67"/>
      <c r="SA45" s="67"/>
      <c r="SB45" s="67"/>
      <c r="SC45" s="67"/>
      <c r="SD45" s="67"/>
      <c r="SE45" s="67"/>
      <c r="SF45" s="67"/>
      <c r="SG45" s="67"/>
      <c r="SH45" s="67"/>
      <c r="SI45" s="67"/>
      <c r="SJ45" s="67"/>
      <c r="SK45" s="67"/>
      <c r="SL45" s="67"/>
      <c r="SM45" s="67"/>
      <c r="SN45" s="67"/>
      <c r="SO45" s="67"/>
      <c r="SP45" s="67"/>
      <c r="SQ45" s="67"/>
      <c r="SR45" s="67"/>
      <c r="SS45" s="67"/>
      <c r="ST45" s="67"/>
      <c r="SU45" s="67"/>
      <c r="SV45" s="67"/>
      <c r="SW45" s="67"/>
      <c r="SX45" s="67"/>
      <c r="SY45" s="67"/>
      <c r="SZ45" s="67"/>
      <c r="TA45" s="67"/>
      <c r="TB45" s="67"/>
      <c r="TC45" s="67"/>
      <c r="TD45" s="67"/>
      <c r="TE45" s="67"/>
      <c r="TF45" s="67"/>
      <c r="TG45" s="67"/>
      <c r="TH45" s="67"/>
      <c r="TI45" s="67"/>
      <c r="TJ45" s="67"/>
      <c r="TK45" s="67"/>
      <c r="TL45" s="67"/>
      <c r="TM45" s="67"/>
      <c r="TN45" s="67"/>
      <c r="TO45" s="67"/>
      <c r="TP45" s="67"/>
      <c r="TQ45" s="67"/>
      <c r="TR45" s="67"/>
      <c r="TS45" s="67"/>
      <c r="TT45" s="67"/>
      <c r="TU45" s="67"/>
      <c r="TV45" s="67"/>
      <c r="TW45" s="67"/>
      <c r="TX45" s="67"/>
      <c r="TY45" s="67"/>
      <c r="TZ45" s="67"/>
      <c r="UA45" s="67"/>
      <c r="UB45" s="67"/>
      <c r="UC45" s="67"/>
      <c r="UD45" s="67"/>
      <c r="UE45" s="67"/>
      <c r="UF45" s="67"/>
      <c r="UG45" s="67"/>
      <c r="UH45" s="67"/>
      <c r="UI45" s="67"/>
      <c r="UJ45" s="67"/>
      <c r="UK45" s="67"/>
      <c r="UL45" s="67"/>
      <c r="UM45" s="67"/>
      <c r="UN45" s="67"/>
      <c r="UO45" s="67"/>
      <c r="UP45" s="67"/>
      <c r="UQ45" s="67"/>
      <c r="UR45" s="67"/>
      <c r="US45" s="67"/>
      <c r="UT45" s="67"/>
      <c r="UU45" s="67"/>
      <c r="UV45" s="67"/>
      <c r="UW45" s="67"/>
      <c r="UX45" s="67"/>
      <c r="UY45" s="67"/>
      <c r="UZ45" s="67"/>
      <c r="VA45" s="67"/>
      <c r="VB45" s="67"/>
      <c r="VC45" s="67"/>
      <c r="VD45" s="67"/>
      <c r="VE45" s="67"/>
      <c r="VF45" s="67"/>
      <c r="VG45" s="67"/>
      <c r="VH45" s="67"/>
      <c r="VI45" s="67"/>
      <c r="VJ45" s="67"/>
      <c r="VK45" s="67"/>
      <c r="VL45" s="67"/>
      <c r="VM45" s="67"/>
      <c r="VN45" s="67"/>
      <c r="VO45" s="67"/>
      <c r="VP45" s="67"/>
      <c r="VQ45" s="67"/>
      <c r="VR45" s="67"/>
      <c r="VS45" s="67"/>
      <c r="VT45" s="67"/>
      <c r="VU45" s="67"/>
      <c r="VV45" s="67"/>
      <c r="VW45" s="67"/>
      <c r="VX45" s="67"/>
      <c r="VY45" s="67"/>
      <c r="WA45" s="67"/>
      <c r="WB45" s="67"/>
      <c r="WC45" s="67"/>
      <c r="WD45" s="67"/>
      <c r="WE45" s="67"/>
      <c r="WF45" s="67"/>
      <c r="WG45" s="67"/>
      <c r="WH45" s="67"/>
      <c r="WI45" s="67"/>
      <c r="WJ45" s="2"/>
      <c r="WK45" s="2"/>
    </row>
    <row r="46" spans="1:611" x14ac:dyDescent="0.25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7"/>
      <c r="KH46" s="67"/>
      <c r="KI46" s="67"/>
      <c r="KJ46" s="67"/>
      <c r="KK46" s="67"/>
      <c r="KL46" s="67"/>
      <c r="KM46" s="67"/>
      <c r="KN46" s="67"/>
      <c r="KO46" s="67"/>
      <c r="KP46" s="67"/>
      <c r="KQ46" s="67"/>
      <c r="KR46" s="67"/>
      <c r="KS46" s="67"/>
      <c r="KT46" s="67"/>
      <c r="KU46" s="67"/>
      <c r="KV46" s="67"/>
      <c r="KW46" s="67"/>
      <c r="KX46" s="67"/>
      <c r="KY46" s="67"/>
      <c r="KZ46" s="67"/>
      <c r="LA46" s="67"/>
      <c r="LB46" s="67"/>
      <c r="LC46" s="67"/>
      <c r="LD46" s="67"/>
      <c r="LE46" s="67"/>
      <c r="LF46" s="67"/>
      <c r="LG46" s="67"/>
      <c r="LH46" s="67"/>
      <c r="LI46" s="67"/>
      <c r="LJ46" s="67"/>
      <c r="LK46" s="67"/>
      <c r="LL46" s="67"/>
      <c r="LM46" s="67"/>
      <c r="LN46" s="67"/>
      <c r="LO46" s="67"/>
      <c r="LP46" s="67"/>
      <c r="LQ46" s="67"/>
      <c r="LR46" s="67"/>
      <c r="LS46" s="67"/>
      <c r="LT46" s="67"/>
      <c r="LU46" s="67"/>
      <c r="LV46" s="67"/>
      <c r="LW46" s="67"/>
      <c r="LX46" s="67"/>
      <c r="LY46" s="67"/>
      <c r="LZ46" s="67"/>
      <c r="MA46" s="67"/>
      <c r="MB46" s="67"/>
      <c r="MC46" s="67"/>
      <c r="MD46" s="67"/>
      <c r="ME46" s="67"/>
      <c r="MF46" s="67"/>
      <c r="MG46" s="67"/>
      <c r="MH46" s="67"/>
      <c r="MI46" s="67"/>
      <c r="MJ46" s="67"/>
      <c r="MK46" s="67"/>
      <c r="ML46" s="67"/>
      <c r="MM46" s="67"/>
      <c r="MN46" s="67"/>
      <c r="MO46" s="67"/>
      <c r="MP46" s="67"/>
      <c r="MQ46" s="67"/>
      <c r="MR46" s="67"/>
      <c r="MS46" s="67"/>
      <c r="MT46" s="67"/>
      <c r="MU46" s="67"/>
      <c r="MV46" s="67"/>
      <c r="MW46" s="67"/>
      <c r="MX46" s="67"/>
      <c r="MY46" s="67"/>
      <c r="MZ46" s="67"/>
      <c r="NA46" s="67"/>
      <c r="NB46" s="67"/>
      <c r="NC46" s="67"/>
      <c r="ND46" s="67"/>
      <c r="NE46" s="67"/>
      <c r="NF46" s="67"/>
      <c r="NG46" s="67"/>
      <c r="NH46" s="67"/>
      <c r="NI46" s="67"/>
      <c r="NJ46" s="67"/>
      <c r="NK46" s="67"/>
      <c r="NL46" s="67"/>
      <c r="NM46" s="67"/>
      <c r="NN46" s="67"/>
      <c r="NO46" s="67"/>
      <c r="NP46" s="67"/>
      <c r="NQ46" s="67"/>
      <c r="NR46" s="67"/>
      <c r="NS46" s="67"/>
      <c r="NT46" s="67"/>
      <c r="NU46" s="67"/>
      <c r="NV46" s="67"/>
      <c r="NW46" s="67"/>
      <c r="NX46" s="67"/>
      <c r="NY46" s="67"/>
      <c r="NZ46" s="67"/>
      <c r="OA46" s="67"/>
      <c r="OB46" s="67"/>
      <c r="OC46" s="67"/>
      <c r="OD46" s="67"/>
      <c r="OE46" s="67"/>
      <c r="OF46" s="67"/>
      <c r="OG46" s="67"/>
      <c r="OH46" s="67"/>
      <c r="OI46" s="67"/>
      <c r="OJ46" s="67"/>
      <c r="OK46" s="67"/>
      <c r="OL46" s="67"/>
      <c r="OM46" s="67"/>
      <c r="ON46" s="67"/>
      <c r="OO46" s="67"/>
      <c r="OP46" s="67"/>
      <c r="OQ46" s="67"/>
      <c r="OR46" s="67"/>
      <c r="OS46" s="67"/>
      <c r="OT46" s="67"/>
      <c r="OU46" s="67"/>
      <c r="OV46" s="67"/>
      <c r="OW46" s="67"/>
      <c r="OX46" s="67"/>
      <c r="OY46" s="67"/>
      <c r="OZ46" s="67"/>
      <c r="PA46" s="67"/>
      <c r="PB46" s="67"/>
      <c r="PC46" s="67"/>
      <c r="PD46" s="67"/>
      <c r="PE46" s="67"/>
      <c r="PF46" s="67"/>
      <c r="PG46" s="67"/>
      <c r="PH46" s="67"/>
      <c r="PI46" s="67"/>
      <c r="PJ46" s="67"/>
      <c r="PK46" s="67"/>
      <c r="PL46" s="67"/>
      <c r="PM46" s="67"/>
      <c r="PN46" s="67"/>
      <c r="PO46" s="67"/>
      <c r="PP46" s="67"/>
      <c r="PQ46" s="67"/>
      <c r="PR46" s="67"/>
      <c r="PS46" s="67"/>
      <c r="PT46" s="67"/>
      <c r="PU46" s="67"/>
      <c r="PV46" s="67"/>
      <c r="PW46" s="67"/>
      <c r="PX46" s="67"/>
      <c r="PY46" s="67"/>
      <c r="PZ46" s="67"/>
      <c r="QA46" s="67"/>
      <c r="QB46" s="67"/>
      <c r="QC46" s="67"/>
      <c r="QD46" s="67"/>
      <c r="QE46" s="67"/>
      <c r="QF46" s="67"/>
      <c r="QG46" s="67"/>
      <c r="QH46" s="67"/>
      <c r="QI46" s="67"/>
      <c r="QJ46" s="67"/>
      <c r="QK46" s="67"/>
      <c r="QL46" s="67"/>
      <c r="QM46" s="67"/>
      <c r="QN46" s="67"/>
      <c r="QO46" s="67"/>
      <c r="QP46" s="67"/>
      <c r="QQ46" s="67"/>
      <c r="QR46" s="67"/>
      <c r="QS46" s="67"/>
      <c r="QT46" s="67"/>
      <c r="QU46" s="67"/>
      <c r="QV46" s="67"/>
      <c r="QW46" s="67"/>
      <c r="QX46" s="67"/>
      <c r="QY46" s="67"/>
      <c r="QZ46" s="67"/>
      <c r="RA46" s="67"/>
      <c r="RB46" s="67"/>
      <c r="RC46" s="67"/>
      <c r="RD46" s="67"/>
      <c r="RE46" s="67"/>
      <c r="RF46" s="67"/>
      <c r="RG46" s="67"/>
      <c r="RH46" s="67"/>
      <c r="RI46" s="67"/>
      <c r="RJ46" s="67"/>
      <c r="RK46" s="67"/>
      <c r="RL46" s="67"/>
      <c r="RM46" s="67"/>
      <c r="RN46" s="67"/>
      <c r="RO46" s="67"/>
      <c r="RP46" s="67"/>
      <c r="RQ46" s="67"/>
      <c r="RR46" s="67"/>
      <c r="RS46" s="67"/>
      <c r="RT46" s="67"/>
      <c r="RU46" s="67"/>
      <c r="RV46" s="67"/>
      <c r="RW46" s="67"/>
      <c r="RX46" s="67"/>
      <c r="RY46" s="67"/>
      <c r="RZ46" s="67"/>
      <c r="SA46" s="67"/>
      <c r="SB46" s="67"/>
      <c r="SC46" s="67"/>
      <c r="SD46" s="67"/>
      <c r="SE46" s="67"/>
      <c r="SF46" s="67"/>
      <c r="SG46" s="67"/>
      <c r="SH46" s="67"/>
      <c r="SI46" s="67"/>
      <c r="SJ46" s="67"/>
      <c r="SK46" s="67"/>
      <c r="SL46" s="67"/>
      <c r="SM46" s="67"/>
      <c r="SN46" s="67"/>
      <c r="SO46" s="67"/>
      <c r="SP46" s="67"/>
      <c r="SQ46" s="67"/>
      <c r="SR46" s="67"/>
      <c r="SS46" s="67"/>
      <c r="ST46" s="67"/>
      <c r="SU46" s="67"/>
      <c r="SV46" s="67"/>
      <c r="SW46" s="67"/>
      <c r="SX46" s="67"/>
      <c r="SY46" s="67"/>
      <c r="SZ46" s="67"/>
      <c r="TA46" s="67"/>
      <c r="TB46" s="67"/>
      <c r="TC46" s="67"/>
      <c r="TD46" s="67"/>
      <c r="TE46" s="67"/>
      <c r="TF46" s="67"/>
      <c r="TG46" s="67"/>
      <c r="TH46" s="67"/>
      <c r="TI46" s="67"/>
      <c r="TJ46" s="67"/>
      <c r="TK46" s="67"/>
      <c r="TL46" s="67"/>
      <c r="TM46" s="67"/>
      <c r="TN46" s="67"/>
      <c r="TO46" s="67"/>
      <c r="TP46" s="67"/>
      <c r="TQ46" s="67"/>
      <c r="TR46" s="67"/>
      <c r="TS46" s="67"/>
      <c r="TT46" s="67"/>
      <c r="TU46" s="67"/>
      <c r="TV46" s="67"/>
      <c r="TW46" s="67"/>
      <c r="TX46" s="67"/>
      <c r="TY46" s="67"/>
      <c r="TZ46" s="67"/>
      <c r="UA46" s="67"/>
      <c r="UB46" s="67"/>
      <c r="UC46" s="67"/>
      <c r="UD46" s="67"/>
      <c r="UE46" s="67"/>
      <c r="UF46" s="67"/>
      <c r="UG46" s="67"/>
      <c r="UH46" s="67"/>
      <c r="UI46" s="67"/>
      <c r="UJ46" s="67"/>
      <c r="UK46" s="67"/>
      <c r="UL46" s="67"/>
      <c r="UM46" s="67"/>
      <c r="UN46" s="67"/>
      <c r="UO46" s="67"/>
      <c r="UP46" s="67"/>
      <c r="UQ46" s="67"/>
      <c r="UR46" s="67"/>
      <c r="US46" s="67"/>
      <c r="UT46" s="67"/>
      <c r="UU46" s="67"/>
      <c r="UV46" s="67"/>
      <c r="UW46" s="67"/>
      <c r="UX46" s="67"/>
      <c r="UY46" s="67"/>
      <c r="UZ46" s="67"/>
      <c r="VA46" s="67"/>
      <c r="VB46" s="67"/>
      <c r="VC46" s="67"/>
      <c r="VD46" s="67"/>
      <c r="VE46" s="67"/>
      <c r="VF46" s="67"/>
      <c r="VG46" s="67"/>
      <c r="VH46" s="67"/>
      <c r="VI46" s="67"/>
      <c r="VJ46" s="67"/>
      <c r="VK46" s="67"/>
      <c r="VL46" s="67"/>
      <c r="VM46" s="67"/>
      <c r="VN46" s="67"/>
      <c r="VO46" s="67"/>
      <c r="VP46" s="67"/>
      <c r="VQ46" s="67"/>
      <c r="VR46" s="67"/>
      <c r="VS46" s="67"/>
      <c r="VT46" s="67"/>
      <c r="VU46" s="67"/>
      <c r="VV46" s="67"/>
      <c r="VW46" s="67"/>
      <c r="VX46" s="67"/>
      <c r="VY46" s="67"/>
      <c r="WA46" s="67"/>
      <c r="WB46" s="67"/>
      <c r="WC46" s="67"/>
      <c r="WD46" s="67"/>
      <c r="WE46" s="67"/>
      <c r="WF46" s="67"/>
      <c r="WG46" s="67"/>
      <c r="WH46" s="67"/>
      <c r="WI46" s="67"/>
      <c r="WJ46" s="2"/>
      <c r="WK46" s="2"/>
    </row>
    <row r="47" spans="1:611" x14ac:dyDescent="0.25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  <c r="FG47" s="67"/>
      <c r="FH47" s="67"/>
      <c r="FI47" s="67"/>
      <c r="FJ47" s="67"/>
      <c r="FK47" s="67"/>
      <c r="FL47" s="67"/>
      <c r="FM47" s="67"/>
      <c r="FN47" s="67"/>
      <c r="FO47" s="67"/>
      <c r="FP47" s="67"/>
      <c r="FQ47" s="67"/>
      <c r="FR47" s="67"/>
      <c r="FS47" s="67"/>
      <c r="FT47" s="67"/>
      <c r="FU47" s="67"/>
      <c r="FV47" s="67"/>
      <c r="FW47" s="67"/>
      <c r="FX47" s="67"/>
      <c r="FY47" s="67"/>
      <c r="FZ47" s="67"/>
      <c r="GA47" s="67"/>
      <c r="GB47" s="67"/>
      <c r="GC47" s="67"/>
      <c r="GD47" s="67"/>
      <c r="GE47" s="67"/>
      <c r="GF47" s="67"/>
      <c r="GG47" s="67"/>
      <c r="GH47" s="67"/>
      <c r="GI47" s="67"/>
      <c r="GJ47" s="67"/>
      <c r="GK47" s="67"/>
      <c r="GL47" s="67"/>
      <c r="GM47" s="67"/>
      <c r="GN47" s="67"/>
      <c r="GO47" s="67"/>
      <c r="GP47" s="67"/>
      <c r="GQ47" s="67"/>
      <c r="GR47" s="67"/>
      <c r="GS47" s="67"/>
      <c r="GT47" s="67"/>
      <c r="GU47" s="67"/>
      <c r="GV47" s="67"/>
      <c r="GW47" s="67"/>
      <c r="GX47" s="67"/>
      <c r="GY47" s="67"/>
      <c r="GZ47" s="67"/>
      <c r="HA47" s="67"/>
      <c r="HB47" s="67"/>
      <c r="HC47" s="67"/>
      <c r="HD47" s="67"/>
      <c r="HE47" s="67"/>
      <c r="HF47" s="67"/>
      <c r="HG47" s="67"/>
      <c r="HH47" s="67"/>
      <c r="HI47" s="67"/>
      <c r="HJ47" s="67"/>
      <c r="HK47" s="67"/>
      <c r="HL47" s="67"/>
      <c r="HM47" s="67"/>
      <c r="HN47" s="67"/>
      <c r="HO47" s="67"/>
      <c r="HP47" s="67"/>
      <c r="HQ47" s="67"/>
      <c r="HR47" s="67"/>
      <c r="HS47" s="67"/>
      <c r="HT47" s="67"/>
      <c r="HU47" s="67"/>
      <c r="HV47" s="67"/>
      <c r="HW47" s="67"/>
      <c r="HX47" s="67"/>
      <c r="HY47" s="67"/>
      <c r="HZ47" s="67"/>
      <c r="IA47" s="67"/>
      <c r="IB47" s="67"/>
      <c r="IC47" s="67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  <c r="JD47" s="67"/>
      <c r="JE47" s="67"/>
      <c r="JF47" s="67"/>
      <c r="JG47" s="67"/>
      <c r="JH47" s="67"/>
      <c r="JI47" s="67"/>
      <c r="JJ47" s="67"/>
      <c r="JK47" s="67"/>
      <c r="JL47" s="67"/>
      <c r="JM47" s="67"/>
      <c r="JN47" s="67"/>
      <c r="JO47" s="67"/>
      <c r="JP47" s="67"/>
      <c r="JQ47" s="67"/>
      <c r="JR47" s="67"/>
      <c r="JS47" s="67"/>
      <c r="JT47" s="67"/>
      <c r="JU47" s="67"/>
      <c r="JV47" s="67"/>
      <c r="JW47" s="67"/>
      <c r="JX47" s="67"/>
      <c r="JY47" s="67"/>
      <c r="JZ47" s="67"/>
      <c r="KA47" s="67"/>
      <c r="KB47" s="67"/>
      <c r="KC47" s="67"/>
      <c r="KD47" s="67"/>
      <c r="KE47" s="67"/>
      <c r="KF47" s="67"/>
      <c r="KG47" s="67"/>
      <c r="KH47" s="67"/>
      <c r="KI47" s="67"/>
      <c r="KJ47" s="67"/>
      <c r="KK47" s="67"/>
      <c r="KL47" s="67"/>
      <c r="KM47" s="67"/>
      <c r="KN47" s="67"/>
      <c r="KO47" s="67"/>
      <c r="KP47" s="67"/>
      <c r="KQ47" s="67"/>
      <c r="KR47" s="67"/>
      <c r="KS47" s="67"/>
      <c r="KT47" s="67"/>
      <c r="KU47" s="67"/>
      <c r="KV47" s="67"/>
      <c r="KW47" s="67"/>
      <c r="KX47" s="67"/>
      <c r="KY47" s="67"/>
      <c r="KZ47" s="67"/>
      <c r="LA47" s="67"/>
      <c r="LB47" s="67"/>
      <c r="LC47" s="67"/>
      <c r="LD47" s="67"/>
      <c r="LE47" s="67"/>
      <c r="LF47" s="67"/>
      <c r="LG47" s="67"/>
      <c r="LH47" s="67"/>
      <c r="LI47" s="67"/>
      <c r="LJ47" s="67"/>
      <c r="LK47" s="67"/>
      <c r="LL47" s="67"/>
      <c r="LM47" s="67"/>
      <c r="LN47" s="67"/>
      <c r="LO47" s="67"/>
      <c r="LP47" s="67"/>
      <c r="LQ47" s="67"/>
      <c r="LR47" s="67"/>
      <c r="LS47" s="67"/>
      <c r="LT47" s="67"/>
      <c r="LU47" s="67"/>
      <c r="LV47" s="67"/>
      <c r="LW47" s="67"/>
      <c r="LX47" s="67"/>
      <c r="LY47" s="67"/>
      <c r="LZ47" s="67"/>
      <c r="MA47" s="67"/>
      <c r="MB47" s="67"/>
      <c r="MC47" s="67"/>
      <c r="MD47" s="67"/>
      <c r="ME47" s="67"/>
      <c r="MF47" s="67"/>
      <c r="MG47" s="67"/>
      <c r="MH47" s="67"/>
      <c r="MI47" s="67"/>
      <c r="MJ47" s="67"/>
      <c r="MK47" s="67"/>
      <c r="ML47" s="67"/>
      <c r="MM47" s="67"/>
      <c r="MN47" s="67"/>
      <c r="MO47" s="67"/>
      <c r="MP47" s="67"/>
      <c r="MQ47" s="67"/>
      <c r="MR47" s="67"/>
      <c r="MS47" s="67"/>
      <c r="MT47" s="67"/>
      <c r="MU47" s="67"/>
      <c r="MV47" s="67"/>
      <c r="MW47" s="67"/>
      <c r="MX47" s="67"/>
      <c r="MY47" s="67"/>
      <c r="MZ47" s="67"/>
      <c r="NA47" s="67"/>
      <c r="NB47" s="67"/>
      <c r="NC47" s="67"/>
      <c r="ND47" s="67"/>
      <c r="NE47" s="67"/>
      <c r="NF47" s="67"/>
      <c r="NG47" s="67"/>
      <c r="NH47" s="67"/>
      <c r="NI47" s="67"/>
      <c r="NJ47" s="67"/>
      <c r="NK47" s="67"/>
      <c r="NL47" s="67"/>
      <c r="NM47" s="67"/>
      <c r="NN47" s="67"/>
      <c r="NO47" s="67"/>
      <c r="NP47" s="67"/>
      <c r="NQ47" s="67"/>
      <c r="NR47" s="67"/>
      <c r="NS47" s="67"/>
      <c r="NT47" s="67"/>
      <c r="NU47" s="67"/>
      <c r="NV47" s="67"/>
      <c r="NW47" s="67"/>
      <c r="NX47" s="67"/>
      <c r="NY47" s="67"/>
      <c r="NZ47" s="67"/>
      <c r="OA47" s="67"/>
      <c r="OB47" s="67"/>
      <c r="OC47" s="67"/>
      <c r="OD47" s="67"/>
      <c r="OE47" s="67"/>
      <c r="OF47" s="67"/>
      <c r="OG47" s="67"/>
      <c r="OH47" s="67"/>
      <c r="OI47" s="67"/>
      <c r="OJ47" s="67"/>
      <c r="OK47" s="67"/>
      <c r="OL47" s="67"/>
      <c r="OM47" s="67"/>
      <c r="ON47" s="67"/>
      <c r="OO47" s="67"/>
      <c r="OP47" s="67"/>
      <c r="OQ47" s="67"/>
      <c r="OR47" s="67"/>
      <c r="OS47" s="67"/>
      <c r="OT47" s="67"/>
      <c r="OU47" s="67"/>
      <c r="OV47" s="67"/>
      <c r="OW47" s="67"/>
      <c r="OX47" s="67"/>
      <c r="OY47" s="67"/>
      <c r="OZ47" s="67"/>
      <c r="PA47" s="67"/>
      <c r="PB47" s="67"/>
      <c r="PC47" s="67"/>
      <c r="PD47" s="67"/>
      <c r="PE47" s="67"/>
      <c r="PF47" s="67"/>
      <c r="PG47" s="67"/>
      <c r="PH47" s="67"/>
      <c r="PI47" s="67"/>
      <c r="PJ47" s="67"/>
      <c r="PK47" s="67"/>
      <c r="PL47" s="67"/>
      <c r="PM47" s="67"/>
      <c r="PN47" s="67"/>
      <c r="PO47" s="67"/>
      <c r="PP47" s="67"/>
      <c r="PQ47" s="67"/>
      <c r="PR47" s="67"/>
      <c r="PS47" s="67"/>
      <c r="PT47" s="67"/>
      <c r="PU47" s="67"/>
      <c r="PV47" s="67"/>
      <c r="PW47" s="67"/>
      <c r="PX47" s="67"/>
      <c r="PY47" s="67"/>
      <c r="PZ47" s="67"/>
      <c r="QA47" s="67"/>
      <c r="QB47" s="67"/>
      <c r="QC47" s="67"/>
      <c r="QD47" s="67"/>
      <c r="QE47" s="67"/>
      <c r="QF47" s="67"/>
      <c r="QG47" s="67"/>
      <c r="QH47" s="67"/>
      <c r="QI47" s="67"/>
      <c r="QJ47" s="67"/>
      <c r="QK47" s="67"/>
      <c r="QL47" s="67"/>
      <c r="QM47" s="67"/>
      <c r="QN47" s="67"/>
      <c r="QO47" s="67"/>
      <c r="QP47" s="67"/>
      <c r="QQ47" s="67"/>
      <c r="QR47" s="67"/>
      <c r="QS47" s="67"/>
      <c r="QT47" s="67"/>
      <c r="QU47" s="67"/>
      <c r="QV47" s="67"/>
      <c r="QW47" s="67"/>
      <c r="QX47" s="67"/>
      <c r="QY47" s="67"/>
      <c r="QZ47" s="67"/>
      <c r="RA47" s="67"/>
      <c r="RB47" s="67"/>
      <c r="RC47" s="67"/>
      <c r="RD47" s="67"/>
      <c r="RE47" s="67"/>
      <c r="RF47" s="67"/>
      <c r="RG47" s="67"/>
      <c r="RH47" s="67"/>
      <c r="RI47" s="67"/>
      <c r="RJ47" s="67"/>
      <c r="RK47" s="67"/>
      <c r="RL47" s="67"/>
      <c r="RM47" s="67"/>
      <c r="RN47" s="67"/>
      <c r="RO47" s="67"/>
      <c r="RP47" s="67"/>
      <c r="RQ47" s="67"/>
      <c r="RR47" s="67"/>
      <c r="RS47" s="67"/>
      <c r="RT47" s="67"/>
      <c r="RU47" s="67"/>
      <c r="RV47" s="67"/>
      <c r="RW47" s="67"/>
      <c r="RX47" s="67"/>
      <c r="RY47" s="67"/>
      <c r="RZ47" s="67"/>
      <c r="SA47" s="67"/>
      <c r="SB47" s="67"/>
      <c r="SC47" s="67"/>
      <c r="SD47" s="67"/>
      <c r="SE47" s="67"/>
      <c r="SF47" s="67"/>
      <c r="SG47" s="67"/>
      <c r="SH47" s="67"/>
      <c r="SI47" s="67"/>
      <c r="SJ47" s="67"/>
      <c r="SK47" s="67"/>
      <c r="SL47" s="67"/>
      <c r="SM47" s="67"/>
      <c r="SN47" s="67"/>
      <c r="SO47" s="67"/>
      <c r="SP47" s="67"/>
      <c r="SQ47" s="67"/>
      <c r="SR47" s="67"/>
      <c r="SS47" s="67"/>
      <c r="ST47" s="67"/>
      <c r="SU47" s="67"/>
      <c r="SV47" s="67"/>
      <c r="SW47" s="67"/>
      <c r="SX47" s="67"/>
      <c r="SY47" s="67"/>
      <c r="SZ47" s="67"/>
      <c r="TA47" s="67"/>
      <c r="TB47" s="67"/>
      <c r="TC47" s="67"/>
      <c r="TD47" s="67"/>
      <c r="TE47" s="67"/>
      <c r="TF47" s="67"/>
      <c r="TG47" s="67"/>
      <c r="TH47" s="67"/>
      <c r="TI47" s="67"/>
      <c r="TJ47" s="67"/>
      <c r="TK47" s="67"/>
      <c r="TL47" s="67"/>
      <c r="TM47" s="67"/>
      <c r="TN47" s="67"/>
      <c r="TO47" s="67"/>
      <c r="TP47" s="67"/>
      <c r="TQ47" s="67"/>
      <c r="TR47" s="67"/>
      <c r="TS47" s="67"/>
      <c r="TT47" s="67"/>
      <c r="TU47" s="67"/>
      <c r="TV47" s="67"/>
      <c r="TW47" s="67"/>
      <c r="TX47" s="67"/>
      <c r="TY47" s="67"/>
      <c r="TZ47" s="67"/>
      <c r="UA47" s="67"/>
      <c r="UB47" s="67"/>
      <c r="UC47" s="67"/>
      <c r="UD47" s="67"/>
      <c r="UE47" s="67"/>
      <c r="UF47" s="67"/>
      <c r="UG47" s="67"/>
      <c r="UH47" s="67"/>
      <c r="UI47" s="67"/>
      <c r="UJ47" s="67"/>
      <c r="UK47" s="67"/>
      <c r="UL47" s="67"/>
      <c r="UM47" s="67"/>
      <c r="UN47" s="67"/>
      <c r="UO47" s="67"/>
      <c r="UP47" s="67"/>
      <c r="UQ47" s="67"/>
      <c r="UR47" s="67"/>
      <c r="US47" s="67"/>
      <c r="UT47" s="67"/>
      <c r="UU47" s="67"/>
      <c r="UV47" s="67"/>
      <c r="UW47" s="67"/>
      <c r="UX47" s="67"/>
      <c r="UY47" s="67"/>
      <c r="UZ47" s="67"/>
      <c r="VA47" s="67"/>
      <c r="VB47" s="67"/>
      <c r="VC47" s="67"/>
      <c r="VD47" s="67"/>
      <c r="VE47" s="67"/>
      <c r="VF47" s="67"/>
      <c r="VG47" s="67"/>
      <c r="VH47" s="67"/>
      <c r="VI47" s="67"/>
      <c r="VJ47" s="67"/>
      <c r="VK47" s="67"/>
      <c r="VL47" s="67"/>
      <c r="VM47" s="67"/>
      <c r="VN47" s="67"/>
      <c r="VO47" s="67"/>
      <c r="VP47" s="67"/>
      <c r="VQ47" s="67"/>
      <c r="VR47" s="67"/>
      <c r="VS47" s="67"/>
      <c r="VT47" s="67"/>
      <c r="VU47" s="67"/>
      <c r="VV47" s="67"/>
      <c r="VW47" s="67"/>
      <c r="VX47" s="67"/>
      <c r="VY47" s="67"/>
      <c r="WA47" s="67"/>
      <c r="WB47" s="67"/>
      <c r="WC47" s="67"/>
      <c r="WD47" s="67"/>
      <c r="WE47" s="67"/>
      <c r="WF47" s="67"/>
      <c r="WG47" s="67"/>
      <c r="WH47" s="67"/>
      <c r="WI47" s="67"/>
      <c r="WJ47" s="2"/>
      <c r="WK47" s="2"/>
    </row>
    <row r="48" spans="1:611" x14ac:dyDescent="0.25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  <c r="FG48" s="67"/>
      <c r="FH48" s="67"/>
      <c r="FI48" s="67"/>
      <c r="FJ48" s="67"/>
      <c r="FK48" s="67"/>
      <c r="FL48" s="67"/>
      <c r="FM48" s="67"/>
      <c r="FN48" s="67"/>
      <c r="FO48" s="67"/>
      <c r="FP48" s="67"/>
      <c r="FQ48" s="67"/>
      <c r="FR48" s="67"/>
      <c r="FS48" s="67"/>
      <c r="FT48" s="67"/>
      <c r="FU48" s="67"/>
      <c r="FV48" s="67"/>
      <c r="FW48" s="67"/>
      <c r="FX48" s="67"/>
      <c r="FY48" s="67"/>
      <c r="FZ48" s="67"/>
      <c r="GA48" s="67"/>
      <c r="GB48" s="67"/>
      <c r="GC48" s="67"/>
      <c r="GD48" s="67"/>
      <c r="GE48" s="67"/>
      <c r="GF48" s="67"/>
      <c r="GG48" s="67"/>
      <c r="GH48" s="67"/>
      <c r="GI48" s="67"/>
      <c r="GJ48" s="67"/>
      <c r="GK48" s="67"/>
      <c r="GL48" s="67"/>
      <c r="GM48" s="67"/>
      <c r="GN48" s="67"/>
      <c r="GO48" s="67"/>
      <c r="GP48" s="67"/>
      <c r="GQ48" s="67"/>
      <c r="GR48" s="67"/>
      <c r="GS48" s="67"/>
      <c r="GT48" s="67"/>
      <c r="GU48" s="67"/>
      <c r="GV48" s="67"/>
      <c r="GW48" s="67"/>
      <c r="GX48" s="67"/>
      <c r="GY48" s="67"/>
      <c r="GZ48" s="67"/>
      <c r="HA48" s="67"/>
      <c r="HB48" s="67"/>
      <c r="HC48" s="67"/>
      <c r="HD48" s="67"/>
      <c r="HE48" s="67"/>
      <c r="HF48" s="67"/>
      <c r="HG48" s="67"/>
      <c r="HH48" s="67"/>
      <c r="HI48" s="67"/>
      <c r="HJ48" s="67"/>
      <c r="HK48" s="67"/>
      <c r="HL48" s="67"/>
      <c r="HM48" s="67"/>
      <c r="HN48" s="67"/>
      <c r="HO48" s="67"/>
      <c r="HP48" s="67"/>
      <c r="HQ48" s="67"/>
      <c r="HR48" s="67"/>
      <c r="HS48" s="67"/>
      <c r="HT48" s="67"/>
      <c r="HU48" s="67"/>
      <c r="HV48" s="67"/>
      <c r="HW48" s="67"/>
      <c r="HX48" s="67"/>
      <c r="HY48" s="67"/>
      <c r="HZ48" s="67"/>
      <c r="IA48" s="67"/>
      <c r="IB48" s="67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  <c r="LG48" s="67"/>
      <c r="LH48" s="67"/>
      <c r="LI48" s="67"/>
      <c r="LJ48" s="67"/>
      <c r="LK48" s="67"/>
      <c r="LL48" s="67"/>
      <c r="LM48" s="67"/>
      <c r="LN48" s="67"/>
      <c r="LO48" s="67"/>
      <c r="LP48" s="67"/>
      <c r="LQ48" s="67"/>
      <c r="LR48" s="67"/>
      <c r="LS48" s="67"/>
      <c r="LT48" s="67"/>
      <c r="LU48" s="67"/>
      <c r="LV48" s="67"/>
      <c r="LW48" s="67"/>
      <c r="LX48" s="67"/>
      <c r="LY48" s="67"/>
      <c r="LZ48" s="67"/>
      <c r="MA48" s="67"/>
      <c r="MB48" s="67"/>
      <c r="MC48" s="67"/>
      <c r="MD48" s="67"/>
      <c r="ME48" s="67"/>
      <c r="MF48" s="67"/>
      <c r="MG48" s="67"/>
      <c r="MH48" s="67"/>
      <c r="MI48" s="67"/>
      <c r="MJ48" s="67"/>
      <c r="MK48" s="67"/>
      <c r="ML48" s="67"/>
      <c r="MM48" s="67"/>
      <c r="MN48" s="67"/>
      <c r="MO48" s="67"/>
      <c r="MP48" s="67"/>
      <c r="MQ48" s="67"/>
      <c r="MR48" s="67"/>
      <c r="MS48" s="67"/>
      <c r="MT48" s="67"/>
      <c r="MU48" s="67"/>
      <c r="MV48" s="67"/>
      <c r="MW48" s="67"/>
      <c r="MX48" s="67"/>
      <c r="MY48" s="67"/>
      <c r="MZ48" s="67"/>
      <c r="NA48" s="67"/>
      <c r="NB48" s="67"/>
      <c r="NC48" s="67"/>
      <c r="ND48" s="67"/>
      <c r="NE48" s="67"/>
      <c r="NF48" s="67"/>
      <c r="NG48" s="67"/>
      <c r="NH48" s="67"/>
      <c r="NI48" s="67"/>
      <c r="NJ48" s="67"/>
      <c r="NK48" s="67"/>
      <c r="NL48" s="67"/>
      <c r="NM48" s="67"/>
      <c r="NN48" s="67"/>
      <c r="NO48" s="67"/>
      <c r="NP48" s="67"/>
      <c r="NQ48" s="67"/>
      <c r="NR48" s="67"/>
      <c r="NS48" s="67"/>
      <c r="NT48" s="67"/>
      <c r="NU48" s="67"/>
      <c r="NV48" s="67"/>
      <c r="NW48" s="67"/>
      <c r="NX48" s="67"/>
      <c r="NY48" s="67"/>
      <c r="NZ48" s="67"/>
      <c r="OA48" s="67"/>
      <c r="OB48" s="67"/>
      <c r="OC48" s="67"/>
      <c r="OD48" s="67"/>
      <c r="OE48" s="67"/>
      <c r="OF48" s="67"/>
      <c r="OG48" s="67"/>
      <c r="OH48" s="67"/>
      <c r="OI48" s="67"/>
      <c r="OJ48" s="67"/>
      <c r="OK48" s="67"/>
      <c r="OL48" s="67"/>
      <c r="OM48" s="67"/>
      <c r="ON48" s="67"/>
      <c r="OO48" s="67"/>
      <c r="OP48" s="67"/>
      <c r="OQ48" s="67"/>
      <c r="OR48" s="67"/>
      <c r="OS48" s="67"/>
      <c r="OT48" s="67"/>
      <c r="OU48" s="67"/>
      <c r="OV48" s="67"/>
      <c r="OW48" s="67"/>
      <c r="OX48" s="67"/>
      <c r="OY48" s="67"/>
      <c r="OZ48" s="67"/>
      <c r="PA48" s="67"/>
      <c r="PB48" s="67"/>
      <c r="PC48" s="67"/>
      <c r="PD48" s="67"/>
      <c r="PE48" s="67"/>
      <c r="PF48" s="67"/>
      <c r="PG48" s="67"/>
      <c r="PH48" s="67"/>
      <c r="PI48" s="67"/>
      <c r="PJ48" s="67"/>
      <c r="PK48" s="67"/>
      <c r="PL48" s="67"/>
      <c r="PM48" s="67"/>
      <c r="PN48" s="67"/>
      <c r="PO48" s="67"/>
      <c r="PP48" s="67"/>
      <c r="PQ48" s="67"/>
      <c r="PR48" s="67"/>
      <c r="PS48" s="67"/>
      <c r="PT48" s="67"/>
      <c r="PU48" s="67"/>
      <c r="PV48" s="67"/>
      <c r="PW48" s="67"/>
      <c r="PX48" s="67"/>
      <c r="PY48" s="67"/>
      <c r="PZ48" s="67"/>
      <c r="QA48" s="67"/>
      <c r="QB48" s="67"/>
      <c r="QC48" s="67"/>
      <c r="QD48" s="67"/>
      <c r="QE48" s="67"/>
      <c r="QF48" s="67"/>
      <c r="QG48" s="67"/>
      <c r="QH48" s="67"/>
      <c r="QI48" s="67"/>
      <c r="QJ48" s="67"/>
      <c r="QK48" s="67"/>
      <c r="QL48" s="67"/>
      <c r="QM48" s="67"/>
      <c r="QN48" s="67"/>
      <c r="QO48" s="67"/>
      <c r="QP48" s="67"/>
      <c r="QQ48" s="67"/>
      <c r="QR48" s="67"/>
      <c r="QS48" s="67"/>
      <c r="QT48" s="67"/>
      <c r="QU48" s="67"/>
      <c r="QV48" s="67"/>
      <c r="QW48" s="67"/>
      <c r="QX48" s="67"/>
      <c r="QY48" s="67"/>
      <c r="QZ48" s="67"/>
      <c r="RA48" s="67"/>
      <c r="RB48" s="67"/>
      <c r="RC48" s="67"/>
      <c r="RD48" s="67"/>
      <c r="RE48" s="67"/>
      <c r="RF48" s="67"/>
      <c r="RG48" s="67"/>
      <c r="RH48" s="67"/>
      <c r="RI48" s="67"/>
      <c r="RJ48" s="67"/>
      <c r="RK48" s="67"/>
      <c r="RL48" s="67"/>
      <c r="RM48" s="67"/>
      <c r="RN48" s="67"/>
      <c r="RO48" s="67"/>
      <c r="RP48" s="67"/>
      <c r="RQ48" s="67"/>
      <c r="RR48" s="67"/>
      <c r="RS48" s="67"/>
      <c r="RT48" s="67"/>
      <c r="RU48" s="67"/>
      <c r="RV48" s="67"/>
      <c r="RW48" s="67"/>
      <c r="RX48" s="67"/>
      <c r="RY48" s="67"/>
      <c r="RZ48" s="67"/>
      <c r="SA48" s="67"/>
      <c r="SB48" s="67"/>
      <c r="SC48" s="67"/>
      <c r="SD48" s="67"/>
      <c r="SE48" s="67"/>
      <c r="SF48" s="67"/>
      <c r="SG48" s="67"/>
      <c r="SH48" s="67"/>
      <c r="SI48" s="67"/>
      <c r="SJ48" s="67"/>
      <c r="SK48" s="67"/>
      <c r="SL48" s="67"/>
      <c r="SM48" s="67"/>
      <c r="SN48" s="67"/>
      <c r="SO48" s="67"/>
      <c r="SP48" s="67"/>
      <c r="SQ48" s="67"/>
      <c r="SR48" s="67"/>
      <c r="SS48" s="67"/>
      <c r="ST48" s="67"/>
      <c r="SU48" s="67"/>
      <c r="SV48" s="67"/>
      <c r="SW48" s="67"/>
      <c r="SX48" s="67"/>
      <c r="SY48" s="67"/>
      <c r="SZ48" s="67"/>
      <c r="TA48" s="67"/>
      <c r="TB48" s="67"/>
      <c r="TC48" s="67"/>
      <c r="TD48" s="67"/>
      <c r="TE48" s="67"/>
      <c r="TF48" s="67"/>
      <c r="TG48" s="67"/>
      <c r="TH48" s="67"/>
      <c r="TI48" s="67"/>
      <c r="TJ48" s="67"/>
      <c r="TK48" s="67"/>
      <c r="TL48" s="67"/>
      <c r="TM48" s="67"/>
      <c r="TN48" s="67"/>
      <c r="TO48" s="67"/>
      <c r="TP48" s="67"/>
      <c r="TQ48" s="67"/>
      <c r="TR48" s="67"/>
      <c r="TS48" s="67"/>
      <c r="TT48" s="67"/>
      <c r="TU48" s="67"/>
      <c r="TV48" s="67"/>
      <c r="TW48" s="67"/>
      <c r="TX48" s="67"/>
      <c r="TY48" s="67"/>
      <c r="TZ48" s="67"/>
      <c r="UA48" s="67"/>
      <c r="UB48" s="67"/>
      <c r="UC48" s="67"/>
      <c r="UD48" s="67"/>
      <c r="UE48" s="67"/>
      <c r="UF48" s="67"/>
      <c r="UG48" s="67"/>
      <c r="UH48" s="67"/>
      <c r="UI48" s="67"/>
      <c r="UJ48" s="67"/>
      <c r="UK48" s="67"/>
      <c r="UL48" s="67"/>
      <c r="UM48" s="67"/>
      <c r="UN48" s="67"/>
      <c r="UO48" s="67"/>
      <c r="UP48" s="67"/>
      <c r="UQ48" s="67"/>
      <c r="UR48" s="67"/>
      <c r="US48" s="67"/>
      <c r="UT48" s="67"/>
      <c r="UU48" s="67"/>
      <c r="UV48" s="67"/>
      <c r="UW48" s="67"/>
      <c r="UX48" s="67"/>
      <c r="UY48" s="67"/>
      <c r="UZ48" s="67"/>
      <c r="VA48" s="67"/>
      <c r="VB48" s="67"/>
      <c r="VC48" s="67"/>
      <c r="VD48" s="67"/>
      <c r="VE48" s="67"/>
      <c r="VF48" s="67"/>
      <c r="VG48" s="67"/>
      <c r="VH48" s="67"/>
      <c r="VI48" s="67"/>
      <c r="VJ48" s="67"/>
      <c r="VK48" s="67"/>
      <c r="VL48" s="67"/>
      <c r="VM48" s="67"/>
      <c r="VN48" s="67"/>
      <c r="VO48" s="67"/>
      <c r="VP48" s="67"/>
      <c r="VQ48" s="67"/>
      <c r="VR48" s="67"/>
      <c r="VS48" s="67"/>
      <c r="VT48" s="67"/>
      <c r="VU48" s="67"/>
      <c r="VV48" s="67"/>
      <c r="VW48" s="67"/>
      <c r="VX48" s="67"/>
      <c r="VY48" s="67"/>
      <c r="WA48" s="67"/>
      <c r="WB48" s="67"/>
      <c r="WC48" s="67"/>
      <c r="WD48" s="67"/>
      <c r="WE48" s="67"/>
      <c r="WF48" s="67"/>
      <c r="WG48" s="67"/>
      <c r="WH48" s="67"/>
      <c r="WI48" s="67"/>
      <c r="WJ48" s="2"/>
      <c r="WK48" s="2"/>
    </row>
    <row r="49" spans="1:609" x14ac:dyDescent="0.25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  <c r="EO49" s="67"/>
      <c r="EP49" s="67"/>
      <c r="EQ49" s="67"/>
      <c r="ER49" s="67"/>
      <c r="ES49" s="67"/>
      <c r="ET49" s="67"/>
      <c r="EU49" s="67"/>
      <c r="EV49" s="67"/>
      <c r="EW49" s="67"/>
      <c r="EX49" s="67"/>
      <c r="EY49" s="67"/>
      <c r="EZ49" s="67"/>
      <c r="FA49" s="67"/>
      <c r="FB49" s="67"/>
      <c r="FC49" s="67"/>
      <c r="FD49" s="67"/>
      <c r="FE49" s="67"/>
      <c r="FF49" s="67"/>
      <c r="FG49" s="67"/>
      <c r="FH49" s="67"/>
      <c r="FI49" s="67"/>
      <c r="FJ49" s="67"/>
      <c r="FK49" s="67"/>
      <c r="FL49" s="67"/>
      <c r="FM49" s="67"/>
      <c r="FN49" s="67"/>
      <c r="FO49" s="67"/>
      <c r="FP49" s="67"/>
      <c r="FQ49" s="67"/>
      <c r="FR49" s="67"/>
      <c r="FS49" s="67"/>
      <c r="FT49" s="67"/>
      <c r="FU49" s="67"/>
      <c r="FV49" s="67"/>
      <c r="FW49" s="67"/>
      <c r="FX49" s="67"/>
      <c r="FY49" s="67"/>
      <c r="FZ49" s="67"/>
      <c r="GA49" s="67"/>
      <c r="GB49" s="67"/>
      <c r="GC49" s="67"/>
      <c r="GD49" s="67"/>
      <c r="GE49" s="67"/>
      <c r="GF49" s="67"/>
      <c r="GG49" s="67"/>
      <c r="GH49" s="67"/>
      <c r="GI49" s="67"/>
      <c r="GJ49" s="67"/>
      <c r="GK49" s="67"/>
      <c r="GL49" s="67"/>
      <c r="GM49" s="67"/>
      <c r="GN49" s="67"/>
      <c r="GO49" s="67"/>
      <c r="GP49" s="67"/>
      <c r="GQ49" s="67"/>
      <c r="GR49" s="67"/>
      <c r="GS49" s="67"/>
      <c r="GT49" s="67"/>
      <c r="GU49" s="67"/>
      <c r="GV49" s="67"/>
      <c r="GW49" s="67"/>
      <c r="GX49" s="67"/>
      <c r="GY49" s="67"/>
      <c r="GZ49" s="67"/>
      <c r="HA49" s="67"/>
      <c r="HB49" s="67"/>
      <c r="HC49" s="67"/>
      <c r="HD49" s="67"/>
      <c r="HE49" s="67"/>
      <c r="HF49" s="67"/>
      <c r="HG49" s="67"/>
      <c r="HH49" s="67"/>
      <c r="HI49" s="67"/>
      <c r="HJ49" s="67"/>
      <c r="HK49" s="67"/>
      <c r="HL49" s="67"/>
      <c r="HM49" s="67"/>
      <c r="HN49" s="67"/>
      <c r="HO49" s="67"/>
      <c r="HP49" s="67"/>
      <c r="HQ49" s="67"/>
      <c r="HR49" s="67"/>
      <c r="HS49" s="67"/>
      <c r="HT49" s="67"/>
      <c r="HU49" s="67"/>
      <c r="HV49" s="67"/>
      <c r="HW49" s="67"/>
      <c r="HX49" s="67"/>
      <c r="HY49" s="67"/>
      <c r="HZ49" s="67"/>
      <c r="IA49" s="67"/>
      <c r="IB49" s="67"/>
      <c r="IC49" s="67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  <c r="LG49" s="67"/>
      <c r="LH49" s="67"/>
      <c r="LI49" s="67"/>
      <c r="LJ49" s="67"/>
      <c r="LK49" s="67"/>
      <c r="LL49" s="67"/>
      <c r="LM49" s="67"/>
      <c r="LN49" s="67"/>
      <c r="LO49" s="67"/>
      <c r="LP49" s="67"/>
      <c r="LQ49" s="67"/>
      <c r="LR49" s="67"/>
      <c r="LS49" s="67"/>
      <c r="LT49" s="67"/>
      <c r="LU49" s="67"/>
      <c r="LV49" s="67"/>
      <c r="LW49" s="67"/>
      <c r="LX49" s="67"/>
      <c r="LY49" s="67"/>
      <c r="LZ49" s="67"/>
      <c r="MA49" s="67"/>
      <c r="MB49" s="67"/>
      <c r="MC49" s="67"/>
      <c r="MD49" s="67"/>
      <c r="ME49" s="67"/>
      <c r="MF49" s="67"/>
      <c r="MG49" s="67"/>
      <c r="MH49" s="67"/>
      <c r="MI49" s="67"/>
      <c r="MJ49" s="67"/>
      <c r="MK49" s="67"/>
      <c r="ML49" s="67"/>
      <c r="MM49" s="67"/>
      <c r="MN49" s="67"/>
      <c r="MO49" s="67"/>
      <c r="MP49" s="67"/>
      <c r="MQ49" s="67"/>
      <c r="MR49" s="67"/>
      <c r="MS49" s="67"/>
      <c r="MT49" s="67"/>
      <c r="MU49" s="67"/>
      <c r="MV49" s="67"/>
      <c r="MW49" s="67"/>
      <c r="MX49" s="67"/>
      <c r="MY49" s="67"/>
      <c r="MZ49" s="67"/>
      <c r="NA49" s="67"/>
      <c r="NB49" s="67"/>
      <c r="NC49" s="67"/>
      <c r="ND49" s="67"/>
      <c r="NE49" s="67"/>
      <c r="NF49" s="67"/>
      <c r="NG49" s="67"/>
      <c r="NH49" s="67"/>
      <c r="NI49" s="67"/>
      <c r="NJ49" s="67"/>
      <c r="NK49" s="67"/>
      <c r="NL49" s="67"/>
      <c r="NM49" s="67"/>
      <c r="NN49" s="67"/>
      <c r="NO49" s="67"/>
      <c r="NP49" s="67"/>
      <c r="NQ49" s="67"/>
      <c r="NR49" s="67"/>
      <c r="NS49" s="67"/>
      <c r="NT49" s="67"/>
      <c r="NU49" s="67"/>
      <c r="NV49" s="67"/>
      <c r="NW49" s="67"/>
      <c r="NX49" s="67"/>
      <c r="NY49" s="67"/>
      <c r="NZ49" s="67"/>
      <c r="OA49" s="67"/>
      <c r="OB49" s="67"/>
      <c r="OC49" s="67"/>
      <c r="OD49" s="67"/>
      <c r="OE49" s="67"/>
      <c r="OF49" s="67"/>
      <c r="OG49" s="67"/>
      <c r="OH49" s="67"/>
      <c r="OI49" s="67"/>
      <c r="OJ49" s="67"/>
      <c r="OK49" s="67"/>
      <c r="OL49" s="67"/>
      <c r="OM49" s="67"/>
      <c r="ON49" s="67"/>
      <c r="OO49" s="67"/>
      <c r="OP49" s="67"/>
      <c r="OQ49" s="67"/>
      <c r="OR49" s="67"/>
      <c r="OS49" s="67"/>
      <c r="OT49" s="67"/>
      <c r="OU49" s="67"/>
      <c r="OV49" s="67"/>
      <c r="OW49" s="67"/>
      <c r="OX49" s="67"/>
      <c r="OY49" s="67"/>
      <c r="OZ49" s="67"/>
      <c r="PA49" s="67"/>
      <c r="PB49" s="67"/>
      <c r="PC49" s="67"/>
      <c r="PD49" s="67"/>
      <c r="PE49" s="67"/>
      <c r="PF49" s="67"/>
      <c r="PG49" s="67"/>
      <c r="PH49" s="67"/>
      <c r="PI49" s="67"/>
      <c r="PJ49" s="67"/>
      <c r="PK49" s="67"/>
      <c r="PL49" s="67"/>
      <c r="PM49" s="67"/>
      <c r="PN49" s="67"/>
      <c r="PO49" s="67"/>
      <c r="PP49" s="67"/>
      <c r="PQ49" s="67"/>
      <c r="PR49" s="67"/>
      <c r="PS49" s="67"/>
      <c r="PT49" s="67"/>
      <c r="PU49" s="67"/>
      <c r="PV49" s="67"/>
      <c r="PW49" s="67"/>
      <c r="PX49" s="67"/>
      <c r="PY49" s="67"/>
      <c r="PZ49" s="67"/>
      <c r="QA49" s="67"/>
      <c r="QB49" s="67"/>
      <c r="QC49" s="67"/>
      <c r="QD49" s="67"/>
      <c r="QE49" s="67"/>
      <c r="QF49" s="67"/>
      <c r="QG49" s="67"/>
      <c r="QH49" s="67"/>
      <c r="QI49" s="67"/>
      <c r="QJ49" s="67"/>
      <c r="QK49" s="67"/>
      <c r="QL49" s="67"/>
      <c r="QM49" s="67"/>
      <c r="QN49" s="67"/>
      <c r="QO49" s="67"/>
      <c r="QP49" s="67"/>
      <c r="QQ49" s="67"/>
      <c r="QR49" s="67"/>
      <c r="QS49" s="67"/>
      <c r="QT49" s="67"/>
      <c r="QU49" s="67"/>
      <c r="QV49" s="67"/>
      <c r="QW49" s="67"/>
      <c r="QX49" s="67"/>
      <c r="QY49" s="67"/>
      <c r="QZ49" s="67"/>
      <c r="RA49" s="67"/>
      <c r="RB49" s="67"/>
      <c r="RC49" s="67"/>
      <c r="RD49" s="67"/>
      <c r="RE49" s="67"/>
      <c r="RF49" s="67"/>
      <c r="RG49" s="67"/>
      <c r="RH49" s="67"/>
      <c r="RI49" s="67"/>
      <c r="RJ49" s="67"/>
      <c r="RK49" s="67"/>
      <c r="RL49" s="67"/>
      <c r="RM49" s="67"/>
      <c r="RN49" s="67"/>
      <c r="RO49" s="67"/>
      <c r="RP49" s="67"/>
      <c r="RQ49" s="67"/>
      <c r="RR49" s="67"/>
      <c r="RS49" s="67"/>
      <c r="RT49" s="67"/>
      <c r="RU49" s="67"/>
      <c r="RV49" s="67"/>
      <c r="RW49" s="67"/>
      <c r="RX49" s="67"/>
      <c r="RY49" s="67"/>
      <c r="RZ49" s="67"/>
      <c r="SA49" s="67"/>
      <c r="SB49" s="67"/>
      <c r="SC49" s="67"/>
      <c r="SD49" s="67"/>
      <c r="SE49" s="67"/>
      <c r="SF49" s="67"/>
      <c r="SG49" s="67"/>
      <c r="SH49" s="67"/>
      <c r="SI49" s="67"/>
      <c r="SJ49" s="67"/>
      <c r="SK49" s="67"/>
      <c r="SL49" s="67"/>
      <c r="SM49" s="67"/>
      <c r="SN49" s="67"/>
      <c r="SO49" s="67"/>
      <c r="SP49" s="67"/>
      <c r="SQ49" s="67"/>
      <c r="SR49" s="67"/>
      <c r="SS49" s="67"/>
      <c r="ST49" s="67"/>
      <c r="SU49" s="67"/>
      <c r="SV49" s="67"/>
      <c r="SW49" s="67"/>
      <c r="SX49" s="67"/>
      <c r="SY49" s="67"/>
      <c r="SZ49" s="67"/>
      <c r="TA49" s="67"/>
      <c r="TB49" s="67"/>
      <c r="TC49" s="67"/>
      <c r="TD49" s="67"/>
      <c r="TE49" s="67"/>
      <c r="TF49" s="67"/>
      <c r="TG49" s="67"/>
      <c r="TH49" s="67"/>
      <c r="TI49" s="67"/>
      <c r="TJ49" s="67"/>
      <c r="TK49" s="67"/>
      <c r="TL49" s="67"/>
      <c r="TM49" s="67"/>
      <c r="TN49" s="67"/>
      <c r="TO49" s="67"/>
      <c r="TP49" s="67"/>
      <c r="TQ49" s="67"/>
      <c r="TR49" s="67"/>
      <c r="TS49" s="67"/>
      <c r="TT49" s="67"/>
      <c r="TU49" s="67"/>
      <c r="TV49" s="67"/>
      <c r="TW49" s="67"/>
      <c r="TX49" s="67"/>
      <c r="TY49" s="67"/>
      <c r="TZ49" s="67"/>
      <c r="UA49" s="67"/>
      <c r="UB49" s="67"/>
      <c r="UC49" s="67"/>
      <c r="UD49" s="67"/>
      <c r="UE49" s="67"/>
      <c r="UF49" s="67"/>
      <c r="UG49" s="67"/>
      <c r="UH49" s="67"/>
      <c r="UI49" s="67"/>
      <c r="UJ49" s="67"/>
      <c r="UK49" s="67"/>
      <c r="UL49" s="67"/>
      <c r="UM49" s="67"/>
      <c r="UN49" s="67"/>
      <c r="UO49" s="67"/>
      <c r="UP49" s="67"/>
      <c r="UQ49" s="67"/>
      <c r="UR49" s="67"/>
      <c r="US49" s="67"/>
      <c r="UT49" s="67"/>
      <c r="UU49" s="67"/>
      <c r="UV49" s="67"/>
      <c r="UW49" s="67"/>
      <c r="UX49" s="67"/>
      <c r="UY49" s="67"/>
      <c r="UZ49" s="67"/>
      <c r="VA49" s="67"/>
      <c r="VB49" s="67"/>
      <c r="VC49" s="67"/>
      <c r="VD49" s="67"/>
      <c r="VE49" s="67"/>
      <c r="VF49" s="67"/>
      <c r="VG49" s="67"/>
      <c r="VH49" s="67"/>
      <c r="VI49" s="67"/>
      <c r="VJ49" s="67"/>
      <c r="VK49" s="67"/>
      <c r="VL49" s="67"/>
      <c r="VM49" s="67"/>
      <c r="VN49" s="67"/>
      <c r="VO49" s="67"/>
      <c r="VP49" s="67"/>
      <c r="VQ49" s="67"/>
      <c r="VR49" s="67"/>
      <c r="VS49" s="67"/>
      <c r="VT49" s="67"/>
      <c r="VU49" s="67"/>
      <c r="VV49" s="67"/>
      <c r="VW49" s="67"/>
      <c r="VX49" s="67"/>
      <c r="VY49" s="67"/>
      <c r="WA49" s="67"/>
      <c r="WB49" s="67"/>
      <c r="WC49" s="67"/>
      <c r="WD49" s="67"/>
      <c r="WE49" s="67"/>
      <c r="WF49" s="67"/>
      <c r="WG49" s="67"/>
      <c r="WH49" s="67"/>
      <c r="WI49" s="67"/>
      <c r="WJ49" s="2"/>
      <c r="WK49" s="2"/>
    </row>
    <row r="50" spans="1:609" x14ac:dyDescent="0.25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  <c r="EO50" s="67"/>
      <c r="EP50" s="67"/>
      <c r="EQ50" s="67"/>
      <c r="ER50" s="67"/>
      <c r="ES50" s="67"/>
      <c r="ET50" s="67"/>
      <c r="EU50" s="67"/>
      <c r="EV50" s="67"/>
      <c r="EW50" s="67"/>
      <c r="EX50" s="67"/>
      <c r="EY50" s="67"/>
      <c r="EZ50" s="67"/>
      <c r="FA50" s="67"/>
      <c r="FB50" s="67"/>
      <c r="FC50" s="67"/>
      <c r="FD50" s="67"/>
      <c r="FE50" s="67"/>
      <c r="FF50" s="67"/>
      <c r="FG50" s="67"/>
      <c r="FH50" s="67"/>
      <c r="FI50" s="67"/>
      <c r="FJ50" s="67"/>
      <c r="FK50" s="67"/>
      <c r="FL50" s="67"/>
      <c r="FM50" s="67"/>
      <c r="FN50" s="67"/>
      <c r="FO50" s="67"/>
      <c r="FP50" s="67"/>
      <c r="FQ50" s="67"/>
      <c r="FR50" s="67"/>
      <c r="FS50" s="67"/>
      <c r="FT50" s="67"/>
      <c r="FU50" s="67"/>
      <c r="FV50" s="67"/>
      <c r="FW50" s="67"/>
      <c r="FX50" s="67"/>
      <c r="FY50" s="67"/>
      <c r="FZ50" s="67"/>
      <c r="GA50" s="67"/>
      <c r="GB50" s="67"/>
      <c r="GC50" s="67"/>
      <c r="GD50" s="67"/>
      <c r="GE50" s="67"/>
      <c r="GF50" s="67"/>
      <c r="GG50" s="67"/>
      <c r="GH50" s="67"/>
      <c r="GI50" s="67"/>
      <c r="GJ50" s="67"/>
      <c r="GK50" s="67"/>
      <c r="GL50" s="67"/>
      <c r="GM50" s="67"/>
      <c r="GN50" s="67"/>
      <c r="GO50" s="67"/>
      <c r="GP50" s="67"/>
      <c r="GQ50" s="67"/>
      <c r="GR50" s="67"/>
      <c r="GS50" s="67"/>
      <c r="GT50" s="67"/>
      <c r="GU50" s="67"/>
      <c r="GV50" s="67"/>
      <c r="GW50" s="67"/>
      <c r="GX50" s="67"/>
      <c r="GY50" s="67"/>
      <c r="GZ50" s="67"/>
      <c r="HA50" s="67"/>
      <c r="HB50" s="67"/>
      <c r="HC50" s="67"/>
      <c r="HD50" s="67"/>
      <c r="HE50" s="67"/>
      <c r="HF50" s="67"/>
      <c r="HG50" s="67"/>
      <c r="HH50" s="67"/>
      <c r="HI50" s="67"/>
      <c r="HJ50" s="67"/>
      <c r="HK50" s="67"/>
      <c r="HL50" s="67"/>
      <c r="HM50" s="67"/>
      <c r="HN50" s="67"/>
      <c r="HO50" s="67"/>
      <c r="HP50" s="67"/>
      <c r="HQ50" s="67"/>
      <c r="HR50" s="67"/>
      <c r="HS50" s="67"/>
      <c r="HT50" s="67"/>
      <c r="HU50" s="67"/>
      <c r="HV50" s="67"/>
      <c r="HW50" s="67"/>
      <c r="HX50" s="67"/>
      <c r="HY50" s="67"/>
      <c r="HZ50" s="67"/>
      <c r="IA50" s="67"/>
      <c r="IB50" s="67"/>
      <c r="IC50" s="67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  <c r="JD50" s="67"/>
      <c r="JE50" s="67"/>
      <c r="JF50" s="67"/>
      <c r="JG50" s="67"/>
      <c r="JH50" s="67"/>
      <c r="JI50" s="67"/>
      <c r="JJ50" s="67"/>
      <c r="JK50" s="67"/>
      <c r="JL50" s="67"/>
      <c r="JM50" s="67"/>
      <c r="JN50" s="67"/>
      <c r="JO50" s="67"/>
      <c r="JP50" s="67"/>
      <c r="JQ50" s="67"/>
      <c r="JR50" s="67"/>
      <c r="JS50" s="67"/>
      <c r="JT50" s="67"/>
      <c r="JU50" s="67"/>
      <c r="JV50" s="67"/>
      <c r="JW50" s="67"/>
      <c r="JX50" s="67"/>
      <c r="JY50" s="67"/>
      <c r="JZ50" s="67"/>
      <c r="KA50" s="67"/>
      <c r="KB50" s="67"/>
      <c r="KC50" s="67"/>
      <c r="KD50" s="67"/>
      <c r="KE50" s="67"/>
      <c r="KF50" s="67"/>
      <c r="KG50" s="67"/>
      <c r="KH50" s="67"/>
      <c r="KI50" s="67"/>
      <c r="KJ50" s="67"/>
      <c r="KK50" s="67"/>
      <c r="KL50" s="67"/>
      <c r="KM50" s="67"/>
      <c r="KN50" s="67"/>
      <c r="KO50" s="67"/>
      <c r="KP50" s="67"/>
      <c r="KQ50" s="67"/>
      <c r="KR50" s="67"/>
      <c r="KS50" s="67"/>
      <c r="KT50" s="67"/>
      <c r="KU50" s="67"/>
      <c r="KV50" s="67"/>
      <c r="KW50" s="67"/>
      <c r="KX50" s="67"/>
      <c r="KY50" s="67"/>
      <c r="KZ50" s="67"/>
      <c r="LA50" s="67"/>
      <c r="LB50" s="67"/>
      <c r="LC50" s="67"/>
      <c r="LD50" s="67"/>
      <c r="LE50" s="67"/>
      <c r="LF50" s="67"/>
      <c r="LG50" s="67"/>
      <c r="LH50" s="67"/>
      <c r="LI50" s="67"/>
      <c r="LJ50" s="67"/>
      <c r="LK50" s="67"/>
      <c r="LL50" s="67"/>
      <c r="LM50" s="67"/>
      <c r="LN50" s="67"/>
      <c r="LO50" s="67"/>
      <c r="LP50" s="67"/>
      <c r="LQ50" s="67"/>
      <c r="LR50" s="67"/>
      <c r="LS50" s="67"/>
      <c r="LT50" s="67"/>
      <c r="LU50" s="67"/>
      <c r="LV50" s="67"/>
      <c r="LW50" s="67"/>
      <c r="LX50" s="67"/>
      <c r="LY50" s="67"/>
      <c r="LZ50" s="67"/>
      <c r="MA50" s="67"/>
      <c r="MB50" s="67"/>
      <c r="MC50" s="67"/>
      <c r="MD50" s="67"/>
      <c r="ME50" s="67"/>
      <c r="MF50" s="67"/>
      <c r="MG50" s="67"/>
      <c r="MH50" s="67"/>
      <c r="MI50" s="67"/>
      <c r="MJ50" s="67"/>
      <c r="MK50" s="67"/>
      <c r="ML50" s="67"/>
      <c r="MM50" s="67"/>
      <c r="MN50" s="67"/>
      <c r="MO50" s="67"/>
      <c r="MP50" s="67"/>
      <c r="MQ50" s="67"/>
      <c r="MR50" s="67"/>
      <c r="MS50" s="67"/>
      <c r="MT50" s="67"/>
      <c r="MU50" s="67"/>
      <c r="MV50" s="67"/>
      <c r="MW50" s="67"/>
      <c r="MX50" s="67"/>
      <c r="MY50" s="67"/>
      <c r="MZ50" s="67"/>
      <c r="NA50" s="67"/>
      <c r="NB50" s="67"/>
      <c r="NC50" s="67"/>
      <c r="ND50" s="67"/>
      <c r="NE50" s="67"/>
      <c r="NF50" s="67"/>
      <c r="NG50" s="67"/>
      <c r="NH50" s="67"/>
      <c r="NI50" s="67"/>
      <c r="NJ50" s="67"/>
      <c r="NK50" s="67"/>
      <c r="NL50" s="67"/>
      <c r="NM50" s="67"/>
      <c r="NN50" s="67"/>
      <c r="NO50" s="67"/>
      <c r="NP50" s="67"/>
      <c r="NQ50" s="67"/>
      <c r="NR50" s="67"/>
      <c r="NS50" s="67"/>
      <c r="NT50" s="67"/>
      <c r="NU50" s="67"/>
      <c r="NV50" s="67"/>
      <c r="NW50" s="67"/>
      <c r="NX50" s="67"/>
      <c r="NY50" s="67"/>
      <c r="NZ50" s="67"/>
      <c r="OA50" s="67"/>
      <c r="OB50" s="67"/>
      <c r="OC50" s="67"/>
      <c r="OD50" s="67"/>
      <c r="OE50" s="67"/>
      <c r="OF50" s="67"/>
      <c r="OG50" s="67"/>
      <c r="OH50" s="67"/>
      <c r="OI50" s="67"/>
      <c r="OJ50" s="67"/>
      <c r="OK50" s="67"/>
      <c r="OL50" s="67"/>
      <c r="OM50" s="67"/>
      <c r="ON50" s="67"/>
      <c r="OO50" s="67"/>
      <c r="OP50" s="67"/>
      <c r="OQ50" s="67"/>
      <c r="OR50" s="67"/>
      <c r="OS50" s="67"/>
      <c r="OT50" s="67"/>
      <c r="OU50" s="67"/>
      <c r="OV50" s="67"/>
      <c r="OW50" s="67"/>
      <c r="OX50" s="67"/>
      <c r="OY50" s="67"/>
      <c r="OZ50" s="67"/>
      <c r="PA50" s="67"/>
      <c r="PB50" s="67"/>
      <c r="PC50" s="67"/>
      <c r="PD50" s="67"/>
      <c r="PE50" s="67"/>
      <c r="PF50" s="67"/>
      <c r="PG50" s="67"/>
      <c r="PH50" s="67"/>
      <c r="PI50" s="67"/>
      <c r="PJ50" s="67"/>
      <c r="PK50" s="67"/>
      <c r="PL50" s="67"/>
      <c r="PM50" s="67"/>
      <c r="PN50" s="67"/>
      <c r="PO50" s="67"/>
      <c r="PP50" s="67"/>
      <c r="PQ50" s="67"/>
      <c r="PR50" s="67"/>
      <c r="PS50" s="67"/>
      <c r="PT50" s="67"/>
      <c r="PU50" s="67"/>
      <c r="PV50" s="67"/>
      <c r="PW50" s="67"/>
      <c r="PX50" s="67"/>
      <c r="PY50" s="67"/>
      <c r="PZ50" s="67"/>
      <c r="QA50" s="67"/>
      <c r="QB50" s="67"/>
      <c r="QC50" s="67"/>
      <c r="QD50" s="67"/>
      <c r="QE50" s="67"/>
      <c r="QF50" s="67"/>
      <c r="QG50" s="67"/>
      <c r="QH50" s="67"/>
      <c r="QI50" s="67"/>
      <c r="QJ50" s="67"/>
      <c r="QK50" s="67"/>
      <c r="QL50" s="67"/>
      <c r="QM50" s="67"/>
      <c r="QN50" s="67"/>
      <c r="QO50" s="67"/>
      <c r="QP50" s="67"/>
      <c r="QQ50" s="67"/>
      <c r="QR50" s="67"/>
      <c r="QS50" s="67"/>
      <c r="QT50" s="67"/>
      <c r="QU50" s="67"/>
      <c r="QV50" s="67"/>
      <c r="QW50" s="67"/>
      <c r="QX50" s="67"/>
      <c r="QY50" s="67"/>
      <c r="QZ50" s="67"/>
      <c r="RA50" s="67"/>
      <c r="RB50" s="67"/>
      <c r="RC50" s="67"/>
      <c r="RD50" s="67"/>
      <c r="RE50" s="67"/>
      <c r="RF50" s="67"/>
      <c r="RG50" s="67"/>
      <c r="RH50" s="67"/>
      <c r="RI50" s="67"/>
      <c r="RJ50" s="67"/>
      <c r="RK50" s="67"/>
      <c r="RL50" s="67"/>
      <c r="RM50" s="67"/>
      <c r="RN50" s="67"/>
      <c r="RO50" s="67"/>
      <c r="RP50" s="67"/>
      <c r="RQ50" s="67"/>
      <c r="RR50" s="67"/>
      <c r="RS50" s="67"/>
      <c r="RT50" s="67"/>
      <c r="RU50" s="67"/>
      <c r="RV50" s="67"/>
      <c r="RW50" s="67"/>
      <c r="RX50" s="67"/>
      <c r="RY50" s="67"/>
      <c r="RZ50" s="67"/>
      <c r="SA50" s="67"/>
      <c r="SB50" s="67"/>
      <c r="SC50" s="67"/>
      <c r="SD50" s="67"/>
      <c r="SE50" s="67"/>
      <c r="SF50" s="67"/>
      <c r="SG50" s="67"/>
      <c r="SH50" s="67"/>
      <c r="SI50" s="67"/>
      <c r="SJ50" s="67"/>
      <c r="SK50" s="67"/>
      <c r="SL50" s="67"/>
      <c r="SM50" s="67"/>
      <c r="SN50" s="67"/>
      <c r="SO50" s="67"/>
      <c r="SP50" s="67"/>
      <c r="SQ50" s="67"/>
      <c r="SR50" s="67"/>
      <c r="SS50" s="67"/>
      <c r="ST50" s="67"/>
      <c r="SU50" s="67"/>
      <c r="SV50" s="67"/>
      <c r="SW50" s="67"/>
      <c r="SX50" s="67"/>
      <c r="SY50" s="67"/>
      <c r="SZ50" s="67"/>
      <c r="TA50" s="67"/>
      <c r="TB50" s="67"/>
      <c r="TC50" s="67"/>
      <c r="TD50" s="67"/>
      <c r="TE50" s="67"/>
      <c r="TF50" s="67"/>
      <c r="TG50" s="67"/>
      <c r="TH50" s="67"/>
      <c r="TI50" s="67"/>
      <c r="TJ50" s="67"/>
      <c r="TK50" s="67"/>
      <c r="TL50" s="67"/>
      <c r="TM50" s="67"/>
      <c r="TN50" s="67"/>
      <c r="TO50" s="67"/>
      <c r="TP50" s="67"/>
      <c r="TQ50" s="67"/>
      <c r="TR50" s="67"/>
      <c r="TS50" s="67"/>
      <c r="TT50" s="67"/>
      <c r="TU50" s="67"/>
      <c r="TV50" s="67"/>
      <c r="TW50" s="67"/>
      <c r="TX50" s="67"/>
      <c r="TY50" s="67"/>
      <c r="TZ50" s="67"/>
      <c r="UA50" s="67"/>
      <c r="UB50" s="67"/>
      <c r="UC50" s="67"/>
      <c r="UD50" s="67"/>
      <c r="UE50" s="67"/>
      <c r="UF50" s="67"/>
      <c r="UG50" s="67"/>
      <c r="UH50" s="67"/>
      <c r="UI50" s="67"/>
      <c r="UJ50" s="67"/>
      <c r="UK50" s="67"/>
      <c r="UL50" s="67"/>
      <c r="UM50" s="67"/>
      <c r="UN50" s="67"/>
      <c r="UO50" s="67"/>
      <c r="UP50" s="67"/>
      <c r="UQ50" s="67"/>
      <c r="UR50" s="67"/>
      <c r="US50" s="67"/>
      <c r="UT50" s="67"/>
      <c r="UU50" s="67"/>
      <c r="UV50" s="67"/>
      <c r="UW50" s="67"/>
      <c r="UX50" s="67"/>
      <c r="UY50" s="67"/>
      <c r="UZ50" s="67"/>
      <c r="VA50" s="67"/>
      <c r="VB50" s="67"/>
      <c r="VC50" s="67"/>
      <c r="VD50" s="67"/>
      <c r="VE50" s="67"/>
      <c r="VF50" s="67"/>
      <c r="VG50" s="67"/>
      <c r="VH50" s="67"/>
      <c r="VI50" s="67"/>
      <c r="VJ50" s="67"/>
      <c r="VK50" s="67"/>
      <c r="VL50" s="67"/>
      <c r="VM50" s="67"/>
      <c r="VN50" s="67"/>
      <c r="VO50" s="67"/>
      <c r="VP50" s="67"/>
      <c r="VQ50" s="67"/>
      <c r="VR50" s="67"/>
      <c r="VS50" s="67"/>
      <c r="VT50" s="67"/>
      <c r="VU50" s="67"/>
      <c r="VV50" s="67"/>
      <c r="VW50" s="67"/>
      <c r="VX50" s="67"/>
      <c r="VY50" s="67"/>
      <c r="WA50" s="67"/>
      <c r="WB50" s="67"/>
      <c r="WC50" s="67"/>
      <c r="WD50" s="67"/>
      <c r="WE50" s="67"/>
      <c r="WF50" s="67"/>
      <c r="WG50" s="67"/>
      <c r="WH50" s="67"/>
      <c r="WI50" s="67"/>
      <c r="WJ50" s="2"/>
      <c r="WK50" s="2"/>
    </row>
    <row r="51" spans="1:609" x14ac:dyDescent="0.25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67"/>
      <c r="FU51" s="67"/>
      <c r="FV51" s="67"/>
      <c r="FW51" s="67"/>
      <c r="FX51" s="67"/>
      <c r="FY51" s="67"/>
      <c r="FZ51" s="67"/>
      <c r="GA51" s="67"/>
      <c r="GB51" s="67"/>
      <c r="GC51" s="67"/>
      <c r="GD51" s="67"/>
      <c r="GE51" s="67"/>
      <c r="GF51" s="67"/>
      <c r="GG51" s="67"/>
      <c r="GH51" s="67"/>
      <c r="GI51" s="67"/>
      <c r="GJ51" s="67"/>
      <c r="GK51" s="67"/>
      <c r="GL51" s="67"/>
      <c r="GM51" s="67"/>
      <c r="GN51" s="67"/>
      <c r="GO51" s="67"/>
      <c r="GP51" s="67"/>
      <c r="GQ51" s="67"/>
      <c r="GR51" s="67"/>
      <c r="GS51" s="67"/>
      <c r="GT51" s="67"/>
      <c r="GU51" s="67"/>
      <c r="GV51" s="67"/>
      <c r="GW51" s="67"/>
      <c r="GX51" s="67"/>
      <c r="GY51" s="67"/>
      <c r="GZ51" s="67"/>
      <c r="HA51" s="67"/>
      <c r="HB51" s="67"/>
      <c r="HC51" s="67"/>
      <c r="HD51" s="67"/>
      <c r="HE51" s="67"/>
      <c r="HF51" s="67"/>
      <c r="HG51" s="67"/>
      <c r="HH51" s="67"/>
      <c r="HI51" s="67"/>
      <c r="HJ51" s="67"/>
      <c r="HK51" s="67"/>
      <c r="HL51" s="67"/>
      <c r="HM51" s="67"/>
      <c r="HN51" s="67"/>
      <c r="HO51" s="67"/>
      <c r="HP51" s="67"/>
      <c r="HQ51" s="67"/>
      <c r="HR51" s="67"/>
      <c r="HS51" s="67"/>
      <c r="HT51" s="67"/>
      <c r="HU51" s="67"/>
      <c r="HV51" s="67"/>
      <c r="HW51" s="67"/>
      <c r="HX51" s="67"/>
      <c r="HY51" s="67"/>
      <c r="HZ51" s="67"/>
      <c r="IA51" s="67"/>
      <c r="IB51" s="67"/>
      <c r="IC51" s="67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  <c r="LG51" s="67"/>
      <c r="LH51" s="67"/>
      <c r="LI51" s="67"/>
      <c r="LJ51" s="67"/>
      <c r="LK51" s="67"/>
      <c r="LL51" s="67"/>
      <c r="LM51" s="67"/>
      <c r="LN51" s="67"/>
      <c r="LO51" s="67"/>
      <c r="LP51" s="67"/>
      <c r="LQ51" s="67"/>
      <c r="LR51" s="67"/>
      <c r="LS51" s="67"/>
      <c r="LT51" s="67"/>
      <c r="LU51" s="67"/>
      <c r="LV51" s="67"/>
      <c r="LW51" s="67"/>
      <c r="LX51" s="67"/>
      <c r="LY51" s="67"/>
      <c r="LZ51" s="67"/>
      <c r="MA51" s="67"/>
      <c r="MB51" s="67"/>
      <c r="MC51" s="67"/>
      <c r="MD51" s="67"/>
      <c r="ME51" s="67"/>
      <c r="MF51" s="67"/>
      <c r="MG51" s="67"/>
      <c r="MH51" s="67"/>
      <c r="MI51" s="67"/>
      <c r="MJ51" s="67"/>
      <c r="MK51" s="67"/>
      <c r="ML51" s="67"/>
      <c r="MM51" s="67"/>
      <c r="MN51" s="67"/>
      <c r="MO51" s="67"/>
      <c r="MP51" s="67"/>
      <c r="MQ51" s="67"/>
      <c r="MR51" s="67"/>
      <c r="MS51" s="67"/>
      <c r="MT51" s="67"/>
      <c r="MU51" s="67"/>
      <c r="MV51" s="67"/>
      <c r="MW51" s="67"/>
      <c r="MX51" s="67"/>
      <c r="MY51" s="67"/>
      <c r="MZ51" s="67"/>
      <c r="NA51" s="67"/>
      <c r="NB51" s="67"/>
      <c r="NC51" s="67"/>
      <c r="ND51" s="67"/>
      <c r="NE51" s="67"/>
      <c r="NF51" s="67"/>
      <c r="NG51" s="67"/>
      <c r="NH51" s="67"/>
      <c r="NI51" s="67"/>
      <c r="NJ51" s="67"/>
      <c r="NK51" s="67"/>
      <c r="NL51" s="67"/>
      <c r="NM51" s="67"/>
      <c r="NN51" s="67"/>
      <c r="NO51" s="67"/>
      <c r="NP51" s="67"/>
      <c r="NQ51" s="67"/>
      <c r="NR51" s="67"/>
      <c r="NS51" s="67"/>
      <c r="NT51" s="67"/>
      <c r="NU51" s="67"/>
      <c r="NV51" s="67"/>
      <c r="NW51" s="67"/>
      <c r="NX51" s="67"/>
      <c r="NY51" s="67"/>
      <c r="NZ51" s="67"/>
      <c r="OA51" s="67"/>
      <c r="OB51" s="67"/>
      <c r="OC51" s="67"/>
      <c r="OD51" s="67"/>
      <c r="OE51" s="67"/>
      <c r="OF51" s="67"/>
      <c r="OG51" s="67"/>
      <c r="OH51" s="67"/>
      <c r="OI51" s="67"/>
      <c r="OJ51" s="67"/>
      <c r="OK51" s="67"/>
      <c r="OL51" s="67"/>
      <c r="OM51" s="67"/>
      <c r="ON51" s="67"/>
      <c r="OO51" s="67"/>
      <c r="OP51" s="67"/>
      <c r="OQ51" s="67"/>
      <c r="OR51" s="67"/>
      <c r="OS51" s="67"/>
      <c r="OT51" s="67"/>
      <c r="OU51" s="67"/>
      <c r="OV51" s="67"/>
      <c r="OW51" s="67"/>
      <c r="OX51" s="67"/>
      <c r="OY51" s="67"/>
      <c r="OZ51" s="67"/>
      <c r="PA51" s="67"/>
      <c r="PB51" s="67"/>
      <c r="PC51" s="67"/>
      <c r="PD51" s="67"/>
      <c r="PE51" s="67"/>
      <c r="PF51" s="67"/>
      <c r="PG51" s="67"/>
      <c r="PH51" s="67"/>
      <c r="PI51" s="67"/>
      <c r="PJ51" s="67"/>
      <c r="PK51" s="67"/>
      <c r="PL51" s="67"/>
      <c r="PM51" s="67"/>
      <c r="PN51" s="67"/>
      <c r="PO51" s="67"/>
      <c r="PP51" s="67"/>
      <c r="PQ51" s="67"/>
      <c r="PR51" s="67"/>
      <c r="PS51" s="67"/>
      <c r="PT51" s="67"/>
      <c r="PU51" s="67"/>
      <c r="PV51" s="67"/>
      <c r="PW51" s="67"/>
      <c r="PX51" s="67"/>
      <c r="PY51" s="67"/>
      <c r="PZ51" s="67"/>
      <c r="QA51" s="67"/>
      <c r="QB51" s="67"/>
      <c r="QC51" s="67"/>
      <c r="QD51" s="67"/>
      <c r="QE51" s="67"/>
      <c r="QF51" s="67"/>
      <c r="QG51" s="67"/>
      <c r="QH51" s="67"/>
      <c r="QI51" s="67"/>
      <c r="QJ51" s="67"/>
      <c r="QK51" s="67"/>
      <c r="QL51" s="67"/>
      <c r="QM51" s="67"/>
      <c r="QN51" s="67"/>
      <c r="QO51" s="67"/>
      <c r="QP51" s="67"/>
      <c r="QQ51" s="67"/>
      <c r="QR51" s="67"/>
      <c r="QS51" s="67"/>
      <c r="QT51" s="67"/>
      <c r="QU51" s="67"/>
      <c r="QV51" s="67"/>
      <c r="QW51" s="67"/>
      <c r="QX51" s="67"/>
      <c r="QY51" s="67"/>
      <c r="QZ51" s="67"/>
      <c r="RA51" s="67"/>
      <c r="RB51" s="67"/>
      <c r="RC51" s="67"/>
      <c r="RD51" s="67"/>
      <c r="RE51" s="67"/>
      <c r="RF51" s="67"/>
      <c r="RG51" s="67"/>
      <c r="RH51" s="67"/>
      <c r="RI51" s="67"/>
      <c r="RJ51" s="67"/>
      <c r="RK51" s="67"/>
      <c r="RL51" s="67"/>
      <c r="RM51" s="67"/>
      <c r="RN51" s="67"/>
      <c r="RO51" s="67"/>
      <c r="RP51" s="67"/>
      <c r="RQ51" s="67"/>
      <c r="RR51" s="67"/>
      <c r="RS51" s="67"/>
      <c r="RT51" s="67"/>
      <c r="RU51" s="67"/>
      <c r="RV51" s="67"/>
      <c r="RW51" s="67"/>
      <c r="RX51" s="67"/>
      <c r="RY51" s="67"/>
      <c r="RZ51" s="67"/>
      <c r="SA51" s="67"/>
      <c r="SB51" s="67"/>
      <c r="SC51" s="67"/>
      <c r="SD51" s="67"/>
      <c r="SE51" s="67"/>
      <c r="SF51" s="67"/>
      <c r="SG51" s="67"/>
      <c r="SH51" s="67"/>
      <c r="SI51" s="67"/>
      <c r="SJ51" s="67"/>
      <c r="SK51" s="67"/>
      <c r="SL51" s="67"/>
      <c r="SM51" s="67"/>
      <c r="SN51" s="67"/>
      <c r="SO51" s="67"/>
      <c r="SP51" s="67"/>
      <c r="SQ51" s="67"/>
      <c r="SR51" s="67"/>
      <c r="SS51" s="67"/>
      <c r="ST51" s="67"/>
      <c r="SU51" s="67"/>
      <c r="SV51" s="67"/>
      <c r="SW51" s="67"/>
      <c r="SX51" s="67"/>
      <c r="SY51" s="67"/>
      <c r="SZ51" s="67"/>
      <c r="TA51" s="67"/>
      <c r="TB51" s="67"/>
      <c r="TC51" s="67"/>
      <c r="TD51" s="67"/>
      <c r="TE51" s="67"/>
      <c r="TF51" s="67"/>
      <c r="TG51" s="67"/>
      <c r="TH51" s="67"/>
      <c r="TI51" s="67"/>
      <c r="TJ51" s="67"/>
      <c r="TK51" s="67"/>
      <c r="TL51" s="67"/>
      <c r="TM51" s="67"/>
      <c r="TN51" s="67"/>
      <c r="TO51" s="67"/>
      <c r="TP51" s="67"/>
      <c r="TQ51" s="67"/>
      <c r="TR51" s="67"/>
      <c r="TS51" s="67"/>
      <c r="TT51" s="67"/>
      <c r="TU51" s="67"/>
      <c r="TV51" s="67"/>
      <c r="TW51" s="67"/>
      <c r="TX51" s="67"/>
      <c r="TY51" s="67"/>
      <c r="TZ51" s="67"/>
      <c r="UA51" s="67"/>
      <c r="UB51" s="67"/>
      <c r="UC51" s="67"/>
      <c r="UD51" s="67"/>
      <c r="UE51" s="67"/>
      <c r="UF51" s="67"/>
      <c r="UG51" s="67"/>
      <c r="UH51" s="67"/>
      <c r="UI51" s="67"/>
      <c r="UJ51" s="67"/>
      <c r="UK51" s="67"/>
      <c r="UL51" s="67"/>
      <c r="UM51" s="67"/>
      <c r="UN51" s="67"/>
      <c r="UO51" s="67"/>
      <c r="UP51" s="67"/>
      <c r="UQ51" s="67"/>
      <c r="UR51" s="67"/>
      <c r="US51" s="67"/>
      <c r="UT51" s="67"/>
      <c r="UU51" s="67"/>
      <c r="UV51" s="67"/>
      <c r="UW51" s="67"/>
      <c r="UX51" s="67"/>
      <c r="UY51" s="67"/>
      <c r="UZ51" s="67"/>
      <c r="VA51" s="67"/>
      <c r="VB51" s="67"/>
      <c r="VC51" s="67"/>
      <c r="VD51" s="67"/>
      <c r="VE51" s="67"/>
      <c r="VF51" s="67"/>
      <c r="VG51" s="67"/>
      <c r="VH51" s="67"/>
      <c r="VI51" s="67"/>
      <c r="VJ51" s="67"/>
      <c r="VK51" s="67"/>
      <c r="VL51" s="67"/>
      <c r="VM51" s="67"/>
      <c r="VN51" s="67"/>
      <c r="VO51" s="67"/>
      <c r="VP51" s="67"/>
      <c r="VQ51" s="67"/>
      <c r="VR51" s="67"/>
      <c r="VS51" s="67"/>
      <c r="VT51" s="67"/>
      <c r="VU51" s="67"/>
      <c r="VV51" s="67"/>
      <c r="VW51" s="67"/>
      <c r="VX51" s="67"/>
      <c r="VY51" s="67"/>
      <c r="WA51" s="67"/>
      <c r="WB51" s="67"/>
      <c r="WC51" s="67"/>
      <c r="WD51" s="67"/>
      <c r="WE51" s="67"/>
      <c r="WF51" s="67"/>
      <c r="WG51" s="67"/>
      <c r="WH51" s="67"/>
      <c r="WI51" s="67"/>
      <c r="WJ51" s="2"/>
      <c r="WK51" s="2"/>
    </row>
    <row r="52" spans="1:609" x14ac:dyDescent="0.25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67"/>
      <c r="FU52" s="67"/>
      <c r="FV52" s="67"/>
      <c r="FW52" s="67"/>
      <c r="FX52" s="67"/>
      <c r="FY52" s="67"/>
      <c r="FZ52" s="67"/>
      <c r="GA52" s="67"/>
      <c r="GB52" s="67"/>
      <c r="GC52" s="67"/>
      <c r="GD52" s="67"/>
      <c r="GE52" s="67"/>
      <c r="GF52" s="67"/>
      <c r="GG52" s="67"/>
      <c r="GH52" s="67"/>
      <c r="GI52" s="67"/>
      <c r="GJ52" s="67"/>
      <c r="GK52" s="67"/>
      <c r="GL52" s="67"/>
      <c r="GM52" s="67"/>
      <c r="GN52" s="67"/>
      <c r="GO52" s="67"/>
      <c r="GP52" s="67"/>
      <c r="GQ52" s="67"/>
      <c r="GR52" s="67"/>
      <c r="GS52" s="67"/>
      <c r="GT52" s="67"/>
      <c r="GU52" s="67"/>
      <c r="GV52" s="67"/>
      <c r="GW52" s="67"/>
      <c r="GX52" s="67"/>
      <c r="GY52" s="67"/>
      <c r="GZ52" s="67"/>
      <c r="HA52" s="67"/>
      <c r="HB52" s="67"/>
      <c r="HC52" s="67"/>
      <c r="HD52" s="67"/>
      <c r="HE52" s="67"/>
      <c r="HF52" s="67"/>
      <c r="HG52" s="67"/>
      <c r="HH52" s="67"/>
      <c r="HI52" s="67"/>
      <c r="HJ52" s="67"/>
      <c r="HK52" s="67"/>
      <c r="HL52" s="67"/>
      <c r="HM52" s="67"/>
      <c r="HN52" s="67"/>
      <c r="HO52" s="67"/>
      <c r="HP52" s="67"/>
      <c r="HQ52" s="67"/>
      <c r="HR52" s="67"/>
      <c r="HS52" s="67"/>
      <c r="HT52" s="67"/>
      <c r="HU52" s="67"/>
      <c r="HV52" s="67"/>
      <c r="HW52" s="67"/>
      <c r="HX52" s="67"/>
      <c r="HY52" s="67"/>
      <c r="HZ52" s="67"/>
      <c r="IA52" s="67"/>
      <c r="IB52" s="67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  <c r="JD52" s="67"/>
      <c r="JE52" s="67"/>
      <c r="JF52" s="67"/>
      <c r="JG52" s="67"/>
      <c r="JH52" s="67"/>
      <c r="JI52" s="67"/>
      <c r="JJ52" s="67"/>
      <c r="JK52" s="67"/>
      <c r="JL52" s="67"/>
      <c r="JM52" s="67"/>
      <c r="JN52" s="67"/>
      <c r="JO52" s="67"/>
      <c r="JP52" s="67"/>
      <c r="JQ52" s="67"/>
      <c r="JR52" s="67"/>
      <c r="JS52" s="67"/>
      <c r="JT52" s="67"/>
      <c r="JU52" s="67"/>
      <c r="JV52" s="67"/>
      <c r="JW52" s="67"/>
      <c r="JX52" s="67"/>
      <c r="JY52" s="67"/>
      <c r="JZ52" s="67"/>
      <c r="KA52" s="67"/>
      <c r="KB52" s="67"/>
      <c r="KC52" s="67"/>
      <c r="KD52" s="67"/>
      <c r="KE52" s="67"/>
      <c r="KF52" s="67"/>
      <c r="KG52" s="67"/>
      <c r="KH52" s="67"/>
      <c r="KI52" s="67"/>
      <c r="KJ52" s="67"/>
      <c r="KK52" s="67"/>
      <c r="KL52" s="67"/>
      <c r="KM52" s="67"/>
      <c r="KN52" s="67"/>
      <c r="KO52" s="67"/>
      <c r="KP52" s="67"/>
      <c r="KQ52" s="67"/>
      <c r="KR52" s="67"/>
      <c r="KS52" s="67"/>
      <c r="KT52" s="67"/>
      <c r="KU52" s="67"/>
      <c r="KV52" s="67"/>
      <c r="KW52" s="67"/>
      <c r="KX52" s="67"/>
      <c r="KY52" s="67"/>
      <c r="KZ52" s="67"/>
      <c r="LA52" s="67"/>
      <c r="LB52" s="67"/>
      <c r="LC52" s="67"/>
      <c r="LD52" s="67"/>
      <c r="LE52" s="67"/>
      <c r="LF52" s="67"/>
      <c r="LG52" s="67"/>
      <c r="LH52" s="67"/>
      <c r="LI52" s="67"/>
      <c r="LJ52" s="67"/>
      <c r="LK52" s="67"/>
      <c r="LL52" s="67"/>
      <c r="LM52" s="67"/>
      <c r="LN52" s="67"/>
      <c r="LO52" s="67"/>
      <c r="LP52" s="67"/>
      <c r="LQ52" s="67"/>
      <c r="LR52" s="67"/>
      <c r="LS52" s="67"/>
      <c r="LT52" s="67"/>
      <c r="LU52" s="67"/>
      <c r="LV52" s="67"/>
      <c r="LW52" s="67"/>
      <c r="LX52" s="67"/>
      <c r="LY52" s="67"/>
      <c r="LZ52" s="67"/>
      <c r="MA52" s="67"/>
      <c r="MB52" s="67"/>
      <c r="MC52" s="67"/>
      <c r="MD52" s="67"/>
      <c r="ME52" s="67"/>
      <c r="MF52" s="67"/>
      <c r="MG52" s="67"/>
      <c r="MH52" s="67"/>
      <c r="MI52" s="67"/>
      <c r="MJ52" s="67"/>
      <c r="MK52" s="67"/>
      <c r="ML52" s="67"/>
      <c r="MM52" s="67"/>
      <c r="MN52" s="67"/>
      <c r="MO52" s="67"/>
      <c r="MP52" s="67"/>
      <c r="MQ52" s="67"/>
      <c r="MR52" s="67"/>
      <c r="MS52" s="67"/>
      <c r="MT52" s="67"/>
      <c r="MU52" s="67"/>
      <c r="MV52" s="67"/>
      <c r="MW52" s="67"/>
      <c r="MX52" s="67"/>
      <c r="MY52" s="67"/>
      <c r="MZ52" s="67"/>
      <c r="NA52" s="67"/>
      <c r="NB52" s="67"/>
      <c r="NC52" s="67"/>
      <c r="ND52" s="67"/>
      <c r="NE52" s="67"/>
      <c r="NF52" s="67"/>
      <c r="NG52" s="67"/>
      <c r="NH52" s="67"/>
      <c r="NI52" s="67"/>
      <c r="NJ52" s="67"/>
      <c r="NK52" s="67"/>
      <c r="NL52" s="67"/>
      <c r="NM52" s="67"/>
      <c r="NN52" s="67"/>
      <c r="NO52" s="67"/>
      <c r="NP52" s="67"/>
      <c r="NQ52" s="67"/>
      <c r="NR52" s="67"/>
      <c r="NS52" s="67"/>
      <c r="NT52" s="67"/>
      <c r="NU52" s="67"/>
      <c r="NV52" s="67"/>
      <c r="NW52" s="67"/>
      <c r="NX52" s="67"/>
      <c r="NY52" s="67"/>
      <c r="NZ52" s="67"/>
      <c r="OA52" s="67"/>
      <c r="OB52" s="67"/>
      <c r="OC52" s="67"/>
      <c r="OD52" s="67"/>
      <c r="OE52" s="67"/>
      <c r="OF52" s="67"/>
      <c r="OG52" s="67"/>
      <c r="OH52" s="67"/>
      <c r="OI52" s="67"/>
      <c r="OJ52" s="67"/>
      <c r="OK52" s="67"/>
      <c r="OL52" s="67"/>
      <c r="OM52" s="67"/>
      <c r="ON52" s="67"/>
      <c r="OO52" s="67"/>
      <c r="OP52" s="67"/>
      <c r="OQ52" s="67"/>
      <c r="OR52" s="67"/>
      <c r="OS52" s="67"/>
      <c r="OT52" s="67"/>
      <c r="OU52" s="67"/>
      <c r="OV52" s="67"/>
      <c r="OW52" s="67"/>
      <c r="OX52" s="67"/>
      <c r="OY52" s="67"/>
      <c r="OZ52" s="67"/>
      <c r="PA52" s="67"/>
      <c r="PB52" s="67"/>
      <c r="PC52" s="67"/>
      <c r="PD52" s="67"/>
      <c r="PE52" s="67"/>
      <c r="PF52" s="67"/>
      <c r="PG52" s="67"/>
      <c r="PH52" s="67"/>
      <c r="PI52" s="67"/>
      <c r="PJ52" s="67"/>
      <c r="PK52" s="67"/>
      <c r="PL52" s="67"/>
      <c r="PM52" s="67"/>
      <c r="PN52" s="67"/>
      <c r="PO52" s="67"/>
      <c r="PP52" s="67"/>
      <c r="PQ52" s="67"/>
      <c r="PR52" s="67"/>
      <c r="PS52" s="67"/>
      <c r="PT52" s="67"/>
      <c r="PU52" s="67"/>
      <c r="PV52" s="67"/>
      <c r="PW52" s="67"/>
      <c r="PX52" s="67"/>
      <c r="PY52" s="67"/>
      <c r="PZ52" s="67"/>
      <c r="QA52" s="67"/>
      <c r="QB52" s="67"/>
      <c r="QC52" s="67"/>
      <c r="QD52" s="67"/>
      <c r="QE52" s="67"/>
      <c r="QF52" s="67"/>
      <c r="QG52" s="67"/>
      <c r="QH52" s="67"/>
      <c r="QI52" s="67"/>
      <c r="QJ52" s="67"/>
      <c r="QK52" s="67"/>
      <c r="QL52" s="67"/>
      <c r="QM52" s="67"/>
      <c r="QN52" s="67"/>
      <c r="QO52" s="67"/>
      <c r="QP52" s="67"/>
      <c r="QQ52" s="67"/>
      <c r="QR52" s="67"/>
      <c r="QS52" s="67"/>
      <c r="QT52" s="67"/>
      <c r="QU52" s="67"/>
      <c r="QV52" s="67"/>
      <c r="QW52" s="67"/>
      <c r="QX52" s="67"/>
      <c r="QY52" s="67"/>
      <c r="QZ52" s="67"/>
      <c r="RA52" s="67"/>
      <c r="RB52" s="67"/>
      <c r="RC52" s="67"/>
      <c r="RD52" s="67"/>
      <c r="RE52" s="67"/>
      <c r="RF52" s="67"/>
      <c r="RG52" s="67"/>
      <c r="RH52" s="67"/>
      <c r="RI52" s="67"/>
      <c r="RJ52" s="67"/>
      <c r="RK52" s="67"/>
      <c r="RL52" s="67"/>
      <c r="RM52" s="67"/>
      <c r="RN52" s="67"/>
      <c r="RO52" s="67"/>
      <c r="RP52" s="67"/>
      <c r="RQ52" s="67"/>
      <c r="RR52" s="67"/>
      <c r="RS52" s="67"/>
      <c r="RT52" s="67"/>
      <c r="RU52" s="67"/>
      <c r="RV52" s="67"/>
      <c r="RW52" s="67"/>
      <c r="RX52" s="67"/>
      <c r="RY52" s="67"/>
      <c r="RZ52" s="67"/>
      <c r="SA52" s="67"/>
      <c r="SB52" s="67"/>
      <c r="SC52" s="67"/>
      <c r="SD52" s="67"/>
      <c r="SE52" s="67"/>
      <c r="SF52" s="67"/>
      <c r="SG52" s="67"/>
      <c r="SH52" s="67"/>
      <c r="SI52" s="67"/>
      <c r="SJ52" s="67"/>
      <c r="SK52" s="67"/>
      <c r="SL52" s="67"/>
      <c r="SM52" s="67"/>
      <c r="SN52" s="67"/>
      <c r="SO52" s="67"/>
      <c r="SP52" s="67"/>
      <c r="SQ52" s="67"/>
      <c r="SR52" s="67"/>
      <c r="SS52" s="67"/>
      <c r="ST52" s="67"/>
      <c r="SU52" s="67"/>
      <c r="SV52" s="67"/>
      <c r="SW52" s="67"/>
      <c r="SX52" s="67"/>
      <c r="SY52" s="67"/>
      <c r="SZ52" s="67"/>
      <c r="TA52" s="67"/>
      <c r="TB52" s="67"/>
      <c r="TC52" s="67"/>
      <c r="TD52" s="67"/>
      <c r="TE52" s="67"/>
      <c r="TF52" s="67"/>
      <c r="TG52" s="67"/>
      <c r="TH52" s="67"/>
      <c r="TI52" s="67"/>
      <c r="TJ52" s="67"/>
      <c r="TK52" s="67"/>
      <c r="TL52" s="67"/>
      <c r="TM52" s="67"/>
      <c r="TN52" s="67"/>
      <c r="TO52" s="67"/>
      <c r="TP52" s="67"/>
      <c r="TQ52" s="67"/>
      <c r="TR52" s="67"/>
      <c r="TS52" s="67"/>
      <c r="TT52" s="67"/>
      <c r="TU52" s="67"/>
      <c r="TV52" s="67"/>
      <c r="TW52" s="67"/>
      <c r="TX52" s="67"/>
      <c r="TY52" s="67"/>
      <c r="TZ52" s="67"/>
      <c r="UA52" s="67"/>
      <c r="UB52" s="67"/>
      <c r="UC52" s="67"/>
      <c r="UD52" s="67"/>
      <c r="UE52" s="67"/>
      <c r="UF52" s="67"/>
      <c r="UG52" s="67"/>
      <c r="UH52" s="67"/>
      <c r="UI52" s="67"/>
      <c r="UJ52" s="67"/>
      <c r="UK52" s="67"/>
      <c r="UL52" s="67"/>
      <c r="UM52" s="67"/>
      <c r="UN52" s="67"/>
      <c r="UO52" s="67"/>
      <c r="UP52" s="67"/>
      <c r="UQ52" s="67"/>
      <c r="UR52" s="67"/>
      <c r="US52" s="67"/>
      <c r="UT52" s="67"/>
      <c r="UU52" s="67"/>
      <c r="UV52" s="67"/>
      <c r="UW52" s="67"/>
      <c r="UX52" s="67"/>
      <c r="UY52" s="67"/>
      <c r="UZ52" s="67"/>
      <c r="VA52" s="67"/>
      <c r="VB52" s="67"/>
      <c r="VC52" s="67"/>
      <c r="VD52" s="67"/>
      <c r="VE52" s="67"/>
      <c r="VF52" s="67"/>
      <c r="VG52" s="67"/>
      <c r="VH52" s="67"/>
      <c r="VI52" s="67"/>
      <c r="VJ52" s="67"/>
      <c r="VK52" s="67"/>
      <c r="VL52" s="67"/>
      <c r="VM52" s="67"/>
      <c r="VN52" s="67"/>
      <c r="VO52" s="67"/>
      <c r="VP52" s="67"/>
      <c r="VQ52" s="67"/>
      <c r="VR52" s="67"/>
      <c r="VS52" s="67"/>
      <c r="VT52" s="67"/>
      <c r="VU52" s="67"/>
      <c r="VV52" s="67"/>
      <c r="VW52" s="67"/>
      <c r="VX52" s="67"/>
      <c r="VY52" s="67"/>
      <c r="WA52" s="67"/>
      <c r="WB52" s="67"/>
      <c r="WC52" s="67"/>
      <c r="WD52" s="67"/>
      <c r="WE52" s="67"/>
      <c r="WF52" s="67"/>
      <c r="WG52" s="67"/>
      <c r="WH52" s="67"/>
      <c r="WI52" s="67"/>
      <c r="WJ52" s="2"/>
      <c r="WK52" s="2"/>
    </row>
    <row r="53" spans="1:609" x14ac:dyDescent="0.25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  <c r="EO53" s="67"/>
      <c r="EP53" s="67"/>
      <c r="EQ53" s="67"/>
      <c r="ER53" s="67"/>
      <c r="ES53" s="67"/>
      <c r="ET53" s="67"/>
      <c r="EU53" s="67"/>
      <c r="EV53" s="67"/>
      <c r="EW53" s="67"/>
      <c r="EX53" s="67"/>
      <c r="EY53" s="67"/>
      <c r="EZ53" s="67"/>
      <c r="FA53" s="67"/>
      <c r="FB53" s="67"/>
      <c r="FC53" s="67"/>
      <c r="FD53" s="67"/>
      <c r="FE53" s="67"/>
      <c r="FF53" s="67"/>
      <c r="FG53" s="67"/>
      <c r="FH53" s="67"/>
      <c r="FI53" s="67"/>
      <c r="FJ53" s="67"/>
      <c r="FK53" s="67"/>
      <c r="FL53" s="67"/>
      <c r="FM53" s="67"/>
      <c r="FN53" s="67"/>
      <c r="FO53" s="67"/>
      <c r="FP53" s="67"/>
      <c r="FQ53" s="67"/>
      <c r="FR53" s="67"/>
      <c r="FS53" s="67"/>
      <c r="FT53" s="67"/>
      <c r="FU53" s="67"/>
      <c r="FV53" s="67"/>
      <c r="FW53" s="67"/>
      <c r="FX53" s="67"/>
      <c r="FY53" s="67"/>
      <c r="FZ53" s="67"/>
      <c r="GA53" s="67"/>
      <c r="GB53" s="67"/>
      <c r="GC53" s="67"/>
      <c r="GD53" s="67"/>
      <c r="GE53" s="67"/>
      <c r="GF53" s="67"/>
      <c r="GG53" s="67"/>
      <c r="GH53" s="67"/>
      <c r="GI53" s="67"/>
      <c r="GJ53" s="67"/>
      <c r="GK53" s="67"/>
      <c r="GL53" s="67"/>
      <c r="GM53" s="67"/>
      <c r="GN53" s="67"/>
      <c r="GO53" s="67"/>
      <c r="GP53" s="67"/>
      <c r="GQ53" s="67"/>
      <c r="GR53" s="67"/>
      <c r="GS53" s="67"/>
      <c r="GT53" s="67"/>
      <c r="GU53" s="67"/>
      <c r="GV53" s="67"/>
      <c r="GW53" s="67"/>
      <c r="GX53" s="67"/>
      <c r="GY53" s="67"/>
      <c r="GZ53" s="67"/>
      <c r="HA53" s="67"/>
      <c r="HB53" s="67"/>
      <c r="HC53" s="67"/>
      <c r="HD53" s="67"/>
      <c r="HE53" s="67"/>
      <c r="HF53" s="67"/>
      <c r="HG53" s="67"/>
      <c r="HH53" s="67"/>
      <c r="HI53" s="67"/>
      <c r="HJ53" s="67"/>
      <c r="HK53" s="67"/>
      <c r="HL53" s="67"/>
      <c r="HM53" s="67"/>
      <c r="HN53" s="67"/>
      <c r="HO53" s="67"/>
      <c r="HP53" s="67"/>
      <c r="HQ53" s="67"/>
      <c r="HR53" s="67"/>
      <c r="HS53" s="67"/>
      <c r="HT53" s="67"/>
      <c r="HU53" s="67"/>
      <c r="HV53" s="67"/>
      <c r="HW53" s="67"/>
      <c r="HX53" s="67"/>
      <c r="HY53" s="67"/>
      <c r="HZ53" s="67"/>
      <c r="IA53" s="67"/>
      <c r="IB53" s="67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  <c r="LG53" s="67"/>
      <c r="LH53" s="67"/>
      <c r="LI53" s="67"/>
      <c r="LJ53" s="67"/>
      <c r="LK53" s="67"/>
      <c r="LL53" s="67"/>
      <c r="LM53" s="67"/>
      <c r="LN53" s="67"/>
      <c r="LO53" s="67"/>
      <c r="LP53" s="67"/>
      <c r="LQ53" s="67"/>
      <c r="LR53" s="67"/>
      <c r="LS53" s="67"/>
      <c r="LT53" s="67"/>
      <c r="LU53" s="67"/>
      <c r="LV53" s="67"/>
      <c r="LW53" s="67"/>
      <c r="LX53" s="67"/>
      <c r="LY53" s="67"/>
      <c r="LZ53" s="67"/>
      <c r="MA53" s="67"/>
      <c r="MB53" s="67"/>
      <c r="MC53" s="67"/>
      <c r="MD53" s="67"/>
      <c r="ME53" s="67"/>
      <c r="MF53" s="67"/>
      <c r="MG53" s="67"/>
      <c r="MH53" s="67"/>
      <c r="MI53" s="67"/>
      <c r="MJ53" s="67"/>
      <c r="MK53" s="67"/>
      <c r="ML53" s="67"/>
      <c r="MM53" s="67"/>
      <c r="MN53" s="67"/>
      <c r="MO53" s="67"/>
      <c r="MP53" s="67"/>
      <c r="MQ53" s="67"/>
      <c r="MR53" s="67"/>
      <c r="MS53" s="67"/>
      <c r="MT53" s="67"/>
      <c r="MU53" s="67"/>
      <c r="MV53" s="67"/>
      <c r="MW53" s="67"/>
      <c r="MX53" s="67"/>
      <c r="MY53" s="67"/>
      <c r="MZ53" s="67"/>
      <c r="NA53" s="67"/>
      <c r="NB53" s="67"/>
      <c r="NC53" s="67"/>
      <c r="ND53" s="67"/>
      <c r="NE53" s="67"/>
      <c r="NF53" s="67"/>
      <c r="NG53" s="67"/>
      <c r="NH53" s="67"/>
      <c r="NI53" s="67"/>
      <c r="NJ53" s="67"/>
      <c r="NK53" s="67"/>
      <c r="NL53" s="67"/>
      <c r="NM53" s="67"/>
      <c r="NN53" s="67"/>
      <c r="NO53" s="67"/>
      <c r="NP53" s="67"/>
      <c r="NQ53" s="67"/>
      <c r="NR53" s="67"/>
      <c r="NS53" s="67"/>
      <c r="NT53" s="67"/>
      <c r="NU53" s="67"/>
      <c r="NV53" s="67"/>
      <c r="NW53" s="67"/>
      <c r="NX53" s="67"/>
      <c r="NY53" s="67"/>
      <c r="NZ53" s="67"/>
      <c r="OA53" s="67"/>
      <c r="OB53" s="67"/>
      <c r="OC53" s="67"/>
      <c r="OD53" s="67"/>
      <c r="OE53" s="67"/>
      <c r="OF53" s="67"/>
      <c r="OG53" s="67"/>
      <c r="OH53" s="67"/>
      <c r="OI53" s="67"/>
      <c r="OJ53" s="67"/>
      <c r="OK53" s="67"/>
      <c r="OL53" s="67"/>
      <c r="OM53" s="67"/>
      <c r="ON53" s="67"/>
      <c r="OO53" s="67"/>
      <c r="OP53" s="67"/>
      <c r="OQ53" s="67"/>
      <c r="OR53" s="67"/>
      <c r="OS53" s="67"/>
      <c r="OT53" s="67"/>
      <c r="OU53" s="67"/>
      <c r="OV53" s="67"/>
      <c r="OW53" s="67"/>
      <c r="OX53" s="67"/>
      <c r="OY53" s="67"/>
      <c r="OZ53" s="67"/>
      <c r="PA53" s="67"/>
      <c r="PB53" s="67"/>
      <c r="PC53" s="67"/>
      <c r="PD53" s="67"/>
      <c r="PE53" s="67"/>
      <c r="PF53" s="67"/>
      <c r="PG53" s="67"/>
      <c r="PH53" s="67"/>
      <c r="PI53" s="67"/>
      <c r="PJ53" s="67"/>
      <c r="PK53" s="67"/>
      <c r="PL53" s="67"/>
      <c r="PM53" s="67"/>
      <c r="PN53" s="67"/>
      <c r="PO53" s="67"/>
      <c r="PP53" s="67"/>
      <c r="PQ53" s="67"/>
      <c r="PR53" s="67"/>
      <c r="PS53" s="67"/>
      <c r="PT53" s="67"/>
      <c r="PU53" s="67"/>
      <c r="PV53" s="67"/>
      <c r="PW53" s="67"/>
      <c r="PX53" s="67"/>
      <c r="PY53" s="67"/>
      <c r="PZ53" s="67"/>
      <c r="QA53" s="67"/>
      <c r="QB53" s="67"/>
      <c r="QC53" s="67"/>
      <c r="QD53" s="67"/>
      <c r="QE53" s="67"/>
      <c r="QF53" s="67"/>
      <c r="QG53" s="67"/>
      <c r="QH53" s="67"/>
      <c r="QI53" s="67"/>
      <c r="QJ53" s="67"/>
      <c r="QK53" s="67"/>
      <c r="QL53" s="67"/>
      <c r="QM53" s="67"/>
      <c r="QN53" s="67"/>
      <c r="QO53" s="67"/>
      <c r="QP53" s="67"/>
      <c r="QQ53" s="67"/>
      <c r="QR53" s="67"/>
      <c r="QS53" s="67"/>
      <c r="QT53" s="67"/>
      <c r="QU53" s="67"/>
      <c r="QV53" s="67"/>
      <c r="QW53" s="67"/>
      <c r="QX53" s="67"/>
      <c r="QY53" s="67"/>
      <c r="QZ53" s="67"/>
      <c r="RA53" s="67"/>
      <c r="RB53" s="67"/>
      <c r="RC53" s="67"/>
      <c r="RD53" s="67"/>
      <c r="RE53" s="67"/>
      <c r="RF53" s="67"/>
      <c r="RG53" s="67"/>
      <c r="RH53" s="67"/>
      <c r="RI53" s="67"/>
      <c r="RJ53" s="67"/>
      <c r="RK53" s="67"/>
      <c r="RL53" s="67"/>
      <c r="RM53" s="67"/>
      <c r="RN53" s="67"/>
      <c r="RO53" s="67"/>
      <c r="RP53" s="67"/>
      <c r="RQ53" s="67"/>
      <c r="RR53" s="67"/>
      <c r="RS53" s="67"/>
      <c r="RT53" s="67"/>
      <c r="RU53" s="67"/>
      <c r="RV53" s="67"/>
      <c r="RW53" s="67"/>
      <c r="RX53" s="67"/>
      <c r="RY53" s="67"/>
      <c r="RZ53" s="67"/>
      <c r="SA53" s="67"/>
      <c r="SB53" s="67"/>
      <c r="SC53" s="67"/>
      <c r="SD53" s="67"/>
      <c r="SE53" s="67"/>
      <c r="SF53" s="67"/>
      <c r="SG53" s="67"/>
      <c r="SH53" s="67"/>
      <c r="SI53" s="67"/>
      <c r="SJ53" s="67"/>
      <c r="SK53" s="67"/>
      <c r="SL53" s="67"/>
      <c r="SM53" s="67"/>
      <c r="SN53" s="67"/>
      <c r="SO53" s="67"/>
      <c r="SP53" s="67"/>
      <c r="SQ53" s="67"/>
      <c r="SR53" s="67"/>
      <c r="SS53" s="67"/>
      <c r="ST53" s="67"/>
      <c r="SU53" s="67"/>
      <c r="SV53" s="67"/>
      <c r="SW53" s="67"/>
      <c r="SX53" s="67"/>
      <c r="SY53" s="67"/>
      <c r="SZ53" s="67"/>
      <c r="TA53" s="67"/>
      <c r="TB53" s="67"/>
      <c r="TC53" s="67"/>
      <c r="TD53" s="67"/>
      <c r="TE53" s="67"/>
      <c r="TF53" s="67"/>
      <c r="TG53" s="67"/>
      <c r="TH53" s="67"/>
      <c r="TI53" s="67"/>
      <c r="TJ53" s="67"/>
      <c r="TK53" s="67"/>
      <c r="TL53" s="67"/>
      <c r="TM53" s="67"/>
      <c r="TN53" s="67"/>
      <c r="TO53" s="67"/>
      <c r="TP53" s="67"/>
      <c r="TQ53" s="67"/>
      <c r="TR53" s="67"/>
      <c r="TS53" s="67"/>
      <c r="TT53" s="67"/>
      <c r="TU53" s="67"/>
      <c r="TV53" s="67"/>
      <c r="TW53" s="67"/>
      <c r="TX53" s="67"/>
      <c r="TY53" s="67"/>
      <c r="TZ53" s="67"/>
      <c r="UA53" s="67"/>
      <c r="UB53" s="67"/>
      <c r="UC53" s="67"/>
      <c r="UD53" s="67"/>
      <c r="UE53" s="67"/>
      <c r="UF53" s="67"/>
      <c r="UG53" s="67"/>
      <c r="UH53" s="67"/>
      <c r="UI53" s="67"/>
      <c r="UJ53" s="67"/>
      <c r="UK53" s="67"/>
      <c r="UL53" s="67"/>
      <c r="UM53" s="67"/>
      <c r="UN53" s="67"/>
      <c r="UO53" s="67"/>
      <c r="UP53" s="67"/>
      <c r="UQ53" s="67"/>
      <c r="UR53" s="67"/>
      <c r="US53" s="67"/>
      <c r="UT53" s="67"/>
      <c r="UU53" s="67"/>
      <c r="UV53" s="67"/>
      <c r="UW53" s="67"/>
      <c r="UX53" s="67"/>
      <c r="UY53" s="67"/>
      <c r="UZ53" s="67"/>
      <c r="VA53" s="67"/>
      <c r="VB53" s="67"/>
      <c r="VC53" s="67"/>
      <c r="VD53" s="67"/>
      <c r="VE53" s="67"/>
      <c r="VF53" s="67"/>
      <c r="VG53" s="67"/>
      <c r="VH53" s="67"/>
      <c r="VI53" s="67"/>
      <c r="VJ53" s="67"/>
      <c r="VK53" s="67"/>
      <c r="VL53" s="67"/>
      <c r="VM53" s="67"/>
      <c r="VN53" s="67"/>
      <c r="VO53" s="67"/>
      <c r="VP53" s="67"/>
      <c r="VQ53" s="67"/>
      <c r="VR53" s="67"/>
      <c r="VS53" s="67"/>
      <c r="VT53" s="67"/>
      <c r="VU53" s="67"/>
      <c r="VV53" s="67"/>
      <c r="VW53" s="67"/>
      <c r="VX53" s="67"/>
      <c r="VY53" s="67"/>
      <c r="WA53" s="67"/>
      <c r="WB53" s="67"/>
      <c r="WC53" s="67"/>
      <c r="WD53" s="67"/>
      <c r="WE53" s="67"/>
      <c r="WF53" s="67"/>
      <c r="WG53" s="67"/>
      <c r="WH53" s="67"/>
      <c r="WI53" s="67"/>
      <c r="WJ53" s="2"/>
      <c r="WK53" s="2"/>
    </row>
    <row r="54" spans="1:609" x14ac:dyDescent="0.25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67"/>
      <c r="GH54" s="67"/>
      <c r="GI54" s="67"/>
      <c r="GJ54" s="67"/>
      <c r="GK54" s="67"/>
      <c r="GL54" s="67"/>
      <c r="GM54" s="67"/>
      <c r="GN54" s="67"/>
      <c r="GO54" s="67"/>
      <c r="GP54" s="67"/>
      <c r="GQ54" s="67"/>
      <c r="GR54" s="67"/>
      <c r="GS54" s="67"/>
      <c r="GT54" s="67"/>
      <c r="GU54" s="67"/>
      <c r="GV54" s="67"/>
      <c r="GW54" s="67"/>
      <c r="GX54" s="67"/>
      <c r="GY54" s="67"/>
      <c r="GZ54" s="67"/>
      <c r="HA54" s="67"/>
      <c r="HB54" s="67"/>
      <c r="HC54" s="67"/>
      <c r="HD54" s="67"/>
      <c r="HE54" s="67"/>
      <c r="HF54" s="67"/>
      <c r="HG54" s="67"/>
      <c r="HH54" s="67"/>
      <c r="HI54" s="67"/>
      <c r="HJ54" s="67"/>
      <c r="HK54" s="67"/>
      <c r="HL54" s="67"/>
      <c r="HM54" s="67"/>
      <c r="HN54" s="67"/>
      <c r="HO54" s="67"/>
      <c r="HP54" s="67"/>
      <c r="HQ54" s="67"/>
      <c r="HR54" s="67"/>
      <c r="HS54" s="67"/>
      <c r="HT54" s="67"/>
      <c r="HU54" s="67"/>
      <c r="HV54" s="67"/>
      <c r="HW54" s="67"/>
      <c r="HX54" s="67"/>
      <c r="HY54" s="67"/>
      <c r="HZ54" s="67"/>
      <c r="IA54" s="67"/>
      <c r="IB54" s="67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  <c r="LG54" s="67"/>
      <c r="LH54" s="67"/>
      <c r="LI54" s="67"/>
      <c r="LJ54" s="67"/>
      <c r="LK54" s="67"/>
      <c r="LL54" s="67"/>
      <c r="LM54" s="67"/>
      <c r="LN54" s="67"/>
      <c r="LO54" s="67"/>
      <c r="LP54" s="67"/>
      <c r="LQ54" s="67"/>
      <c r="LR54" s="67"/>
      <c r="LS54" s="67"/>
      <c r="LT54" s="67"/>
      <c r="LU54" s="67"/>
      <c r="LV54" s="67"/>
      <c r="LW54" s="67"/>
      <c r="LX54" s="67"/>
      <c r="LY54" s="67"/>
      <c r="LZ54" s="67"/>
      <c r="MA54" s="67"/>
      <c r="MB54" s="67"/>
      <c r="MC54" s="67"/>
      <c r="MD54" s="67"/>
      <c r="ME54" s="67"/>
      <c r="MF54" s="67"/>
      <c r="MG54" s="67"/>
      <c r="MH54" s="67"/>
      <c r="MI54" s="67"/>
      <c r="MJ54" s="67"/>
      <c r="MK54" s="67"/>
      <c r="ML54" s="67"/>
      <c r="MM54" s="67"/>
      <c r="MN54" s="67"/>
      <c r="MO54" s="67"/>
      <c r="MP54" s="67"/>
      <c r="MQ54" s="67"/>
      <c r="MR54" s="67"/>
      <c r="MS54" s="67"/>
      <c r="MT54" s="67"/>
      <c r="MU54" s="67"/>
      <c r="MV54" s="67"/>
      <c r="MW54" s="67"/>
      <c r="MX54" s="67"/>
      <c r="MY54" s="67"/>
      <c r="MZ54" s="67"/>
      <c r="NA54" s="67"/>
      <c r="NB54" s="67"/>
      <c r="NC54" s="67"/>
      <c r="ND54" s="67"/>
      <c r="NE54" s="67"/>
      <c r="NF54" s="67"/>
      <c r="NG54" s="67"/>
      <c r="NH54" s="67"/>
      <c r="NI54" s="67"/>
      <c r="NJ54" s="67"/>
      <c r="NK54" s="67"/>
      <c r="NL54" s="67"/>
      <c r="NM54" s="67"/>
      <c r="NN54" s="67"/>
      <c r="NO54" s="67"/>
      <c r="NP54" s="67"/>
      <c r="NQ54" s="67"/>
      <c r="NR54" s="67"/>
      <c r="NS54" s="67"/>
      <c r="NT54" s="67"/>
      <c r="NU54" s="67"/>
      <c r="NV54" s="67"/>
      <c r="NW54" s="67"/>
      <c r="NX54" s="67"/>
      <c r="NY54" s="67"/>
      <c r="NZ54" s="67"/>
      <c r="OA54" s="67"/>
      <c r="OB54" s="67"/>
      <c r="OC54" s="67"/>
      <c r="OD54" s="67"/>
      <c r="OE54" s="67"/>
      <c r="OF54" s="67"/>
      <c r="OG54" s="67"/>
      <c r="OH54" s="67"/>
      <c r="OI54" s="67"/>
      <c r="OJ54" s="67"/>
      <c r="OK54" s="67"/>
      <c r="OL54" s="67"/>
      <c r="OM54" s="67"/>
      <c r="ON54" s="67"/>
      <c r="OO54" s="67"/>
      <c r="OP54" s="67"/>
      <c r="OQ54" s="67"/>
      <c r="OR54" s="67"/>
      <c r="OS54" s="67"/>
      <c r="OT54" s="67"/>
      <c r="OU54" s="67"/>
      <c r="OV54" s="67"/>
      <c r="OW54" s="67"/>
      <c r="OX54" s="67"/>
      <c r="OY54" s="67"/>
      <c r="OZ54" s="67"/>
      <c r="PA54" s="67"/>
      <c r="PB54" s="67"/>
      <c r="PC54" s="67"/>
      <c r="PD54" s="67"/>
      <c r="PE54" s="67"/>
      <c r="PF54" s="67"/>
      <c r="PG54" s="67"/>
      <c r="PH54" s="67"/>
      <c r="PI54" s="67"/>
      <c r="PJ54" s="67"/>
      <c r="PK54" s="67"/>
      <c r="PL54" s="67"/>
      <c r="PM54" s="67"/>
      <c r="PN54" s="67"/>
      <c r="PO54" s="67"/>
      <c r="PP54" s="67"/>
      <c r="PQ54" s="67"/>
      <c r="PR54" s="67"/>
      <c r="PS54" s="67"/>
      <c r="PT54" s="67"/>
      <c r="PU54" s="67"/>
      <c r="PV54" s="67"/>
      <c r="PW54" s="67"/>
      <c r="PX54" s="67"/>
      <c r="PY54" s="67"/>
      <c r="PZ54" s="67"/>
      <c r="QA54" s="67"/>
      <c r="QB54" s="67"/>
      <c r="QC54" s="67"/>
      <c r="QD54" s="67"/>
      <c r="QE54" s="67"/>
      <c r="QF54" s="67"/>
      <c r="QG54" s="67"/>
      <c r="QH54" s="67"/>
      <c r="QI54" s="67"/>
      <c r="QJ54" s="67"/>
      <c r="QK54" s="67"/>
      <c r="QL54" s="67"/>
      <c r="QM54" s="67"/>
      <c r="QN54" s="67"/>
      <c r="QO54" s="67"/>
      <c r="QP54" s="67"/>
      <c r="QQ54" s="67"/>
      <c r="QR54" s="67"/>
      <c r="QS54" s="67"/>
      <c r="QT54" s="67"/>
      <c r="QU54" s="67"/>
      <c r="QV54" s="67"/>
      <c r="QW54" s="67"/>
      <c r="QX54" s="67"/>
      <c r="QY54" s="67"/>
      <c r="QZ54" s="67"/>
      <c r="RA54" s="67"/>
      <c r="RB54" s="67"/>
      <c r="RC54" s="67"/>
      <c r="RD54" s="67"/>
      <c r="RE54" s="67"/>
      <c r="RF54" s="67"/>
      <c r="RG54" s="67"/>
      <c r="RH54" s="67"/>
      <c r="RI54" s="67"/>
      <c r="RJ54" s="67"/>
      <c r="RK54" s="67"/>
      <c r="RL54" s="67"/>
      <c r="RM54" s="67"/>
      <c r="RN54" s="67"/>
      <c r="RO54" s="67"/>
      <c r="RP54" s="67"/>
      <c r="RQ54" s="67"/>
      <c r="RR54" s="67"/>
      <c r="RS54" s="67"/>
      <c r="RT54" s="67"/>
      <c r="RU54" s="67"/>
      <c r="RV54" s="67"/>
      <c r="RW54" s="67"/>
      <c r="RX54" s="67"/>
      <c r="RY54" s="67"/>
      <c r="RZ54" s="67"/>
      <c r="SA54" s="67"/>
      <c r="SB54" s="67"/>
      <c r="SC54" s="67"/>
      <c r="SD54" s="67"/>
      <c r="SE54" s="67"/>
      <c r="SF54" s="67"/>
      <c r="SG54" s="67"/>
      <c r="SH54" s="67"/>
      <c r="SI54" s="67"/>
      <c r="SJ54" s="67"/>
      <c r="SK54" s="67"/>
      <c r="SL54" s="67"/>
      <c r="SM54" s="67"/>
      <c r="SN54" s="67"/>
      <c r="SO54" s="67"/>
      <c r="SP54" s="67"/>
      <c r="SQ54" s="67"/>
      <c r="SR54" s="67"/>
      <c r="SS54" s="67"/>
      <c r="ST54" s="67"/>
      <c r="SU54" s="67"/>
      <c r="SV54" s="67"/>
      <c r="SW54" s="67"/>
      <c r="SX54" s="67"/>
      <c r="SY54" s="67"/>
      <c r="SZ54" s="67"/>
      <c r="TA54" s="67"/>
      <c r="TB54" s="67"/>
      <c r="TC54" s="67"/>
      <c r="TD54" s="67"/>
      <c r="TE54" s="67"/>
      <c r="TF54" s="67"/>
      <c r="TG54" s="67"/>
      <c r="TH54" s="67"/>
      <c r="TI54" s="67"/>
      <c r="TJ54" s="67"/>
      <c r="TK54" s="67"/>
      <c r="TL54" s="67"/>
      <c r="TM54" s="67"/>
      <c r="TN54" s="67"/>
      <c r="TO54" s="67"/>
      <c r="TP54" s="67"/>
      <c r="TQ54" s="67"/>
      <c r="TR54" s="67"/>
      <c r="TS54" s="67"/>
      <c r="TT54" s="67"/>
      <c r="TU54" s="67"/>
      <c r="TV54" s="67"/>
      <c r="TW54" s="67"/>
      <c r="TX54" s="67"/>
      <c r="TY54" s="67"/>
      <c r="TZ54" s="67"/>
      <c r="UA54" s="67"/>
      <c r="UB54" s="67"/>
      <c r="UC54" s="67"/>
      <c r="UD54" s="67"/>
      <c r="UE54" s="67"/>
      <c r="UF54" s="67"/>
      <c r="UG54" s="67"/>
      <c r="UH54" s="67"/>
      <c r="UI54" s="67"/>
      <c r="UJ54" s="67"/>
      <c r="UK54" s="67"/>
      <c r="UL54" s="67"/>
      <c r="UM54" s="67"/>
      <c r="UN54" s="67"/>
      <c r="UO54" s="67"/>
      <c r="UP54" s="67"/>
      <c r="UQ54" s="67"/>
      <c r="UR54" s="67"/>
      <c r="US54" s="67"/>
      <c r="UT54" s="67"/>
      <c r="UU54" s="67"/>
      <c r="UV54" s="67"/>
      <c r="UW54" s="67"/>
      <c r="UX54" s="67"/>
      <c r="UY54" s="67"/>
      <c r="UZ54" s="67"/>
      <c r="VA54" s="67"/>
      <c r="VB54" s="67"/>
      <c r="VC54" s="67"/>
      <c r="VD54" s="67"/>
      <c r="VE54" s="67"/>
      <c r="VF54" s="67"/>
      <c r="VG54" s="67"/>
      <c r="VH54" s="67"/>
      <c r="VI54" s="67"/>
      <c r="VJ54" s="67"/>
      <c r="VK54" s="67"/>
      <c r="VL54" s="67"/>
      <c r="VM54" s="67"/>
      <c r="VN54" s="67"/>
      <c r="VO54" s="67"/>
      <c r="VP54" s="67"/>
      <c r="VQ54" s="67"/>
      <c r="VR54" s="67"/>
      <c r="VS54" s="67"/>
      <c r="VT54" s="67"/>
      <c r="VU54" s="67"/>
      <c r="VV54" s="67"/>
      <c r="VW54" s="67"/>
      <c r="VX54" s="67"/>
      <c r="VY54" s="67"/>
      <c r="WA54" s="67"/>
      <c r="WB54" s="67"/>
      <c r="WC54" s="67"/>
      <c r="WD54" s="67"/>
      <c r="WE54" s="67"/>
      <c r="WF54" s="67"/>
      <c r="WG54" s="67"/>
      <c r="WH54" s="67"/>
      <c r="WI54" s="67"/>
      <c r="WJ54" s="2"/>
      <c r="WK54" s="2"/>
    </row>
    <row r="55" spans="1:609" x14ac:dyDescent="0.25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  <c r="EO55" s="67"/>
      <c r="EP55" s="67"/>
      <c r="EQ55" s="67"/>
      <c r="ER55" s="67"/>
      <c r="ES55" s="67"/>
      <c r="ET55" s="67"/>
      <c r="EU55" s="67"/>
      <c r="EV55" s="67"/>
      <c r="EW55" s="67"/>
      <c r="EX55" s="67"/>
      <c r="EY55" s="67"/>
      <c r="EZ55" s="67"/>
      <c r="FA55" s="67"/>
      <c r="FB55" s="67"/>
      <c r="FC55" s="67"/>
      <c r="FD55" s="67"/>
      <c r="FE55" s="67"/>
      <c r="FF55" s="67"/>
      <c r="FG55" s="67"/>
      <c r="FH55" s="67"/>
      <c r="FI55" s="67"/>
      <c r="FJ55" s="67"/>
      <c r="FK55" s="67"/>
      <c r="FL55" s="67"/>
      <c r="FM55" s="67"/>
      <c r="FN55" s="67"/>
      <c r="FO55" s="67"/>
      <c r="FP55" s="67"/>
      <c r="FQ55" s="67"/>
      <c r="FR55" s="67"/>
      <c r="FS55" s="67"/>
      <c r="FT55" s="67"/>
      <c r="FU55" s="67"/>
      <c r="FV55" s="67"/>
      <c r="FW55" s="67"/>
      <c r="FX55" s="67"/>
      <c r="FY55" s="67"/>
      <c r="FZ55" s="67"/>
      <c r="GA55" s="67"/>
      <c r="GB55" s="67"/>
      <c r="GC55" s="67"/>
      <c r="GD55" s="67"/>
      <c r="GE55" s="67"/>
      <c r="GF55" s="67"/>
      <c r="GG55" s="67"/>
      <c r="GH55" s="67"/>
      <c r="GI55" s="67"/>
      <c r="GJ55" s="67"/>
      <c r="GK55" s="67"/>
      <c r="GL55" s="67"/>
      <c r="GM55" s="67"/>
      <c r="GN55" s="67"/>
      <c r="GO55" s="67"/>
      <c r="GP55" s="67"/>
      <c r="GQ55" s="67"/>
      <c r="GR55" s="67"/>
      <c r="GS55" s="67"/>
      <c r="GT55" s="67"/>
      <c r="GU55" s="67"/>
      <c r="GV55" s="67"/>
      <c r="GW55" s="67"/>
      <c r="GX55" s="67"/>
      <c r="GY55" s="67"/>
      <c r="GZ55" s="67"/>
      <c r="HA55" s="67"/>
      <c r="HB55" s="67"/>
      <c r="HC55" s="67"/>
      <c r="HD55" s="67"/>
      <c r="HE55" s="67"/>
      <c r="HF55" s="67"/>
      <c r="HG55" s="67"/>
      <c r="HH55" s="67"/>
      <c r="HI55" s="67"/>
      <c r="HJ55" s="67"/>
      <c r="HK55" s="67"/>
      <c r="HL55" s="67"/>
      <c r="HM55" s="67"/>
      <c r="HN55" s="67"/>
      <c r="HO55" s="67"/>
      <c r="HP55" s="67"/>
      <c r="HQ55" s="67"/>
      <c r="HR55" s="67"/>
      <c r="HS55" s="67"/>
      <c r="HT55" s="67"/>
      <c r="HU55" s="67"/>
      <c r="HV55" s="67"/>
      <c r="HW55" s="67"/>
      <c r="HX55" s="67"/>
      <c r="HY55" s="67"/>
      <c r="HZ55" s="67"/>
      <c r="IA55" s="67"/>
      <c r="IB55" s="67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  <c r="LG55" s="67"/>
      <c r="LH55" s="67"/>
      <c r="LI55" s="67"/>
      <c r="LJ55" s="67"/>
      <c r="LK55" s="67"/>
      <c r="LL55" s="67"/>
      <c r="LM55" s="67"/>
      <c r="LN55" s="67"/>
      <c r="LO55" s="67"/>
      <c r="LP55" s="67"/>
      <c r="LQ55" s="67"/>
      <c r="LR55" s="67"/>
      <c r="LS55" s="67"/>
      <c r="LT55" s="67"/>
      <c r="LU55" s="67"/>
      <c r="LV55" s="67"/>
      <c r="LW55" s="67"/>
      <c r="LX55" s="67"/>
      <c r="LY55" s="67"/>
      <c r="LZ55" s="67"/>
      <c r="MA55" s="67"/>
      <c r="MB55" s="67"/>
      <c r="MC55" s="67"/>
      <c r="MD55" s="67"/>
      <c r="ME55" s="67"/>
      <c r="MF55" s="67"/>
      <c r="MG55" s="67"/>
      <c r="MH55" s="67"/>
      <c r="MI55" s="67"/>
      <c r="MJ55" s="67"/>
      <c r="MK55" s="67"/>
      <c r="ML55" s="67"/>
      <c r="MM55" s="67"/>
      <c r="MN55" s="67"/>
      <c r="MO55" s="67"/>
      <c r="MP55" s="67"/>
      <c r="MQ55" s="67"/>
      <c r="MR55" s="67"/>
      <c r="MS55" s="67"/>
      <c r="MT55" s="67"/>
      <c r="MU55" s="67"/>
      <c r="MV55" s="67"/>
      <c r="MW55" s="67"/>
      <c r="MX55" s="67"/>
      <c r="MY55" s="67"/>
      <c r="MZ55" s="67"/>
      <c r="NA55" s="67"/>
      <c r="NB55" s="67"/>
      <c r="NC55" s="67"/>
      <c r="ND55" s="67"/>
      <c r="NE55" s="67"/>
      <c r="NF55" s="67"/>
      <c r="NG55" s="67"/>
      <c r="NH55" s="67"/>
      <c r="NI55" s="67"/>
      <c r="NJ55" s="67"/>
      <c r="NK55" s="67"/>
      <c r="NL55" s="67"/>
      <c r="NM55" s="67"/>
      <c r="NN55" s="67"/>
      <c r="NO55" s="67"/>
      <c r="NP55" s="67"/>
      <c r="NQ55" s="67"/>
      <c r="NR55" s="67"/>
      <c r="NS55" s="67"/>
      <c r="NT55" s="67"/>
      <c r="NU55" s="67"/>
      <c r="NV55" s="67"/>
      <c r="NW55" s="67"/>
      <c r="NX55" s="67"/>
      <c r="NY55" s="67"/>
      <c r="NZ55" s="67"/>
      <c r="OA55" s="67"/>
      <c r="OB55" s="67"/>
      <c r="OC55" s="67"/>
      <c r="OD55" s="67"/>
      <c r="OE55" s="67"/>
      <c r="OF55" s="67"/>
      <c r="OG55" s="67"/>
      <c r="OH55" s="67"/>
      <c r="OI55" s="67"/>
      <c r="OJ55" s="67"/>
      <c r="OK55" s="67"/>
      <c r="OL55" s="67"/>
      <c r="OM55" s="67"/>
      <c r="ON55" s="67"/>
      <c r="OO55" s="67"/>
      <c r="OP55" s="67"/>
      <c r="OQ55" s="67"/>
      <c r="OR55" s="67"/>
      <c r="OS55" s="67"/>
      <c r="OT55" s="67"/>
      <c r="OU55" s="67"/>
      <c r="OV55" s="67"/>
      <c r="OW55" s="67"/>
      <c r="OX55" s="67"/>
      <c r="OY55" s="67"/>
      <c r="OZ55" s="67"/>
      <c r="PA55" s="67"/>
      <c r="PB55" s="67"/>
      <c r="PC55" s="67"/>
      <c r="PD55" s="67"/>
      <c r="PE55" s="67"/>
      <c r="PF55" s="67"/>
      <c r="PG55" s="67"/>
      <c r="PH55" s="67"/>
      <c r="PI55" s="67"/>
      <c r="PJ55" s="67"/>
      <c r="PK55" s="67"/>
      <c r="PL55" s="67"/>
      <c r="PM55" s="67"/>
      <c r="PN55" s="67"/>
      <c r="PO55" s="67"/>
      <c r="PP55" s="67"/>
      <c r="PQ55" s="67"/>
      <c r="PR55" s="67"/>
      <c r="PS55" s="67"/>
      <c r="PT55" s="67"/>
      <c r="PU55" s="67"/>
      <c r="PV55" s="67"/>
      <c r="PW55" s="67"/>
      <c r="PX55" s="67"/>
      <c r="PY55" s="67"/>
      <c r="PZ55" s="67"/>
      <c r="QA55" s="67"/>
      <c r="QB55" s="67"/>
      <c r="QC55" s="67"/>
      <c r="QD55" s="67"/>
      <c r="QE55" s="67"/>
      <c r="QF55" s="67"/>
      <c r="QG55" s="67"/>
      <c r="QH55" s="67"/>
      <c r="QI55" s="67"/>
      <c r="QJ55" s="67"/>
      <c r="QK55" s="67"/>
      <c r="QL55" s="67"/>
      <c r="QM55" s="67"/>
      <c r="QN55" s="67"/>
      <c r="QO55" s="67"/>
      <c r="QP55" s="67"/>
      <c r="QQ55" s="67"/>
      <c r="QR55" s="67"/>
      <c r="QS55" s="67"/>
      <c r="QT55" s="67"/>
      <c r="QU55" s="67"/>
      <c r="QV55" s="67"/>
      <c r="QW55" s="67"/>
      <c r="QX55" s="67"/>
      <c r="QY55" s="67"/>
      <c r="QZ55" s="67"/>
      <c r="RA55" s="67"/>
      <c r="RB55" s="67"/>
      <c r="RC55" s="67"/>
      <c r="RD55" s="67"/>
      <c r="RE55" s="67"/>
      <c r="RF55" s="67"/>
      <c r="RG55" s="67"/>
      <c r="RH55" s="67"/>
      <c r="RI55" s="67"/>
      <c r="RJ55" s="67"/>
      <c r="RK55" s="67"/>
      <c r="RL55" s="67"/>
      <c r="RM55" s="67"/>
      <c r="RN55" s="67"/>
      <c r="RO55" s="67"/>
      <c r="RP55" s="67"/>
      <c r="RQ55" s="67"/>
      <c r="RR55" s="67"/>
      <c r="RS55" s="67"/>
      <c r="RT55" s="67"/>
      <c r="RU55" s="67"/>
      <c r="RV55" s="67"/>
      <c r="RW55" s="67"/>
      <c r="RX55" s="67"/>
      <c r="RY55" s="67"/>
      <c r="RZ55" s="67"/>
      <c r="SA55" s="67"/>
      <c r="SB55" s="67"/>
      <c r="SC55" s="67"/>
      <c r="SD55" s="67"/>
      <c r="SE55" s="67"/>
      <c r="SF55" s="67"/>
      <c r="SG55" s="67"/>
      <c r="SH55" s="67"/>
      <c r="SI55" s="67"/>
      <c r="SJ55" s="67"/>
      <c r="SK55" s="67"/>
      <c r="SL55" s="67"/>
      <c r="SM55" s="67"/>
      <c r="SN55" s="67"/>
      <c r="SO55" s="67"/>
      <c r="SP55" s="67"/>
      <c r="SQ55" s="67"/>
      <c r="SR55" s="67"/>
      <c r="SS55" s="67"/>
      <c r="ST55" s="67"/>
      <c r="SU55" s="67"/>
      <c r="SV55" s="67"/>
      <c r="SW55" s="67"/>
      <c r="SX55" s="67"/>
      <c r="SY55" s="67"/>
      <c r="SZ55" s="67"/>
      <c r="TA55" s="67"/>
      <c r="TB55" s="67"/>
      <c r="TC55" s="67"/>
      <c r="TD55" s="67"/>
      <c r="TE55" s="67"/>
      <c r="TF55" s="67"/>
      <c r="TG55" s="67"/>
      <c r="TH55" s="67"/>
      <c r="TI55" s="67"/>
      <c r="TJ55" s="67"/>
      <c r="TK55" s="67"/>
      <c r="TL55" s="67"/>
      <c r="TM55" s="67"/>
      <c r="TN55" s="67"/>
      <c r="TO55" s="67"/>
      <c r="TP55" s="67"/>
      <c r="TQ55" s="67"/>
      <c r="TR55" s="67"/>
      <c r="TS55" s="67"/>
      <c r="TT55" s="67"/>
      <c r="TU55" s="67"/>
      <c r="TV55" s="67"/>
      <c r="TW55" s="67"/>
      <c r="TX55" s="67"/>
      <c r="TY55" s="67"/>
      <c r="TZ55" s="67"/>
      <c r="UA55" s="67"/>
      <c r="UB55" s="67"/>
      <c r="UC55" s="67"/>
      <c r="UD55" s="67"/>
      <c r="UE55" s="67"/>
      <c r="UF55" s="67"/>
      <c r="UG55" s="67"/>
      <c r="UH55" s="67"/>
      <c r="UI55" s="67"/>
      <c r="UJ55" s="67"/>
      <c r="UK55" s="67"/>
      <c r="UL55" s="67"/>
      <c r="UM55" s="67"/>
      <c r="UN55" s="67"/>
      <c r="UO55" s="67"/>
      <c r="UP55" s="67"/>
      <c r="UQ55" s="67"/>
      <c r="UR55" s="67"/>
      <c r="US55" s="67"/>
      <c r="UT55" s="67"/>
      <c r="UU55" s="67"/>
      <c r="UV55" s="67"/>
      <c r="UW55" s="67"/>
      <c r="UX55" s="67"/>
      <c r="UY55" s="67"/>
      <c r="UZ55" s="67"/>
      <c r="VA55" s="67"/>
      <c r="VB55" s="67"/>
      <c r="VC55" s="67"/>
      <c r="VD55" s="67"/>
      <c r="VE55" s="67"/>
      <c r="VF55" s="67"/>
      <c r="VG55" s="67"/>
      <c r="VH55" s="67"/>
      <c r="VI55" s="67"/>
      <c r="VJ55" s="67"/>
      <c r="VK55" s="67"/>
      <c r="VL55" s="67"/>
      <c r="VM55" s="67"/>
      <c r="VN55" s="67"/>
      <c r="VO55" s="67"/>
      <c r="VP55" s="67"/>
      <c r="VQ55" s="67"/>
      <c r="VR55" s="67"/>
      <c r="VS55" s="67"/>
      <c r="VT55" s="67"/>
      <c r="VU55" s="67"/>
      <c r="VV55" s="67"/>
      <c r="VW55" s="67"/>
      <c r="VX55" s="67"/>
      <c r="VY55" s="67"/>
      <c r="WA55" s="67"/>
      <c r="WB55" s="67"/>
      <c r="WC55" s="67"/>
      <c r="WD55" s="67"/>
      <c r="WE55" s="67"/>
      <c r="WF55" s="67"/>
      <c r="WG55" s="67"/>
      <c r="WH55" s="67"/>
      <c r="WI55" s="67"/>
      <c r="WJ55" s="2"/>
      <c r="WK55" s="2"/>
    </row>
    <row r="56" spans="1:609" x14ac:dyDescent="0.25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7"/>
      <c r="MF56" s="67"/>
      <c r="MG56" s="67"/>
      <c r="MH56" s="67"/>
      <c r="MI56" s="67"/>
      <c r="MJ56" s="67"/>
      <c r="MK56" s="67"/>
      <c r="ML56" s="67"/>
      <c r="MM56" s="67"/>
      <c r="MN56" s="67"/>
      <c r="MO56" s="67"/>
      <c r="MP56" s="67"/>
      <c r="MQ56" s="67"/>
      <c r="MR56" s="67"/>
      <c r="MS56" s="67"/>
      <c r="MT56" s="67"/>
      <c r="MU56" s="67"/>
      <c r="MV56" s="67"/>
      <c r="MW56" s="67"/>
      <c r="MX56" s="67"/>
      <c r="MY56" s="67"/>
      <c r="MZ56" s="67"/>
      <c r="NA56" s="67"/>
      <c r="NB56" s="67"/>
      <c r="NC56" s="67"/>
      <c r="ND56" s="67"/>
      <c r="NE56" s="67"/>
      <c r="NF56" s="67"/>
      <c r="NG56" s="67"/>
      <c r="NH56" s="67"/>
      <c r="NI56" s="67"/>
      <c r="NJ56" s="67"/>
      <c r="NK56" s="67"/>
      <c r="NL56" s="67"/>
      <c r="NM56" s="67"/>
      <c r="NN56" s="67"/>
      <c r="NO56" s="67"/>
      <c r="NP56" s="67"/>
      <c r="NQ56" s="67"/>
      <c r="NR56" s="67"/>
      <c r="NS56" s="67"/>
      <c r="NT56" s="67"/>
      <c r="NU56" s="67"/>
      <c r="NV56" s="67"/>
      <c r="NW56" s="67"/>
      <c r="NX56" s="67"/>
      <c r="NY56" s="67"/>
      <c r="NZ56" s="67"/>
      <c r="OA56" s="67"/>
      <c r="OB56" s="67"/>
      <c r="OC56" s="67"/>
      <c r="OD56" s="67"/>
      <c r="OE56" s="67"/>
      <c r="OF56" s="67"/>
      <c r="OG56" s="67"/>
      <c r="OH56" s="67"/>
      <c r="OI56" s="67"/>
      <c r="OJ56" s="67"/>
      <c r="OK56" s="67"/>
      <c r="OL56" s="67"/>
      <c r="OM56" s="67"/>
      <c r="ON56" s="67"/>
      <c r="OO56" s="67"/>
      <c r="OP56" s="67"/>
      <c r="OQ56" s="67"/>
      <c r="OR56" s="67"/>
      <c r="OS56" s="67"/>
      <c r="OT56" s="67"/>
      <c r="OU56" s="67"/>
      <c r="OV56" s="67"/>
      <c r="OW56" s="67"/>
      <c r="OX56" s="67"/>
      <c r="OY56" s="67"/>
      <c r="OZ56" s="67"/>
      <c r="PA56" s="67"/>
      <c r="PB56" s="67"/>
      <c r="PC56" s="67"/>
      <c r="PD56" s="67"/>
      <c r="PE56" s="67"/>
      <c r="PF56" s="67"/>
      <c r="PG56" s="67"/>
      <c r="PH56" s="67"/>
      <c r="PI56" s="67"/>
      <c r="PJ56" s="67"/>
      <c r="PK56" s="67"/>
      <c r="PL56" s="67"/>
      <c r="PM56" s="67"/>
      <c r="PN56" s="67"/>
      <c r="PO56" s="67"/>
      <c r="PP56" s="67"/>
      <c r="PQ56" s="67"/>
      <c r="PR56" s="67"/>
      <c r="PS56" s="67"/>
      <c r="PT56" s="67"/>
      <c r="PU56" s="67"/>
      <c r="PV56" s="67"/>
      <c r="PW56" s="67"/>
      <c r="PX56" s="67"/>
      <c r="PY56" s="67"/>
      <c r="PZ56" s="67"/>
      <c r="QA56" s="67"/>
      <c r="QB56" s="67"/>
      <c r="QC56" s="67"/>
      <c r="QD56" s="67"/>
      <c r="QE56" s="67"/>
      <c r="QF56" s="67"/>
      <c r="QG56" s="67"/>
      <c r="QH56" s="67"/>
      <c r="QI56" s="67"/>
      <c r="QJ56" s="67"/>
      <c r="QK56" s="67"/>
      <c r="QL56" s="67"/>
      <c r="QM56" s="67"/>
      <c r="QN56" s="67"/>
      <c r="QO56" s="67"/>
      <c r="QP56" s="67"/>
      <c r="QQ56" s="67"/>
      <c r="QR56" s="67"/>
      <c r="QS56" s="67"/>
      <c r="QT56" s="67"/>
      <c r="QU56" s="67"/>
      <c r="QV56" s="67"/>
      <c r="QW56" s="67"/>
      <c r="QX56" s="67"/>
      <c r="QY56" s="67"/>
      <c r="QZ56" s="67"/>
      <c r="RA56" s="67"/>
      <c r="RB56" s="67"/>
      <c r="RC56" s="67"/>
      <c r="RD56" s="67"/>
      <c r="RE56" s="67"/>
      <c r="RF56" s="67"/>
      <c r="RG56" s="67"/>
      <c r="RH56" s="67"/>
      <c r="RI56" s="67"/>
      <c r="RJ56" s="67"/>
      <c r="RK56" s="67"/>
      <c r="RL56" s="67"/>
      <c r="RM56" s="67"/>
      <c r="RN56" s="67"/>
      <c r="RO56" s="67"/>
      <c r="RP56" s="67"/>
      <c r="RQ56" s="67"/>
      <c r="RR56" s="67"/>
      <c r="RS56" s="67"/>
      <c r="RT56" s="67"/>
      <c r="RU56" s="67"/>
      <c r="RV56" s="67"/>
      <c r="RW56" s="67"/>
      <c r="RX56" s="67"/>
      <c r="RY56" s="67"/>
      <c r="RZ56" s="67"/>
      <c r="SA56" s="67"/>
      <c r="SB56" s="67"/>
      <c r="SC56" s="67"/>
      <c r="SD56" s="67"/>
      <c r="SE56" s="67"/>
      <c r="SF56" s="67"/>
      <c r="SG56" s="67"/>
      <c r="SH56" s="67"/>
      <c r="SI56" s="67"/>
      <c r="SJ56" s="67"/>
      <c r="SK56" s="67"/>
      <c r="SL56" s="67"/>
      <c r="SM56" s="67"/>
      <c r="SN56" s="67"/>
      <c r="SO56" s="67"/>
      <c r="SP56" s="67"/>
      <c r="SQ56" s="67"/>
      <c r="SR56" s="67"/>
      <c r="SS56" s="67"/>
      <c r="ST56" s="67"/>
      <c r="SU56" s="67"/>
      <c r="SV56" s="67"/>
      <c r="SW56" s="67"/>
      <c r="SX56" s="67"/>
      <c r="SY56" s="67"/>
      <c r="SZ56" s="67"/>
      <c r="TA56" s="67"/>
      <c r="TB56" s="67"/>
      <c r="TC56" s="67"/>
      <c r="TD56" s="67"/>
      <c r="TE56" s="67"/>
      <c r="TF56" s="67"/>
      <c r="TG56" s="67"/>
      <c r="TH56" s="67"/>
      <c r="TI56" s="67"/>
      <c r="TJ56" s="67"/>
      <c r="TK56" s="67"/>
      <c r="TL56" s="67"/>
      <c r="TM56" s="67"/>
      <c r="TN56" s="67"/>
      <c r="TO56" s="67"/>
      <c r="TP56" s="67"/>
      <c r="TQ56" s="67"/>
      <c r="TR56" s="67"/>
      <c r="TS56" s="67"/>
      <c r="TT56" s="67"/>
      <c r="TU56" s="67"/>
      <c r="TV56" s="67"/>
      <c r="TW56" s="67"/>
      <c r="TX56" s="67"/>
      <c r="TY56" s="67"/>
      <c r="TZ56" s="67"/>
      <c r="UA56" s="67"/>
      <c r="UB56" s="67"/>
      <c r="UC56" s="67"/>
      <c r="UD56" s="67"/>
      <c r="UE56" s="67"/>
      <c r="UF56" s="67"/>
      <c r="UG56" s="67"/>
      <c r="UH56" s="67"/>
      <c r="UI56" s="67"/>
      <c r="UJ56" s="67"/>
      <c r="UK56" s="67"/>
      <c r="UL56" s="67"/>
      <c r="UM56" s="67"/>
      <c r="UN56" s="67"/>
      <c r="UO56" s="67"/>
      <c r="UP56" s="67"/>
      <c r="UQ56" s="67"/>
      <c r="UR56" s="67"/>
      <c r="US56" s="67"/>
      <c r="UT56" s="67"/>
      <c r="UU56" s="67"/>
      <c r="UV56" s="67"/>
      <c r="UW56" s="67"/>
      <c r="UX56" s="67"/>
      <c r="UY56" s="67"/>
      <c r="UZ56" s="67"/>
      <c r="VA56" s="67"/>
      <c r="VB56" s="67"/>
      <c r="VC56" s="67"/>
      <c r="VD56" s="67"/>
      <c r="VE56" s="67"/>
      <c r="VF56" s="67"/>
      <c r="VG56" s="67"/>
      <c r="VH56" s="67"/>
      <c r="VI56" s="67"/>
      <c r="VJ56" s="67"/>
      <c r="VK56" s="67"/>
      <c r="VL56" s="67"/>
      <c r="VM56" s="67"/>
      <c r="VN56" s="67"/>
      <c r="VO56" s="67"/>
      <c r="VP56" s="67"/>
      <c r="VQ56" s="67"/>
      <c r="VR56" s="67"/>
      <c r="VS56" s="67"/>
      <c r="VT56" s="67"/>
      <c r="VU56" s="67"/>
      <c r="VV56" s="67"/>
      <c r="VW56" s="67"/>
      <c r="VX56" s="67"/>
      <c r="VY56" s="67"/>
      <c r="WA56" s="67"/>
      <c r="WB56" s="67"/>
      <c r="WC56" s="67"/>
      <c r="WD56" s="67"/>
      <c r="WE56" s="67"/>
      <c r="WF56" s="67"/>
      <c r="WG56" s="67"/>
      <c r="WH56" s="67"/>
      <c r="WI56" s="67"/>
      <c r="WJ56" s="2"/>
      <c r="WK56" s="2"/>
    </row>
    <row r="57" spans="1:609" x14ac:dyDescent="0.25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  <c r="EO57" s="67"/>
      <c r="EP57" s="67"/>
      <c r="EQ57" s="67"/>
      <c r="ER57" s="67"/>
      <c r="ES57" s="67"/>
      <c r="ET57" s="67"/>
      <c r="EU57" s="67"/>
      <c r="EV57" s="67"/>
      <c r="EW57" s="67"/>
      <c r="EX57" s="67"/>
      <c r="EY57" s="67"/>
      <c r="EZ57" s="67"/>
      <c r="FA57" s="67"/>
      <c r="FB57" s="67"/>
      <c r="FC57" s="67"/>
      <c r="FD57" s="67"/>
      <c r="FE57" s="67"/>
      <c r="FF57" s="67"/>
      <c r="FG57" s="67"/>
      <c r="FH57" s="67"/>
      <c r="FI57" s="67"/>
      <c r="FJ57" s="67"/>
      <c r="FK57" s="67"/>
      <c r="FL57" s="67"/>
      <c r="FM57" s="67"/>
      <c r="FN57" s="67"/>
      <c r="FO57" s="67"/>
      <c r="FP57" s="67"/>
      <c r="FQ57" s="67"/>
      <c r="FR57" s="67"/>
      <c r="FS57" s="67"/>
      <c r="FT57" s="67"/>
      <c r="FU57" s="67"/>
      <c r="FV57" s="67"/>
      <c r="FW57" s="67"/>
      <c r="FX57" s="67"/>
      <c r="FY57" s="67"/>
      <c r="FZ57" s="67"/>
      <c r="GA57" s="67"/>
      <c r="GB57" s="67"/>
      <c r="GC57" s="67"/>
      <c r="GD57" s="67"/>
      <c r="GE57" s="67"/>
      <c r="GF57" s="67"/>
      <c r="GG57" s="67"/>
      <c r="GH57" s="67"/>
      <c r="GI57" s="67"/>
      <c r="GJ57" s="67"/>
      <c r="GK57" s="67"/>
      <c r="GL57" s="67"/>
      <c r="GM57" s="67"/>
      <c r="GN57" s="67"/>
      <c r="GO57" s="67"/>
      <c r="GP57" s="67"/>
      <c r="GQ57" s="67"/>
      <c r="GR57" s="67"/>
      <c r="GS57" s="67"/>
      <c r="GT57" s="67"/>
      <c r="GU57" s="67"/>
      <c r="GV57" s="67"/>
      <c r="GW57" s="67"/>
      <c r="GX57" s="67"/>
      <c r="GY57" s="67"/>
      <c r="GZ57" s="67"/>
      <c r="HA57" s="67"/>
      <c r="HB57" s="67"/>
      <c r="HC57" s="67"/>
      <c r="HD57" s="67"/>
      <c r="HE57" s="67"/>
      <c r="HF57" s="67"/>
      <c r="HG57" s="67"/>
      <c r="HH57" s="67"/>
      <c r="HI57" s="67"/>
      <c r="HJ57" s="67"/>
      <c r="HK57" s="67"/>
      <c r="HL57" s="67"/>
      <c r="HM57" s="67"/>
      <c r="HN57" s="67"/>
      <c r="HO57" s="67"/>
      <c r="HP57" s="67"/>
      <c r="HQ57" s="67"/>
      <c r="HR57" s="67"/>
      <c r="HS57" s="67"/>
      <c r="HT57" s="67"/>
      <c r="HU57" s="67"/>
      <c r="HV57" s="67"/>
      <c r="HW57" s="67"/>
      <c r="HX57" s="67"/>
      <c r="HY57" s="67"/>
      <c r="HZ57" s="67"/>
      <c r="IA57" s="67"/>
      <c r="IB57" s="67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  <c r="LG57" s="67"/>
      <c r="LH57" s="67"/>
      <c r="LI57" s="67"/>
      <c r="LJ57" s="67"/>
      <c r="LK57" s="67"/>
      <c r="LL57" s="67"/>
      <c r="LM57" s="67"/>
      <c r="LN57" s="67"/>
      <c r="LO57" s="67"/>
      <c r="LP57" s="67"/>
      <c r="LQ57" s="67"/>
      <c r="LR57" s="67"/>
      <c r="LS57" s="67"/>
      <c r="LT57" s="67"/>
      <c r="LU57" s="67"/>
      <c r="LV57" s="67"/>
      <c r="LW57" s="67"/>
      <c r="LX57" s="67"/>
      <c r="LY57" s="67"/>
      <c r="LZ57" s="67"/>
      <c r="MA57" s="67"/>
      <c r="MB57" s="67"/>
      <c r="MC57" s="67"/>
      <c r="MD57" s="67"/>
      <c r="ME57" s="67"/>
      <c r="MF57" s="67"/>
      <c r="MG57" s="67"/>
      <c r="MH57" s="67"/>
      <c r="MI57" s="67"/>
      <c r="MJ57" s="67"/>
      <c r="MK57" s="67"/>
      <c r="ML57" s="67"/>
      <c r="MM57" s="67"/>
      <c r="MN57" s="67"/>
      <c r="MO57" s="67"/>
      <c r="MP57" s="67"/>
      <c r="MQ57" s="67"/>
      <c r="MR57" s="67"/>
      <c r="MS57" s="67"/>
      <c r="MT57" s="67"/>
      <c r="MU57" s="67"/>
      <c r="MV57" s="67"/>
      <c r="MW57" s="67"/>
      <c r="MX57" s="67"/>
      <c r="MY57" s="67"/>
      <c r="MZ57" s="67"/>
      <c r="NA57" s="67"/>
      <c r="NB57" s="67"/>
      <c r="NC57" s="67"/>
      <c r="ND57" s="67"/>
      <c r="NE57" s="67"/>
      <c r="NF57" s="67"/>
      <c r="NG57" s="67"/>
      <c r="NH57" s="67"/>
      <c r="NI57" s="67"/>
      <c r="NJ57" s="67"/>
      <c r="NK57" s="67"/>
      <c r="NL57" s="67"/>
      <c r="NM57" s="67"/>
      <c r="NN57" s="67"/>
      <c r="NO57" s="67"/>
      <c r="NP57" s="67"/>
      <c r="NQ57" s="67"/>
      <c r="NR57" s="67"/>
      <c r="NS57" s="67"/>
      <c r="NT57" s="67"/>
      <c r="NU57" s="67"/>
      <c r="NV57" s="67"/>
      <c r="NW57" s="67"/>
      <c r="NX57" s="67"/>
      <c r="NY57" s="67"/>
      <c r="NZ57" s="67"/>
      <c r="OA57" s="67"/>
      <c r="OB57" s="67"/>
      <c r="OC57" s="67"/>
      <c r="OD57" s="67"/>
      <c r="OE57" s="67"/>
      <c r="OF57" s="67"/>
      <c r="OG57" s="67"/>
      <c r="OH57" s="67"/>
      <c r="OI57" s="67"/>
      <c r="OJ57" s="67"/>
      <c r="OK57" s="67"/>
      <c r="OL57" s="67"/>
      <c r="OM57" s="67"/>
      <c r="ON57" s="67"/>
      <c r="OO57" s="67"/>
      <c r="OP57" s="67"/>
      <c r="OQ57" s="67"/>
      <c r="OR57" s="67"/>
      <c r="OS57" s="67"/>
      <c r="OT57" s="67"/>
      <c r="OU57" s="67"/>
      <c r="OV57" s="67"/>
      <c r="OW57" s="67"/>
      <c r="OX57" s="67"/>
      <c r="OY57" s="67"/>
      <c r="OZ57" s="67"/>
      <c r="PA57" s="67"/>
      <c r="PB57" s="67"/>
      <c r="PC57" s="67"/>
      <c r="PD57" s="67"/>
      <c r="PE57" s="67"/>
      <c r="PF57" s="67"/>
      <c r="PG57" s="67"/>
      <c r="PH57" s="67"/>
      <c r="PI57" s="67"/>
      <c r="PJ57" s="67"/>
      <c r="PK57" s="67"/>
      <c r="PL57" s="67"/>
      <c r="PM57" s="67"/>
      <c r="PN57" s="67"/>
      <c r="PO57" s="67"/>
      <c r="PP57" s="67"/>
      <c r="PQ57" s="67"/>
      <c r="PR57" s="67"/>
      <c r="PS57" s="67"/>
      <c r="PT57" s="67"/>
      <c r="PU57" s="67"/>
      <c r="PV57" s="67"/>
      <c r="PW57" s="67"/>
      <c r="PX57" s="67"/>
      <c r="PY57" s="67"/>
      <c r="PZ57" s="67"/>
      <c r="QA57" s="67"/>
      <c r="QB57" s="67"/>
      <c r="QC57" s="67"/>
      <c r="QD57" s="67"/>
      <c r="QE57" s="67"/>
      <c r="QF57" s="67"/>
      <c r="QG57" s="67"/>
      <c r="QH57" s="67"/>
      <c r="QI57" s="67"/>
      <c r="QJ57" s="67"/>
      <c r="QK57" s="67"/>
      <c r="QL57" s="67"/>
      <c r="QM57" s="67"/>
      <c r="QN57" s="67"/>
      <c r="QO57" s="67"/>
      <c r="QP57" s="67"/>
      <c r="QQ57" s="67"/>
      <c r="QR57" s="67"/>
      <c r="QS57" s="67"/>
      <c r="QT57" s="67"/>
      <c r="QU57" s="67"/>
      <c r="QV57" s="67"/>
      <c r="QW57" s="67"/>
      <c r="QX57" s="67"/>
      <c r="QY57" s="67"/>
      <c r="QZ57" s="67"/>
      <c r="RA57" s="67"/>
      <c r="RB57" s="67"/>
      <c r="RC57" s="67"/>
      <c r="RD57" s="67"/>
      <c r="RE57" s="67"/>
      <c r="RF57" s="67"/>
      <c r="RG57" s="67"/>
      <c r="RH57" s="67"/>
      <c r="RI57" s="67"/>
      <c r="RJ57" s="67"/>
      <c r="RK57" s="67"/>
      <c r="RL57" s="67"/>
      <c r="RM57" s="67"/>
      <c r="RN57" s="67"/>
      <c r="RO57" s="67"/>
      <c r="RP57" s="67"/>
      <c r="RQ57" s="67"/>
      <c r="RR57" s="67"/>
      <c r="RS57" s="67"/>
      <c r="RT57" s="67"/>
      <c r="RU57" s="67"/>
      <c r="RV57" s="67"/>
      <c r="RW57" s="67"/>
      <c r="RX57" s="67"/>
      <c r="RY57" s="67"/>
      <c r="RZ57" s="67"/>
      <c r="SA57" s="67"/>
      <c r="SB57" s="67"/>
      <c r="SC57" s="67"/>
      <c r="SD57" s="67"/>
      <c r="SE57" s="67"/>
      <c r="SF57" s="67"/>
      <c r="SG57" s="67"/>
      <c r="SH57" s="67"/>
      <c r="SI57" s="67"/>
      <c r="SJ57" s="67"/>
      <c r="SK57" s="67"/>
      <c r="SL57" s="67"/>
      <c r="SM57" s="67"/>
      <c r="SN57" s="67"/>
      <c r="SO57" s="67"/>
      <c r="SP57" s="67"/>
      <c r="SQ57" s="67"/>
      <c r="SR57" s="67"/>
      <c r="SS57" s="67"/>
      <c r="ST57" s="67"/>
      <c r="SU57" s="67"/>
      <c r="SV57" s="67"/>
      <c r="SW57" s="67"/>
      <c r="SX57" s="67"/>
      <c r="SY57" s="67"/>
      <c r="SZ57" s="67"/>
      <c r="TA57" s="67"/>
      <c r="TB57" s="67"/>
      <c r="TC57" s="67"/>
      <c r="TD57" s="67"/>
      <c r="TE57" s="67"/>
      <c r="TF57" s="67"/>
      <c r="TG57" s="67"/>
      <c r="TH57" s="67"/>
      <c r="TI57" s="67"/>
      <c r="TJ57" s="67"/>
      <c r="TK57" s="67"/>
      <c r="TL57" s="67"/>
      <c r="TM57" s="67"/>
      <c r="TN57" s="67"/>
      <c r="TO57" s="67"/>
      <c r="TP57" s="67"/>
      <c r="TQ57" s="67"/>
      <c r="TR57" s="67"/>
      <c r="TS57" s="67"/>
      <c r="TT57" s="67"/>
      <c r="TU57" s="67"/>
      <c r="TV57" s="67"/>
      <c r="TW57" s="67"/>
      <c r="TX57" s="67"/>
      <c r="TY57" s="67"/>
      <c r="TZ57" s="67"/>
      <c r="UA57" s="67"/>
      <c r="UB57" s="67"/>
      <c r="UC57" s="67"/>
      <c r="UD57" s="67"/>
      <c r="UE57" s="67"/>
      <c r="UF57" s="67"/>
      <c r="UG57" s="67"/>
      <c r="UH57" s="67"/>
      <c r="UI57" s="67"/>
      <c r="UJ57" s="67"/>
      <c r="UK57" s="67"/>
      <c r="UL57" s="67"/>
      <c r="UM57" s="67"/>
      <c r="UN57" s="67"/>
      <c r="UO57" s="67"/>
      <c r="UP57" s="67"/>
      <c r="UQ57" s="67"/>
      <c r="UR57" s="67"/>
      <c r="US57" s="67"/>
      <c r="UT57" s="67"/>
      <c r="UU57" s="67"/>
      <c r="UV57" s="67"/>
      <c r="UW57" s="67"/>
      <c r="UX57" s="67"/>
      <c r="UY57" s="67"/>
      <c r="UZ57" s="67"/>
      <c r="VA57" s="67"/>
      <c r="VB57" s="67"/>
      <c r="VC57" s="67"/>
      <c r="VD57" s="67"/>
      <c r="VE57" s="67"/>
      <c r="VF57" s="67"/>
      <c r="VG57" s="67"/>
      <c r="VH57" s="67"/>
      <c r="VI57" s="67"/>
      <c r="VJ57" s="67"/>
      <c r="VK57" s="67"/>
      <c r="VL57" s="67"/>
      <c r="VM57" s="67"/>
      <c r="VN57" s="67"/>
      <c r="VO57" s="67"/>
      <c r="VP57" s="67"/>
      <c r="VQ57" s="67"/>
      <c r="VR57" s="67"/>
      <c r="VS57" s="67"/>
      <c r="VT57" s="67"/>
      <c r="VU57" s="67"/>
      <c r="VV57" s="67"/>
      <c r="VW57" s="67"/>
      <c r="VX57" s="67"/>
      <c r="VY57" s="67"/>
      <c r="WA57" s="67"/>
      <c r="WB57" s="67"/>
      <c r="WC57" s="67"/>
      <c r="WD57" s="67"/>
      <c r="WE57" s="67"/>
      <c r="WF57" s="67"/>
      <c r="WG57" s="67"/>
      <c r="WH57" s="67"/>
      <c r="WI57" s="67"/>
      <c r="WJ57" s="2"/>
      <c r="WK57" s="2"/>
    </row>
    <row r="58" spans="1:609" x14ac:dyDescent="0.25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  <c r="DK58" s="67"/>
      <c r="DL58" s="67"/>
      <c r="DM58" s="67"/>
      <c r="DN58" s="67"/>
      <c r="DO58" s="67"/>
      <c r="DP58" s="67"/>
      <c r="DQ58" s="67"/>
      <c r="DR58" s="67"/>
      <c r="DS58" s="67"/>
      <c r="DT58" s="67"/>
      <c r="DU58" s="67"/>
      <c r="DV58" s="67"/>
      <c r="DW58" s="67"/>
      <c r="DX58" s="67"/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  <c r="JI58" s="67"/>
      <c r="JJ58" s="67"/>
      <c r="JK58" s="67"/>
      <c r="JL58" s="67"/>
      <c r="JM58" s="67"/>
      <c r="JN58" s="67"/>
      <c r="JO58" s="67"/>
      <c r="JP58" s="67"/>
      <c r="JQ58" s="67"/>
      <c r="JR58" s="67"/>
      <c r="JS58" s="67"/>
      <c r="JT58" s="67"/>
      <c r="JU58" s="67"/>
      <c r="JV58" s="67"/>
      <c r="JW58" s="67"/>
      <c r="JX58" s="67"/>
      <c r="JY58" s="67"/>
      <c r="JZ58" s="67"/>
      <c r="KA58" s="67"/>
      <c r="KB58" s="67"/>
      <c r="KC58" s="67"/>
      <c r="KD58" s="67"/>
      <c r="KE58" s="67"/>
      <c r="KF58" s="67"/>
      <c r="KG58" s="67"/>
      <c r="KH58" s="67"/>
      <c r="KI58" s="67"/>
      <c r="KJ58" s="67"/>
      <c r="KK58" s="67"/>
      <c r="KL58" s="67"/>
      <c r="KM58" s="67"/>
      <c r="KN58" s="67"/>
      <c r="KO58" s="67"/>
      <c r="KP58" s="67"/>
      <c r="KQ58" s="67"/>
      <c r="KR58" s="67"/>
      <c r="KS58" s="67"/>
      <c r="KT58" s="67"/>
      <c r="KU58" s="67"/>
      <c r="KV58" s="67"/>
      <c r="KW58" s="67"/>
      <c r="KX58" s="67"/>
      <c r="KY58" s="67"/>
      <c r="KZ58" s="67"/>
      <c r="LA58" s="67"/>
      <c r="LB58" s="67"/>
      <c r="LC58" s="67"/>
      <c r="LD58" s="67"/>
      <c r="LE58" s="67"/>
      <c r="LF58" s="67"/>
      <c r="LG58" s="67"/>
      <c r="LH58" s="67"/>
      <c r="LI58" s="67"/>
      <c r="LJ58" s="67"/>
      <c r="LK58" s="67"/>
      <c r="LL58" s="67"/>
      <c r="LM58" s="67"/>
      <c r="LN58" s="67"/>
      <c r="LO58" s="67"/>
      <c r="LP58" s="67"/>
      <c r="LQ58" s="67"/>
      <c r="LR58" s="67"/>
      <c r="LS58" s="67"/>
      <c r="LT58" s="67"/>
      <c r="LU58" s="67"/>
      <c r="LV58" s="67"/>
      <c r="LW58" s="67"/>
      <c r="LX58" s="67"/>
      <c r="LY58" s="67"/>
      <c r="LZ58" s="67"/>
      <c r="MA58" s="67"/>
      <c r="MB58" s="67"/>
      <c r="MC58" s="67"/>
      <c r="MD58" s="67"/>
      <c r="ME58" s="67"/>
      <c r="MF58" s="67"/>
      <c r="MG58" s="67"/>
      <c r="MH58" s="67"/>
      <c r="MI58" s="67"/>
      <c r="MJ58" s="67"/>
      <c r="MK58" s="67"/>
      <c r="ML58" s="67"/>
      <c r="MM58" s="67"/>
      <c r="MN58" s="67"/>
      <c r="MO58" s="67"/>
      <c r="MP58" s="67"/>
      <c r="MQ58" s="67"/>
      <c r="MR58" s="67"/>
      <c r="MS58" s="67"/>
      <c r="MT58" s="67"/>
      <c r="MU58" s="67"/>
      <c r="MV58" s="67"/>
      <c r="MW58" s="67"/>
      <c r="MX58" s="67"/>
      <c r="MY58" s="67"/>
      <c r="MZ58" s="67"/>
      <c r="NA58" s="67"/>
      <c r="NB58" s="67"/>
      <c r="NC58" s="67"/>
      <c r="ND58" s="67"/>
      <c r="NE58" s="67"/>
      <c r="NF58" s="67"/>
      <c r="NG58" s="67"/>
      <c r="NH58" s="67"/>
      <c r="NI58" s="67"/>
      <c r="NJ58" s="67"/>
      <c r="NK58" s="67"/>
      <c r="NL58" s="67"/>
      <c r="NM58" s="67"/>
      <c r="NN58" s="67"/>
      <c r="NO58" s="67"/>
      <c r="NP58" s="67"/>
      <c r="NQ58" s="67"/>
      <c r="NR58" s="67"/>
      <c r="NS58" s="67"/>
      <c r="NT58" s="67"/>
      <c r="NU58" s="67"/>
      <c r="NV58" s="67"/>
      <c r="NW58" s="67"/>
      <c r="NX58" s="67"/>
      <c r="NY58" s="67"/>
      <c r="NZ58" s="67"/>
      <c r="OA58" s="67"/>
      <c r="OB58" s="67"/>
      <c r="OC58" s="67"/>
      <c r="OD58" s="67"/>
      <c r="OE58" s="67"/>
      <c r="OF58" s="67"/>
      <c r="OG58" s="67"/>
      <c r="OH58" s="67"/>
      <c r="OI58" s="67"/>
      <c r="OJ58" s="67"/>
      <c r="OK58" s="67"/>
      <c r="OL58" s="67"/>
      <c r="OM58" s="67"/>
      <c r="ON58" s="67"/>
      <c r="OO58" s="67"/>
      <c r="OP58" s="67"/>
      <c r="OQ58" s="67"/>
      <c r="OR58" s="67"/>
      <c r="OS58" s="67"/>
      <c r="OT58" s="67"/>
      <c r="OU58" s="67"/>
      <c r="OV58" s="67"/>
      <c r="OW58" s="67"/>
      <c r="OX58" s="67"/>
      <c r="OY58" s="67"/>
      <c r="OZ58" s="67"/>
      <c r="PA58" s="67"/>
      <c r="PB58" s="67"/>
      <c r="PC58" s="67"/>
      <c r="PD58" s="67"/>
      <c r="PE58" s="67"/>
      <c r="PF58" s="67"/>
      <c r="PG58" s="67"/>
      <c r="PH58" s="67"/>
      <c r="PI58" s="67"/>
      <c r="PJ58" s="67"/>
      <c r="PK58" s="67"/>
      <c r="PL58" s="67"/>
      <c r="PM58" s="67"/>
      <c r="PN58" s="67"/>
      <c r="PO58" s="67"/>
      <c r="PP58" s="67"/>
      <c r="PQ58" s="67"/>
      <c r="PR58" s="67"/>
      <c r="PS58" s="67"/>
      <c r="PT58" s="67"/>
      <c r="PU58" s="67"/>
      <c r="PV58" s="67"/>
      <c r="PW58" s="67"/>
      <c r="PX58" s="67"/>
      <c r="PY58" s="67"/>
      <c r="PZ58" s="67"/>
      <c r="QA58" s="67"/>
      <c r="QB58" s="67"/>
      <c r="QC58" s="67"/>
      <c r="QD58" s="67"/>
      <c r="QE58" s="67"/>
      <c r="QF58" s="67"/>
      <c r="QG58" s="67"/>
      <c r="QH58" s="67"/>
      <c r="QI58" s="67"/>
      <c r="QJ58" s="67"/>
      <c r="QK58" s="67"/>
      <c r="QL58" s="67"/>
      <c r="QM58" s="67"/>
      <c r="QN58" s="67"/>
      <c r="QO58" s="67"/>
      <c r="QP58" s="67"/>
      <c r="QQ58" s="67"/>
      <c r="QR58" s="67"/>
      <c r="QS58" s="67"/>
      <c r="QT58" s="67"/>
      <c r="QU58" s="67"/>
      <c r="QV58" s="67"/>
      <c r="QW58" s="67"/>
      <c r="QX58" s="67"/>
      <c r="QY58" s="67"/>
      <c r="QZ58" s="67"/>
      <c r="RA58" s="67"/>
      <c r="RB58" s="67"/>
      <c r="RC58" s="67"/>
      <c r="RD58" s="67"/>
      <c r="RE58" s="67"/>
      <c r="RF58" s="67"/>
      <c r="RG58" s="67"/>
      <c r="RH58" s="67"/>
      <c r="RI58" s="67"/>
      <c r="RJ58" s="67"/>
      <c r="RK58" s="67"/>
      <c r="RL58" s="67"/>
      <c r="RM58" s="67"/>
      <c r="RN58" s="67"/>
      <c r="RO58" s="67"/>
      <c r="RP58" s="67"/>
      <c r="RQ58" s="67"/>
      <c r="RR58" s="67"/>
      <c r="RS58" s="67"/>
      <c r="RT58" s="67"/>
      <c r="RU58" s="67"/>
      <c r="RV58" s="67"/>
      <c r="RW58" s="67"/>
      <c r="RX58" s="67"/>
      <c r="RY58" s="67"/>
      <c r="RZ58" s="67"/>
      <c r="SA58" s="67"/>
      <c r="SB58" s="67"/>
      <c r="SC58" s="67"/>
      <c r="SD58" s="67"/>
      <c r="SE58" s="67"/>
      <c r="SF58" s="67"/>
      <c r="SG58" s="67"/>
      <c r="SH58" s="67"/>
      <c r="SI58" s="67"/>
      <c r="SJ58" s="67"/>
      <c r="SK58" s="67"/>
      <c r="SL58" s="67"/>
      <c r="SM58" s="67"/>
      <c r="SN58" s="67"/>
      <c r="SO58" s="67"/>
      <c r="SP58" s="67"/>
      <c r="SQ58" s="67"/>
      <c r="SR58" s="67"/>
      <c r="SS58" s="67"/>
      <c r="ST58" s="67"/>
      <c r="SU58" s="67"/>
      <c r="SV58" s="67"/>
      <c r="SW58" s="67"/>
      <c r="SX58" s="67"/>
      <c r="SY58" s="67"/>
      <c r="SZ58" s="67"/>
      <c r="TA58" s="67"/>
      <c r="TB58" s="67"/>
      <c r="TC58" s="67"/>
      <c r="TD58" s="67"/>
      <c r="TE58" s="67"/>
      <c r="TF58" s="67"/>
      <c r="TG58" s="67"/>
      <c r="TH58" s="67"/>
      <c r="TI58" s="67"/>
      <c r="TJ58" s="67"/>
      <c r="TK58" s="67"/>
      <c r="TL58" s="67"/>
      <c r="TM58" s="67"/>
      <c r="TN58" s="67"/>
      <c r="TO58" s="67"/>
      <c r="TP58" s="67"/>
      <c r="TQ58" s="67"/>
      <c r="TR58" s="67"/>
      <c r="TS58" s="67"/>
      <c r="TT58" s="67"/>
      <c r="TU58" s="67"/>
      <c r="TV58" s="67"/>
      <c r="TW58" s="67"/>
      <c r="TX58" s="67"/>
      <c r="TY58" s="67"/>
      <c r="TZ58" s="67"/>
      <c r="UA58" s="67"/>
      <c r="UB58" s="67"/>
      <c r="UC58" s="67"/>
      <c r="UD58" s="67"/>
      <c r="UE58" s="67"/>
      <c r="UF58" s="67"/>
      <c r="UG58" s="67"/>
      <c r="UH58" s="67"/>
      <c r="UI58" s="67"/>
      <c r="UJ58" s="67"/>
      <c r="UK58" s="67"/>
      <c r="UL58" s="67"/>
      <c r="UM58" s="67"/>
      <c r="UN58" s="67"/>
      <c r="UO58" s="67"/>
      <c r="UP58" s="67"/>
      <c r="UQ58" s="67"/>
      <c r="UR58" s="67"/>
      <c r="US58" s="67"/>
      <c r="UT58" s="67"/>
      <c r="UU58" s="67"/>
      <c r="UV58" s="67"/>
      <c r="UW58" s="67"/>
      <c r="UX58" s="67"/>
      <c r="UY58" s="67"/>
      <c r="UZ58" s="67"/>
      <c r="VA58" s="67"/>
      <c r="VB58" s="67"/>
      <c r="VC58" s="67"/>
      <c r="VD58" s="67"/>
      <c r="VE58" s="67"/>
      <c r="VF58" s="67"/>
      <c r="VG58" s="67"/>
      <c r="VH58" s="67"/>
      <c r="VI58" s="67"/>
      <c r="VJ58" s="67"/>
      <c r="VK58" s="67"/>
      <c r="VL58" s="67"/>
      <c r="VM58" s="67"/>
      <c r="VN58" s="67"/>
      <c r="VO58" s="67"/>
      <c r="VP58" s="67"/>
      <c r="VQ58" s="67"/>
      <c r="VR58" s="67"/>
      <c r="VS58" s="67"/>
      <c r="VT58" s="67"/>
      <c r="VU58" s="67"/>
      <c r="VV58" s="67"/>
      <c r="VW58" s="67"/>
      <c r="VX58" s="67"/>
      <c r="VY58" s="67"/>
      <c r="WA58" s="67"/>
      <c r="WB58" s="67"/>
      <c r="WC58" s="67"/>
      <c r="WD58" s="67"/>
      <c r="WE58" s="67"/>
      <c r="WF58" s="67"/>
      <c r="WG58" s="67"/>
      <c r="WH58" s="67"/>
      <c r="WI58" s="67"/>
      <c r="WJ58" s="2"/>
      <c r="WK58" s="2"/>
    </row>
    <row r="59" spans="1:609" x14ac:dyDescent="0.25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  <c r="LG59" s="67"/>
      <c r="LH59" s="67"/>
      <c r="LI59" s="67"/>
      <c r="LJ59" s="67"/>
      <c r="LK59" s="67"/>
      <c r="LL59" s="67"/>
      <c r="LM59" s="67"/>
      <c r="LN59" s="67"/>
      <c r="LO59" s="67"/>
      <c r="LP59" s="67"/>
      <c r="LQ59" s="67"/>
      <c r="LR59" s="67"/>
      <c r="LS59" s="67"/>
      <c r="LT59" s="67"/>
      <c r="LU59" s="67"/>
      <c r="LV59" s="67"/>
      <c r="LW59" s="67"/>
      <c r="LX59" s="67"/>
      <c r="LY59" s="67"/>
      <c r="LZ59" s="67"/>
      <c r="MA59" s="67"/>
      <c r="MB59" s="67"/>
      <c r="MC59" s="67"/>
      <c r="MD59" s="67"/>
      <c r="ME59" s="67"/>
      <c r="MF59" s="67"/>
      <c r="MG59" s="67"/>
      <c r="MH59" s="67"/>
      <c r="MI59" s="67"/>
      <c r="MJ59" s="67"/>
      <c r="MK59" s="67"/>
      <c r="ML59" s="67"/>
      <c r="MM59" s="67"/>
      <c r="MN59" s="67"/>
      <c r="MO59" s="67"/>
      <c r="MP59" s="67"/>
      <c r="MQ59" s="67"/>
      <c r="MR59" s="67"/>
      <c r="MS59" s="67"/>
      <c r="MT59" s="67"/>
      <c r="MU59" s="67"/>
      <c r="MV59" s="67"/>
      <c r="MW59" s="67"/>
      <c r="MX59" s="67"/>
      <c r="MY59" s="67"/>
      <c r="MZ59" s="67"/>
      <c r="NA59" s="67"/>
      <c r="NB59" s="67"/>
      <c r="NC59" s="67"/>
      <c r="ND59" s="67"/>
      <c r="NE59" s="67"/>
      <c r="NF59" s="67"/>
      <c r="NG59" s="67"/>
      <c r="NH59" s="67"/>
      <c r="NI59" s="67"/>
      <c r="NJ59" s="67"/>
      <c r="NK59" s="67"/>
      <c r="NL59" s="67"/>
      <c r="NM59" s="67"/>
      <c r="NN59" s="67"/>
      <c r="NO59" s="67"/>
      <c r="NP59" s="67"/>
      <c r="NQ59" s="67"/>
      <c r="NR59" s="67"/>
      <c r="NS59" s="67"/>
      <c r="NT59" s="67"/>
      <c r="NU59" s="67"/>
      <c r="NV59" s="67"/>
      <c r="NW59" s="67"/>
      <c r="NX59" s="67"/>
      <c r="NY59" s="67"/>
      <c r="NZ59" s="67"/>
      <c r="OA59" s="67"/>
      <c r="OB59" s="67"/>
      <c r="OC59" s="67"/>
      <c r="OD59" s="67"/>
      <c r="OE59" s="67"/>
      <c r="OF59" s="67"/>
      <c r="OG59" s="67"/>
      <c r="OH59" s="67"/>
      <c r="OI59" s="67"/>
      <c r="OJ59" s="67"/>
      <c r="OK59" s="67"/>
      <c r="OL59" s="67"/>
      <c r="OM59" s="67"/>
      <c r="ON59" s="67"/>
      <c r="OO59" s="67"/>
      <c r="OP59" s="67"/>
      <c r="OQ59" s="67"/>
      <c r="OR59" s="67"/>
      <c r="OS59" s="67"/>
      <c r="OT59" s="67"/>
      <c r="OU59" s="67"/>
      <c r="OV59" s="67"/>
      <c r="OW59" s="67"/>
      <c r="OX59" s="67"/>
      <c r="OY59" s="67"/>
      <c r="OZ59" s="67"/>
      <c r="PA59" s="67"/>
      <c r="PB59" s="67"/>
      <c r="PC59" s="67"/>
      <c r="PD59" s="67"/>
      <c r="PE59" s="67"/>
      <c r="PF59" s="67"/>
      <c r="PG59" s="67"/>
      <c r="PH59" s="67"/>
      <c r="PI59" s="67"/>
      <c r="PJ59" s="67"/>
      <c r="PK59" s="67"/>
      <c r="PL59" s="67"/>
      <c r="PM59" s="67"/>
      <c r="PN59" s="67"/>
      <c r="PO59" s="67"/>
      <c r="PP59" s="67"/>
      <c r="PQ59" s="67"/>
      <c r="PR59" s="67"/>
      <c r="PS59" s="67"/>
      <c r="PT59" s="67"/>
      <c r="PU59" s="67"/>
      <c r="PV59" s="67"/>
      <c r="PW59" s="67"/>
      <c r="PX59" s="67"/>
      <c r="PY59" s="67"/>
      <c r="PZ59" s="67"/>
      <c r="QA59" s="67"/>
      <c r="QB59" s="67"/>
      <c r="QC59" s="67"/>
      <c r="QD59" s="67"/>
      <c r="QE59" s="67"/>
      <c r="QF59" s="67"/>
      <c r="QG59" s="67"/>
      <c r="QH59" s="67"/>
      <c r="QI59" s="67"/>
      <c r="QJ59" s="67"/>
      <c r="QK59" s="67"/>
      <c r="QL59" s="67"/>
      <c r="QM59" s="67"/>
      <c r="QN59" s="67"/>
      <c r="QO59" s="67"/>
      <c r="QP59" s="67"/>
      <c r="QQ59" s="67"/>
      <c r="QR59" s="67"/>
      <c r="QS59" s="67"/>
      <c r="QT59" s="67"/>
      <c r="QU59" s="67"/>
      <c r="QV59" s="67"/>
      <c r="QW59" s="67"/>
      <c r="QX59" s="67"/>
      <c r="QY59" s="67"/>
      <c r="QZ59" s="67"/>
      <c r="RA59" s="67"/>
      <c r="RB59" s="67"/>
      <c r="RC59" s="67"/>
      <c r="RD59" s="67"/>
      <c r="RE59" s="67"/>
      <c r="RF59" s="67"/>
      <c r="RG59" s="67"/>
      <c r="RH59" s="67"/>
      <c r="RI59" s="67"/>
      <c r="RJ59" s="67"/>
      <c r="RK59" s="67"/>
      <c r="RL59" s="67"/>
      <c r="RM59" s="67"/>
      <c r="RN59" s="67"/>
      <c r="RO59" s="67"/>
      <c r="RP59" s="67"/>
      <c r="RQ59" s="67"/>
      <c r="RR59" s="67"/>
      <c r="RS59" s="67"/>
      <c r="RT59" s="67"/>
      <c r="RU59" s="67"/>
      <c r="RV59" s="67"/>
      <c r="RW59" s="67"/>
      <c r="RX59" s="67"/>
      <c r="RY59" s="67"/>
      <c r="RZ59" s="67"/>
      <c r="SA59" s="67"/>
      <c r="SB59" s="67"/>
      <c r="SC59" s="67"/>
      <c r="SD59" s="67"/>
      <c r="SE59" s="67"/>
      <c r="SF59" s="67"/>
      <c r="SG59" s="67"/>
      <c r="SH59" s="67"/>
      <c r="SI59" s="67"/>
      <c r="SJ59" s="67"/>
      <c r="SK59" s="67"/>
      <c r="SL59" s="67"/>
      <c r="SM59" s="67"/>
      <c r="SN59" s="67"/>
      <c r="SO59" s="67"/>
      <c r="SP59" s="67"/>
      <c r="SQ59" s="67"/>
      <c r="SR59" s="67"/>
      <c r="SS59" s="67"/>
      <c r="ST59" s="67"/>
      <c r="SU59" s="67"/>
      <c r="SV59" s="67"/>
      <c r="SW59" s="67"/>
      <c r="SX59" s="67"/>
      <c r="SY59" s="67"/>
      <c r="SZ59" s="67"/>
      <c r="TA59" s="67"/>
      <c r="TB59" s="67"/>
      <c r="TC59" s="67"/>
      <c r="TD59" s="67"/>
      <c r="TE59" s="67"/>
      <c r="TF59" s="67"/>
      <c r="TG59" s="67"/>
      <c r="TH59" s="67"/>
      <c r="TI59" s="67"/>
      <c r="TJ59" s="67"/>
      <c r="TK59" s="67"/>
      <c r="TL59" s="67"/>
      <c r="TM59" s="67"/>
      <c r="TN59" s="67"/>
      <c r="TO59" s="67"/>
      <c r="TP59" s="67"/>
      <c r="TQ59" s="67"/>
      <c r="TR59" s="67"/>
      <c r="TS59" s="67"/>
      <c r="TT59" s="67"/>
      <c r="TU59" s="67"/>
      <c r="TV59" s="67"/>
      <c r="TW59" s="67"/>
      <c r="TX59" s="67"/>
      <c r="TY59" s="67"/>
      <c r="TZ59" s="67"/>
      <c r="UA59" s="67"/>
      <c r="UB59" s="67"/>
      <c r="UC59" s="67"/>
      <c r="UD59" s="67"/>
      <c r="UE59" s="67"/>
      <c r="UF59" s="67"/>
      <c r="UG59" s="67"/>
      <c r="UH59" s="67"/>
      <c r="UI59" s="67"/>
      <c r="UJ59" s="67"/>
      <c r="UK59" s="67"/>
      <c r="UL59" s="67"/>
      <c r="UM59" s="67"/>
      <c r="UN59" s="67"/>
      <c r="UO59" s="67"/>
      <c r="UP59" s="67"/>
      <c r="UQ59" s="67"/>
      <c r="UR59" s="67"/>
      <c r="US59" s="67"/>
      <c r="UT59" s="67"/>
      <c r="UU59" s="67"/>
      <c r="UV59" s="67"/>
      <c r="UW59" s="67"/>
      <c r="UX59" s="67"/>
      <c r="UY59" s="67"/>
      <c r="UZ59" s="67"/>
      <c r="VA59" s="67"/>
      <c r="VB59" s="67"/>
      <c r="VC59" s="67"/>
      <c r="VD59" s="67"/>
      <c r="VE59" s="67"/>
      <c r="VF59" s="67"/>
      <c r="VG59" s="67"/>
      <c r="VH59" s="67"/>
      <c r="VI59" s="67"/>
      <c r="VJ59" s="67"/>
      <c r="VK59" s="67"/>
      <c r="VL59" s="67"/>
      <c r="VM59" s="67"/>
      <c r="VN59" s="67"/>
      <c r="VO59" s="67"/>
      <c r="VP59" s="67"/>
      <c r="VQ59" s="67"/>
      <c r="VR59" s="67"/>
      <c r="VS59" s="67"/>
      <c r="VT59" s="67"/>
      <c r="VU59" s="67"/>
      <c r="VV59" s="67"/>
      <c r="VW59" s="67"/>
      <c r="VX59" s="67"/>
      <c r="VY59" s="67"/>
      <c r="WA59" s="67"/>
      <c r="WB59" s="67"/>
      <c r="WC59" s="67"/>
      <c r="WD59" s="67"/>
      <c r="WE59" s="67"/>
      <c r="WF59" s="67"/>
      <c r="WG59" s="67"/>
      <c r="WH59" s="67"/>
      <c r="WI59" s="67"/>
      <c r="WJ59" s="2"/>
      <c r="WK59" s="2"/>
    </row>
    <row r="60" spans="1:609" x14ac:dyDescent="0.25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  <c r="JI60" s="67"/>
      <c r="JJ60" s="67"/>
      <c r="JK60" s="67"/>
      <c r="JL60" s="67"/>
      <c r="JM60" s="67"/>
      <c r="JN60" s="67"/>
      <c r="JO60" s="67"/>
      <c r="JP60" s="67"/>
      <c r="JQ60" s="67"/>
      <c r="JR60" s="67"/>
      <c r="JS60" s="67"/>
      <c r="JT60" s="67"/>
      <c r="JU60" s="67"/>
      <c r="JV60" s="67"/>
      <c r="JW60" s="67"/>
      <c r="JX60" s="67"/>
      <c r="JY60" s="67"/>
      <c r="JZ60" s="67"/>
      <c r="KA60" s="67"/>
      <c r="KB60" s="67"/>
      <c r="KC60" s="67"/>
      <c r="KD60" s="67"/>
      <c r="KE60" s="67"/>
      <c r="KF60" s="67"/>
      <c r="KG60" s="67"/>
      <c r="KH60" s="67"/>
      <c r="KI60" s="67"/>
      <c r="KJ60" s="67"/>
      <c r="KK60" s="67"/>
      <c r="KL60" s="67"/>
      <c r="KM60" s="67"/>
      <c r="KN60" s="67"/>
      <c r="KO60" s="67"/>
      <c r="KP60" s="67"/>
      <c r="KQ60" s="67"/>
      <c r="KR60" s="67"/>
      <c r="KS60" s="67"/>
      <c r="KT60" s="67"/>
      <c r="KU60" s="67"/>
      <c r="KV60" s="67"/>
      <c r="KW60" s="67"/>
      <c r="KX60" s="67"/>
      <c r="KY60" s="67"/>
      <c r="KZ60" s="67"/>
      <c r="LA60" s="67"/>
      <c r="LB60" s="67"/>
      <c r="LC60" s="67"/>
      <c r="LD60" s="67"/>
      <c r="LE60" s="67"/>
      <c r="LF60" s="67"/>
      <c r="LG60" s="67"/>
      <c r="LH60" s="67"/>
      <c r="LI60" s="67"/>
      <c r="LJ60" s="67"/>
      <c r="LK60" s="67"/>
      <c r="LL60" s="67"/>
      <c r="LM60" s="67"/>
      <c r="LN60" s="67"/>
      <c r="LO60" s="67"/>
      <c r="LP60" s="67"/>
      <c r="LQ60" s="67"/>
      <c r="LR60" s="67"/>
      <c r="LS60" s="67"/>
      <c r="LT60" s="67"/>
      <c r="LU60" s="67"/>
      <c r="LV60" s="67"/>
      <c r="LW60" s="67"/>
      <c r="LX60" s="67"/>
      <c r="LY60" s="67"/>
      <c r="LZ60" s="67"/>
      <c r="MA60" s="67"/>
      <c r="MB60" s="67"/>
      <c r="MC60" s="67"/>
      <c r="MD60" s="67"/>
      <c r="ME60" s="67"/>
      <c r="MF60" s="67"/>
      <c r="MG60" s="67"/>
      <c r="MH60" s="67"/>
      <c r="MI60" s="67"/>
      <c r="MJ60" s="67"/>
      <c r="MK60" s="67"/>
      <c r="ML60" s="67"/>
      <c r="MM60" s="67"/>
      <c r="MN60" s="67"/>
      <c r="MO60" s="67"/>
      <c r="MP60" s="67"/>
      <c r="MQ60" s="67"/>
      <c r="MR60" s="67"/>
      <c r="MS60" s="67"/>
      <c r="MT60" s="67"/>
      <c r="MU60" s="67"/>
      <c r="MV60" s="67"/>
      <c r="MW60" s="67"/>
      <c r="MX60" s="67"/>
      <c r="MY60" s="67"/>
      <c r="MZ60" s="67"/>
      <c r="NA60" s="67"/>
      <c r="NB60" s="67"/>
      <c r="NC60" s="67"/>
      <c r="ND60" s="67"/>
      <c r="NE60" s="67"/>
      <c r="NF60" s="67"/>
      <c r="NG60" s="67"/>
      <c r="NH60" s="67"/>
      <c r="NI60" s="67"/>
      <c r="NJ60" s="67"/>
      <c r="NK60" s="67"/>
      <c r="NL60" s="67"/>
      <c r="NM60" s="67"/>
      <c r="NN60" s="67"/>
      <c r="NO60" s="67"/>
      <c r="NP60" s="67"/>
      <c r="NQ60" s="67"/>
      <c r="NR60" s="67"/>
      <c r="NS60" s="67"/>
      <c r="NT60" s="67"/>
      <c r="NU60" s="67"/>
      <c r="NV60" s="67"/>
      <c r="NW60" s="67"/>
      <c r="NX60" s="67"/>
      <c r="NY60" s="67"/>
      <c r="NZ60" s="67"/>
      <c r="OA60" s="67"/>
      <c r="OB60" s="67"/>
      <c r="OC60" s="67"/>
      <c r="OD60" s="67"/>
      <c r="OE60" s="67"/>
      <c r="OF60" s="67"/>
      <c r="OG60" s="67"/>
      <c r="OH60" s="67"/>
      <c r="OI60" s="67"/>
      <c r="OJ60" s="67"/>
      <c r="OK60" s="67"/>
      <c r="OL60" s="67"/>
      <c r="OM60" s="67"/>
      <c r="ON60" s="67"/>
      <c r="OO60" s="67"/>
      <c r="OP60" s="67"/>
      <c r="OQ60" s="67"/>
      <c r="OR60" s="67"/>
      <c r="OS60" s="67"/>
      <c r="OT60" s="67"/>
      <c r="OU60" s="67"/>
      <c r="OV60" s="67"/>
      <c r="OW60" s="67"/>
      <c r="OX60" s="67"/>
      <c r="OY60" s="67"/>
      <c r="OZ60" s="67"/>
      <c r="PA60" s="67"/>
      <c r="PB60" s="67"/>
      <c r="PC60" s="67"/>
      <c r="PD60" s="67"/>
      <c r="PE60" s="67"/>
      <c r="PF60" s="67"/>
      <c r="PG60" s="67"/>
      <c r="PH60" s="67"/>
      <c r="PI60" s="67"/>
      <c r="PJ60" s="67"/>
      <c r="PK60" s="67"/>
      <c r="PL60" s="67"/>
      <c r="PM60" s="67"/>
      <c r="PN60" s="67"/>
      <c r="PO60" s="67"/>
      <c r="PP60" s="67"/>
      <c r="PQ60" s="67"/>
      <c r="PR60" s="67"/>
      <c r="PS60" s="67"/>
      <c r="PT60" s="67"/>
      <c r="PU60" s="67"/>
      <c r="PV60" s="67"/>
      <c r="PW60" s="67"/>
      <c r="PX60" s="67"/>
      <c r="PY60" s="67"/>
      <c r="PZ60" s="67"/>
      <c r="QA60" s="67"/>
      <c r="QB60" s="67"/>
      <c r="QC60" s="67"/>
      <c r="QD60" s="67"/>
      <c r="QE60" s="67"/>
      <c r="QF60" s="67"/>
      <c r="QG60" s="67"/>
      <c r="QH60" s="67"/>
      <c r="QI60" s="67"/>
      <c r="QJ60" s="67"/>
      <c r="QK60" s="67"/>
      <c r="QL60" s="67"/>
      <c r="QM60" s="67"/>
      <c r="QN60" s="67"/>
      <c r="QO60" s="67"/>
      <c r="QP60" s="67"/>
      <c r="QQ60" s="67"/>
      <c r="QR60" s="67"/>
      <c r="QS60" s="67"/>
      <c r="QT60" s="67"/>
      <c r="QU60" s="67"/>
      <c r="QV60" s="67"/>
      <c r="QW60" s="67"/>
      <c r="QX60" s="67"/>
      <c r="QY60" s="67"/>
      <c r="QZ60" s="67"/>
      <c r="RA60" s="67"/>
      <c r="RB60" s="67"/>
      <c r="RC60" s="67"/>
      <c r="RD60" s="67"/>
      <c r="RE60" s="67"/>
      <c r="RF60" s="67"/>
      <c r="RG60" s="67"/>
      <c r="RH60" s="67"/>
      <c r="RI60" s="67"/>
      <c r="RJ60" s="67"/>
      <c r="RK60" s="67"/>
      <c r="RL60" s="67"/>
      <c r="RM60" s="67"/>
      <c r="RN60" s="67"/>
      <c r="RO60" s="67"/>
      <c r="RP60" s="67"/>
      <c r="RQ60" s="67"/>
      <c r="RR60" s="67"/>
      <c r="RS60" s="67"/>
      <c r="RT60" s="67"/>
      <c r="RU60" s="67"/>
      <c r="RV60" s="67"/>
      <c r="RW60" s="67"/>
      <c r="RX60" s="67"/>
      <c r="RY60" s="67"/>
      <c r="RZ60" s="67"/>
      <c r="SA60" s="67"/>
      <c r="SB60" s="67"/>
      <c r="SC60" s="67"/>
      <c r="SD60" s="67"/>
      <c r="SE60" s="67"/>
      <c r="SF60" s="67"/>
      <c r="SG60" s="67"/>
      <c r="SH60" s="67"/>
      <c r="SI60" s="67"/>
      <c r="SJ60" s="67"/>
      <c r="SK60" s="67"/>
      <c r="SL60" s="67"/>
      <c r="SM60" s="67"/>
      <c r="SN60" s="67"/>
      <c r="SO60" s="67"/>
      <c r="SP60" s="67"/>
      <c r="SQ60" s="67"/>
      <c r="SR60" s="67"/>
      <c r="SS60" s="67"/>
      <c r="ST60" s="67"/>
      <c r="SU60" s="67"/>
      <c r="SV60" s="67"/>
      <c r="SW60" s="67"/>
      <c r="SX60" s="67"/>
      <c r="SY60" s="67"/>
      <c r="SZ60" s="67"/>
      <c r="TA60" s="67"/>
      <c r="TB60" s="67"/>
      <c r="TC60" s="67"/>
      <c r="TD60" s="67"/>
      <c r="TE60" s="67"/>
      <c r="TF60" s="67"/>
      <c r="TG60" s="67"/>
      <c r="TH60" s="67"/>
      <c r="TI60" s="67"/>
      <c r="TJ60" s="67"/>
      <c r="TK60" s="67"/>
      <c r="TL60" s="67"/>
      <c r="TM60" s="67"/>
      <c r="TN60" s="67"/>
      <c r="TO60" s="67"/>
      <c r="TP60" s="67"/>
      <c r="TQ60" s="67"/>
      <c r="TR60" s="67"/>
      <c r="TS60" s="67"/>
      <c r="TT60" s="67"/>
      <c r="TU60" s="67"/>
      <c r="TV60" s="67"/>
      <c r="TW60" s="67"/>
      <c r="TX60" s="67"/>
      <c r="TY60" s="67"/>
      <c r="TZ60" s="67"/>
      <c r="UA60" s="67"/>
      <c r="UB60" s="67"/>
      <c r="UC60" s="67"/>
      <c r="UD60" s="67"/>
      <c r="UE60" s="67"/>
      <c r="UF60" s="67"/>
      <c r="UG60" s="67"/>
      <c r="UH60" s="67"/>
      <c r="UI60" s="67"/>
      <c r="UJ60" s="67"/>
      <c r="UK60" s="67"/>
      <c r="UL60" s="67"/>
      <c r="UM60" s="67"/>
      <c r="UN60" s="67"/>
      <c r="UO60" s="67"/>
      <c r="UP60" s="67"/>
      <c r="UQ60" s="67"/>
      <c r="UR60" s="67"/>
      <c r="US60" s="67"/>
      <c r="UT60" s="67"/>
      <c r="UU60" s="67"/>
      <c r="UV60" s="67"/>
      <c r="UW60" s="67"/>
      <c r="UX60" s="67"/>
      <c r="UY60" s="67"/>
      <c r="UZ60" s="67"/>
      <c r="VA60" s="67"/>
      <c r="VB60" s="67"/>
      <c r="VC60" s="67"/>
      <c r="VD60" s="67"/>
      <c r="VE60" s="67"/>
      <c r="VF60" s="67"/>
      <c r="VG60" s="67"/>
      <c r="VH60" s="67"/>
      <c r="VI60" s="67"/>
      <c r="VJ60" s="67"/>
      <c r="VK60" s="67"/>
      <c r="VL60" s="67"/>
      <c r="VM60" s="67"/>
      <c r="VN60" s="67"/>
      <c r="VO60" s="67"/>
      <c r="VP60" s="67"/>
      <c r="VQ60" s="67"/>
      <c r="VR60" s="67"/>
      <c r="VS60" s="67"/>
      <c r="VT60" s="67"/>
      <c r="VU60" s="67"/>
      <c r="VV60" s="67"/>
      <c r="VW60" s="67"/>
      <c r="VX60" s="67"/>
      <c r="VY60" s="67"/>
      <c r="WA60" s="67"/>
      <c r="WB60" s="67"/>
      <c r="WC60" s="67"/>
      <c r="WD60" s="67"/>
      <c r="WE60" s="67"/>
      <c r="WF60" s="67"/>
      <c r="WG60" s="67"/>
      <c r="WH60" s="67"/>
      <c r="WI60" s="67"/>
      <c r="WJ60" s="2"/>
      <c r="WK60" s="2"/>
    </row>
    <row r="61" spans="1:609" x14ac:dyDescent="0.25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  <c r="LG61" s="67"/>
      <c r="LH61" s="67"/>
      <c r="LI61" s="67"/>
      <c r="LJ61" s="67"/>
      <c r="LK61" s="67"/>
      <c r="LL61" s="67"/>
      <c r="LM61" s="67"/>
      <c r="LN61" s="67"/>
      <c r="LO61" s="67"/>
      <c r="LP61" s="67"/>
      <c r="LQ61" s="67"/>
      <c r="LR61" s="67"/>
      <c r="LS61" s="67"/>
      <c r="LT61" s="67"/>
      <c r="LU61" s="67"/>
      <c r="LV61" s="67"/>
      <c r="LW61" s="67"/>
      <c r="LX61" s="67"/>
      <c r="LY61" s="67"/>
      <c r="LZ61" s="67"/>
      <c r="MA61" s="67"/>
      <c r="MB61" s="67"/>
      <c r="MC61" s="67"/>
      <c r="MD61" s="67"/>
      <c r="ME61" s="67"/>
      <c r="MF61" s="67"/>
      <c r="MG61" s="67"/>
      <c r="MH61" s="67"/>
      <c r="MI61" s="67"/>
      <c r="MJ61" s="67"/>
      <c r="MK61" s="67"/>
      <c r="ML61" s="67"/>
      <c r="MM61" s="67"/>
      <c r="MN61" s="67"/>
      <c r="MO61" s="67"/>
      <c r="MP61" s="67"/>
      <c r="MQ61" s="67"/>
      <c r="MR61" s="67"/>
      <c r="MS61" s="67"/>
      <c r="MT61" s="67"/>
      <c r="MU61" s="67"/>
      <c r="MV61" s="67"/>
      <c r="MW61" s="67"/>
      <c r="MX61" s="67"/>
      <c r="MY61" s="67"/>
      <c r="MZ61" s="67"/>
      <c r="NA61" s="67"/>
      <c r="NB61" s="67"/>
      <c r="NC61" s="67"/>
      <c r="ND61" s="67"/>
      <c r="NE61" s="67"/>
      <c r="NF61" s="67"/>
      <c r="NG61" s="67"/>
      <c r="NH61" s="67"/>
      <c r="NI61" s="67"/>
      <c r="NJ61" s="67"/>
      <c r="NK61" s="67"/>
      <c r="NL61" s="67"/>
      <c r="NM61" s="67"/>
      <c r="NN61" s="67"/>
      <c r="NO61" s="67"/>
      <c r="NP61" s="67"/>
      <c r="NQ61" s="67"/>
      <c r="NR61" s="67"/>
      <c r="NS61" s="67"/>
      <c r="NT61" s="67"/>
      <c r="NU61" s="67"/>
      <c r="NV61" s="67"/>
      <c r="NW61" s="67"/>
      <c r="NX61" s="67"/>
      <c r="NY61" s="67"/>
      <c r="NZ61" s="67"/>
      <c r="OA61" s="67"/>
      <c r="OB61" s="67"/>
      <c r="OC61" s="67"/>
      <c r="OD61" s="67"/>
      <c r="OE61" s="67"/>
      <c r="OF61" s="67"/>
      <c r="OG61" s="67"/>
      <c r="OH61" s="67"/>
      <c r="OI61" s="67"/>
      <c r="OJ61" s="67"/>
      <c r="OK61" s="67"/>
      <c r="OL61" s="67"/>
      <c r="OM61" s="67"/>
      <c r="ON61" s="67"/>
      <c r="OO61" s="67"/>
      <c r="OP61" s="67"/>
      <c r="OQ61" s="67"/>
      <c r="OR61" s="67"/>
      <c r="OS61" s="67"/>
      <c r="OT61" s="67"/>
      <c r="OU61" s="67"/>
      <c r="OV61" s="67"/>
      <c r="OW61" s="67"/>
      <c r="OX61" s="67"/>
      <c r="OY61" s="67"/>
      <c r="OZ61" s="67"/>
      <c r="PA61" s="67"/>
      <c r="PB61" s="67"/>
      <c r="PC61" s="67"/>
      <c r="PD61" s="67"/>
      <c r="PE61" s="67"/>
      <c r="PF61" s="67"/>
      <c r="PG61" s="67"/>
      <c r="PH61" s="67"/>
      <c r="PI61" s="67"/>
      <c r="PJ61" s="67"/>
      <c r="PK61" s="67"/>
      <c r="PL61" s="67"/>
      <c r="PM61" s="67"/>
      <c r="PN61" s="67"/>
      <c r="PO61" s="67"/>
      <c r="PP61" s="67"/>
      <c r="PQ61" s="67"/>
      <c r="PR61" s="67"/>
      <c r="PS61" s="67"/>
      <c r="PT61" s="67"/>
      <c r="PU61" s="67"/>
      <c r="PV61" s="67"/>
      <c r="PW61" s="67"/>
      <c r="PX61" s="67"/>
      <c r="PY61" s="67"/>
      <c r="PZ61" s="67"/>
      <c r="QA61" s="67"/>
      <c r="QB61" s="67"/>
      <c r="QC61" s="67"/>
      <c r="QD61" s="67"/>
      <c r="QE61" s="67"/>
      <c r="QF61" s="67"/>
      <c r="QG61" s="67"/>
      <c r="QH61" s="67"/>
      <c r="QI61" s="67"/>
      <c r="QJ61" s="67"/>
      <c r="QK61" s="67"/>
      <c r="QL61" s="67"/>
      <c r="QM61" s="67"/>
      <c r="QN61" s="67"/>
      <c r="QO61" s="67"/>
      <c r="QP61" s="67"/>
      <c r="QQ61" s="67"/>
      <c r="QR61" s="67"/>
      <c r="QS61" s="67"/>
      <c r="QT61" s="67"/>
      <c r="QU61" s="67"/>
      <c r="QV61" s="67"/>
      <c r="QW61" s="67"/>
      <c r="QX61" s="67"/>
      <c r="QY61" s="67"/>
      <c r="QZ61" s="67"/>
      <c r="RA61" s="67"/>
      <c r="RB61" s="67"/>
      <c r="RC61" s="67"/>
      <c r="RD61" s="67"/>
      <c r="RE61" s="67"/>
      <c r="RF61" s="67"/>
      <c r="RG61" s="67"/>
      <c r="RH61" s="67"/>
      <c r="RI61" s="67"/>
      <c r="RJ61" s="67"/>
      <c r="RK61" s="67"/>
      <c r="RL61" s="67"/>
      <c r="RM61" s="67"/>
      <c r="RN61" s="67"/>
      <c r="RO61" s="67"/>
      <c r="RP61" s="67"/>
      <c r="RQ61" s="67"/>
      <c r="RR61" s="67"/>
      <c r="RS61" s="67"/>
      <c r="RT61" s="67"/>
      <c r="RU61" s="67"/>
      <c r="RV61" s="67"/>
      <c r="RW61" s="67"/>
      <c r="RX61" s="67"/>
      <c r="RY61" s="67"/>
      <c r="RZ61" s="67"/>
      <c r="SA61" s="67"/>
      <c r="SB61" s="67"/>
      <c r="SC61" s="67"/>
      <c r="SD61" s="67"/>
      <c r="SE61" s="67"/>
      <c r="SF61" s="67"/>
      <c r="SG61" s="67"/>
      <c r="SH61" s="67"/>
      <c r="SI61" s="67"/>
      <c r="SJ61" s="67"/>
      <c r="SK61" s="67"/>
      <c r="SL61" s="67"/>
      <c r="SM61" s="67"/>
      <c r="SN61" s="67"/>
      <c r="SO61" s="67"/>
      <c r="SP61" s="67"/>
      <c r="SQ61" s="67"/>
      <c r="SR61" s="67"/>
      <c r="SS61" s="67"/>
      <c r="ST61" s="67"/>
      <c r="SU61" s="67"/>
      <c r="SV61" s="67"/>
      <c r="SW61" s="67"/>
      <c r="SX61" s="67"/>
      <c r="SY61" s="67"/>
      <c r="SZ61" s="67"/>
      <c r="TA61" s="67"/>
      <c r="TB61" s="67"/>
      <c r="TC61" s="67"/>
      <c r="TD61" s="67"/>
      <c r="TE61" s="67"/>
      <c r="TF61" s="67"/>
      <c r="TG61" s="67"/>
      <c r="TH61" s="67"/>
      <c r="TI61" s="67"/>
      <c r="TJ61" s="67"/>
      <c r="TK61" s="67"/>
      <c r="TL61" s="67"/>
      <c r="TM61" s="67"/>
      <c r="TN61" s="67"/>
      <c r="TO61" s="67"/>
      <c r="TP61" s="67"/>
      <c r="TQ61" s="67"/>
      <c r="TR61" s="67"/>
      <c r="TS61" s="67"/>
      <c r="TT61" s="67"/>
      <c r="TU61" s="67"/>
      <c r="TV61" s="67"/>
      <c r="TW61" s="67"/>
      <c r="TX61" s="67"/>
      <c r="TY61" s="67"/>
      <c r="TZ61" s="67"/>
      <c r="UA61" s="67"/>
      <c r="UB61" s="67"/>
      <c r="UC61" s="67"/>
      <c r="UD61" s="67"/>
      <c r="UE61" s="67"/>
      <c r="UF61" s="67"/>
      <c r="UG61" s="67"/>
      <c r="UH61" s="67"/>
      <c r="UI61" s="67"/>
      <c r="UJ61" s="67"/>
      <c r="UK61" s="67"/>
      <c r="UL61" s="67"/>
      <c r="UM61" s="67"/>
      <c r="UN61" s="67"/>
      <c r="UO61" s="67"/>
      <c r="UP61" s="67"/>
      <c r="UQ61" s="67"/>
      <c r="UR61" s="67"/>
      <c r="US61" s="67"/>
      <c r="UT61" s="67"/>
      <c r="UU61" s="67"/>
      <c r="UV61" s="67"/>
      <c r="UW61" s="67"/>
      <c r="UX61" s="67"/>
      <c r="UY61" s="67"/>
      <c r="UZ61" s="67"/>
      <c r="VA61" s="67"/>
      <c r="VB61" s="67"/>
      <c r="VC61" s="67"/>
      <c r="VD61" s="67"/>
      <c r="VE61" s="67"/>
      <c r="VF61" s="67"/>
      <c r="VG61" s="67"/>
      <c r="VH61" s="67"/>
      <c r="VI61" s="67"/>
      <c r="VJ61" s="67"/>
      <c r="VK61" s="67"/>
      <c r="VL61" s="67"/>
      <c r="VM61" s="67"/>
      <c r="VN61" s="67"/>
      <c r="VO61" s="67"/>
      <c r="VP61" s="67"/>
      <c r="VQ61" s="67"/>
      <c r="VR61" s="67"/>
      <c r="VS61" s="67"/>
      <c r="VT61" s="67"/>
      <c r="VU61" s="67"/>
      <c r="VV61" s="67"/>
      <c r="VW61" s="67"/>
      <c r="VX61" s="67"/>
      <c r="VY61" s="67"/>
      <c r="WA61" s="67"/>
      <c r="WB61" s="67"/>
      <c r="WC61" s="67"/>
      <c r="WD61" s="67"/>
      <c r="WE61" s="67"/>
      <c r="WF61" s="67"/>
      <c r="WG61" s="67"/>
      <c r="WH61" s="67"/>
      <c r="WI61" s="67"/>
      <c r="WJ61" s="2"/>
      <c r="WK61" s="2"/>
    </row>
    <row r="62" spans="1:609" x14ac:dyDescent="0.25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CZ62" s="67"/>
      <c r="DA62" s="67"/>
      <c r="DB62" s="67"/>
      <c r="DC62" s="67"/>
      <c r="DD62" s="67"/>
      <c r="DE62" s="67"/>
      <c r="DF62" s="67"/>
      <c r="DG62" s="67"/>
      <c r="DH62" s="67"/>
      <c r="DI62" s="67"/>
      <c r="DJ62" s="67"/>
      <c r="DK62" s="67"/>
      <c r="DL62" s="67"/>
      <c r="DM62" s="67"/>
      <c r="DN62" s="67"/>
      <c r="DO62" s="67"/>
      <c r="DP62" s="67"/>
      <c r="DQ62" s="67"/>
      <c r="DR62" s="67"/>
      <c r="DS62" s="67"/>
      <c r="DT62" s="67"/>
      <c r="DU62" s="67"/>
      <c r="DV62" s="67"/>
      <c r="DW62" s="67"/>
      <c r="DX62" s="67"/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  <c r="JI62" s="67"/>
      <c r="JJ62" s="67"/>
      <c r="JK62" s="67"/>
      <c r="JL62" s="67"/>
      <c r="JM62" s="67"/>
      <c r="JN62" s="67"/>
      <c r="JO62" s="67"/>
      <c r="JP62" s="67"/>
      <c r="JQ62" s="67"/>
      <c r="JR62" s="67"/>
      <c r="JS62" s="67"/>
      <c r="JT62" s="67"/>
      <c r="JU62" s="67"/>
      <c r="JV62" s="67"/>
      <c r="JW62" s="67"/>
      <c r="JX62" s="67"/>
      <c r="JY62" s="67"/>
      <c r="JZ62" s="67"/>
      <c r="KA62" s="67"/>
      <c r="KB62" s="67"/>
      <c r="KC62" s="67"/>
      <c r="KD62" s="67"/>
      <c r="KE62" s="67"/>
      <c r="KF62" s="67"/>
      <c r="KG62" s="67"/>
      <c r="KH62" s="67"/>
      <c r="KI62" s="67"/>
      <c r="KJ62" s="67"/>
      <c r="KK62" s="67"/>
      <c r="KL62" s="67"/>
      <c r="KM62" s="67"/>
      <c r="KN62" s="67"/>
      <c r="KO62" s="67"/>
      <c r="KP62" s="67"/>
      <c r="KQ62" s="67"/>
      <c r="KR62" s="67"/>
      <c r="KS62" s="67"/>
      <c r="KT62" s="67"/>
      <c r="KU62" s="67"/>
      <c r="KV62" s="67"/>
      <c r="KW62" s="67"/>
      <c r="KX62" s="67"/>
      <c r="KY62" s="67"/>
      <c r="KZ62" s="67"/>
      <c r="LA62" s="67"/>
      <c r="LB62" s="67"/>
      <c r="LC62" s="67"/>
      <c r="LD62" s="67"/>
      <c r="LE62" s="67"/>
      <c r="LF62" s="67"/>
      <c r="LG62" s="67"/>
      <c r="LH62" s="67"/>
      <c r="LI62" s="67"/>
      <c r="LJ62" s="67"/>
      <c r="LK62" s="67"/>
      <c r="LL62" s="67"/>
      <c r="LM62" s="67"/>
      <c r="LN62" s="67"/>
      <c r="LO62" s="67"/>
      <c r="LP62" s="67"/>
      <c r="LQ62" s="67"/>
      <c r="LR62" s="67"/>
      <c r="LS62" s="67"/>
      <c r="LT62" s="67"/>
      <c r="LU62" s="67"/>
      <c r="LV62" s="67"/>
      <c r="LW62" s="67"/>
      <c r="LX62" s="67"/>
      <c r="LY62" s="67"/>
      <c r="LZ62" s="67"/>
      <c r="MA62" s="67"/>
      <c r="MB62" s="67"/>
      <c r="MC62" s="67"/>
      <c r="MD62" s="67"/>
      <c r="ME62" s="67"/>
      <c r="MF62" s="67"/>
      <c r="MG62" s="67"/>
      <c r="MH62" s="67"/>
      <c r="MI62" s="67"/>
      <c r="MJ62" s="67"/>
      <c r="MK62" s="67"/>
      <c r="ML62" s="67"/>
      <c r="MM62" s="67"/>
      <c r="MN62" s="67"/>
      <c r="MO62" s="67"/>
      <c r="MP62" s="67"/>
      <c r="MQ62" s="67"/>
      <c r="MR62" s="67"/>
      <c r="MS62" s="67"/>
      <c r="MT62" s="67"/>
      <c r="MU62" s="67"/>
      <c r="MV62" s="67"/>
      <c r="MW62" s="67"/>
      <c r="MX62" s="67"/>
      <c r="MY62" s="67"/>
      <c r="MZ62" s="67"/>
      <c r="NA62" s="67"/>
      <c r="NB62" s="67"/>
      <c r="NC62" s="67"/>
      <c r="ND62" s="67"/>
      <c r="NE62" s="67"/>
      <c r="NF62" s="67"/>
      <c r="NG62" s="67"/>
      <c r="NH62" s="67"/>
      <c r="NI62" s="67"/>
      <c r="NJ62" s="67"/>
      <c r="NK62" s="67"/>
      <c r="NL62" s="67"/>
      <c r="NM62" s="67"/>
      <c r="NN62" s="67"/>
      <c r="NO62" s="67"/>
      <c r="NP62" s="67"/>
      <c r="NQ62" s="67"/>
      <c r="NR62" s="67"/>
      <c r="NS62" s="67"/>
      <c r="NT62" s="67"/>
      <c r="NU62" s="67"/>
      <c r="NV62" s="67"/>
      <c r="NW62" s="67"/>
      <c r="NX62" s="67"/>
      <c r="NY62" s="67"/>
      <c r="NZ62" s="67"/>
      <c r="OA62" s="67"/>
      <c r="OB62" s="67"/>
      <c r="OC62" s="67"/>
      <c r="OD62" s="67"/>
      <c r="OE62" s="67"/>
      <c r="OF62" s="67"/>
      <c r="OG62" s="67"/>
      <c r="OH62" s="67"/>
      <c r="OI62" s="67"/>
      <c r="OJ62" s="67"/>
      <c r="OK62" s="67"/>
      <c r="OL62" s="67"/>
      <c r="OM62" s="67"/>
      <c r="ON62" s="67"/>
      <c r="OO62" s="67"/>
      <c r="OP62" s="67"/>
      <c r="OQ62" s="67"/>
      <c r="OR62" s="67"/>
      <c r="OS62" s="67"/>
      <c r="OT62" s="67"/>
      <c r="OU62" s="67"/>
      <c r="OV62" s="67"/>
      <c r="OW62" s="67"/>
      <c r="OX62" s="67"/>
      <c r="OY62" s="67"/>
      <c r="OZ62" s="67"/>
      <c r="PA62" s="67"/>
      <c r="PB62" s="67"/>
      <c r="PC62" s="67"/>
      <c r="PD62" s="67"/>
      <c r="PE62" s="67"/>
      <c r="PF62" s="67"/>
      <c r="PG62" s="67"/>
      <c r="PH62" s="67"/>
      <c r="PI62" s="67"/>
      <c r="PJ62" s="67"/>
      <c r="PK62" s="67"/>
      <c r="PL62" s="67"/>
      <c r="PM62" s="67"/>
      <c r="PN62" s="67"/>
      <c r="PO62" s="67"/>
      <c r="PP62" s="67"/>
      <c r="PQ62" s="67"/>
      <c r="PR62" s="67"/>
      <c r="PS62" s="67"/>
      <c r="PT62" s="67"/>
      <c r="PU62" s="67"/>
      <c r="PV62" s="67"/>
      <c r="PW62" s="67"/>
      <c r="PX62" s="67"/>
      <c r="PY62" s="67"/>
      <c r="PZ62" s="67"/>
      <c r="QA62" s="67"/>
      <c r="QB62" s="67"/>
      <c r="QC62" s="67"/>
      <c r="QD62" s="67"/>
      <c r="QE62" s="67"/>
      <c r="QF62" s="67"/>
      <c r="QG62" s="67"/>
      <c r="QH62" s="67"/>
      <c r="QI62" s="67"/>
      <c r="QJ62" s="67"/>
      <c r="QK62" s="67"/>
      <c r="QL62" s="67"/>
      <c r="QM62" s="67"/>
      <c r="QN62" s="67"/>
      <c r="QO62" s="67"/>
      <c r="QP62" s="67"/>
      <c r="QQ62" s="67"/>
      <c r="QR62" s="67"/>
      <c r="QS62" s="67"/>
      <c r="QT62" s="67"/>
      <c r="QU62" s="67"/>
      <c r="QV62" s="67"/>
      <c r="QW62" s="67"/>
      <c r="QX62" s="67"/>
      <c r="QY62" s="67"/>
      <c r="QZ62" s="67"/>
      <c r="RA62" s="67"/>
      <c r="RB62" s="67"/>
      <c r="RC62" s="67"/>
      <c r="RD62" s="67"/>
      <c r="RE62" s="67"/>
      <c r="RF62" s="67"/>
      <c r="RG62" s="67"/>
      <c r="RH62" s="67"/>
      <c r="RI62" s="67"/>
      <c r="RJ62" s="67"/>
      <c r="RK62" s="67"/>
      <c r="RL62" s="67"/>
      <c r="RM62" s="67"/>
      <c r="RN62" s="67"/>
      <c r="RO62" s="67"/>
      <c r="RP62" s="67"/>
      <c r="RQ62" s="67"/>
      <c r="RR62" s="67"/>
      <c r="RS62" s="67"/>
      <c r="RT62" s="67"/>
      <c r="RU62" s="67"/>
      <c r="RV62" s="67"/>
      <c r="RW62" s="67"/>
      <c r="RX62" s="67"/>
      <c r="RY62" s="67"/>
      <c r="RZ62" s="67"/>
      <c r="SA62" s="67"/>
      <c r="SB62" s="67"/>
      <c r="SC62" s="67"/>
      <c r="SD62" s="67"/>
      <c r="SE62" s="67"/>
      <c r="SF62" s="67"/>
      <c r="SG62" s="67"/>
      <c r="SH62" s="67"/>
      <c r="SI62" s="67"/>
      <c r="SJ62" s="67"/>
      <c r="SK62" s="67"/>
      <c r="SL62" s="67"/>
      <c r="SM62" s="67"/>
      <c r="SN62" s="67"/>
      <c r="SO62" s="67"/>
      <c r="SP62" s="67"/>
      <c r="SQ62" s="67"/>
      <c r="SR62" s="67"/>
      <c r="SS62" s="67"/>
      <c r="ST62" s="67"/>
      <c r="SU62" s="67"/>
      <c r="SV62" s="67"/>
      <c r="SW62" s="67"/>
      <c r="SX62" s="67"/>
      <c r="SY62" s="67"/>
      <c r="SZ62" s="67"/>
      <c r="TA62" s="67"/>
      <c r="TB62" s="67"/>
      <c r="TC62" s="67"/>
      <c r="TD62" s="67"/>
      <c r="TE62" s="67"/>
      <c r="TF62" s="67"/>
      <c r="TG62" s="67"/>
      <c r="TH62" s="67"/>
      <c r="TI62" s="67"/>
      <c r="TJ62" s="67"/>
      <c r="TK62" s="67"/>
      <c r="TL62" s="67"/>
      <c r="TM62" s="67"/>
      <c r="TN62" s="67"/>
      <c r="TO62" s="67"/>
      <c r="TP62" s="67"/>
      <c r="TQ62" s="67"/>
      <c r="TR62" s="67"/>
      <c r="TS62" s="67"/>
      <c r="TT62" s="67"/>
      <c r="TU62" s="67"/>
      <c r="TV62" s="67"/>
      <c r="TW62" s="67"/>
      <c r="TX62" s="67"/>
      <c r="TY62" s="67"/>
      <c r="TZ62" s="67"/>
      <c r="UA62" s="67"/>
      <c r="UB62" s="67"/>
      <c r="UC62" s="67"/>
      <c r="UD62" s="67"/>
      <c r="UE62" s="67"/>
      <c r="UF62" s="67"/>
      <c r="UG62" s="67"/>
      <c r="UH62" s="67"/>
      <c r="UI62" s="67"/>
      <c r="UJ62" s="67"/>
      <c r="UK62" s="67"/>
      <c r="UL62" s="67"/>
      <c r="UM62" s="67"/>
      <c r="UN62" s="67"/>
      <c r="UO62" s="67"/>
      <c r="UP62" s="67"/>
      <c r="UQ62" s="67"/>
      <c r="UR62" s="67"/>
      <c r="US62" s="67"/>
      <c r="UT62" s="67"/>
      <c r="UU62" s="67"/>
      <c r="UV62" s="67"/>
      <c r="UW62" s="67"/>
      <c r="UX62" s="67"/>
      <c r="UY62" s="67"/>
      <c r="UZ62" s="67"/>
      <c r="VA62" s="67"/>
      <c r="VB62" s="67"/>
      <c r="VC62" s="67"/>
      <c r="VD62" s="67"/>
      <c r="VE62" s="67"/>
      <c r="VF62" s="67"/>
      <c r="VG62" s="67"/>
      <c r="VH62" s="67"/>
      <c r="VI62" s="67"/>
      <c r="VJ62" s="67"/>
      <c r="VK62" s="67"/>
      <c r="VL62" s="67"/>
      <c r="VM62" s="67"/>
      <c r="VN62" s="67"/>
      <c r="VO62" s="67"/>
      <c r="VP62" s="67"/>
      <c r="VQ62" s="67"/>
      <c r="VR62" s="67"/>
      <c r="VS62" s="67"/>
      <c r="VT62" s="67"/>
      <c r="VU62" s="67"/>
      <c r="VV62" s="67"/>
      <c r="VW62" s="67"/>
      <c r="VX62" s="67"/>
      <c r="VY62" s="67"/>
      <c r="WA62" s="67"/>
      <c r="WB62" s="67"/>
      <c r="WC62" s="67"/>
      <c r="WD62" s="67"/>
      <c r="WE62" s="67"/>
      <c r="WF62" s="67"/>
      <c r="WG62" s="67"/>
      <c r="WH62" s="67"/>
      <c r="WI62" s="67"/>
      <c r="WJ62" s="2"/>
      <c r="WK62" s="2"/>
    </row>
    <row r="63" spans="1:609" x14ac:dyDescent="0.25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  <c r="LG63" s="67"/>
      <c r="LH63" s="67"/>
      <c r="LI63" s="67"/>
      <c r="LJ63" s="67"/>
      <c r="LK63" s="67"/>
      <c r="LL63" s="67"/>
      <c r="LM63" s="67"/>
      <c r="LN63" s="67"/>
      <c r="LO63" s="67"/>
      <c r="LP63" s="67"/>
      <c r="LQ63" s="67"/>
      <c r="LR63" s="67"/>
      <c r="LS63" s="67"/>
      <c r="LT63" s="67"/>
      <c r="LU63" s="67"/>
      <c r="LV63" s="67"/>
      <c r="LW63" s="67"/>
      <c r="LX63" s="67"/>
      <c r="LY63" s="67"/>
      <c r="LZ63" s="67"/>
      <c r="MA63" s="67"/>
      <c r="MB63" s="67"/>
      <c r="MC63" s="67"/>
      <c r="MD63" s="67"/>
      <c r="ME63" s="67"/>
      <c r="MF63" s="67"/>
      <c r="MG63" s="67"/>
      <c r="MH63" s="67"/>
      <c r="MI63" s="67"/>
      <c r="MJ63" s="67"/>
      <c r="MK63" s="67"/>
      <c r="ML63" s="67"/>
      <c r="MM63" s="67"/>
      <c r="MN63" s="67"/>
      <c r="MO63" s="67"/>
      <c r="MP63" s="67"/>
      <c r="MQ63" s="67"/>
      <c r="MR63" s="67"/>
      <c r="MS63" s="67"/>
      <c r="MT63" s="67"/>
      <c r="MU63" s="67"/>
      <c r="MV63" s="67"/>
      <c r="MW63" s="67"/>
      <c r="MX63" s="67"/>
      <c r="MY63" s="67"/>
      <c r="MZ63" s="67"/>
      <c r="NA63" s="67"/>
      <c r="NB63" s="67"/>
      <c r="NC63" s="67"/>
      <c r="ND63" s="67"/>
      <c r="NE63" s="67"/>
      <c r="NF63" s="67"/>
      <c r="NG63" s="67"/>
      <c r="NH63" s="67"/>
      <c r="NI63" s="67"/>
      <c r="NJ63" s="67"/>
      <c r="NK63" s="67"/>
      <c r="NL63" s="67"/>
      <c r="NM63" s="67"/>
      <c r="NN63" s="67"/>
      <c r="NO63" s="67"/>
      <c r="NP63" s="67"/>
      <c r="NQ63" s="67"/>
      <c r="NR63" s="67"/>
      <c r="NS63" s="67"/>
      <c r="NT63" s="67"/>
      <c r="NU63" s="67"/>
      <c r="NV63" s="67"/>
      <c r="NW63" s="67"/>
      <c r="NX63" s="67"/>
      <c r="NY63" s="67"/>
      <c r="NZ63" s="67"/>
      <c r="OA63" s="67"/>
      <c r="OB63" s="67"/>
      <c r="OC63" s="67"/>
      <c r="OD63" s="67"/>
      <c r="OE63" s="67"/>
      <c r="OF63" s="67"/>
      <c r="OG63" s="67"/>
      <c r="OH63" s="67"/>
      <c r="OI63" s="67"/>
      <c r="OJ63" s="67"/>
      <c r="OK63" s="67"/>
      <c r="OL63" s="67"/>
      <c r="OM63" s="67"/>
      <c r="ON63" s="67"/>
      <c r="OO63" s="67"/>
      <c r="OP63" s="67"/>
      <c r="OQ63" s="67"/>
      <c r="OR63" s="67"/>
      <c r="OS63" s="67"/>
      <c r="OT63" s="67"/>
      <c r="OU63" s="67"/>
      <c r="OV63" s="67"/>
      <c r="OW63" s="67"/>
      <c r="OX63" s="67"/>
      <c r="OY63" s="67"/>
      <c r="OZ63" s="67"/>
      <c r="PA63" s="67"/>
      <c r="PB63" s="67"/>
      <c r="PC63" s="67"/>
      <c r="PD63" s="67"/>
      <c r="PE63" s="67"/>
      <c r="PF63" s="67"/>
      <c r="PG63" s="67"/>
      <c r="PH63" s="67"/>
      <c r="PI63" s="67"/>
      <c r="PJ63" s="67"/>
      <c r="PK63" s="67"/>
      <c r="PL63" s="67"/>
      <c r="PM63" s="67"/>
      <c r="PN63" s="67"/>
      <c r="PO63" s="67"/>
      <c r="PP63" s="67"/>
      <c r="PQ63" s="67"/>
      <c r="PR63" s="67"/>
      <c r="PS63" s="67"/>
      <c r="PT63" s="67"/>
      <c r="PU63" s="67"/>
      <c r="PV63" s="67"/>
      <c r="PW63" s="67"/>
      <c r="PX63" s="67"/>
      <c r="PY63" s="67"/>
      <c r="PZ63" s="67"/>
      <c r="QA63" s="67"/>
      <c r="QB63" s="67"/>
      <c r="QC63" s="67"/>
      <c r="QD63" s="67"/>
      <c r="QE63" s="67"/>
      <c r="QF63" s="67"/>
      <c r="QG63" s="67"/>
      <c r="QH63" s="67"/>
      <c r="QI63" s="67"/>
      <c r="QJ63" s="67"/>
      <c r="QK63" s="67"/>
      <c r="QL63" s="67"/>
      <c r="QM63" s="67"/>
      <c r="QN63" s="67"/>
      <c r="QO63" s="67"/>
      <c r="QP63" s="67"/>
      <c r="QQ63" s="67"/>
      <c r="QR63" s="67"/>
      <c r="QS63" s="67"/>
      <c r="QT63" s="67"/>
      <c r="QU63" s="67"/>
      <c r="QV63" s="67"/>
      <c r="QW63" s="67"/>
      <c r="QX63" s="67"/>
      <c r="QY63" s="67"/>
      <c r="QZ63" s="67"/>
      <c r="RA63" s="67"/>
      <c r="RB63" s="67"/>
      <c r="RC63" s="67"/>
      <c r="RD63" s="67"/>
      <c r="RE63" s="67"/>
      <c r="RF63" s="67"/>
      <c r="RG63" s="67"/>
      <c r="RH63" s="67"/>
      <c r="RI63" s="67"/>
      <c r="RJ63" s="67"/>
      <c r="RK63" s="67"/>
      <c r="RL63" s="67"/>
      <c r="RM63" s="67"/>
      <c r="RN63" s="67"/>
      <c r="RO63" s="67"/>
      <c r="RP63" s="67"/>
      <c r="RQ63" s="67"/>
      <c r="RR63" s="67"/>
      <c r="RS63" s="67"/>
      <c r="RT63" s="67"/>
      <c r="RU63" s="67"/>
      <c r="RV63" s="67"/>
      <c r="RW63" s="67"/>
      <c r="RX63" s="67"/>
      <c r="RY63" s="67"/>
      <c r="RZ63" s="67"/>
      <c r="SA63" s="67"/>
      <c r="SB63" s="67"/>
      <c r="SC63" s="67"/>
      <c r="SD63" s="67"/>
      <c r="SE63" s="67"/>
      <c r="SF63" s="67"/>
      <c r="SG63" s="67"/>
      <c r="SH63" s="67"/>
      <c r="SI63" s="67"/>
      <c r="SJ63" s="67"/>
      <c r="SK63" s="67"/>
      <c r="SL63" s="67"/>
      <c r="SM63" s="67"/>
      <c r="SN63" s="67"/>
      <c r="SO63" s="67"/>
      <c r="SP63" s="67"/>
      <c r="SQ63" s="67"/>
      <c r="SR63" s="67"/>
      <c r="SS63" s="67"/>
      <c r="ST63" s="67"/>
      <c r="SU63" s="67"/>
      <c r="SV63" s="67"/>
      <c r="SW63" s="67"/>
      <c r="SX63" s="67"/>
      <c r="SY63" s="67"/>
      <c r="SZ63" s="67"/>
      <c r="TA63" s="67"/>
      <c r="TB63" s="67"/>
      <c r="TC63" s="67"/>
      <c r="TD63" s="67"/>
      <c r="TE63" s="67"/>
      <c r="TF63" s="67"/>
      <c r="TG63" s="67"/>
      <c r="TH63" s="67"/>
      <c r="TI63" s="67"/>
      <c r="TJ63" s="67"/>
      <c r="TK63" s="67"/>
      <c r="TL63" s="67"/>
      <c r="TM63" s="67"/>
      <c r="TN63" s="67"/>
      <c r="TO63" s="67"/>
      <c r="TP63" s="67"/>
      <c r="TQ63" s="67"/>
      <c r="TR63" s="67"/>
      <c r="TS63" s="67"/>
      <c r="TT63" s="67"/>
      <c r="TU63" s="67"/>
      <c r="TV63" s="67"/>
      <c r="TW63" s="67"/>
      <c r="TX63" s="67"/>
      <c r="TY63" s="67"/>
      <c r="TZ63" s="67"/>
      <c r="UA63" s="67"/>
      <c r="UB63" s="67"/>
      <c r="UC63" s="67"/>
      <c r="UD63" s="67"/>
      <c r="UE63" s="67"/>
      <c r="UF63" s="67"/>
      <c r="UG63" s="67"/>
      <c r="UH63" s="67"/>
      <c r="UI63" s="67"/>
      <c r="UJ63" s="67"/>
      <c r="UK63" s="67"/>
      <c r="UL63" s="67"/>
      <c r="UM63" s="67"/>
      <c r="UN63" s="67"/>
      <c r="UO63" s="67"/>
      <c r="UP63" s="67"/>
      <c r="UQ63" s="67"/>
      <c r="UR63" s="67"/>
      <c r="US63" s="67"/>
      <c r="UT63" s="67"/>
      <c r="UU63" s="67"/>
      <c r="UV63" s="67"/>
      <c r="UW63" s="67"/>
      <c r="UX63" s="67"/>
      <c r="UY63" s="67"/>
      <c r="UZ63" s="67"/>
      <c r="VA63" s="67"/>
      <c r="VB63" s="67"/>
      <c r="VC63" s="67"/>
      <c r="VD63" s="67"/>
      <c r="VE63" s="67"/>
      <c r="VF63" s="67"/>
      <c r="VG63" s="67"/>
      <c r="VH63" s="67"/>
      <c r="VI63" s="67"/>
      <c r="VJ63" s="67"/>
      <c r="VK63" s="67"/>
      <c r="VL63" s="67"/>
      <c r="VM63" s="67"/>
      <c r="VN63" s="67"/>
      <c r="VO63" s="67"/>
      <c r="VP63" s="67"/>
      <c r="VQ63" s="67"/>
      <c r="VR63" s="67"/>
      <c r="VS63" s="67"/>
      <c r="VT63" s="67"/>
      <c r="VU63" s="67"/>
      <c r="VV63" s="67"/>
      <c r="VW63" s="67"/>
      <c r="VX63" s="67"/>
      <c r="VY63" s="67"/>
      <c r="WA63" s="67"/>
      <c r="WB63" s="67"/>
      <c r="WC63" s="67"/>
      <c r="WD63" s="67"/>
      <c r="WE63" s="67"/>
      <c r="WF63" s="67"/>
      <c r="WG63" s="67"/>
      <c r="WH63" s="67"/>
      <c r="WI63" s="67"/>
      <c r="WJ63" s="2"/>
      <c r="WK63" s="2"/>
    </row>
    <row r="64" spans="1:609" x14ac:dyDescent="0.25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  <c r="LG64" s="67"/>
      <c r="LH64" s="67"/>
      <c r="LI64" s="67"/>
      <c r="LJ64" s="67"/>
      <c r="LK64" s="67"/>
      <c r="LL64" s="67"/>
      <c r="LM64" s="67"/>
      <c r="LN64" s="67"/>
      <c r="LO64" s="67"/>
      <c r="LP64" s="67"/>
      <c r="LQ64" s="67"/>
      <c r="LR64" s="67"/>
      <c r="LS64" s="67"/>
      <c r="LT64" s="67"/>
      <c r="LU64" s="67"/>
      <c r="LV64" s="67"/>
      <c r="LW64" s="67"/>
      <c r="LX64" s="67"/>
      <c r="LY64" s="67"/>
      <c r="LZ64" s="67"/>
      <c r="MA64" s="67"/>
      <c r="MB64" s="67"/>
      <c r="MC64" s="67"/>
      <c r="MD64" s="67"/>
      <c r="ME64" s="67"/>
      <c r="MF64" s="67"/>
      <c r="MG64" s="67"/>
      <c r="MH64" s="67"/>
      <c r="MI64" s="67"/>
      <c r="MJ64" s="67"/>
      <c r="MK64" s="67"/>
      <c r="ML64" s="67"/>
      <c r="MM64" s="67"/>
      <c r="MN64" s="67"/>
      <c r="MO64" s="67"/>
      <c r="MP64" s="67"/>
      <c r="MQ64" s="67"/>
      <c r="MR64" s="67"/>
      <c r="MS64" s="67"/>
      <c r="MT64" s="67"/>
      <c r="MU64" s="67"/>
      <c r="MV64" s="67"/>
      <c r="MW64" s="67"/>
      <c r="MX64" s="67"/>
      <c r="MY64" s="67"/>
      <c r="MZ64" s="67"/>
      <c r="NA64" s="67"/>
      <c r="NB64" s="67"/>
      <c r="NC64" s="67"/>
      <c r="ND64" s="67"/>
      <c r="NE64" s="67"/>
      <c r="NF64" s="67"/>
      <c r="NG64" s="67"/>
      <c r="NH64" s="67"/>
      <c r="NI64" s="67"/>
      <c r="NJ64" s="67"/>
      <c r="NK64" s="67"/>
      <c r="NL64" s="67"/>
      <c r="NM64" s="67"/>
      <c r="NN64" s="67"/>
      <c r="NO64" s="67"/>
      <c r="NP64" s="67"/>
      <c r="NQ64" s="67"/>
      <c r="NR64" s="67"/>
      <c r="NS64" s="67"/>
      <c r="NT64" s="67"/>
      <c r="NU64" s="67"/>
      <c r="NV64" s="67"/>
      <c r="NW64" s="67"/>
      <c r="NX64" s="67"/>
      <c r="NY64" s="67"/>
      <c r="NZ64" s="67"/>
      <c r="OA64" s="67"/>
      <c r="OB64" s="67"/>
      <c r="OC64" s="67"/>
      <c r="OD64" s="67"/>
      <c r="OE64" s="67"/>
      <c r="OF64" s="67"/>
      <c r="OG64" s="67"/>
      <c r="OH64" s="67"/>
      <c r="OI64" s="67"/>
      <c r="OJ64" s="67"/>
      <c r="OK64" s="67"/>
      <c r="OL64" s="67"/>
      <c r="OM64" s="67"/>
      <c r="ON64" s="67"/>
      <c r="OO64" s="67"/>
      <c r="OP64" s="67"/>
      <c r="OQ64" s="67"/>
      <c r="OR64" s="67"/>
      <c r="OS64" s="67"/>
      <c r="OT64" s="67"/>
      <c r="OU64" s="67"/>
      <c r="OV64" s="67"/>
      <c r="OW64" s="67"/>
      <c r="OX64" s="67"/>
      <c r="OY64" s="67"/>
      <c r="OZ64" s="67"/>
      <c r="PA64" s="67"/>
      <c r="PB64" s="67"/>
      <c r="PC64" s="67"/>
      <c r="PD64" s="67"/>
      <c r="PE64" s="67"/>
      <c r="PF64" s="67"/>
      <c r="PG64" s="67"/>
      <c r="PH64" s="67"/>
      <c r="PI64" s="67"/>
      <c r="PJ64" s="67"/>
      <c r="PK64" s="67"/>
      <c r="PL64" s="67"/>
      <c r="PM64" s="67"/>
      <c r="PN64" s="67"/>
      <c r="PO64" s="67"/>
      <c r="PP64" s="67"/>
      <c r="PQ64" s="67"/>
      <c r="PR64" s="67"/>
      <c r="PS64" s="67"/>
      <c r="PT64" s="67"/>
      <c r="PU64" s="67"/>
      <c r="PV64" s="67"/>
      <c r="PW64" s="67"/>
      <c r="PX64" s="67"/>
      <c r="PY64" s="67"/>
      <c r="PZ64" s="67"/>
      <c r="QA64" s="67"/>
      <c r="QB64" s="67"/>
      <c r="QC64" s="67"/>
      <c r="QD64" s="67"/>
      <c r="QE64" s="67"/>
      <c r="QF64" s="67"/>
      <c r="QG64" s="67"/>
      <c r="QH64" s="67"/>
      <c r="QI64" s="67"/>
      <c r="QJ64" s="67"/>
      <c r="QK64" s="67"/>
      <c r="QL64" s="67"/>
      <c r="QM64" s="67"/>
      <c r="QN64" s="67"/>
      <c r="QO64" s="67"/>
      <c r="QP64" s="67"/>
      <c r="QQ64" s="67"/>
      <c r="QR64" s="67"/>
      <c r="QS64" s="67"/>
      <c r="QT64" s="67"/>
      <c r="QU64" s="67"/>
      <c r="QV64" s="67"/>
      <c r="QW64" s="67"/>
      <c r="QX64" s="67"/>
      <c r="QY64" s="67"/>
      <c r="QZ64" s="67"/>
      <c r="RA64" s="67"/>
      <c r="RB64" s="67"/>
      <c r="RC64" s="67"/>
      <c r="RD64" s="67"/>
      <c r="RE64" s="67"/>
      <c r="RF64" s="67"/>
      <c r="RG64" s="67"/>
      <c r="RH64" s="67"/>
      <c r="RI64" s="67"/>
      <c r="RJ64" s="67"/>
      <c r="RK64" s="67"/>
      <c r="RL64" s="67"/>
      <c r="RM64" s="67"/>
      <c r="RN64" s="67"/>
      <c r="RO64" s="67"/>
      <c r="RP64" s="67"/>
      <c r="RQ64" s="67"/>
      <c r="RR64" s="67"/>
      <c r="RS64" s="67"/>
      <c r="RT64" s="67"/>
      <c r="RU64" s="67"/>
      <c r="RV64" s="67"/>
      <c r="RW64" s="67"/>
      <c r="RX64" s="67"/>
      <c r="RY64" s="67"/>
      <c r="RZ64" s="67"/>
      <c r="SA64" s="67"/>
      <c r="SB64" s="67"/>
      <c r="SC64" s="67"/>
      <c r="SD64" s="67"/>
      <c r="SE64" s="67"/>
      <c r="SF64" s="67"/>
      <c r="SG64" s="67"/>
      <c r="SH64" s="67"/>
      <c r="SI64" s="67"/>
      <c r="SJ64" s="67"/>
      <c r="SK64" s="67"/>
      <c r="SL64" s="67"/>
      <c r="SM64" s="67"/>
      <c r="SN64" s="67"/>
      <c r="SO64" s="67"/>
      <c r="SP64" s="67"/>
      <c r="SQ64" s="67"/>
      <c r="SR64" s="67"/>
      <c r="SS64" s="67"/>
      <c r="ST64" s="67"/>
      <c r="SU64" s="67"/>
      <c r="SV64" s="67"/>
      <c r="SW64" s="67"/>
      <c r="SX64" s="67"/>
      <c r="SY64" s="67"/>
      <c r="SZ64" s="67"/>
      <c r="TA64" s="67"/>
      <c r="TB64" s="67"/>
      <c r="TC64" s="67"/>
      <c r="TD64" s="67"/>
      <c r="TE64" s="67"/>
      <c r="TF64" s="67"/>
      <c r="TG64" s="67"/>
      <c r="TH64" s="67"/>
      <c r="TI64" s="67"/>
      <c r="TJ64" s="67"/>
      <c r="TK64" s="67"/>
      <c r="TL64" s="67"/>
      <c r="TM64" s="67"/>
      <c r="TN64" s="67"/>
      <c r="TO64" s="67"/>
      <c r="TP64" s="67"/>
      <c r="TQ64" s="67"/>
      <c r="TR64" s="67"/>
      <c r="TS64" s="67"/>
      <c r="TT64" s="67"/>
      <c r="TU64" s="67"/>
      <c r="TV64" s="67"/>
      <c r="TW64" s="67"/>
      <c r="TX64" s="67"/>
      <c r="TY64" s="67"/>
      <c r="TZ64" s="67"/>
      <c r="UA64" s="67"/>
      <c r="UB64" s="67"/>
      <c r="UC64" s="67"/>
      <c r="UD64" s="67"/>
      <c r="UE64" s="67"/>
      <c r="UF64" s="67"/>
      <c r="UG64" s="67"/>
      <c r="UH64" s="67"/>
      <c r="UI64" s="67"/>
      <c r="UJ64" s="67"/>
      <c r="UK64" s="67"/>
      <c r="UL64" s="67"/>
      <c r="UM64" s="67"/>
      <c r="UN64" s="67"/>
      <c r="UO64" s="67"/>
      <c r="UP64" s="67"/>
      <c r="UQ64" s="67"/>
      <c r="UR64" s="67"/>
      <c r="US64" s="67"/>
      <c r="UT64" s="67"/>
      <c r="UU64" s="67"/>
      <c r="UV64" s="67"/>
      <c r="UW64" s="67"/>
      <c r="UX64" s="67"/>
      <c r="UY64" s="67"/>
      <c r="UZ64" s="67"/>
      <c r="VA64" s="67"/>
      <c r="VB64" s="67"/>
      <c r="VC64" s="67"/>
      <c r="VD64" s="67"/>
      <c r="VE64" s="67"/>
      <c r="VF64" s="67"/>
      <c r="VG64" s="67"/>
      <c r="VH64" s="67"/>
      <c r="VI64" s="67"/>
      <c r="VJ64" s="67"/>
      <c r="VK64" s="67"/>
      <c r="VL64" s="67"/>
      <c r="VM64" s="67"/>
      <c r="VN64" s="67"/>
      <c r="VO64" s="67"/>
      <c r="VP64" s="67"/>
      <c r="VQ64" s="67"/>
      <c r="VR64" s="67"/>
      <c r="VS64" s="67"/>
      <c r="VT64" s="67"/>
      <c r="VU64" s="67"/>
      <c r="VV64" s="67"/>
      <c r="VW64" s="67"/>
      <c r="VX64" s="67"/>
      <c r="VY64" s="67"/>
      <c r="WA64" s="67"/>
      <c r="WB64" s="67"/>
      <c r="WC64" s="67"/>
      <c r="WD64" s="67"/>
      <c r="WE64" s="67"/>
      <c r="WF64" s="67"/>
      <c r="WG64" s="67"/>
      <c r="WH64" s="67"/>
      <c r="WI64" s="67"/>
      <c r="WJ64" s="2"/>
      <c r="WK64" s="2"/>
    </row>
    <row r="65" spans="1:613" x14ac:dyDescent="0.25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  <c r="LH65" s="67"/>
      <c r="LI65" s="67"/>
      <c r="LJ65" s="67"/>
      <c r="LK65" s="67"/>
      <c r="LL65" s="67"/>
      <c r="LM65" s="67"/>
      <c r="LN65" s="67"/>
      <c r="LO65" s="67"/>
      <c r="LP65" s="67"/>
      <c r="LQ65" s="67"/>
      <c r="LR65" s="67"/>
      <c r="LS65" s="67"/>
      <c r="LT65" s="67"/>
      <c r="LU65" s="67"/>
      <c r="LV65" s="67"/>
      <c r="LW65" s="67"/>
      <c r="LX65" s="67"/>
      <c r="LY65" s="67"/>
      <c r="LZ65" s="67"/>
      <c r="MA65" s="67"/>
      <c r="MB65" s="67"/>
      <c r="MC65" s="67"/>
      <c r="MD65" s="67"/>
      <c r="ME65" s="67"/>
      <c r="MF65" s="67"/>
      <c r="MG65" s="67"/>
      <c r="MH65" s="67"/>
      <c r="MI65" s="67"/>
      <c r="MJ65" s="67"/>
      <c r="MK65" s="67"/>
      <c r="ML65" s="67"/>
      <c r="MM65" s="67"/>
      <c r="MN65" s="67"/>
      <c r="MO65" s="67"/>
      <c r="MP65" s="67"/>
      <c r="MQ65" s="67"/>
      <c r="MR65" s="67"/>
      <c r="MS65" s="67"/>
      <c r="MT65" s="67"/>
      <c r="MU65" s="67"/>
      <c r="MV65" s="67"/>
      <c r="MW65" s="67"/>
      <c r="MX65" s="67"/>
      <c r="MY65" s="67"/>
      <c r="MZ65" s="67"/>
      <c r="NA65" s="67"/>
      <c r="NB65" s="67"/>
      <c r="NC65" s="67"/>
      <c r="ND65" s="67"/>
      <c r="NE65" s="67"/>
      <c r="NF65" s="67"/>
      <c r="NG65" s="67"/>
      <c r="NH65" s="67"/>
      <c r="NI65" s="67"/>
      <c r="NJ65" s="67"/>
      <c r="NK65" s="67"/>
      <c r="NL65" s="67"/>
      <c r="NM65" s="67"/>
      <c r="NN65" s="67"/>
      <c r="NO65" s="67"/>
      <c r="NP65" s="67"/>
      <c r="NQ65" s="67"/>
      <c r="NR65" s="67"/>
      <c r="NS65" s="67"/>
      <c r="NT65" s="67"/>
      <c r="NU65" s="67"/>
      <c r="NV65" s="67"/>
      <c r="NW65" s="67"/>
      <c r="NX65" s="67"/>
      <c r="NY65" s="67"/>
      <c r="NZ65" s="67"/>
      <c r="OA65" s="67"/>
      <c r="OB65" s="67"/>
      <c r="OC65" s="67"/>
      <c r="OD65" s="67"/>
      <c r="OE65" s="67"/>
      <c r="OF65" s="67"/>
      <c r="OG65" s="67"/>
      <c r="OH65" s="67"/>
      <c r="OI65" s="67"/>
      <c r="OJ65" s="67"/>
      <c r="OK65" s="67"/>
      <c r="OL65" s="67"/>
      <c r="OM65" s="67"/>
      <c r="ON65" s="67"/>
      <c r="OO65" s="67"/>
      <c r="OP65" s="67"/>
      <c r="OQ65" s="67"/>
      <c r="OR65" s="67"/>
      <c r="OS65" s="67"/>
      <c r="OT65" s="67"/>
      <c r="OU65" s="67"/>
      <c r="OV65" s="67"/>
      <c r="OW65" s="67"/>
      <c r="OX65" s="67"/>
      <c r="OY65" s="67"/>
      <c r="OZ65" s="67"/>
      <c r="PA65" s="67"/>
      <c r="PB65" s="67"/>
      <c r="PC65" s="67"/>
      <c r="PD65" s="67"/>
      <c r="PE65" s="67"/>
      <c r="PF65" s="67"/>
      <c r="PG65" s="67"/>
      <c r="PH65" s="67"/>
      <c r="PI65" s="67"/>
      <c r="PJ65" s="67"/>
      <c r="PK65" s="67"/>
      <c r="PL65" s="67"/>
      <c r="PM65" s="67"/>
      <c r="PN65" s="67"/>
      <c r="PO65" s="67"/>
      <c r="PP65" s="67"/>
      <c r="PQ65" s="67"/>
      <c r="PR65" s="67"/>
      <c r="PS65" s="67"/>
      <c r="PT65" s="67"/>
      <c r="PU65" s="67"/>
      <c r="PV65" s="67"/>
      <c r="PW65" s="67"/>
      <c r="PX65" s="67"/>
      <c r="PY65" s="67"/>
      <c r="PZ65" s="67"/>
      <c r="QA65" s="67"/>
      <c r="QB65" s="67"/>
      <c r="QC65" s="67"/>
      <c r="QD65" s="67"/>
      <c r="QE65" s="67"/>
      <c r="QF65" s="67"/>
      <c r="QG65" s="67"/>
      <c r="QH65" s="67"/>
      <c r="QI65" s="67"/>
      <c r="QJ65" s="67"/>
      <c r="QK65" s="67"/>
      <c r="QL65" s="67"/>
      <c r="QM65" s="67"/>
      <c r="QN65" s="67"/>
      <c r="QO65" s="67"/>
      <c r="QP65" s="67"/>
      <c r="QQ65" s="67"/>
      <c r="QR65" s="67"/>
      <c r="QS65" s="67"/>
      <c r="QT65" s="67"/>
      <c r="QU65" s="67"/>
      <c r="QV65" s="67"/>
      <c r="QW65" s="67"/>
      <c r="QX65" s="67"/>
      <c r="QY65" s="67"/>
      <c r="QZ65" s="67"/>
      <c r="RA65" s="67"/>
      <c r="RB65" s="67"/>
      <c r="RC65" s="67"/>
      <c r="RD65" s="67"/>
      <c r="RE65" s="67"/>
      <c r="RF65" s="67"/>
      <c r="RG65" s="67"/>
      <c r="RH65" s="67"/>
      <c r="RI65" s="67"/>
      <c r="RJ65" s="67"/>
      <c r="RK65" s="67"/>
      <c r="RL65" s="67"/>
      <c r="RM65" s="67"/>
      <c r="RN65" s="67"/>
      <c r="RO65" s="67"/>
      <c r="RP65" s="67"/>
      <c r="RQ65" s="67"/>
      <c r="RR65" s="67"/>
      <c r="RS65" s="67"/>
      <c r="RT65" s="67"/>
      <c r="RU65" s="67"/>
      <c r="RV65" s="67"/>
      <c r="RW65" s="67"/>
      <c r="RX65" s="67"/>
      <c r="RY65" s="67"/>
      <c r="RZ65" s="67"/>
      <c r="SA65" s="67"/>
      <c r="SB65" s="67"/>
      <c r="SC65" s="67"/>
      <c r="SD65" s="67"/>
      <c r="SE65" s="67"/>
      <c r="SF65" s="67"/>
      <c r="SG65" s="67"/>
      <c r="SH65" s="67"/>
      <c r="SI65" s="67"/>
      <c r="SJ65" s="67"/>
      <c r="SK65" s="67"/>
      <c r="SL65" s="67"/>
      <c r="SM65" s="67"/>
      <c r="SN65" s="67"/>
      <c r="SO65" s="67"/>
      <c r="SP65" s="67"/>
      <c r="SQ65" s="67"/>
      <c r="SR65" s="67"/>
      <c r="SS65" s="67"/>
      <c r="ST65" s="67"/>
      <c r="SU65" s="67"/>
      <c r="SV65" s="67"/>
      <c r="SW65" s="67"/>
      <c r="SX65" s="67"/>
      <c r="SY65" s="67"/>
      <c r="SZ65" s="67"/>
      <c r="TA65" s="67"/>
      <c r="TB65" s="67"/>
      <c r="TC65" s="67"/>
      <c r="TD65" s="67"/>
      <c r="TE65" s="67"/>
      <c r="TF65" s="67"/>
      <c r="TG65" s="67"/>
      <c r="TH65" s="67"/>
      <c r="TI65" s="67"/>
      <c r="TJ65" s="67"/>
      <c r="TK65" s="67"/>
      <c r="TL65" s="67"/>
      <c r="TM65" s="67"/>
      <c r="TN65" s="67"/>
      <c r="TO65" s="67"/>
      <c r="TP65" s="67"/>
      <c r="TQ65" s="67"/>
      <c r="TR65" s="67"/>
      <c r="TS65" s="67"/>
      <c r="TT65" s="67"/>
      <c r="TU65" s="67"/>
      <c r="TV65" s="67"/>
      <c r="TW65" s="67"/>
      <c r="TX65" s="67"/>
      <c r="TY65" s="67"/>
      <c r="TZ65" s="67"/>
      <c r="UA65" s="67"/>
      <c r="UB65" s="67"/>
      <c r="UC65" s="67"/>
      <c r="UD65" s="67"/>
      <c r="UE65" s="67"/>
      <c r="UF65" s="67"/>
      <c r="UG65" s="67"/>
      <c r="UH65" s="67"/>
      <c r="UI65" s="67"/>
      <c r="UJ65" s="67"/>
      <c r="UK65" s="67"/>
      <c r="UL65" s="67"/>
      <c r="UM65" s="67"/>
      <c r="UN65" s="67"/>
      <c r="UO65" s="67"/>
      <c r="UP65" s="67"/>
      <c r="UQ65" s="67"/>
      <c r="UR65" s="67"/>
      <c r="US65" s="67"/>
      <c r="UT65" s="67"/>
      <c r="UU65" s="67"/>
      <c r="UV65" s="67"/>
      <c r="UW65" s="67"/>
      <c r="UX65" s="67"/>
      <c r="UY65" s="67"/>
      <c r="UZ65" s="67"/>
      <c r="VA65" s="67"/>
      <c r="VB65" s="67"/>
      <c r="VC65" s="67"/>
      <c r="VD65" s="67"/>
      <c r="VE65" s="67"/>
      <c r="VF65" s="67"/>
      <c r="VG65" s="67"/>
      <c r="VH65" s="67"/>
      <c r="VI65" s="67"/>
      <c r="VJ65" s="67"/>
      <c r="VK65" s="67"/>
      <c r="VL65" s="67"/>
      <c r="VM65" s="67"/>
      <c r="VN65" s="67"/>
      <c r="VO65" s="67"/>
      <c r="VP65" s="67"/>
      <c r="VQ65" s="67"/>
      <c r="VR65" s="67"/>
      <c r="VS65" s="67"/>
      <c r="VT65" s="67"/>
      <c r="VU65" s="67"/>
      <c r="VV65" s="67"/>
      <c r="VW65" s="67"/>
      <c r="VX65" s="67"/>
      <c r="VY65" s="67"/>
      <c r="WA65" s="67"/>
      <c r="WB65" s="67"/>
      <c r="WC65" s="67"/>
      <c r="WD65" s="67"/>
      <c r="WE65" s="67"/>
      <c r="WF65" s="67"/>
      <c r="WG65" s="67"/>
      <c r="WH65" s="67"/>
      <c r="WI65" s="67"/>
      <c r="WJ65" s="2"/>
      <c r="WK65" s="2"/>
    </row>
    <row r="66" spans="1:613" x14ac:dyDescent="0.25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  <c r="LG66" s="67"/>
      <c r="LH66" s="67"/>
      <c r="LI66" s="67"/>
      <c r="LJ66" s="67"/>
      <c r="LK66" s="67"/>
      <c r="LL66" s="67"/>
      <c r="LM66" s="67"/>
      <c r="LN66" s="67"/>
      <c r="LO66" s="67"/>
      <c r="LP66" s="67"/>
      <c r="LQ66" s="67"/>
      <c r="LR66" s="67"/>
      <c r="LS66" s="67"/>
      <c r="LT66" s="67"/>
      <c r="LU66" s="67"/>
      <c r="LV66" s="67"/>
      <c r="LW66" s="67"/>
      <c r="LX66" s="67"/>
      <c r="LY66" s="67"/>
      <c r="LZ66" s="67"/>
      <c r="MA66" s="67"/>
      <c r="MB66" s="67"/>
      <c r="MC66" s="67"/>
      <c r="MD66" s="67"/>
      <c r="ME66" s="67"/>
      <c r="MF66" s="67"/>
      <c r="MG66" s="67"/>
      <c r="MH66" s="67"/>
      <c r="MI66" s="67"/>
      <c r="MJ66" s="67"/>
      <c r="MK66" s="67"/>
      <c r="ML66" s="67"/>
      <c r="MM66" s="67"/>
      <c r="MN66" s="67"/>
      <c r="MO66" s="67"/>
      <c r="MP66" s="67"/>
      <c r="MQ66" s="67"/>
      <c r="MR66" s="67"/>
      <c r="MS66" s="67"/>
      <c r="MT66" s="67"/>
      <c r="MU66" s="67"/>
      <c r="MV66" s="67"/>
      <c r="MW66" s="67"/>
      <c r="MX66" s="67"/>
      <c r="MY66" s="67"/>
      <c r="MZ66" s="67"/>
      <c r="NA66" s="67"/>
      <c r="NB66" s="67"/>
      <c r="NC66" s="67"/>
      <c r="ND66" s="67"/>
      <c r="NE66" s="67"/>
      <c r="NF66" s="67"/>
      <c r="NG66" s="67"/>
      <c r="NH66" s="67"/>
      <c r="NI66" s="67"/>
      <c r="NJ66" s="67"/>
      <c r="NK66" s="67"/>
      <c r="NL66" s="67"/>
      <c r="NM66" s="67"/>
      <c r="NN66" s="67"/>
      <c r="NO66" s="67"/>
      <c r="NP66" s="67"/>
      <c r="NQ66" s="67"/>
      <c r="NR66" s="67"/>
      <c r="NS66" s="67"/>
      <c r="NT66" s="67"/>
      <c r="NU66" s="67"/>
      <c r="NV66" s="67"/>
      <c r="NW66" s="67"/>
      <c r="NX66" s="67"/>
      <c r="NY66" s="67"/>
      <c r="NZ66" s="67"/>
      <c r="OA66" s="67"/>
      <c r="OB66" s="67"/>
      <c r="OC66" s="67"/>
      <c r="OD66" s="67"/>
      <c r="OE66" s="67"/>
      <c r="OF66" s="67"/>
      <c r="OG66" s="67"/>
      <c r="OH66" s="67"/>
      <c r="OI66" s="67"/>
      <c r="OJ66" s="67"/>
      <c r="OK66" s="67"/>
      <c r="OL66" s="67"/>
      <c r="OM66" s="67"/>
      <c r="ON66" s="67"/>
      <c r="OO66" s="67"/>
      <c r="OP66" s="67"/>
      <c r="OQ66" s="67"/>
      <c r="OR66" s="67"/>
      <c r="OS66" s="67"/>
      <c r="OT66" s="67"/>
      <c r="OU66" s="67"/>
      <c r="OV66" s="67"/>
      <c r="OW66" s="67"/>
      <c r="OX66" s="67"/>
      <c r="OY66" s="67"/>
      <c r="OZ66" s="67"/>
      <c r="PA66" s="67"/>
      <c r="PB66" s="67"/>
      <c r="PC66" s="67"/>
      <c r="PD66" s="67"/>
      <c r="PE66" s="67"/>
      <c r="PF66" s="67"/>
      <c r="PG66" s="67"/>
      <c r="PH66" s="67"/>
      <c r="PI66" s="67"/>
      <c r="PJ66" s="67"/>
      <c r="PK66" s="67"/>
      <c r="PL66" s="67"/>
      <c r="PM66" s="67"/>
      <c r="PN66" s="67"/>
      <c r="PO66" s="67"/>
      <c r="PP66" s="67"/>
      <c r="PQ66" s="67"/>
      <c r="PR66" s="67"/>
      <c r="PS66" s="67"/>
      <c r="PT66" s="67"/>
      <c r="PU66" s="67"/>
      <c r="PV66" s="67"/>
      <c r="PW66" s="67"/>
      <c r="PX66" s="67"/>
      <c r="PY66" s="67"/>
      <c r="PZ66" s="67"/>
      <c r="QA66" s="67"/>
      <c r="QB66" s="67"/>
      <c r="QC66" s="67"/>
      <c r="QD66" s="67"/>
      <c r="QE66" s="67"/>
      <c r="QF66" s="67"/>
      <c r="QG66" s="67"/>
      <c r="QH66" s="67"/>
      <c r="QI66" s="67"/>
      <c r="QJ66" s="67"/>
      <c r="QK66" s="67"/>
      <c r="QL66" s="67"/>
      <c r="QM66" s="67"/>
      <c r="QN66" s="67"/>
      <c r="QO66" s="67"/>
      <c r="QP66" s="67"/>
      <c r="QQ66" s="67"/>
      <c r="QR66" s="67"/>
      <c r="QS66" s="67"/>
      <c r="QT66" s="67"/>
      <c r="QU66" s="67"/>
      <c r="QV66" s="67"/>
      <c r="QW66" s="67"/>
      <c r="QX66" s="67"/>
      <c r="QY66" s="67"/>
      <c r="QZ66" s="67"/>
      <c r="RA66" s="67"/>
      <c r="RB66" s="67"/>
      <c r="RC66" s="67"/>
      <c r="RD66" s="67"/>
      <c r="RE66" s="67"/>
      <c r="RF66" s="67"/>
      <c r="RG66" s="67"/>
      <c r="RH66" s="67"/>
      <c r="RI66" s="67"/>
      <c r="RJ66" s="67"/>
      <c r="RK66" s="67"/>
      <c r="RL66" s="67"/>
      <c r="RM66" s="67"/>
      <c r="RN66" s="67"/>
      <c r="RO66" s="67"/>
      <c r="RP66" s="67"/>
      <c r="RQ66" s="67"/>
      <c r="RR66" s="67"/>
      <c r="RS66" s="67"/>
      <c r="RT66" s="67"/>
      <c r="RU66" s="67"/>
      <c r="RV66" s="67"/>
      <c r="RW66" s="67"/>
      <c r="RX66" s="67"/>
      <c r="RY66" s="67"/>
      <c r="RZ66" s="67"/>
      <c r="SA66" s="67"/>
      <c r="SB66" s="67"/>
      <c r="SC66" s="67"/>
      <c r="SD66" s="67"/>
      <c r="SE66" s="67"/>
      <c r="SF66" s="67"/>
      <c r="SG66" s="67"/>
      <c r="SH66" s="67"/>
      <c r="SI66" s="67"/>
      <c r="SJ66" s="67"/>
      <c r="SK66" s="67"/>
      <c r="SL66" s="67"/>
      <c r="SM66" s="67"/>
      <c r="SN66" s="67"/>
      <c r="SO66" s="67"/>
      <c r="SP66" s="67"/>
      <c r="SQ66" s="67"/>
      <c r="SR66" s="67"/>
      <c r="SS66" s="67"/>
      <c r="ST66" s="67"/>
      <c r="SU66" s="67"/>
      <c r="SV66" s="67"/>
      <c r="SW66" s="67"/>
      <c r="SX66" s="67"/>
      <c r="SY66" s="67"/>
      <c r="SZ66" s="67"/>
      <c r="TA66" s="67"/>
      <c r="TB66" s="67"/>
      <c r="TC66" s="67"/>
      <c r="TD66" s="67"/>
      <c r="TE66" s="67"/>
      <c r="TF66" s="67"/>
      <c r="TG66" s="67"/>
      <c r="TH66" s="67"/>
      <c r="TI66" s="67"/>
      <c r="TJ66" s="67"/>
      <c r="TK66" s="67"/>
      <c r="TL66" s="67"/>
      <c r="TM66" s="67"/>
      <c r="TN66" s="67"/>
      <c r="TO66" s="67"/>
      <c r="TP66" s="67"/>
      <c r="TQ66" s="67"/>
      <c r="TR66" s="67"/>
      <c r="TS66" s="67"/>
      <c r="TT66" s="67"/>
      <c r="TU66" s="67"/>
      <c r="TV66" s="67"/>
      <c r="TW66" s="67"/>
      <c r="TX66" s="67"/>
      <c r="TY66" s="67"/>
      <c r="TZ66" s="67"/>
      <c r="UA66" s="67"/>
      <c r="UB66" s="67"/>
      <c r="UC66" s="67"/>
      <c r="UD66" s="67"/>
      <c r="UE66" s="67"/>
      <c r="UF66" s="67"/>
      <c r="UG66" s="67"/>
      <c r="UH66" s="67"/>
      <c r="UI66" s="67"/>
      <c r="UJ66" s="67"/>
      <c r="UK66" s="67"/>
      <c r="UL66" s="67"/>
      <c r="UM66" s="67"/>
      <c r="UN66" s="67"/>
      <c r="UO66" s="67"/>
      <c r="UP66" s="67"/>
      <c r="UQ66" s="67"/>
      <c r="UR66" s="67"/>
      <c r="US66" s="67"/>
      <c r="UT66" s="67"/>
      <c r="UU66" s="67"/>
      <c r="UV66" s="67"/>
      <c r="UW66" s="67"/>
      <c r="UX66" s="67"/>
      <c r="UY66" s="67"/>
      <c r="UZ66" s="67"/>
      <c r="VA66" s="67"/>
      <c r="VB66" s="67"/>
      <c r="VC66" s="67"/>
      <c r="VD66" s="67"/>
      <c r="VE66" s="67"/>
      <c r="VF66" s="67"/>
      <c r="VG66" s="67"/>
      <c r="VH66" s="67"/>
      <c r="VI66" s="67"/>
      <c r="VJ66" s="67"/>
      <c r="VK66" s="67"/>
      <c r="VL66" s="67"/>
      <c r="VM66" s="67"/>
      <c r="VN66" s="67"/>
      <c r="VO66" s="67"/>
      <c r="VP66" s="67"/>
      <c r="VQ66" s="67"/>
      <c r="VR66" s="67"/>
      <c r="VS66" s="67"/>
      <c r="VT66" s="67"/>
      <c r="VU66" s="67"/>
      <c r="VV66" s="67"/>
      <c r="VW66" s="67"/>
      <c r="VX66" s="67"/>
      <c r="VY66" s="67"/>
      <c r="WA66" s="67"/>
      <c r="WB66" s="67"/>
      <c r="WC66" s="67"/>
      <c r="WD66" s="67"/>
      <c r="WE66" s="67"/>
      <c r="WF66" s="67"/>
      <c r="WG66" s="67"/>
      <c r="WH66" s="67"/>
      <c r="WI66" s="67"/>
      <c r="WJ66" s="2"/>
      <c r="WK66" s="2"/>
    </row>
    <row r="67" spans="1:613" x14ac:dyDescent="0.25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7"/>
      <c r="DC67" s="67"/>
      <c r="DD67" s="67"/>
      <c r="DE67" s="67"/>
      <c r="DF67" s="67"/>
      <c r="DG67" s="67"/>
      <c r="DH67" s="67"/>
      <c r="DI67" s="67"/>
      <c r="DJ67" s="67"/>
      <c r="DK67" s="67"/>
      <c r="DL67" s="67"/>
      <c r="DM67" s="67"/>
      <c r="DN67" s="67"/>
      <c r="DO67" s="67"/>
      <c r="DP67" s="67"/>
      <c r="DQ67" s="67"/>
      <c r="DR67" s="67"/>
      <c r="DS67" s="67"/>
      <c r="DT67" s="67"/>
      <c r="DU67" s="67"/>
      <c r="DV67" s="67"/>
      <c r="DW67" s="67"/>
      <c r="DX67" s="67"/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  <c r="JI67" s="67"/>
      <c r="JJ67" s="67"/>
      <c r="JK67" s="67"/>
      <c r="JL67" s="67"/>
      <c r="JM67" s="67"/>
      <c r="JN67" s="67"/>
      <c r="JO67" s="67"/>
      <c r="JP67" s="67"/>
      <c r="JQ67" s="67"/>
      <c r="JR67" s="67"/>
      <c r="JS67" s="67"/>
      <c r="JT67" s="67"/>
      <c r="JU67" s="67"/>
      <c r="JV67" s="67"/>
      <c r="JW67" s="67"/>
      <c r="JX67" s="67"/>
      <c r="JY67" s="67"/>
      <c r="JZ67" s="67"/>
      <c r="KA67" s="67"/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67"/>
      <c r="KZ67" s="67"/>
      <c r="LA67" s="67"/>
      <c r="LB67" s="67"/>
      <c r="LC67" s="67"/>
      <c r="LD67" s="67"/>
      <c r="LE67" s="67"/>
      <c r="LF67" s="67"/>
      <c r="LG67" s="67"/>
      <c r="LH67" s="67"/>
      <c r="LI67" s="67"/>
      <c r="LJ67" s="67"/>
      <c r="LK67" s="67"/>
      <c r="LL67" s="67"/>
      <c r="LM67" s="67"/>
      <c r="LN67" s="67"/>
      <c r="LO67" s="67"/>
      <c r="LP67" s="67"/>
      <c r="LQ67" s="67"/>
      <c r="LR67" s="67"/>
      <c r="LS67" s="67"/>
      <c r="LT67" s="67"/>
      <c r="LU67" s="67"/>
      <c r="LV67" s="67"/>
      <c r="LW67" s="67"/>
      <c r="LX67" s="67"/>
      <c r="LY67" s="67"/>
      <c r="LZ67" s="67"/>
      <c r="MA67" s="67"/>
      <c r="MB67" s="67"/>
      <c r="MC67" s="67"/>
      <c r="MD67" s="67"/>
      <c r="ME67" s="67"/>
      <c r="MF67" s="67"/>
      <c r="MG67" s="67"/>
      <c r="MH67" s="67"/>
      <c r="MI67" s="67"/>
      <c r="MJ67" s="67"/>
      <c r="MK67" s="67"/>
      <c r="ML67" s="67"/>
      <c r="MM67" s="67"/>
      <c r="MN67" s="67"/>
      <c r="MO67" s="67"/>
      <c r="MP67" s="67"/>
      <c r="MQ67" s="67"/>
      <c r="MR67" s="67"/>
      <c r="MS67" s="67"/>
      <c r="MT67" s="67"/>
      <c r="MU67" s="67"/>
      <c r="MV67" s="67"/>
      <c r="MW67" s="67"/>
      <c r="MX67" s="67"/>
      <c r="MY67" s="67"/>
      <c r="MZ67" s="67"/>
      <c r="NA67" s="67"/>
      <c r="NB67" s="67"/>
      <c r="NC67" s="67"/>
      <c r="ND67" s="67"/>
      <c r="NE67" s="67"/>
      <c r="NF67" s="67"/>
      <c r="NG67" s="67"/>
      <c r="NH67" s="67"/>
      <c r="NI67" s="67"/>
      <c r="NJ67" s="67"/>
      <c r="NK67" s="67"/>
      <c r="NL67" s="67"/>
      <c r="NM67" s="67"/>
      <c r="NN67" s="67"/>
      <c r="NO67" s="67"/>
      <c r="NP67" s="67"/>
      <c r="NQ67" s="67"/>
      <c r="NR67" s="67"/>
      <c r="NS67" s="67"/>
      <c r="NT67" s="67"/>
      <c r="NU67" s="67"/>
      <c r="NV67" s="67"/>
      <c r="NW67" s="67"/>
      <c r="NX67" s="67"/>
      <c r="NY67" s="67"/>
      <c r="NZ67" s="67"/>
      <c r="OA67" s="67"/>
      <c r="OB67" s="67"/>
      <c r="OC67" s="67"/>
      <c r="OD67" s="67"/>
      <c r="OE67" s="67"/>
      <c r="OF67" s="67"/>
      <c r="OG67" s="67"/>
      <c r="OH67" s="67"/>
      <c r="OI67" s="67"/>
      <c r="OJ67" s="67"/>
      <c r="OK67" s="67"/>
      <c r="OL67" s="67"/>
      <c r="OM67" s="67"/>
      <c r="ON67" s="67"/>
      <c r="OO67" s="67"/>
      <c r="OP67" s="67"/>
      <c r="OQ67" s="67"/>
      <c r="OR67" s="67"/>
      <c r="OS67" s="67"/>
      <c r="OT67" s="67"/>
      <c r="OU67" s="67"/>
      <c r="OV67" s="67"/>
      <c r="OW67" s="67"/>
      <c r="OX67" s="67"/>
      <c r="OY67" s="67"/>
      <c r="OZ67" s="67"/>
      <c r="PA67" s="67"/>
      <c r="PB67" s="67"/>
      <c r="PC67" s="67"/>
      <c r="PD67" s="67"/>
      <c r="PE67" s="67"/>
      <c r="PF67" s="67"/>
      <c r="PG67" s="67"/>
      <c r="PH67" s="67"/>
      <c r="PI67" s="67"/>
      <c r="PJ67" s="67"/>
      <c r="PK67" s="67"/>
      <c r="PL67" s="67"/>
      <c r="PM67" s="67"/>
      <c r="PN67" s="67"/>
      <c r="PO67" s="67"/>
      <c r="PP67" s="67"/>
      <c r="PQ67" s="67"/>
      <c r="PR67" s="67"/>
      <c r="PS67" s="67"/>
      <c r="PT67" s="67"/>
      <c r="PU67" s="67"/>
      <c r="PV67" s="67"/>
      <c r="PW67" s="67"/>
      <c r="PX67" s="67"/>
      <c r="PY67" s="67"/>
      <c r="PZ67" s="67"/>
      <c r="QA67" s="67"/>
      <c r="QB67" s="67"/>
      <c r="QC67" s="67"/>
      <c r="QD67" s="67"/>
      <c r="QE67" s="67"/>
      <c r="QF67" s="67"/>
      <c r="QG67" s="67"/>
      <c r="QH67" s="67"/>
      <c r="QI67" s="67"/>
      <c r="QJ67" s="67"/>
      <c r="QK67" s="67"/>
      <c r="QL67" s="67"/>
      <c r="QM67" s="67"/>
      <c r="QN67" s="67"/>
      <c r="QO67" s="67"/>
      <c r="QP67" s="67"/>
      <c r="QQ67" s="67"/>
      <c r="QR67" s="67"/>
      <c r="QS67" s="67"/>
      <c r="QT67" s="67"/>
      <c r="QU67" s="67"/>
      <c r="QV67" s="67"/>
      <c r="QW67" s="67"/>
      <c r="QX67" s="67"/>
      <c r="QY67" s="67"/>
      <c r="QZ67" s="67"/>
      <c r="RA67" s="67"/>
      <c r="RB67" s="67"/>
      <c r="RC67" s="67"/>
      <c r="RD67" s="67"/>
      <c r="RE67" s="67"/>
      <c r="RF67" s="67"/>
      <c r="RG67" s="67"/>
      <c r="RH67" s="67"/>
      <c r="RI67" s="67"/>
      <c r="RJ67" s="67"/>
      <c r="RK67" s="67"/>
      <c r="RL67" s="67"/>
      <c r="RM67" s="67"/>
      <c r="RN67" s="67"/>
      <c r="RO67" s="67"/>
      <c r="RP67" s="67"/>
      <c r="RQ67" s="67"/>
      <c r="RR67" s="67"/>
      <c r="RS67" s="67"/>
      <c r="RT67" s="67"/>
      <c r="RU67" s="67"/>
      <c r="RV67" s="67"/>
      <c r="RW67" s="67"/>
      <c r="RX67" s="67"/>
      <c r="RY67" s="67"/>
      <c r="RZ67" s="67"/>
      <c r="SA67" s="67"/>
      <c r="SB67" s="67"/>
      <c r="SC67" s="67"/>
      <c r="SD67" s="67"/>
      <c r="SE67" s="67"/>
      <c r="SF67" s="67"/>
      <c r="SG67" s="67"/>
      <c r="SH67" s="67"/>
      <c r="SI67" s="67"/>
      <c r="SJ67" s="67"/>
      <c r="SK67" s="67"/>
      <c r="SL67" s="67"/>
      <c r="SM67" s="67"/>
      <c r="SN67" s="67"/>
      <c r="SO67" s="67"/>
      <c r="SP67" s="67"/>
      <c r="SQ67" s="67"/>
      <c r="SR67" s="67"/>
      <c r="SS67" s="67"/>
      <c r="ST67" s="67"/>
      <c r="SU67" s="67"/>
      <c r="SV67" s="67"/>
      <c r="SW67" s="67"/>
      <c r="SX67" s="67"/>
      <c r="SY67" s="67"/>
      <c r="SZ67" s="67"/>
      <c r="TA67" s="67"/>
      <c r="TB67" s="67"/>
      <c r="TC67" s="67"/>
      <c r="TD67" s="67"/>
      <c r="TE67" s="67"/>
      <c r="TF67" s="67"/>
      <c r="TG67" s="67"/>
      <c r="TH67" s="67"/>
      <c r="TI67" s="67"/>
      <c r="TJ67" s="67"/>
      <c r="TK67" s="67"/>
      <c r="TL67" s="67"/>
      <c r="TM67" s="67"/>
      <c r="TN67" s="67"/>
      <c r="TO67" s="67"/>
      <c r="TP67" s="67"/>
      <c r="TQ67" s="67"/>
      <c r="TR67" s="67"/>
      <c r="TS67" s="67"/>
      <c r="TT67" s="67"/>
      <c r="TU67" s="67"/>
      <c r="TV67" s="67"/>
      <c r="TW67" s="67"/>
      <c r="TX67" s="67"/>
      <c r="TY67" s="67"/>
      <c r="TZ67" s="67"/>
      <c r="UA67" s="67"/>
      <c r="UB67" s="67"/>
      <c r="UC67" s="67"/>
      <c r="UD67" s="67"/>
      <c r="UE67" s="67"/>
      <c r="UF67" s="67"/>
      <c r="UG67" s="67"/>
      <c r="UH67" s="67"/>
      <c r="UI67" s="67"/>
      <c r="UJ67" s="67"/>
      <c r="UK67" s="67"/>
      <c r="UL67" s="67"/>
      <c r="UM67" s="67"/>
      <c r="UN67" s="67"/>
      <c r="UO67" s="67"/>
      <c r="UP67" s="67"/>
      <c r="UQ67" s="67"/>
      <c r="UR67" s="67"/>
      <c r="US67" s="67"/>
      <c r="UT67" s="67"/>
      <c r="UU67" s="67"/>
      <c r="UV67" s="67"/>
      <c r="UW67" s="67"/>
      <c r="UX67" s="67"/>
      <c r="UY67" s="67"/>
      <c r="UZ67" s="67"/>
      <c r="VA67" s="67"/>
      <c r="VB67" s="67"/>
      <c r="VC67" s="67"/>
      <c r="VD67" s="67"/>
      <c r="VE67" s="67"/>
      <c r="VF67" s="67"/>
      <c r="VG67" s="67"/>
      <c r="VH67" s="67"/>
      <c r="VI67" s="67"/>
      <c r="VJ67" s="67"/>
      <c r="VK67" s="67"/>
      <c r="VL67" s="67"/>
      <c r="VM67" s="67"/>
      <c r="VN67" s="67"/>
      <c r="VO67" s="67"/>
      <c r="VP67" s="67"/>
      <c r="VQ67" s="67"/>
      <c r="VR67" s="67"/>
      <c r="VS67" s="67"/>
      <c r="VT67" s="67"/>
      <c r="VU67" s="67"/>
      <c r="VV67" s="67"/>
      <c r="VW67" s="67"/>
      <c r="VX67" s="67"/>
      <c r="VY67" s="67"/>
      <c r="WA67" s="67"/>
      <c r="WB67" s="67"/>
      <c r="WC67" s="67"/>
      <c r="WD67" s="67"/>
      <c r="WE67" s="67"/>
      <c r="WF67" s="67"/>
      <c r="WG67" s="67"/>
      <c r="WH67" s="67"/>
      <c r="WI67" s="67"/>
      <c r="WJ67" s="2"/>
      <c r="WK67" s="2"/>
    </row>
    <row r="68" spans="1:613" x14ac:dyDescent="0.25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  <c r="DQ68" s="67"/>
      <c r="DR68" s="67"/>
      <c r="DS68" s="67"/>
      <c r="DT68" s="67"/>
      <c r="DU68" s="67"/>
      <c r="DV68" s="67"/>
      <c r="DW68" s="67"/>
      <c r="DX68" s="67"/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  <c r="LG68" s="67"/>
      <c r="LH68" s="67"/>
      <c r="LI68" s="67"/>
      <c r="LJ68" s="67"/>
      <c r="LK68" s="67"/>
      <c r="LL68" s="67"/>
      <c r="LM68" s="67"/>
      <c r="LN68" s="67"/>
      <c r="LO68" s="67"/>
      <c r="LP68" s="67"/>
      <c r="LQ68" s="67"/>
      <c r="LR68" s="67"/>
      <c r="LS68" s="67"/>
      <c r="LT68" s="67"/>
      <c r="LU68" s="67"/>
      <c r="LV68" s="67"/>
      <c r="LW68" s="67"/>
      <c r="LX68" s="67"/>
      <c r="LY68" s="67"/>
      <c r="LZ68" s="67"/>
      <c r="MA68" s="67"/>
      <c r="MB68" s="67"/>
      <c r="MC68" s="67"/>
      <c r="MD68" s="67"/>
      <c r="ME68" s="67"/>
      <c r="MF68" s="67"/>
      <c r="MG68" s="67"/>
      <c r="MH68" s="67"/>
      <c r="MI68" s="67"/>
      <c r="MJ68" s="67"/>
      <c r="MK68" s="67"/>
      <c r="ML68" s="67"/>
      <c r="MM68" s="67"/>
      <c r="MN68" s="67"/>
      <c r="MO68" s="67"/>
      <c r="MP68" s="67"/>
      <c r="MQ68" s="67"/>
      <c r="MR68" s="67"/>
      <c r="MS68" s="67"/>
      <c r="MT68" s="67"/>
      <c r="MU68" s="67"/>
      <c r="MV68" s="67"/>
      <c r="MW68" s="67"/>
      <c r="MX68" s="67"/>
      <c r="MY68" s="67"/>
      <c r="MZ68" s="67"/>
      <c r="NA68" s="67"/>
      <c r="NB68" s="67"/>
      <c r="NC68" s="67"/>
      <c r="ND68" s="67"/>
      <c r="NE68" s="67"/>
      <c r="NF68" s="67"/>
      <c r="NG68" s="67"/>
      <c r="NH68" s="67"/>
      <c r="NI68" s="67"/>
      <c r="NJ68" s="67"/>
      <c r="NK68" s="67"/>
      <c r="NL68" s="67"/>
      <c r="NM68" s="67"/>
      <c r="NN68" s="67"/>
      <c r="NO68" s="67"/>
      <c r="NP68" s="67"/>
      <c r="NQ68" s="67"/>
      <c r="NR68" s="67"/>
      <c r="NS68" s="67"/>
      <c r="NT68" s="67"/>
      <c r="NU68" s="67"/>
      <c r="NV68" s="67"/>
      <c r="NW68" s="67"/>
      <c r="NX68" s="67"/>
      <c r="NY68" s="67"/>
      <c r="NZ68" s="67"/>
      <c r="OA68" s="67"/>
      <c r="OB68" s="67"/>
      <c r="OC68" s="67"/>
      <c r="OD68" s="67"/>
      <c r="OE68" s="67"/>
      <c r="OF68" s="67"/>
      <c r="OG68" s="67"/>
      <c r="OH68" s="67"/>
      <c r="OI68" s="67"/>
      <c r="OJ68" s="67"/>
      <c r="OK68" s="67"/>
      <c r="OL68" s="67"/>
      <c r="OM68" s="67"/>
      <c r="ON68" s="67"/>
      <c r="OO68" s="67"/>
      <c r="OP68" s="67"/>
      <c r="OQ68" s="67"/>
      <c r="OR68" s="67"/>
      <c r="OS68" s="67"/>
      <c r="OT68" s="67"/>
      <c r="OU68" s="67"/>
      <c r="OV68" s="67"/>
      <c r="OW68" s="67"/>
      <c r="OX68" s="67"/>
      <c r="OY68" s="67"/>
      <c r="OZ68" s="67"/>
      <c r="PA68" s="67"/>
      <c r="PB68" s="67"/>
      <c r="PC68" s="67"/>
      <c r="PD68" s="67"/>
      <c r="PE68" s="67"/>
      <c r="PF68" s="67"/>
      <c r="PG68" s="67"/>
      <c r="PH68" s="67"/>
      <c r="PI68" s="67"/>
      <c r="PJ68" s="67"/>
      <c r="PK68" s="67"/>
      <c r="PL68" s="67"/>
      <c r="PM68" s="67"/>
      <c r="PN68" s="67"/>
      <c r="PO68" s="67"/>
      <c r="PP68" s="67"/>
      <c r="PQ68" s="67"/>
      <c r="PR68" s="67"/>
      <c r="PS68" s="67"/>
      <c r="PT68" s="67"/>
      <c r="PU68" s="67"/>
      <c r="PV68" s="67"/>
      <c r="PW68" s="67"/>
      <c r="PX68" s="67"/>
      <c r="PY68" s="67"/>
      <c r="PZ68" s="67"/>
      <c r="QA68" s="67"/>
      <c r="QB68" s="67"/>
      <c r="QC68" s="67"/>
      <c r="QD68" s="67"/>
      <c r="QE68" s="67"/>
      <c r="QF68" s="67"/>
      <c r="QG68" s="67"/>
      <c r="QH68" s="67"/>
      <c r="QI68" s="67"/>
      <c r="QJ68" s="67"/>
      <c r="QK68" s="67"/>
      <c r="QL68" s="67"/>
      <c r="QM68" s="67"/>
      <c r="QN68" s="67"/>
      <c r="QO68" s="67"/>
      <c r="QP68" s="67"/>
      <c r="QQ68" s="67"/>
      <c r="QR68" s="67"/>
      <c r="QS68" s="67"/>
      <c r="QT68" s="67"/>
      <c r="QU68" s="67"/>
      <c r="QV68" s="67"/>
      <c r="QW68" s="67"/>
      <c r="QX68" s="67"/>
      <c r="QY68" s="67"/>
      <c r="QZ68" s="67"/>
      <c r="RA68" s="67"/>
      <c r="RB68" s="67"/>
      <c r="RC68" s="67"/>
      <c r="RD68" s="67"/>
      <c r="RE68" s="67"/>
      <c r="RF68" s="67"/>
      <c r="RG68" s="67"/>
      <c r="RH68" s="67"/>
      <c r="RI68" s="67"/>
      <c r="RJ68" s="67"/>
      <c r="RK68" s="67"/>
      <c r="RL68" s="67"/>
      <c r="RM68" s="67"/>
      <c r="RN68" s="67"/>
      <c r="RO68" s="67"/>
      <c r="RP68" s="67"/>
      <c r="RQ68" s="67"/>
      <c r="RR68" s="67"/>
      <c r="RS68" s="67"/>
      <c r="RT68" s="67"/>
      <c r="RU68" s="67"/>
      <c r="RV68" s="67"/>
      <c r="RW68" s="67"/>
      <c r="RX68" s="67"/>
      <c r="RY68" s="67"/>
      <c r="RZ68" s="67"/>
      <c r="SA68" s="67"/>
      <c r="SB68" s="67"/>
      <c r="SC68" s="67"/>
      <c r="SD68" s="67"/>
      <c r="SE68" s="67"/>
      <c r="SF68" s="67"/>
      <c r="SG68" s="67"/>
      <c r="SH68" s="67"/>
      <c r="SI68" s="67"/>
      <c r="SJ68" s="67"/>
      <c r="SK68" s="67"/>
      <c r="SL68" s="67"/>
      <c r="SM68" s="67"/>
      <c r="SN68" s="67"/>
      <c r="SO68" s="67"/>
      <c r="SP68" s="67"/>
      <c r="SQ68" s="67"/>
      <c r="SR68" s="67"/>
      <c r="SS68" s="67"/>
      <c r="ST68" s="67"/>
      <c r="SU68" s="67"/>
      <c r="SV68" s="67"/>
      <c r="SW68" s="67"/>
      <c r="SX68" s="67"/>
      <c r="SY68" s="67"/>
      <c r="SZ68" s="67"/>
      <c r="TA68" s="67"/>
      <c r="TB68" s="67"/>
      <c r="TC68" s="67"/>
      <c r="TD68" s="67"/>
      <c r="TE68" s="67"/>
      <c r="TF68" s="67"/>
      <c r="TG68" s="67"/>
      <c r="TH68" s="67"/>
      <c r="TI68" s="67"/>
      <c r="TJ68" s="67"/>
      <c r="TK68" s="67"/>
      <c r="TL68" s="67"/>
      <c r="TM68" s="67"/>
      <c r="TN68" s="67"/>
      <c r="TO68" s="67"/>
      <c r="TP68" s="67"/>
      <c r="TQ68" s="67"/>
      <c r="TR68" s="67"/>
      <c r="TS68" s="67"/>
      <c r="TT68" s="67"/>
      <c r="TU68" s="67"/>
      <c r="TV68" s="67"/>
      <c r="TW68" s="67"/>
      <c r="TX68" s="67"/>
      <c r="TY68" s="67"/>
      <c r="TZ68" s="67"/>
      <c r="UA68" s="67"/>
      <c r="UB68" s="67"/>
      <c r="UC68" s="67"/>
      <c r="UD68" s="67"/>
      <c r="UE68" s="67"/>
      <c r="UF68" s="67"/>
      <c r="UG68" s="67"/>
      <c r="UH68" s="67"/>
      <c r="UI68" s="67"/>
      <c r="UJ68" s="67"/>
      <c r="UK68" s="67"/>
      <c r="UL68" s="67"/>
      <c r="UM68" s="67"/>
      <c r="UN68" s="67"/>
      <c r="UO68" s="67"/>
      <c r="UP68" s="67"/>
      <c r="UQ68" s="67"/>
      <c r="UR68" s="67"/>
      <c r="US68" s="67"/>
      <c r="UT68" s="67"/>
      <c r="UU68" s="67"/>
      <c r="UV68" s="67"/>
      <c r="UW68" s="67"/>
      <c r="UX68" s="67"/>
      <c r="UY68" s="67"/>
      <c r="UZ68" s="67"/>
      <c r="VA68" s="67"/>
      <c r="VB68" s="67"/>
      <c r="VC68" s="67"/>
      <c r="VD68" s="67"/>
      <c r="VE68" s="67"/>
      <c r="VF68" s="67"/>
      <c r="VG68" s="67"/>
      <c r="VH68" s="67"/>
      <c r="VI68" s="67"/>
      <c r="VJ68" s="67"/>
      <c r="VK68" s="67"/>
      <c r="VL68" s="67"/>
      <c r="VM68" s="67"/>
      <c r="VN68" s="67"/>
      <c r="VO68" s="67"/>
      <c r="VP68" s="67"/>
      <c r="VQ68" s="67"/>
      <c r="VR68" s="67"/>
      <c r="VS68" s="67"/>
      <c r="VT68" s="67"/>
      <c r="VU68" s="67"/>
      <c r="VV68" s="67"/>
      <c r="VW68" s="67"/>
      <c r="VX68" s="67"/>
      <c r="VY68" s="67"/>
      <c r="WA68" s="67"/>
      <c r="WB68" s="67"/>
      <c r="WC68" s="67"/>
      <c r="WD68" s="67"/>
      <c r="WE68" s="67"/>
      <c r="WF68" s="67"/>
      <c r="WG68" s="67"/>
      <c r="WH68" s="67"/>
      <c r="WI68" s="67"/>
      <c r="WJ68" s="2"/>
      <c r="WK68" s="2"/>
    </row>
    <row r="69" spans="1:613" x14ac:dyDescent="0.25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  <c r="DX69" s="67"/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  <c r="LG69" s="67"/>
      <c r="LH69" s="67"/>
      <c r="LI69" s="67"/>
      <c r="LJ69" s="67"/>
      <c r="LK69" s="67"/>
      <c r="LL69" s="67"/>
      <c r="LM69" s="67"/>
      <c r="LN69" s="67"/>
      <c r="LO69" s="67"/>
      <c r="LP69" s="67"/>
      <c r="LQ69" s="67"/>
      <c r="LR69" s="67"/>
      <c r="LS69" s="67"/>
      <c r="LT69" s="67"/>
      <c r="LU69" s="67"/>
      <c r="LV69" s="67"/>
      <c r="LW69" s="67"/>
      <c r="LX69" s="67"/>
      <c r="LY69" s="67"/>
      <c r="LZ69" s="67"/>
      <c r="MA69" s="67"/>
      <c r="MB69" s="67"/>
      <c r="MC69" s="67"/>
      <c r="MD69" s="67"/>
      <c r="ME69" s="67"/>
      <c r="MF69" s="67"/>
      <c r="MG69" s="67"/>
      <c r="MH69" s="67"/>
      <c r="MI69" s="67"/>
      <c r="MJ69" s="67"/>
      <c r="MK69" s="67"/>
      <c r="ML69" s="67"/>
      <c r="MM69" s="67"/>
      <c r="MN69" s="67"/>
      <c r="MO69" s="67"/>
      <c r="MP69" s="67"/>
      <c r="MQ69" s="67"/>
      <c r="MR69" s="67"/>
      <c r="MS69" s="67"/>
      <c r="MT69" s="67"/>
      <c r="MU69" s="67"/>
      <c r="MV69" s="67"/>
      <c r="MW69" s="67"/>
      <c r="MX69" s="67"/>
      <c r="MY69" s="67"/>
      <c r="MZ69" s="67"/>
      <c r="NA69" s="67"/>
      <c r="NB69" s="67"/>
      <c r="NC69" s="67"/>
      <c r="ND69" s="67"/>
      <c r="NE69" s="67"/>
      <c r="NF69" s="67"/>
      <c r="NG69" s="67"/>
      <c r="NH69" s="67"/>
      <c r="NI69" s="67"/>
      <c r="NJ69" s="67"/>
      <c r="NK69" s="67"/>
      <c r="NL69" s="67"/>
      <c r="NM69" s="67"/>
      <c r="NN69" s="67"/>
      <c r="NO69" s="67"/>
      <c r="NP69" s="67"/>
      <c r="NQ69" s="67"/>
      <c r="NR69" s="67"/>
      <c r="NS69" s="67"/>
      <c r="NT69" s="67"/>
      <c r="NU69" s="67"/>
      <c r="NV69" s="67"/>
      <c r="NW69" s="67"/>
      <c r="NX69" s="67"/>
      <c r="NY69" s="67"/>
      <c r="NZ69" s="67"/>
      <c r="OA69" s="67"/>
      <c r="OB69" s="67"/>
      <c r="OC69" s="67"/>
      <c r="OD69" s="67"/>
      <c r="OE69" s="67"/>
      <c r="OF69" s="67"/>
      <c r="OG69" s="67"/>
      <c r="OH69" s="67"/>
      <c r="OI69" s="67"/>
      <c r="OJ69" s="67"/>
      <c r="OK69" s="67"/>
      <c r="OL69" s="67"/>
      <c r="OM69" s="67"/>
      <c r="ON69" s="67"/>
      <c r="OO69" s="67"/>
      <c r="OP69" s="67"/>
      <c r="OQ69" s="67"/>
      <c r="OR69" s="67"/>
      <c r="OS69" s="67"/>
      <c r="OT69" s="67"/>
      <c r="OU69" s="67"/>
      <c r="OV69" s="67"/>
      <c r="OW69" s="67"/>
      <c r="OX69" s="67"/>
      <c r="OY69" s="67"/>
      <c r="OZ69" s="67"/>
      <c r="PA69" s="67"/>
      <c r="PB69" s="67"/>
      <c r="PC69" s="67"/>
      <c r="PD69" s="67"/>
      <c r="PE69" s="67"/>
      <c r="PF69" s="67"/>
      <c r="PG69" s="67"/>
      <c r="PH69" s="67"/>
      <c r="PI69" s="67"/>
      <c r="PJ69" s="67"/>
      <c r="PK69" s="67"/>
      <c r="PL69" s="67"/>
      <c r="PM69" s="67"/>
      <c r="PN69" s="67"/>
      <c r="PO69" s="67"/>
      <c r="PP69" s="67"/>
      <c r="PQ69" s="67"/>
      <c r="PR69" s="67"/>
      <c r="PS69" s="67"/>
      <c r="PT69" s="67"/>
      <c r="PU69" s="67"/>
      <c r="PV69" s="67"/>
      <c r="PW69" s="67"/>
      <c r="PX69" s="67"/>
      <c r="PY69" s="67"/>
      <c r="PZ69" s="67"/>
      <c r="QA69" s="67"/>
      <c r="QB69" s="67"/>
      <c r="QC69" s="67"/>
      <c r="QD69" s="67"/>
      <c r="QE69" s="67"/>
      <c r="QF69" s="67"/>
      <c r="QG69" s="67"/>
      <c r="QH69" s="67"/>
      <c r="QI69" s="67"/>
      <c r="QJ69" s="67"/>
      <c r="QK69" s="67"/>
      <c r="QL69" s="67"/>
      <c r="QM69" s="67"/>
      <c r="QN69" s="67"/>
      <c r="QO69" s="67"/>
      <c r="QP69" s="67"/>
      <c r="QQ69" s="67"/>
      <c r="QR69" s="67"/>
      <c r="QS69" s="67"/>
      <c r="QT69" s="67"/>
      <c r="QU69" s="67"/>
      <c r="QV69" s="67"/>
      <c r="QW69" s="67"/>
      <c r="QX69" s="67"/>
      <c r="QY69" s="67"/>
      <c r="QZ69" s="67"/>
      <c r="RA69" s="67"/>
      <c r="RB69" s="67"/>
      <c r="RC69" s="67"/>
      <c r="RD69" s="67"/>
      <c r="RE69" s="67"/>
      <c r="RF69" s="67"/>
      <c r="RG69" s="67"/>
      <c r="RH69" s="67"/>
      <c r="RI69" s="67"/>
      <c r="RJ69" s="67"/>
      <c r="RK69" s="67"/>
      <c r="RL69" s="67"/>
      <c r="RM69" s="67"/>
      <c r="RN69" s="67"/>
      <c r="RO69" s="67"/>
      <c r="RP69" s="67"/>
      <c r="RQ69" s="67"/>
      <c r="RR69" s="67"/>
      <c r="RS69" s="67"/>
      <c r="RT69" s="67"/>
      <c r="RU69" s="67"/>
      <c r="RV69" s="67"/>
      <c r="RW69" s="67"/>
      <c r="RX69" s="67"/>
      <c r="RY69" s="67"/>
      <c r="RZ69" s="67"/>
      <c r="SA69" s="67"/>
      <c r="SB69" s="67"/>
      <c r="SC69" s="67"/>
      <c r="SD69" s="67"/>
      <c r="SE69" s="67"/>
      <c r="SF69" s="67"/>
      <c r="SG69" s="67"/>
      <c r="SH69" s="67"/>
      <c r="SI69" s="67"/>
      <c r="SJ69" s="67"/>
      <c r="SK69" s="67"/>
      <c r="SL69" s="67"/>
      <c r="SM69" s="67"/>
      <c r="SN69" s="67"/>
      <c r="SO69" s="67"/>
      <c r="SP69" s="67"/>
      <c r="SQ69" s="67"/>
      <c r="SR69" s="67"/>
      <c r="SS69" s="67"/>
      <c r="ST69" s="67"/>
      <c r="SU69" s="67"/>
      <c r="SV69" s="67"/>
      <c r="SW69" s="67"/>
      <c r="SX69" s="67"/>
      <c r="SY69" s="67"/>
      <c r="SZ69" s="67"/>
      <c r="TA69" s="67"/>
      <c r="TB69" s="67"/>
      <c r="TC69" s="67"/>
      <c r="TD69" s="67"/>
      <c r="TE69" s="67"/>
      <c r="TF69" s="67"/>
      <c r="TG69" s="67"/>
      <c r="TH69" s="67"/>
      <c r="TI69" s="67"/>
      <c r="TJ69" s="67"/>
      <c r="TK69" s="67"/>
      <c r="TL69" s="67"/>
      <c r="TM69" s="67"/>
      <c r="TN69" s="67"/>
      <c r="TO69" s="67"/>
      <c r="TP69" s="67"/>
      <c r="TQ69" s="67"/>
      <c r="TR69" s="67"/>
      <c r="TS69" s="67"/>
      <c r="TT69" s="67"/>
      <c r="TU69" s="67"/>
      <c r="TV69" s="67"/>
      <c r="TW69" s="67"/>
      <c r="TX69" s="67"/>
      <c r="TY69" s="67"/>
      <c r="TZ69" s="67"/>
      <c r="UA69" s="67"/>
      <c r="UB69" s="67"/>
      <c r="UC69" s="67"/>
      <c r="UD69" s="67"/>
      <c r="UE69" s="67"/>
      <c r="UF69" s="67"/>
      <c r="UG69" s="67"/>
      <c r="UH69" s="67"/>
      <c r="UI69" s="67"/>
      <c r="UJ69" s="67"/>
      <c r="UK69" s="67"/>
      <c r="UL69" s="67"/>
      <c r="UM69" s="67"/>
      <c r="UN69" s="67"/>
      <c r="UO69" s="67"/>
      <c r="UP69" s="67"/>
      <c r="UQ69" s="67"/>
      <c r="UR69" s="67"/>
      <c r="US69" s="67"/>
      <c r="UT69" s="67"/>
      <c r="UU69" s="67"/>
      <c r="UV69" s="67"/>
      <c r="UW69" s="67"/>
      <c r="UX69" s="67"/>
      <c r="UY69" s="67"/>
      <c r="UZ69" s="67"/>
      <c r="VA69" s="67"/>
      <c r="VB69" s="67"/>
      <c r="VC69" s="67"/>
      <c r="VD69" s="67"/>
      <c r="VE69" s="67"/>
      <c r="VF69" s="67"/>
      <c r="VG69" s="67"/>
      <c r="VH69" s="67"/>
      <c r="VI69" s="67"/>
      <c r="VJ69" s="67"/>
      <c r="VK69" s="67"/>
      <c r="VL69" s="67"/>
      <c r="VM69" s="67"/>
      <c r="VN69" s="67"/>
      <c r="VO69" s="67"/>
      <c r="VP69" s="67"/>
      <c r="VQ69" s="67"/>
      <c r="VR69" s="67"/>
      <c r="VS69" s="67"/>
      <c r="VT69" s="67"/>
      <c r="VU69" s="67"/>
      <c r="VV69" s="67"/>
      <c r="VW69" s="67"/>
      <c r="VX69" s="67"/>
      <c r="VY69" s="67"/>
      <c r="WA69" s="67"/>
      <c r="WB69" s="67"/>
      <c r="WC69" s="67"/>
      <c r="WD69" s="67"/>
      <c r="WE69" s="67"/>
      <c r="WF69" s="67"/>
      <c r="WG69" s="67"/>
      <c r="WH69" s="67"/>
      <c r="WI69" s="67"/>
      <c r="WN69" s="2" t="s">
        <v>4945</v>
      </c>
      <c r="WO69" s="12">
        <f>SUM(WI2:WI72)</f>
        <v>101</v>
      </c>
    </row>
    <row r="70" spans="1:613" x14ac:dyDescent="0.25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  <c r="CT70" s="67"/>
      <c r="CU70" s="67"/>
      <c r="CV70" s="67"/>
      <c r="CW70" s="67"/>
      <c r="CX70" s="67"/>
      <c r="CY70" s="67"/>
      <c r="CZ70" s="67"/>
      <c r="DA70" s="67"/>
      <c r="DB70" s="67"/>
      <c r="DC70" s="67"/>
      <c r="DD70" s="67"/>
      <c r="DE70" s="67"/>
      <c r="DF70" s="67"/>
      <c r="DG70" s="67"/>
      <c r="DH70" s="67"/>
      <c r="DI70" s="67"/>
      <c r="DJ70" s="67"/>
      <c r="DK70" s="67"/>
      <c r="DL70" s="67"/>
      <c r="DM70" s="67"/>
      <c r="DN70" s="67"/>
      <c r="DO70" s="67"/>
      <c r="DP70" s="67"/>
      <c r="DQ70" s="67"/>
      <c r="DR70" s="67"/>
      <c r="DS70" s="67"/>
      <c r="DT70" s="67"/>
      <c r="DU70" s="67"/>
      <c r="DV70" s="67"/>
      <c r="DW70" s="67"/>
      <c r="DX70" s="67"/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  <c r="LG70" s="67"/>
      <c r="LH70" s="67"/>
      <c r="LI70" s="67"/>
      <c r="LJ70" s="67"/>
      <c r="LK70" s="67"/>
      <c r="LL70" s="67"/>
      <c r="LM70" s="67"/>
      <c r="LN70" s="67"/>
      <c r="LO70" s="67"/>
      <c r="LP70" s="67"/>
      <c r="LQ70" s="67"/>
      <c r="LR70" s="67"/>
      <c r="LS70" s="67"/>
      <c r="LT70" s="67"/>
      <c r="LU70" s="67"/>
      <c r="LV70" s="67"/>
      <c r="LW70" s="67"/>
      <c r="LX70" s="67"/>
      <c r="LY70" s="67"/>
      <c r="LZ70" s="67"/>
      <c r="MA70" s="67"/>
      <c r="MB70" s="67"/>
      <c r="MC70" s="67"/>
      <c r="MD70" s="67"/>
      <c r="ME70" s="67"/>
      <c r="MF70" s="67"/>
      <c r="MG70" s="67"/>
      <c r="MH70" s="67"/>
      <c r="MI70" s="67"/>
      <c r="MJ70" s="67"/>
      <c r="MK70" s="67"/>
      <c r="ML70" s="67"/>
      <c r="MM70" s="67"/>
      <c r="MN70" s="67"/>
      <c r="MO70" s="67"/>
      <c r="MP70" s="67"/>
      <c r="MQ70" s="67"/>
      <c r="MR70" s="67"/>
      <c r="MS70" s="67"/>
      <c r="MT70" s="67"/>
      <c r="MU70" s="67"/>
      <c r="MV70" s="67"/>
      <c r="MW70" s="67"/>
      <c r="MX70" s="67"/>
      <c r="MY70" s="67"/>
      <c r="MZ70" s="67"/>
      <c r="NA70" s="67"/>
      <c r="NB70" s="67"/>
      <c r="NC70" s="67"/>
      <c r="ND70" s="67"/>
      <c r="NE70" s="67"/>
      <c r="NF70" s="67"/>
      <c r="NG70" s="67"/>
      <c r="NH70" s="67"/>
      <c r="NI70" s="67"/>
      <c r="NJ70" s="67"/>
      <c r="NK70" s="67"/>
      <c r="NL70" s="67"/>
      <c r="NM70" s="67"/>
      <c r="NN70" s="67"/>
      <c r="NO70" s="67"/>
      <c r="NP70" s="67"/>
      <c r="NQ70" s="67"/>
      <c r="NR70" s="67"/>
      <c r="NS70" s="67"/>
      <c r="NT70" s="67"/>
      <c r="NU70" s="67"/>
      <c r="NV70" s="67"/>
      <c r="NW70" s="67"/>
      <c r="NX70" s="67"/>
      <c r="NY70" s="67"/>
      <c r="NZ70" s="67"/>
      <c r="OA70" s="67"/>
      <c r="OB70" s="67"/>
      <c r="OC70" s="67"/>
      <c r="OD70" s="67"/>
      <c r="OE70" s="67"/>
      <c r="OF70" s="67"/>
      <c r="OG70" s="67"/>
      <c r="OH70" s="67"/>
      <c r="OI70" s="67"/>
      <c r="OJ70" s="67"/>
      <c r="OK70" s="67"/>
      <c r="OL70" s="67"/>
      <c r="OM70" s="67"/>
      <c r="ON70" s="67"/>
      <c r="OO70" s="67"/>
      <c r="OP70" s="67"/>
      <c r="OQ70" s="67"/>
      <c r="OR70" s="67"/>
      <c r="OS70" s="67"/>
      <c r="OT70" s="67"/>
      <c r="OU70" s="67"/>
      <c r="OV70" s="67"/>
      <c r="OW70" s="67"/>
      <c r="OX70" s="67"/>
      <c r="OY70" s="67"/>
      <c r="OZ70" s="67"/>
      <c r="PA70" s="67"/>
      <c r="PB70" s="67"/>
      <c r="PC70" s="67"/>
      <c r="PD70" s="67"/>
      <c r="PE70" s="67"/>
      <c r="PF70" s="67"/>
      <c r="PG70" s="67"/>
      <c r="PH70" s="67"/>
      <c r="PI70" s="67"/>
      <c r="PJ70" s="67"/>
      <c r="PK70" s="67"/>
      <c r="PL70" s="67"/>
      <c r="PM70" s="67"/>
      <c r="PN70" s="67"/>
      <c r="PO70" s="67"/>
      <c r="PP70" s="67"/>
      <c r="PQ70" s="67"/>
      <c r="PR70" s="67"/>
      <c r="PS70" s="67"/>
      <c r="PT70" s="67"/>
      <c r="PU70" s="67"/>
      <c r="PV70" s="67"/>
      <c r="PW70" s="67"/>
      <c r="PX70" s="67"/>
      <c r="PY70" s="67"/>
      <c r="PZ70" s="67"/>
      <c r="QA70" s="67"/>
      <c r="QB70" s="67"/>
      <c r="QC70" s="67"/>
      <c r="QD70" s="67"/>
      <c r="QE70" s="67"/>
      <c r="QF70" s="67"/>
      <c r="QG70" s="67"/>
      <c r="QH70" s="67"/>
      <c r="QI70" s="67"/>
      <c r="QJ70" s="67"/>
      <c r="QK70" s="67"/>
      <c r="QL70" s="67"/>
      <c r="QM70" s="67"/>
      <c r="QN70" s="67"/>
      <c r="QO70" s="67"/>
      <c r="QP70" s="67"/>
      <c r="QQ70" s="67"/>
      <c r="QR70" s="67"/>
      <c r="QS70" s="67"/>
      <c r="QT70" s="67"/>
      <c r="QU70" s="67"/>
      <c r="QV70" s="67"/>
      <c r="QW70" s="67"/>
      <c r="QX70" s="67"/>
      <c r="QY70" s="67"/>
      <c r="QZ70" s="67"/>
      <c r="RA70" s="67"/>
      <c r="RB70" s="67"/>
      <c r="RC70" s="67"/>
      <c r="RD70" s="67"/>
      <c r="RE70" s="67"/>
      <c r="RF70" s="67"/>
      <c r="RG70" s="67"/>
      <c r="RH70" s="67"/>
      <c r="RI70" s="67"/>
      <c r="RJ70" s="67"/>
      <c r="RK70" s="67"/>
      <c r="RL70" s="67"/>
      <c r="RM70" s="67"/>
      <c r="RN70" s="67"/>
      <c r="RO70" s="67"/>
      <c r="RP70" s="67"/>
      <c r="RQ70" s="67"/>
      <c r="RR70" s="67"/>
      <c r="RS70" s="67"/>
      <c r="RT70" s="67"/>
      <c r="RU70" s="67"/>
      <c r="RV70" s="67"/>
      <c r="RW70" s="67"/>
      <c r="RX70" s="67"/>
      <c r="RY70" s="67"/>
      <c r="RZ70" s="67"/>
      <c r="SA70" s="67"/>
      <c r="SB70" s="67"/>
      <c r="SC70" s="67"/>
      <c r="SD70" s="67"/>
      <c r="SE70" s="67"/>
      <c r="SF70" s="67"/>
      <c r="SG70" s="67"/>
      <c r="SH70" s="67"/>
      <c r="SI70" s="67"/>
      <c r="SJ70" s="67"/>
      <c r="SK70" s="67"/>
      <c r="SL70" s="67"/>
      <c r="SM70" s="67"/>
      <c r="SN70" s="67"/>
      <c r="SO70" s="67"/>
      <c r="SP70" s="67"/>
      <c r="SQ70" s="67"/>
      <c r="SR70" s="67"/>
      <c r="SS70" s="67"/>
      <c r="ST70" s="67"/>
      <c r="SU70" s="67"/>
      <c r="SV70" s="67"/>
      <c r="SW70" s="67"/>
      <c r="SX70" s="67"/>
      <c r="SY70" s="67"/>
      <c r="SZ70" s="67"/>
      <c r="TA70" s="67"/>
      <c r="TB70" s="67"/>
      <c r="TC70" s="67"/>
      <c r="TD70" s="67"/>
      <c r="TE70" s="67"/>
      <c r="TF70" s="67"/>
      <c r="TG70" s="67"/>
      <c r="TH70" s="67"/>
      <c r="TI70" s="67"/>
      <c r="TJ70" s="67"/>
      <c r="TK70" s="67"/>
      <c r="TL70" s="67"/>
      <c r="TM70" s="67"/>
      <c r="TN70" s="67"/>
      <c r="TO70" s="67"/>
      <c r="TP70" s="67"/>
      <c r="TQ70" s="67"/>
      <c r="TR70" s="67"/>
      <c r="TS70" s="67"/>
      <c r="TT70" s="67"/>
      <c r="TU70" s="67"/>
      <c r="TV70" s="67"/>
      <c r="TW70" s="67"/>
      <c r="TX70" s="67"/>
      <c r="TY70" s="67"/>
      <c r="TZ70" s="67"/>
      <c r="UA70" s="67"/>
      <c r="UB70" s="67"/>
      <c r="UC70" s="67"/>
      <c r="UD70" s="67"/>
      <c r="UE70" s="67"/>
      <c r="UF70" s="67"/>
      <c r="UG70" s="67"/>
      <c r="UH70" s="67"/>
      <c r="UI70" s="67"/>
      <c r="UJ70" s="67"/>
      <c r="UK70" s="67"/>
      <c r="UL70" s="67"/>
      <c r="UM70" s="67"/>
      <c r="UN70" s="67"/>
      <c r="UO70" s="67"/>
      <c r="UP70" s="67"/>
      <c r="UQ70" s="67"/>
      <c r="UR70" s="67"/>
      <c r="US70" s="67"/>
      <c r="UT70" s="67"/>
      <c r="UU70" s="67"/>
      <c r="UV70" s="67"/>
      <c r="UW70" s="67"/>
      <c r="UX70" s="67"/>
      <c r="UY70" s="67"/>
      <c r="UZ70" s="67"/>
      <c r="VA70" s="67"/>
      <c r="VB70" s="67"/>
      <c r="VC70" s="67"/>
      <c r="VD70" s="67"/>
      <c r="VE70" s="67"/>
      <c r="VF70" s="67"/>
      <c r="VG70" s="67"/>
      <c r="VH70" s="67"/>
      <c r="VI70" s="67"/>
      <c r="VJ70" s="67"/>
      <c r="VK70" s="67"/>
      <c r="VL70" s="67"/>
      <c r="VM70" s="67"/>
      <c r="VN70" s="67"/>
      <c r="VO70" s="67"/>
      <c r="VP70" s="67"/>
      <c r="VQ70" s="67"/>
      <c r="VR70" s="67"/>
      <c r="VS70" s="67"/>
      <c r="VT70" s="67"/>
      <c r="VU70" s="67"/>
      <c r="VV70" s="67"/>
      <c r="VW70" s="67"/>
      <c r="VX70" s="67"/>
      <c r="VY70" s="67"/>
      <c r="WA70" s="67"/>
      <c r="WB70" s="67"/>
      <c r="WC70" s="67"/>
      <c r="WD70" s="67"/>
      <c r="WE70" s="67"/>
      <c r="WF70" s="67"/>
      <c r="WG70" s="67"/>
      <c r="WH70" s="67"/>
      <c r="WI70" s="67"/>
      <c r="WN70" s="2" t="s">
        <v>5395</v>
      </c>
      <c r="WO70" s="14">
        <f>WO69/VU84</f>
        <v>3.0606060606060606</v>
      </c>
    </row>
    <row r="71" spans="1:613" x14ac:dyDescent="0.25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CZ71" s="67"/>
      <c r="DA71" s="67"/>
      <c r="DB71" s="67"/>
      <c r="DC71" s="67"/>
      <c r="DD71" s="67"/>
      <c r="DE71" s="67"/>
      <c r="DF71" s="67"/>
      <c r="DG71" s="67"/>
      <c r="DH71" s="67"/>
      <c r="DI71" s="67"/>
      <c r="DJ71" s="67"/>
      <c r="DK71" s="67"/>
      <c r="DL71" s="67"/>
      <c r="DM71" s="67"/>
      <c r="DN71" s="67"/>
      <c r="DO71" s="67"/>
      <c r="DP71" s="67"/>
      <c r="DQ71" s="67"/>
      <c r="DR71" s="67"/>
      <c r="DS71" s="67"/>
      <c r="DT71" s="67"/>
      <c r="DU71" s="67"/>
      <c r="DV71" s="67"/>
      <c r="DW71" s="67"/>
      <c r="DX71" s="67"/>
      <c r="DY71" s="67"/>
      <c r="DZ71" s="67"/>
      <c r="EA71" s="67"/>
      <c r="EB71" s="67"/>
      <c r="EC71" s="67"/>
      <c r="ED71" s="67"/>
      <c r="EE71" s="67"/>
      <c r="EF71" s="67"/>
      <c r="EG71" s="67"/>
      <c r="EH71" s="67"/>
      <c r="EI71" s="67"/>
      <c r="EJ71" s="67"/>
      <c r="EK71" s="67"/>
      <c r="EL71" s="67"/>
      <c r="EM71" s="67"/>
      <c r="EN71" s="67"/>
      <c r="EO71" s="67"/>
      <c r="EP71" s="67"/>
      <c r="EQ71" s="67"/>
      <c r="ER71" s="67"/>
      <c r="ES71" s="67"/>
      <c r="ET71" s="67"/>
      <c r="EU71" s="67"/>
      <c r="EV71" s="67"/>
      <c r="EW71" s="67"/>
      <c r="EX71" s="67"/>
      <c r="EY71" s="67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67"/>
      <c r="FU71" s="67"/>
      <c r="FV71" s="67"/>
      <c r="FW71" s="67"/>
      <c r="FX71" s="67"/>
      <c r="FY71" s="67"/>
      <c r="FZ71" s="67"/>
      <c r="GA71" s="67"/>
      <c r="GB71" s="67"/>
      <c r="GC71" s="67"/>
      <c r="GD71" s="67"/>
      <c r="GE71" s="67"/>
      <c r="GF71" s="67"/>
      <c r="GG71" s="67"/>
      <c r="GH71" s="67"/>
      <c r="GI71" s="67"/>
      <c r="GJ71" s="67"/>
      <c r="GK71" s="67"/>
      <c r="GL71" s="67"/>
      <c r="GM71" s="67"/>
      <c r="GN71" s="67"/>
      <c r="GO71" s="67"/>
      <c r="GP71" s="67"/>
      <c r="GQ71" s="67"/>
      <c r="GR71" s="67"/>
      <c r="GS71" s="67"/>
      <c r="GT71" s="67"/>
      <c r="GU71" s="67"/>
      <c r="GV71" s="67"/>
      <c r="GW71" s="67"/>
      <c r="GX71" s="67"/>
      <c r="GY71" s="67"/>
      <c r="GZ71" s="67"/>
      <c r="HA71" s="67"/>
      <c r="HB71" s="67"/>
      <c r="HC71" s="67"/>
      <c r="HD71" s="67"/>
      <c r="HE71" s="67"/>
      <c r="HF71" s="67"/>
      <c r="HG71" s="67"/>
      <c r="HH71" s="67"/>
      <c r="HI71" s="67"/>
      <c r="HJ71" s="67"/>
      <c r="HK71" s="67"/>
      <c r="HL71" s="67"/>
      <c r="HM71" s="67"/>
      <c r="HN71" s="67"/>
      <c r="HO71" s="67"/>
      <c r="HP71" s="67"/>
      <c r="HQ71" s="67"/>
      <c r="HR71" s="67"/>
      <c r="HS71" s="67"/>
      <c r="HT71" s="67"/>
      <c r="HU71" s="67"/>
      <c r="HV71" s="67"/>
      <c r="HW71" s="67"/>
      <c r="HX71" s="67"/>
      <c r="HY71" s="67"/>
      <c r="HZ71" s="67"/>
      <c r="IA71" s="67"/>
      <c r="IB71" s="67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  <c r="LG71" s="67"/>
      <c r="LH71" s="67"/>
      <c r="LI71" s="67"/>
      <c r="LJ71" s="67"/>
      <c r="LK71" s="67"/>
      <c r="LL71" s="67"/>
      <c r="LM71" s="67"/>
      <c r="LN71" s="67"/>
      <c r="LO71" s="67"/>
      <c r="LP71" s="67"/>
      <c r="LQ71" s="67"/>
      <c r="LR71" s="67"/>
      <c r="LS71" s="67"/>
      <c r="LT71" s="67"/>
      <c r="LU71" s="67"/>
      <c r="LV71" s="67"/>
      <c r="LW71" s="67"/>
      <c r="LX71" s="67"/>
      <c r="LY71" s="67"/>
      <c r="LZ71" s="67"/>
      <c r="MA71" s="67"/>
      <c r="MB71" s="67"/>
      <c r="MC71" s="67"/>
      <c r="MD71" s="67"/>
      <c r="ME71" s="67"/>
      <c r="MF71" s="67"/>
      <c r="MG71" s="67"/>
      <c r="MH71" s="67"/>
      <c r="MI71" s="67"/>
      <c r="MJ71" s="67"/>
      <c r="MK71" s="67"/>
      <c r="ML71" s="67"/>
      <c r="MM71" s="67"/>
      <c r="MN71" s="67"/>
      <c r="MO71" s="67"/>
      <c r="MP71" s="67"/>
      <c r="MQ71" s="67"/>
      <c r="MR71" s="67"/>
      <c r="MS71" s="67"/>
      <c r="MT71" s="67"/>
      <c r="MU71" s="67"/>
      <c r="MV71" s="67"/>
      <c r="MW71" s="67"/>
      <c r="MX71" s="67"/>
      <c r="MY71" s="67"/>
      <c r="MZ71" s="67"/>
      <c r="NA71" s="67"/>
      <c r="NB71" s="67"/>
      <c r="NC71" s="67"/>
      <c r="ND71" s="67"/>
      <c r="NE71" s="67"/>
      <c r="NF71" s="67"/>
      <c r="NG71" s="67"/>
      <c r="NH71" s="67"/>
      <c r="NI71" s="67"/>
      <c r="NJ71" s="67"/>
      <c r="NK71" s="67"/>
      <c r="NL71" s="67"/>
      <c r="NM71" s="67"/>
      <c r="NN71" s="67"/>
      <c r="NO71" s="67"/>
      <c r="NP71" s="67"/>
      <c r="NQ71" s="67"/>
      <c r="NR71" s="67"/>
      <c r="NS71" s="67"/>
      <c r="NT71" s="67"/>
      <c r="NU71" s="67"/>
      <c r="NV71" s="67"/>
      <c r="NW71" s="67"/>
      <c r="NX71" s="67"/>
      <c r="NY71" s="67"/>
      <c r="NZ71" s="67"/>
      <c r="OA71" s="67"/>
      <c r="OB71" s="67"/>
      <c r="OC71" s="67"/>
      <c r="OD71" s="67"/>
      <c r="OE71" s="67"/>
      <c r="OF71" s="67"/>
      <c r="OG71" s="67"/>
      <c r="OH71" s="67"/>
      <c r="OI71" s="67"/>
      <c r="OJ71" s="67"/>
      <c r="OK71" s="67"/>
      <c r="OL71" s="67"/>
      <c r="OM71" s="67"/>
      <c r="ON71" s="67"/>
      <c r="OO71" s="67"/>
      <c r="OP71" s="67"/>
      <c r="OQ71" s="67"/>
      <c r="OR71" s="67"/>
      <c r="OS71" s="67"/>
      <c r="OT71" s="67"/>
      <c r="OU71" s="67"/>
      <c r="OV71" s="67"/>
      <c r="OW71" s="67"/>
      <c r="OX71" s="67"/>
      <c r="OY71" s="67"/>
      <c r="OZ71" s="67"/>
      <c r="PA71" s="67"/>
      <c r="PB71" s="67"/>
      <c r="PC71" s="67"/>
      <c r="PD71" s="67"/>
      <c r="PE71" s="67"/>
      <c r="PF71" s="67"/>
      <c r="PG71" s="67"/>
      <c r="PH71" s="67"/>
      <c r="PI71" s="67"/>
      <c r="PJ71" s="67"/>
      <c r="PK71" s="67"/>
      <c r="PL71" s="67"/>
      <c r="PM71" s="67"/>
      <c r="PN71" s="67"/>
      <c r="PO71" s="67"/>
      <c r="PP71" s="67"/>
      <c r="PQ71" s="67"/>
      <c r="PR71" s="67"/>
      <c r="PS71" s="67"/>
      <c r="PT71" s="67"/>
      <c r="PU71" s="67"/>
      <c r="PV71" s="67"/>
      <c r="PW71" s="67"/>
      <c r="PX71" s="67"/>
      <c r="PY71" s="67"/>
      <c r="PZ71" s="67"/>
      <c r="QA71" s="67"/>
      <c r="QB71" s="67"/>
      <c r="QC71" s="67"/>
      <c r="QD71" s="67"/>
      <c r="QE71" s="67"/>
      <c r="QF71" s="67"/>
      <c r="QG71" s="67"/>
      <c r="QH71" s="67"/>
      <c r="QI71" s="67"/>
      <c r="QJ71" s="67"/>
      <c r="QK71" s="67"/>
      <c r="QL71" s="67"/>
      <c r="QM71" s="67"/>
      <c r="QN71" s="67"/>
      <c r="QO71" s="67"/>
      <c r="QP71" s="67"/>
      <c r="QQ71" s="67"/>
      <c r="QR71" s="67"/>
      <c r="QS71" s="67"/>
      <c r="QT71" s="67"/>
      <c r="QU71" s="67"/>
      <c r="QV71" s="67"/>
      <c r="QW71" s="67"/>
      <c r="QX71" s="67"/>
      <c r="QY71" s="67"/>
      <c r="QZ71" s="67"/>
      <c r="RA71" s="67"/>
      <c r="RB71" s="67"/>
      <c r="RC71" s="67"/>
      <c r="RD71" s="67"/>
      <c r="RE71" s="67"/>
      <c r="RF71" s="67"/>
      <c r="RG71" s="67"/>
      <c r="RH71" s="67"/>
      <c r="RI71" s="67"/>
      <c r="RJ71" s="67"/>
      <c r="RK71" s="67"/>
      <c r="RL71" s="67"/>
      <c r="RM71" s="67"/>
      <c r="RN71" s="67"/>
      <c r="RO71" s="67"/>
      <c r="RP71" s="67"/>
      <c r="RQ71" s="67"/>
      <c r="RR71" s="67"/>
      <c r="RS71" s="67"/>
      <c r="RT71" s="67"/>
      <c r="RU71" s="67"/>
      <c r="RV71" s="67"/>
      <c r="RW71" s="67"/>
      <c r="RX71" s="67"/>
      <c r="RY71" s="67"/>
      <c r="RZ71" s="67"/>
      <c r="SA71" s="67"/>
      <c r="SB71" s="67"/>
      <c r="SC71" s="67"/>
      <c r="SD71" s="67"/>
      <c r="SE71" s="67"/>
      <c r="SF71" s="67"/>
      <c r="SG71" s="67"/>
      <c r="SH71" s="67"/>
      <c r="SI71" s="67"/>
      <c r="SJ71" s="67"/>
      <c r="SK71" s="67"/>
      <c r="SL71" s="67"/>
      <c r="SM71" s="67"/>
      <c r="SN71" s="67"/>
      <c r="SO71" s="67"/>
      <c r="SP71" s="67"/>
      <c r="SQ71" s="67"/>
      <c r="SR71" s="67"/>
      <c r="SS71" s="67"/>
      <c r="ST71" s="67"/>
      <c r="SU71" s="67"/>
      <c r="SV71" s="67"/>
      <c r="SW71" s="67"/>
      <c r="SX71" s="67"/>
      <c r="SY71" s="67"/>
      <c r="SZ71" s="67"/>
      <c r="TA71" s="67"/>
      <c r="TB71" s="67"/>
      <c r="TC71" s="67"/>
      <c r="TD71" s="67"/>
      <c r="TE71" s="67"/>
      <c r="TF71" s="67"/>
      <c r="TG71" s="67"/>
      <c r="TH71" s="67"/>
      <c r="TI71" s="67"/>
      <c r="TJ71" s="67"/>
      <c r="TK71" s="67"/>
      <c r="TL71" s="67"/>
      <c r="TM71" s="67"/>
      <c r="TN71" s="67"/>
      <c r="TO71" s="67"/>
      <c r="TP71" s="67"/>
      <c r="TQ71" s="67"/>
      <c r="TR71" s="67"/>
      <c r="TS71" s="67"/>
      <c r="TT71" s="67"/>
      <c r="TU71" s="67"/>
      <c r="TV71" s="67"/>
      <c r="TW71" s="67"/>
      <c r="TX71" s="67"/>
      <c r="TY71" s="67"/>
      <c r="TZ71" s="67"/>
      <c r="UA71" s="67"/>
      <c r="UB71" s="67"/>
      <c r="UC71" s="67"/>
      <c r="UD71" s="67"/>
      <c r="UE71" s="67"/>
      <c r="UF71" s="67"/>
      <c r="UG71" s="67"/>
      <c r="UH71" s="67"/>
      <c r="UI71" s="67"/>
      <c r="UJ71" s="67"/>
      <c r="UK71" s="67"/>
      <c r="UL71" s="67"/>
      <c r="UM71" s="67"/>
      <c r="UN71" s="67"/>
      <c r="UO71" s="67"/>
      <c r="UP71" s="67"/>
      <c r="UQ71" s="67"/>
      <c r="UR71" s="67"/>
      <c r="US71" s="67"/>
      <c r="UT71" s="67"/>
      <c r="UU71" s="67"/>
      <c r="UV71" s="67"/>
      <c r="UW71" s="67"/>
      <c r="UX71" s="67"/>
      <c r="UY71" s="67"/>
      <c r="UZ71" s="67"/>
      <c r="VA71" s="67"/>
      <c r="VB71" s="67"/>
      <c r="VC71" s="67"/>
      <c r="VD71" s="67"/>
      <c r="VE71" s="67"/>
      <c r="VF71" s="67"/>
      <c r="VG71" s="67"/>
      <c r="VH71" s="67"/>
      <c r="VI71" s="67"/>
      <c r="VJ71" s="67"/>
      <c r="VK71" s="67"/>
      <c r="VL71" s="67"/>
      <c r="VM71" s="67"/>
      <c r="VN71" s="67"/>
      <c r="VO71" s="67"/>
      <c r="VP71" s="67"/>
      <c r="VQ71" s="67"/>
      <c r="VR71" s="67"/>
      <c r="VS71" s="67"/>
      <c r="VT71" s="67"/>
      <c r="VU71" s="67"/>
      <c r="VV71" s="67"/>
      <c r="VW71" s="67"/>
      <c r="VX71" s="67"/>
      <c r="VY71" s="67"/>
      <c r="WA71" s="67"/>
      <c r="WB71" s="67"/>
      <c r="WC71" s="67"/>
      <c r="WD71" s="67"/>
      <c r="WE71" s="67"/>
      <c r="WF71" s="67"/>
      <c r="WG71" s="67"/>
      <c r="WH71" s="67"/>
      <c r="WI71" s="67"/>
      <c r="WN71" s="2" t="s">
        <v>5401</v>
      </c>
      <c r="WO71" s="12">
        <f>MAX(WI2:WI72)</f>
        <v>5</v>
      </c>
    </row>
    <row r="72" spans="1:613" x14ac:dyDescent="0.25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  <c r="FT72" s="67"/>
      <c r="FU72" s="67"/>
      <c r="FV72" s="67"/>
      <c r="FW72" s="67"/>
      <c r="FX72" s="67"/>
      <c r="FY72" s="67"/>
      <c r="FZ72" s="67"/>
      <c r="GA72" s="67"/>
      <c r="GB72" s="67"/>
      <c r="GC72" s="67"/>
      <c r="GD72" s="67"/>
      <c r="GE72" s="67"/>
      <c r="GF72" s="67"/>
      <c r="GG72" s="67"/>
      <c r="GH72" s="67"/>
      <c r="GI72" s="67"/>
      <c r="GJ72" s="67"/>
      <c r="GK72" s="67"/>
      <c r="GL72" s="67"/>
      <c r="GM72" s="67"/>
      <c r="GN72" s="67"/>
      <c r="GO72" s="67"/>
      <c r="GP72" s="67"/>
      <c r="GQ72" s="67"/>
      <c r="GR72" s="67"/>
      <c r="GS72" s="67"/>
      <c r="GT72" s="67"/>
      <c r="GU72" s="67"/>
      <c r="GV72" s="67"/>
      <c r="GW72" s="67"/>
      <c r="GX72" s="67"/>
      <c r="GY72" s="67"/>
      <c r="GZ72" s="67"/>
      <c r="HA72" s="67"/>
      <c r="HB72" s="67"/>
      <c r="HC72" s="67"/>
      <c r="HD72" s="67"/>
      <c r="HE72" s="67"/>
      <c r="HF72" s="67"/>
      <c r="HG72" s="67"/>
      <c r="HH72" s="67"/>
      <c r="HI72" s="67"/>
      <c r="HJ72" s="67"/>
      <c r="HK72" s="67"/>
      <c r="HL72" s="67"/>
      <c r="HM72" s="67"/>
      <c r="HN72" s="67"/>
      <c r="HO72" s="67"/>
      <c r="HP72" s="67"/>
      <c r="HQ72" s="67"/>
      <c r="HR72" s="67"/>
      <c r="HS72" s="67"/>
      <c r="HT72" s="67"/>
      <c r="HU72" s="67"/>
      <c r="HV72" s="67"/>
      <c r="HW72" s="67"/>
      <c r="HX72" s="67"/>
      <c r="HY72" s="67"/>
      <c r="HZ72" s="67"/>
      <c r="IA72" s="67"/>
      <c r="IB72" s="67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  <c r="LG72" s="67"/>
      <c r="LH72" s="67"/>
      <c r="LI72" s="67"/>
      <c r="LJ72" s="67"/>
      <c r="LK72" s="67"/>
      <c r="LL72" s="67"/>
      <c r="LM72" s="67"/>
      <c r="LN72" s="67"/>
      <c r="LO72" s="67"/>
      <c r="LP72" s="67"/>
      <c r="LQ72" s="67"/>
      <c r="LR72" s="67"/>
      <c r="LS72" s="67"/>
      <c r="LT72" s="67"/>
      <c r="LU72" s="67"/>
      <c r="LV72" s="67"/>
      <c r="LW72" s="67"/>
      <c r="LX72" s="67"/>
      <c r="LY72" s="67"/>
      <c r="LZ72" s="67"/>
      <c r="MA72" s="67"/>
      <c r="MB72" s="67"/>
      <c r="MC72" s="67"/>
      <c r="MD72" s="67"/>
      <c r="ME72" s="67"/>
      <c r="MF72" s="67"/>
      <c r="MG72" s="67"/>
      <c r="MH72" s="67"/>
      <c r="MI72" s="67"/>
      <c r="MJ72" s="67"/>
      <c r="MK72" s="67"/>
      <c r="ML72" s="67"/>
      <c r="MM72" s="67"/>
      <c r="MN72" s="67"/>
      <c r="MO72" s="67"/>
      <c r="MP72" s="67"/>
      <c r="MQ72" s="67"/>
      <c r="MR72" s="67"/>
      <c r="MS72" s="67"/>
      <c r="MT72" s="67"/>
      <c r="MU72" s="67"/>
      <c r="MV72" s="67"/>
      <c r="MW72" s="67"/>
      <c r="MX72" s="67"/>
      <c r="MY72" s="67"/>
      <c r="MZ72" s="67"/>
      <c r="NA72" s="67"/>
      <c r="NB72" s="67"/>
      <c r="NC72" s="67"/>
      <c r="ND72" s="67"/>
      <c r="NE72" s="67"/>
      <c r="NF72" s="67"/>
      <c r="NG72" s="67"/>
      <c r="NH72" s="67"/>
      <c r="NI72" s="67"/>
      <c r="NJ72" s="67"/>
      <c r="NK72" s="67"/>
      <c r="NL72" s="67"/>
      <c r="NM72" s="67"/>
      <c r="NN72" s="67"/>
      <c r="NO72" s="67"/>
      <c r="NP72" s="67"/>
      <c r="NQ72" s="67"/>
      <c r="NR72" s="67"/>
      <c r="NS72" s="67"/>
      <c r="NT72" s="67"/>
      <c r="NU72" s="67"/>
      <c r="NV72" s="67"/>
      <c r="NW72" s="67"/>
      <c r="NX72" s="67"/>
      <c r="NY72" s="67"/>
      <c r="NZ72" s="67"/>
      <c r="OA72" s="67"/>
      <c r="OB72" s="67"/>
      <c r="OC72" s="67"/>
      <c r="OD72" s="67"/>
      <c r="OE72" s="67"/>
      <c r="OF72" s="67"/>
      <c r="OG72" s="67"/>
      <c r="OH72" s="67"/>
      <c r="OI72" s="67"/>
      <c r="OJ72" s="67"/>
      <c r="OK72" s="67"/>
      <c r="OL72" s="67"/>
      <c r="OM72" s="67"/>
      <c r="ON72" s="67"/>
      <c r="OO72" s="67"/>
      <c r="OP72" s="67"/>
      <c r="OQ72" s="67"/>
      <c r="OR72" s="67"/>
      <c r="OS72" s="67"/>
      <c r="OT72" s="67"/>
      <c r="OU72" s="67"/>
      <c r="OV72" s="67"/>
      <c r="OW72" s="67"/>
      <c r="OX72" s="67"/>
      <c r="OY72" s="67"/>
      <c r="OZ72" s="67"/>
      <c r="PA72" s="67"/>
      <c r="PB72" s="67"/>
      <c r="PC72" s="67"/>
      <c r="PD72" s="67"/>
      <c r="PE72" s="67"/>
      <c r="PF72" s="67"/>
      <c r="PG72" s="67"/>
      <c r="PH72" s="67"/>
      <c r="PI72" s="67"/>
      <c r="PJ72" s="67"/>
      <c r="PK72" s="67"/>
      <c r="PL72" s="67"/>
      <c r="PM72" s="67"/>
      <c r="PN72" s="67"/>
      <c r="PO72" s="67"/>
      <c r="PP72" s="67"/>
      <c r="PQ72" s="67"/>
      <c r="PR72" s="67"/>
      <c r="PS72" s="67"/>
      <c r="PT72" s="67"/>
      <c r="PU72" s="67"/>
      <c r="PV72" s="67"/>
      <c r="PW72" s="67"/>
      <c r="PX72" s="67"/>
      <c r="PY72" s="67"/>
      <c r="PZ72" s="67"/>
      <c r="QA72" s="67"/>
      <c r="QB72" s="67"/>
      <c r="QC72" s="67"/>
      <c r="QD72" s="67"/>
      <c r="QE72" s="67"/>
      <c r="QF72" s="67"/>
      <c r="QG72" s="67"/>
      <c r="QH72" s="67"/>
      <c r="QI72" s="67"/>
      <c r="QJ72" s="67"/>
      <c r="QK72" s="67"/>
      <c r="QL72" s="67"/>
      <c r="QM72" s="67"/>
      <c r="QN72" s="67"/>
      <c r="QO72" s="67"/>
      <c r="QP72" s="67"/>
      <c r="QQ72" s="67"/>
      <c r="QR72" s="67"/>
      <c r="QS72" s="67"/>
      <c r="QT72" s="67"/>
      <c r="QU72" s="67"/>
      <c r="QV72" s="67"/>
      <c r="QW72" s="67"/>
      <c r="QX72" s="67"/>
      <c r="QY72" s="67"/>
      <c r="QZ72" s="67"/>
      <c r="RA72" s="67"/>
      <c r="RB72" s="67"/>
      <c r="RC72" s="67"/>
      <c r="RD72" s="67"/>
      <c r="RE72" s="67"/>
      <c r="RF72" s="67"/>
      <c r="RG72" s="67"/>
      <c r="RH72" s="67"/>
      <c r="RI72" s="67"/>
      <c r="RJ72" s="67"/>
      <c r="RK72" s="67"/>
      <c r="RL72" s="67"/>
      <c r="RM72" s="67"/>
      <c r="RN72" s="67"/>
      <c r="RO72" s="67"/>
      <c r="RP72" s="67"/>
      <c r="RQ72" s="67"/>
      <c r="RR72" s="67"/>
      <c r="RS72" s="67"/>
      <c r="RT72" s="67"/>
      <c r="RU72" s="67"/>
      <c r="RV72" s="67"/>
      <c r="RW72" s="67"/>
      <c r="RX72" s="67"/>
      <c r="RY72" s="67"/>
      <c r="RZ72" s="67"/>
      <c r="SA72" s="67"/>
      <c r="SB72" s="67"/>
      <c r="SC72" s="67"/>
      <c r="SD72" s="67"/>
      <c r="SE72" s="67"/>
      <c r="SF72" s="67"/>
      <c r="SG72" s="67"/>
      <c r="SH72" s="67"/>
      <c r="SI72" s="67"/>
      <c r="SJ72" s="67"/>
      <c r="SK72" s="67"/>
      <c r="SL72" s="67"/>
      <c r="SM72" s="67"/>
      <c r="SN72" s="67"/>
      <c r="SO72" s="67"/>
      <c r="SP72" s="67"/>
      <c r="SQ72" s="67"/>
      <c r="SR72" s="67"/>
      <c r="SS72" s="67"/>
      <c r="ST72" s="67"/>
      <c r="SU72" s="67"/>
      <c r="SV72" s="67"/>
      <c r="SW72" s="67"/>
      <c r="SX72" s="67"/>
      <c r="SY72" s="67"/>
      <c r="SZ72" s="67"/>
      <c r="TA72" s="67"/>
      <c r="TB72" s="67"/>
      <c r="TC72" s="67"/>
      <c r="TD72" s="67"/>
      <c r="TE72" s="67"/>
      <c r="TF72" s="67"/>
      <c r="TG72" s="67"/>
      <c r="TH72" s="67"/>
      <c r="TI72" s="67"/>
      <c r="TJ72" s="67"/>
      <c r="TK72" s="67"/>
      <c r="TL72" s="67"/>
      <c r="TM72" s="67"/>
      <c r="TN72" s="67"/>
      <c r="TO72" s="67"/>
      <c r="TP72" s="67"/>
      <c r="TQ72" s="67"/>
      <c r="TR72" s="67"/>
      <c r="TS72" s="67"/>
      <c r="TT72" s="67"/>
      <c r="TU72" s="67"/>
      <c r="TV72" s="67"/>
      <c r="TW72" s="67"/>
      <c r="TX72" s="67"/>
      <c r="TY72" s="67"/>
      <c r="TZ72" s="67"/>
      <c r="UA72" s="67"/>
      <c r="UB72" s="67"/>
      <c r="UC72" s="67"/>
      <c r="UD72" s="67"/>
      <c r="UE72" s="67"/>
      <c r="UF72" s="67"/>
      <c r="UG72" s="67"/>
      <c r="UH72" s="67"/>
      <c r="UI72" s="67"/>
      <c r="UJ72" s="67"/>
      <c r="UK72" s="67"/>
      <c r="UL72" s="67"/>
      <c r="UM72" s="67"/>
      <c r="UN72" s="67"/>
      <c r="UO72" s="67"/>
      <c r="UP72" s="67"/>
      <c r="UQ72" s="67"/>
      <c r="UR72" s="67"/>
      <c r="US72" s="67"/>
      <c r="UT72" s="67"/>
      <c r="UU72" s="67"/>
      <c r="UV72" s="67"/>
      <c r="UW72" s="67"/>
      <c r="UX72" s="67"/>
      <c r="UY72" s="67"/>
      <c r="UZ72" s="67"/>
      <c r="VA72" s="67"/>
      <c r="VB72" s="67"/>
      <c r="VC72" s="67"/>
      <c r="VD72" s="67"/>
      <c r="VE72" s="67"/>
      <c r="VF72" s="67"/>
      <c r="VG72" s="67"/>
      <c r="VH72" s="67"/>
      <c r="VI72" s="67"/>
      <c r="VJ72" s="67"/>
      <c r="VK72" s="67"/>
      <c r="VL72" s="67"/>
      <c r="VM72" s="67"/>
      <c r="VN72" s="67"/>
      <c r="VO72" s="67"/>
      <c r="VP72" s="67"/>
      <c r="VQ72" s="67"/>
      <c r="VR72" s="67"/>
      <c r="VS72" s="67"/>
      <c r="VT72" s="67"/>
      <c r="VU72" s="67"/>
      <c r="VV72" s="67"/>
      <c r="VW72" s="67"/>
      <c r="VX72" s="67"/>
      <c r="VY72" s="67"/>
      <c r="WA72" s="67"/>
      <c r="WB72" s="67"/>
      <c r="WC72" s="67"/>
      <c r="WD72" s="67"/>
      <c r="WE72" s="67"/>
      <c r="WF72" s="67"/>
      <c r="WG72" s="67"/>
      <c r="WH72" s="67"/>
      <c r="WI72" s="67"/>
      <c r="WN72" s="2" t="s">
        <v>5402</v>
      </c>
      <c r="WO72" s="12">
        <f>MIN(WI2:WI72)</f>
        <v>1</v>
      </c>
    </row>
    <row r="73" spans="1:613" x14ac:dyDescent="0.25">
      <c r="VY73" s="100"/>
      <c r="VZ73" s="100"/>
      <c r="WA73" s="100"/>
      <c r="WB73" s="100"/>
      <c r="WC73" s="100"/>
      <c r="WD73" s="101"/>
    </row>
    <row r="74" spans="1:613" x14ac:dyDescent="0.25">
      <c r="OU74" s="17">
        <v>1</v>
      </c>
      <c r="OX74" t="s">
        <v>5396</v>
      </c>
      <c r="OY74" s="12">
        <f>Elderly_Q</f>
        <v>1</v>
      </c>
      <c r="VI74" s="12">
        <v>0.97</v>
      </c>
      <c r="VQ74" s="86"/>
      <c r="VR74" s="86"/>
      <c r="VS74" s="1" t="s">
        <v>2638</v>
      </c>
      <c r="VT74" s="1" t="s">
        <v>2639</v>
      </c>
      <c r="VU74" s="86"/>
      <c r="VV74" s="449" t="s">
        <v>5382</v>
      </c>
      <c r="VW74" s="448"/>
      <c r="VY74" s="440" t="s">
        <v>5383</v>
      </c>
      <c r="VZ74" s="441"/>
      <c r="WA74" s="441"/>
      <c r="WB74" s="441"/>
      <c r="WC74" s="442"/>
      <c r="WD74" s="2"/>
      <c r="WE74" s="25" t="s">
        <v>2639</v>
      </c>
      <c r="WF74" s="25" t="s">
        <v>2638</v>
      </c>
      <c r="WG74" s="440" t="s">
        <v>5394</v>
      </c>
      <c r="WH74" s="441"/>
      <c r="WI74" s="441"/>
      <c r="WJ74" s="441"/>
      <c r="WK74" s="442"/>
    </row>
    <row r="75" spans="1:613" x14ac:dyDescent="0.25">
      <c r="OU75" s="17">
        <v>1.1499999999999999</v>
      </c>
      <c r="OX75" t="s">
        <v>2627</v>
      </c>
      <c r="OY75" s="17">
        <f>Boost_Q</f>
        <v>1.1100000000000001</v>
      </c>
      <c r="VI75" s="17">
        <v>1.1499999999999999</v>
      </c>
      <c r="VQ75" s="371" t="s">
        <v>2617</v>
      </c>
      <c r="VR75" s="371" t="s">
        <v>2618</v>
      </c>
      <c r="VS75" s="371" t="s">
        <v>2630</v>
      </c>
      <c r="VT75" s="371" t="s">
        <v>2630</v>
      </c>
      <c r="VU75" s="347" t="s">
        <v>4945</v>
      </c>
      <c r="VV75" s="371" t="s">
        <v>381</v>
      </c>
      <c r="VW75" s="371" t="s">
        <v>2629</v>
      </c>
      <c r="VX75" s="27"/>
      <c r="VY75" s="39">
        <v>1</v>
      </c>
      <c r="VZ75" s="39">
        <v>2</v>
      </c>
      <c r="WA75" s="39">
        <v>3</v>
      </c>
      <c r="WB75" s="39">
        <v>4</v>
      </c>
      <c r="WC75" s="39">
        <v>5</v>
      </c>
      <c r="WD75" s="39" t="s">
        <v>4945</v>
      </c>
      <c r="WE75" s="39" t="s">
        <v>4946</v>
      </c>
      <c r="WF75" s="39" t="s">
        <v>4946</v>
      </c>
      <c r="WG75" s="39">
        <v>1</v>
      </c>
      <c r="WH75" s="39">
        <v>2</v>
      </c>
      <c r="WI75" s="39">
        <v>3</v>
      </c>
      <c r="WJ75" s="39">
        <v>4</v>
      </c>
      <c r="WK75" s="39">
        <v>5</v>
      </c>
      <c r="WL75" s="39" t="s">
        <v>4945</v>
      </c>
    </row>
    <row r="76" spans="1:613" x14ac:dyDescent="0.25">
      <c r="OU76" s="17">
        <v>0.88</v>
      </c>
      <c r="OX76" s="13" t="s">
        <v>2617</v>
      </c>
      <c r="OY76" s="17">
        <f>Broward_Q</f>
        <v>0.88</v>
      </c>
      <c r="VI76" s="17">
        <v>0.88</v>
      </c>
      <c r="VQ76" s="351">
        <f t="shared" ref="VQ76:VQ83" si="24">COUNTIFS($VX$2:$VX$72,$VX76,$VR$2:$VR$72,"&lt;1")</f>
        <v>0</v>
      </c>
      <c r="VR76" s="351">
        <f t="shared" ref="VR76:VR83" si="25">COUNTIFS($VX$2:$VX$72,$VX76,$VS$2:$VS$72,"&lt;1")</f>
        <v>4</v>
      </c>
      <c r="VS76" s="372">
        <v>0.83333333333333337</v>
      </c>
      <c r="VT76" s="372">
        <f t="shared" ref="VT76:VT83" si="26">IF(VU76=0,0,VV76/VU76)</f>
        <v>0.91666666666666663</v>
      </c>
      <c r="VU76" s="352">
        <f t="shared" ref="VU76:VU80" si="27">VV76+VW76</f>
        <v>12</v>
      </c>
      <c r="VV76" s="352">
        <f t="shared" ref="VV76:VW83" si="28">COUNTIFS($VX$2:$VX$72,$VX76,$VW$2:$VW$72,VV$75)</f>
        <v>11</v>
      </c>
      <c r="VW76" s="352">
        <f t="shared" si="28"/>
        <v>1</v>
      </c>
      <c r="VX76" s="31" t="s">
        <v>4947</v>
      </c>
      <c r="VY76" s="23">
        <f t="shared" ref="VY76:WC83" si="29">COUNTIFS($VX$2:$VX$72,$VX76,$VY$2:$VY$72,VY$75)</f>
        <v>0</v>
      </c>
      <c r="VZ76" s="23">
        <f t="shared" si="29"/>
        <v>3</v>
      </c>
      <c r="WA76" s="23">
        <f t="shared" si="29"/>
        <v>4</v>
      </c>
      <c r="WB76" s="23">
        <f t="shared" si="29"/>
        <v>3</v>
      </c>
      <c r="WC76" s="23">
        <f t="shared" si="29"/>
        <v>2</v>
      </c>
      <c r="WD76" s="23">
        <f t="shared" ref="WD76:WD80" si="30">SUM(VY76:WC76)</f>
        <v>12</v>
      </c>
      <c r="WE76" s="17">
        <f>IF(WD76=0,0,SUMPRODUCT($VY$75:$WC$75,VY76:WC76)/WD76)</f>
        <v>3.3333333333333335</v>
      </c>
      <c r="WF76" s="17">
        <v>3.4166666666666665</v>
      </c>
      <c r="WG76" s="23">
        <v>0</v>
      </c>
      <c r="WH76" s="23">
        <v>2</v>
      </c>
      <c r="WI76" s="23">
        <v>5</v>
      </c>
      <c r="WJ76" s="23">
        <v>3</v>
      </c>
      <c r="WK76" s="23">
        <v>2</v>
      </c>
      <c r="WL76" s="23">
        <v>12</v>
      </c>
    </row>
    <row r="77" spans="1:613" x14ac:dyDescent="0.25">
      <c r="OU77" s="17">
        <v>0.93</v>
      </c>
      <c r="OX77" s="13" t="s">
        <v>2618</v>
      </c>
      <c r="OY77" s="17">
        <f>PHA_Q</f>
        <v>0.87</v>
      </c>
      <c r="VI77" s="17">
        <v>0.93</v>
      </c>
      <c r="VQ77" s="351">
        <f t="shared" si="24"/>
        <v>0</v>
      </c>
      <c r="VR77" s="351">
        <f t="shared" si="25"/>
        <v>0</v>
      </c>
      <c r="VS77" s="372">
        <v>0.33333333333333331</v>
      </c>
      <c r="VT77" s="372">
        <f t="shared" si="26"/>
        <v>0.83333333333333337</v>
      </c>
      <c r="VU77" s="352">
        <f t="shared" si="27"/>
        <v>6</v>
      </c>
      <c r="VV77" s="352">
        <f t="shared" si="28"/>
        <v>5</v>
      </c>
      <c r="VW77" s="352">
        <f t="shared" si="28"/>
        <v>1</v>
      </c>
      <c r="VX77" s="31" t="s">
        <v>4948</v>
      </c>
      <c r="VY77" s="23">
        <f t="shared" si="29"/>
        <v>0</v>
      </c>
      <c r="VZ77" s="23">
        <f t="shared" si="29"/>
        <v>0</v>
      </c>
      <c r="WA77" s="23">
        <f t="shared" si="29"/>
        <v>2</v>
      </c>
      <c r="WB77" s="23">
        <f t="shared" si="29"/>
        <v>1</v>
      </c>
      <c r="WC77" s="23">
        <f t="shared" si="29"/>
        <v>3</v>
      </c>
      <c r="WD77" s="23">
        <f t="shared" si="30"/>
        <v>6</v>
      </c>
      <c r="WE77" s="17">
        <f t="shared" ref="WE77:WE80" si="31">IF(WD77=0,0,SUMPRODUCT($VY$75:$WC$75,VY77:WC77)/WD77)</f>
        <v>4.166666666666667</v>
      </c>
      <c r="WF77" s="17">
        <v>4.666666666666667</v>
      </c>
      <c r="WG77" s="23">
        <v>0</v>
      </c>
      <c r="WH77" s="23">
        <v>0</v>
      </c>
      <c r="WI77" s="23">
        <v>0</v>
      </c>
      <c r="WJ77" s="23">
        <v>2</v>
      </c>
      <c r="WK77" s="23">
        <v>4</v>
      </c>
      <c r="WL77" s="23">
        <v>6</v>
      </c>
    </row>
    <row r="78" spans="1:613" x14ac:dyDescent="0.25">
      <c r="OU78" s="17">
        <v>0.92</v>
      </c>
      <c r="OX78" s="13" t="s">
        <v>2622</v>
      </c>
      <c r="OY78" s="17">
        <f>NC_GA_Q</f>
        <v>0.89</v>
      </c>
      <c r="VI78" s="17">
        <v>0.95</v>
      </c>
      <c r="VQ78" s="351">
        <f t="shared" si="24"/>
        <v>0</v>
      </c>
      <c r="VR78" s="351">
        <f t="shared" si="25"/>
        <v>1</v>
      </c>
      <c r="VS78" s="378">
        <v>1</v>
      </c>
      <c r="VT78" s="372">
        <f t="shared" si="26"/>
        <v>0.6</v>
      </c>
      <c r="VU78" s="352">
        <f t="shared" si="27"/>
        <v>10</v>
      </c>
      <c r="VV78" s="352">
        <f t="shared" si="28"/>
        <v>6</v>
      </c>
      <c r="VW78" s="352">
        <f t="shared" si="28"/>
        <v>4</v>
      </c>
      <c r="VX78" s="31" t="s">
        <v>4949</v>
      </c>
      <c r="VY78" s="23">
        <f t="shared" si="29"/>
        <v>3</v>
      </c>
      <c r="VZ78" s="23">
        <f t="shared" si="29"/>
        <v>0</v>
      </c>
      <c r="WA78" s="23">
        <f t="shared" si="29"/>
        <v>0</v>
      </c>
      <c r="WB78" s="23">
        <f t="shared" si="29"/>
        <v>3</v>
      </c>
      <c r="WC78" s="23">
        <f t="shared" si="29"/>
        <v>4</v>
      </c>
      <c r="WD78" s="23">
        <f t="shared" si="30"/>
        <v>10</v>
      </c>
      <c r="WE78" s="17">
        <f t="shared" si="31"/>
        <v>3.5</v>
      </c>
      <c r="WF78" s="17">
        <v>3.2</v>
      </c>
      <c r="WG78" s="23">
        <v>3</v>
      </c>
      <c r="WH78" s="23">
        <v>0</v>
      </c>
      <c r="WI78" s="23">
        <v>2</v>
      </c>
      <c r="WJ78" s="23">
        <v>2</v>
      </c>
      <c r="WK78" s="23">
        <v>3</v>
      </c>
      <c r="WL78" s="23">
        <v>10</v>
      </c>
    </row>
    <row r="79" spans="1:613" x14ac:dyDescent="0.25">
      <c r="OU79" s="17">
        <v>0.85</v>
      </c>
      <c r="OX79" s="13" t="s">
        <v>2623</v>
      </c>
      <c r="OY79" s="17">
        <f>NC_MR_Q</f>
        <v>0.88</v>
      </c>
      <c r="VI79" s="17">
        <v>0.93</v>
      </c>
      <c r="VQ79" s="351">
        <f t="shared" si="24"/>
        <v>0</v>
      </c>
      <c r="VR79" s="351">
        <f t="shared" si="25"/>
        <v>0</v>
      </c>
      <c r="VS79" s="378">
        <v>1</v>
      </c>
      <c r="VT79" s="372">
        <f t="shared" si="26"/>
        <v>1</v>
      </c>
      <c r="VU79" s="352">
        <f t="shared" si="27"/>
        <v>4</v>
      </c>
      <c r="VV79" s="352">
        <f t="shared" si="28"/>
        <v>4</v>
      </c>
      <c r="VW79" s="352">
        <f t="shared" si="28"/>
        <v>0</v>
      </c>
      <c r="VX79" s="31" t="s">
        <v>4950</v>
      </c>
      <c r="VY79" s="23">
        <f t="shared" si="29"/>
        <v>1</v>
      </c>
      <c r="VZ79" s="23">
        <f t="shared" si="29"/>
        <v>3</v>
      </c>
      <c r="WA79" s="23">
        <f t="shared" si="29"/>
        <v>0</v>
      </c>
      <c r="WB79" s="23">
        <f t="shared" si="29"/>
        <v>0</v>
      </c>
      <c r="WC79" s="23">
        <f t="shared" si="29"/>
        <v>0</v>
      </c>
      <c r="WD79" s="23">
        <f t="shared" si="30"/>
        <v>4</v>
      </c>
      <c r="WE79" s="17">
        <f t="shared" si="31"/>
        <v>1.75</v>
      </c>
      <c r="WF79" s="17">
        <v>1.75</v>
      </c>
      <c r="WG79" s="23">
        <v>1</v>
      </c>
      <c r="WH79" s="23">
        <v>3</v>
      </c>
      <c r="WI79" s="23">
        <v>0</v>
      </c>
      <c r="WJ79" s="23">
        <v>0</v>
      </c>
      <c r="WK79" s="23">
        <v>0</v>
      </c>
      <c r="WL79" s="23">
        <v>4</v>
      </c>
    </row>
    <row r="80" spans="1:613" x14ac:dyDescent="0.25">
      <c r="OU80" s="17">
        <v>0.82</v>
      </c>
      <c r="OX80" s="13" t="s">
        <v>2621</v>
      </c>
      <c r="OY80" s="17">
        <f>NC_HR_Q</f>
        <v>0.87</v>
      </c>
      <c r="VI80" s="17">
        <v>0.91</v>
      </c>
      <c r="VQ80" s="351">
        <f t="shared" si="24"/>
        <v>0</v>
      </c>
      <c r="VR80" s="351">
        <f t="shared" si="25"/>
        <v>1</v>
      </c>
      <c r="VS80" s="378">
        <v>1</v>
      </c>
      <c r="VT80" s="372">
        <f t="shared" si="26"/>
        <v>1</v>
      </c>
      <c r="VU80" s="362">
        <f t="shared" si="27"/>
        <v>1</v>
      </c>
      <c r="VV80" s="362">
        <f t="shared" si="28"/>
        <v>1</v>
      </c>
      <c r="VW80" s="362">
        <f t="shared" si="28"/>
        <v>0</v>
      </c>
      <c r="VX80" s="69" t="s">
        <v>4951</v>
      </c>
      <c r="VY80" s="76">
        <f t="shared" si="29"/>
        <v>0</v>
      </c>
      <c r="VZ80" s="76">
        <f t="shared" si="29"/>
        <v>0</v>
      </c>
      <c r="WA80" s="76">
        <f t="shared" si="29"/>
        <v>1</v>
      </c>
      <c r="WB80" s="76">
        <f t="shared" si="29"/>
        <v>0</v>
      </c>
      <c r="WC80" s="76">
        <f t="shared" si="29"/>
        <v>0</v>
      </c>
      <c r="WD80" s="76">
        <f t="shared" si="30"/>
        <v>1</v>
      </c>
      <c r="WE80" s="77">
        <f t="shared" si="31"/>
        <v>3</v>
      </c>
      <c r="WF80" s="77">
        <v>2</v>
      </c>
      <c r="WG80" s="23">
        <v>0</v>
      </c>
      <c r="WH80" s="23">
        <v>1</v>
      </c>
      <c r="WI80" s="23">
        <v>0</v>
      </c>
      <c r="WJ80" s="23">
        <v>0</v>
      </c>
      <c r="WK80" s="23">
        <v>0</v>
      </c>
      <c r="WL80" s="76">
        <v>1</v>
      </c>
    </row>
    <row r="81" spans="411:610" x14ac:dyDescent="0.25">
      <c r="OU81" s="17">
        <v>1</v>
      </c>
      <c r="OX81" s="13" t="s">
        <v>2624</v>
      </c>
      <c r="OY81" s="17" t="e">
        <f>NC_SF_Q</f>
        <v>#REF!</v>
      </c>
      <c r="VI81" s="17">
        <v>1</v>
      </c>
      <c r="VQ81" s="373">
        <f t="shared" si="24"/>
        <v>0</v>
      </c>
      <c r="VR81" s="373">
        <f t="shared" si="25"/>
        <v>0</v>
      </c>
      <c r="VS81" s="386">
        <v>0</v>
      </c>
      <c r="VT81" s="386">
        <f t="shared" si="26"/>
        <v>0</v>
      </c>
      <c r="VU81" s="354">
        <f t="shared" ref="VU81:VU83" si="32">VV81+VW81</f>
        <v>0</v>
      </c>
      <c r="VV81" s="354">
        <f t="shared" si="28"/>
        <v>0</v>
      </c>
      <c r="VW81" s="354">
        <f t="shared" si="28"/>
        <v>0</v>
      </c>
      <c r="VX81" s="73" t="s">
        <v>5380</v>
      </c>
      <c r="VY81" s="74">
        <f t="shared" si="29"/>
        <v>0</v>
      </c>
      <c r="VZ81" s="74">
        <f t="shared" si="29"/>
        <v>0</v>
      </c>
      <c r="WA81" s="74">
        <f t="shared" si="29"/>
        <v>0</v>
      </c>
      <c r="WB81" s="74">
        <f t="shared" si="29"/>
        <v>0</v>
      </c>
      <c r="WC81" s="74">
        <f t="shared" si="29"/>
        <v>0</v>
      </c>
      <c r="WD81" s="74">
        <f t="shared" ref="WD81:WD83" si="33">SUM(VY81:WC81)</f>
        <v>0</v>
      </c>
      <c r="WE81" s="75">
        <f t="shared" ref="WE81:WE83" si="34">IF(WD81=0,0,SUMPRODUCT($VY$75:$WC$75,VY81:WC81)/WD81)</f>
        <v>0</v>
      </c>
      <c r="WF81" s="75">
        <v>0</v>
      </c>
      <c r="WG81" s="74">
        <v>0</v>
      </c>
      <c r="WH81" s="74">
        <v>0</v>
      </c>
      <c r="WI81" s="74">
        <v>0</v>
      </c>
      <c r="WJ81" s="74">
        <v>0</v>
      </c>
      <c r="WK81" s="74">
        <v>0</v>
      </c>
      <c r="WL81" s="74">
        <v>0</v>
      </c>
    </row>
    <row r="82" spans="411:610" x14ac:dyDescent="0.25">
      <c r="OU82" s="17">
        <v>1</v>
      </c>
      <c r="OX82" s="13" t="s">
        <v>2625</v>
      </c>
      <c r="OY82" s="17">
        <f>NC_OT_Q</f>
        <v>1</v>
      </c>
      <c r="VI82" s="17">
        <v>1</v>
      </c>
      <c r="VQ82" s="351">
        <f t="shared" si="24"/>
        <v>0</v>
      </c>
      <c r="VR82" s="351">
        <f t="shared" si="25"/>
        <v>0</v>
      </c>
      <c r="VS82" s="378">
        <v>0</v>
      </c>
      <c r="VT82" s="372">
        <f t="shared" si="26"/>
        <v>0</v>
      </c>
      <c r="VU82" s="362">
        <f t="shared" si="32"/>
        <v>0</v>
      </c>
      <c r="VV82" s="362">
        <f t="shared" si="28"/>
        <v>0</v>
      </c>
      <c r="VW82" s="362">
        <f t="shared" si="28"/>
        <v>0</v>
      </c>
      <c r="VX82" s="69" t="s">
        <v>4952</v>
      </c>
      <c r="VY82" s="76">
        <f t="shared" si="29"/>
        <v>0</v>
      </c>
      <c r="VZ82" s="76">
        <f t="shared" si="29"/>
        <v>0</v>
      </c>
      <c r="WA82" s="76">
        <f t="shared" si="29"/>
        <v>0</v>
      </c>
      <c r="WB82" s="76">
        <f t="shared" si="29"/>
        <v>0</v>
      </c>
      <c r="WC82" s="76">
        <f t="shared" si="29"/>
        <v>0</v>
      </c>
      <c r="WD82" s="76">
        <f t="shared" si="33"/>
        <v>0</v>
      </c>
      <c r="WE82" s="77">
        <f t="shared" si="34"/>
        <v>0</v>
      </c>
      <c r="WF82" s="77">
        <v>0</v>
      </c>
      <c r="WG82" s="23">
        <v>0</v>
      </c>
      <c r="WH82" s="23">
        <v>0</v>
      </c>
      <c r="WI82" s="23">
        <v>0</v>
      </c>
      <c r="WJ82" s="23">
        <v>0</v>
      </c>
      <c r="WK82" s="23">
        <v>0</v>
      </c>
      <c r="WL82" s="76">
        <v>0</v>
      </c>
    </row>
    <row r="83" spans="411:610" x14ac:dyDescent="0.25">
      <c r="OU83" s="17">
        <v>0.87</v>
      </c>
      <c r="OX83" s="13" t="s">
        <v>2628</v>
      </c>
      <c r="OY83" s="17">
        <f>ESSC_Q</f>
        <v>0.96</v>
      </c>
      <c r="VI83" s="17">
        <v>0.88</v>
      </c>
      <c r="VQ83" s="351">
        <f t="shared" si="24"/>
        <v>0</v>
      </c>
      <c r="VR83" s="351">
        <f t="shared" si="25"/>
        <v>0</v>
      </c>
      <c r="VS83" s="376">
        <v>0</v>
      </c>
      <c r="VT83" s="376">
        <f t="shared" si="26"/>
        <v>0</v>
      </c>
      <c r="VU83" s="356">
        <f t="shared" si="32"/>
        <v>0</v>
      </c>
      <c r="VV83" s="356">
        <f t="shared" si="28"/>
        <v>0</v>
      </c>
      <c r="VW83" s="356">
        <f t="shared" si="28"/>
        <v>0</v>
      </c>
      <c r="VX83" s="43" t="s">
        <v>4953</v>
      </c>
      <c r="VY83" s="41">
        <f t="shared" si="29"/>
        <v>0</v>
      </c>
      <c r="VZ83" s="41">
        <f t="shared" si="29"/>
        <v>0</v>
      </c>
      <c r="WA83" s="41">
        <f t="shared" si="29"/>
        <v>0</v>
      </c>
      <c r="WB83" s="41">
        <f t="shared" si="29"/>
        <v>0</v>
      </c>
      <c r="WC83" s="41">
        <f t="shared" si="29"/>
        <v>0</v>
      </c>
      <c r="WD83" s="41">
        <f t="shared" si="33"/>
        <v>0</v>
      </c>
      <c r="WE83" s="28">
        <f t="shared" si="34"/>
        <v>0</v>
      </c>
      <c r="WF83" s="28">
        <v>0</v>
      </c>
      <c r="WG83" s="23">
        <v>0</v>
      </c>
      <c r="WH83" s="23">
        <v>0</v>
      </c>
      <c r="WI83" s="23">
        <v>0</v>
      </c>
      <c r="WJ83" s="23">
        <v>0</v>
      </c>
      <c r="WK83" s="23">
        <v>0</v>
      </c>
      <c r="WL83" s="41">
        <v>0</v>
      </c>
    </row>
    <row r="84" spans="411:610" x14ac:dyDescent="0.25">
      <c r="VQ84" s="377">
        <f t="shared" ref="VQ84:VR84" si="35">SUM(VQ76:VQ83)</f>
        <v>0</v>
      </c>
      <c r="VR84" s="377">
        <f t="shared" si="35"/>
        <v>6</v>
      </c>
      <c r="VS84" s="372">
        <v>0.81818181818181823</v>
      </c>
      <c r="VT84" s="372">
        <f>VV84/VU84</f>
        <v>0.81818181818181823</v>
      </c>
      <c r="VU84" s="352">
        <f>SUM(VU76:VU80)</f>
        <v>33</v>
      </c>
      <c r="VV84" s="352">
        <f>SUM(VV76:VV80)</f>
        <v>27</v>
      </c>
      <c r="VW84" s="352">
        <f>SUM(VW76:VW80)</f>
        <v>6</v>
      </c>
      <c r="VX84" s="31" t="s">
        <v>2633</v>
      </c>
      <c r="VY84" s="23">
        <f t="shared" ref="VY84:WD84" si="36">SUM(VY76:VY80)</f>
        <v>4</v>
      </c>
      <c r="VZ84" s="23">
        <f t="shared" si="36"/>
        <v>6</v>
      </c>
      <c r="WA84" s="23">
        <f t="shared" si="36"/>
        <v>7</v>
      </c>
      <c r="WB84" s="23">
        <f t="shared" si="36"/>
        <v>7</v>
      </c>
      <c r="WC84" s="23">
        <f t="shared" si="36"/>
        <v>9</v>
      </c>
      <c r="WD84" s="23">
        <f t="shared" si="36"/>
        <v>33</v>
      </c>
      <c r="WE84" s="17">
        <f>IF(WD84=0,0,SUMPRODUCT($VY$75:$WC$75,VY84:WC84)/WD84)</f>
        <v>3.3333333333333335</v>
      </c>
      <c r="WF84" s="17">
        <v>3.3333333333333335</v>
      </c>
      <c r="WG84" s="64">
        <v>4</v>
      </c>
      <c r="WH84" s="64">
        <v>6</v>
      </c>
      <c r="WI84" s="64">
        <v>7</v>
      </c>
      <c r="WJ84" s="64">
        <v>7</v>
      </c>
      <c r="WK84" s="64">
        <v>9</v>
      </c>
      <c r="WL84" s="23">
        <v>33</v>
      </c>
    </row>
    <row r="85" spans="411:610" x14ac:dyDescent="0.25">
      <c r="VQ85" s="359"/>
      <c r="VR85" s="359"/>
      <c r="VS85" s="359"/>
      <c r="VT85" s="359"/>
      <c r="VU85" s="359"/>
      <c r="VV85" s="359"/>
      <c r="VW85" s="359"/>
      <c r="WH85" s="2"/>
    </row>
    <row r="86" spans="411:610" x14ac:dyDescent="0.25">
      <c r="VQ86" s="352">
        <f>VQ76+VQ77</f>
        <v>0</v>
      </c>
      <c r="VR86" s="352">
        <f>VR76+VR77</f>
        <v>4</v>
      </c>
      <c r="VS86" s="372">
        <v>0.66666666666666663</v>
      </c>
      <c r="VT86" s="372">
        <f t="shared" ref="VT86:VT90" si="37">IF(VU86=0,0,VV86/VU86)</f>
        <v>0.88888888888888884</v>
      </c>
      <c r="VU86" s="352">
        <f t="shared" ref="VU86:VU88" si="38">VV86+VW86</f>
        <v>18</v>
      </c>
      <c r="VV86" s="352">
        <f>VV76+VV77</f>
        <v>16</v>
      </c>
      <c r="VW86" s="352">
        <f>VW76+VW77</f>
        <v>2</v>
      </c>
      <c r="VX86" s="31" t="s">
        <v>4954</v>
      </c>
      <c r="VY86" s="23">
        <f>VY76+VY77</f>
        <v>0</v>
      </c>
      <c r="VZ86" s="23">
        <f t="shared" ref="VZ86:WC86" si="39">VZ76+VZ77</f>
        <v>3</v>
      </c>
      <c r="WA86" s="23">
        <f t="shared" si="39"/>
        <v>6</v>
      </c>
      <c r="WB86" s="23">
        <f t="shared" si="39"/>
        <v>4</v>
      </c>
      <c r="WC86" s="23">
        <f t="shared" si="39"/>
        <v>5</v>
      </c>
      <c r="WD86" s="23">
        <f t="shared" ref="WD86:WD88" si="40">SUM(VY86:WC86)</f>
        <v>18</v>
      </c>
      <c r="WE86" s="17">
        <f t="shared" ref="WE86:WE88" si="41">IF(WD86=0,0,SUMPRODUCT($VY$75:$WC$75,VY86:WC86)/WD86)</f>
        <v>3.6111111111111112</v>
      </c>
      <c r="WF86" s="17">
        <v>3.8333333333333335</v>
      </c>
      <c r="WG86" s="23">
        <v>0</v>
      </c>
      <c r="WH86" s="23">
        <v>2</v>
      </c>
      <c r="WI86" s="23">
        <v>5</v>
      </c>
      <c r="WJ86" s="23">
        <v>5</v>
      </c>
      <c r="WK86" s="23">
        <v>6</v>
      </c>
      <c r="WL86" s="23">
        <v>18</v>
      </c>
    </row>
    <row r="87" spans="411:610" x14ac:dyDescent="0.25">
      <c r="VQ87" s="352">
        <f>VQ78+VQ79</f>
        <v>0</v>
      </c>
      <c r="VR87" s="352">
        <f>VR78+VR79</f>
        <v>1</v>
      </c>
      <c r="VS87" s="372">
        <v>1</v>
      </c>
      <c r="VT87" s="372">
        <f t="shared" si="37"/>
        <v>0.7142857142857143</v>
      </c>
      <c r="VU87" s="352">
        <f t="shared" si="38"/>
        <v>14</v>
      </c>
      <c r="VV87" s="352">
        <f>VV78+VV79</f>
        <v>10</v>
      </c>
      <c r="VW87" s="352">
        <f>VW78+VW79</f>
        <v>4</v>
      </c>
      <c r="VX87" s="31" t="s">
        <v>4955</v>
      </c>
      <c r="VY87" s="23">
        <f>VY78+VY79</f>
        <v>4</v>
      </c>
      <c r="VZ87" s="23">
        <f t="shared" ref="VZ87:WC87" si="42">VZ78+VZ79</f>
        <v>3</v>
      </c>
      <c r="WA87" s="23">
        <f t="shared" si="42"/>
        <v>0</v>
      </c>
      <c r="WB87" s="23">
        <f t="shared" si="42"/>
        <v>3</v>
      </c>
      <c r="WC87" s="23">
        <f t="shared" si="42"/>
        <v>4</v>
      </c>
      <c r="WD87" s="23">
        <f t="shared" si="40"/>
        <v>14</v>
      </c>
      <c r="WE87" s="17">
        <f t="shared" si="41"/>
        <v>3</v>
      </c>
      <c r="WF87" s="17">
        <v>2.7857142857142856</v>
      </c>
      <c r="WG87" s="23">
        <v>4</v>
      </c>
      <c r="WH87" s="23">
        <v>3</v>
      </c>
      <c r="WI87" s="23">
        <v>2</v>
      </c>
      <c r="WJ87" s="23">
        <v>2</v>
      </c>
      <c r="WK87" s="23">
        <v>3</v>
      </c>
      <c r="WL87" s="23">
        <v>14</v>
      </c>
    </row>
    <row r="88" spans="411:610" x14ac:dyDescent="0.25">
      <c r="VQ88" s="362">
        <f>VQ80</f>
        <v>0</v>
      </c>
      <c r="VR88" s="362">
        <f>VR80</f>
        <v>1</v>
      </c>
      <c r="VS88" s="372">
        <v>1</v>
      </c>
      <c r="VT88" s="372">
        <f t="shared" si="37"/>
        <v>1</v>
      </c>
      <c r="VU88" s="352">
        <f t="shared" si="38"/>
        <v>1</v>
      </c>
      <c r="VV88" s="352">
        <f>VV80</f>
        <v>1</v>
      </c>
      <c r="VW88" s="352">
        <f>VW80</f>
        <v>0</v>
      </c>
      <c r="VX88" s="31" t="s">
        <v>4956</v>
      </c>
      <c r="VY88" s="80">
        <f>VY80</f>
        <v>0</v>
      </c>
      <c r="VZ88" s="80">
        <f t="shared" ref="VZ88:WC89" si="43">VZ80</f>
        <v>0</v>
      </c>
      <c r="WA88" s="80">
        <f t="shared" si="43"/>
        <v>1</v>
      </c>
      <c r="WB88" s="80">
        <f t="shared" si="43"/>
        <v>0</v>
      </c>
      <c r="WC88" s="80">
        <f t="shared" si="43"/>
        <v>0</v>
      </c>
      <c r="WD88" s="23">
        <f t="shared" si="40"/>
        <v>1</v>
      </c>
      <c r="WE88" s="17">
        <f t="shared" si="41"/>
        <v>3</v>
      </c>
      <c r="WF88" s="17">
        <v>2</v>
      </c>
      <c r="WG88" s="80">
        <v>0</v>
      </c>
      <c r="WH88" s="80">
        <v>1</v>
      </c>
      <c r="WI88" s="80">
        <v>0</v>
      </c>
      <c r="WJ88" s="80">
        <v>0</v>
      </c>
      <c r="WK88" s="80">
        <v>0</v>
      </c>
      <c r="WL88" s="23">
        <v>1</v>
      </c>
    </row>
    <row r="89" spans="411:610" x14ac:dyDescent="0.25">
      <c r="VQ89" s="356">
        <f t="shared" ref="VQ89:VR89" si="44">VQ81</f>
        <v>0</v>
      </c>
      <c r="VR89" s="354">
        <f t="shared" si="44"/>
        <v>0</v>
      </c>
      <c r="VS89" s="376">
        <v>0</v>
      </c>
      <c r="VT89" s="376">
        <f t="shared" si="37"/>
        <v>0</v>
      </c>
      <c r="VU89" s="356">
        <f>VU81</f>
        <v>0</v>
      </c>
      <c r="VV89" s="356">
        <f t="shared" ref="VV89:VW89" si="45">VV81</f>
        <v>0</v>
      </c>
      <c r="VW89" s="356">
        <f t="shared" si="45"/>
        <v>0</v>
      </c>
      <c r="VX89" s="43" t="s">
        <v>5407</v>
      </c>
      <c r="VY89" s="70">
        <f t="shared" ref="VY89" si="46">VY81</f>
        <v>0</v>
      </c>
      <c r="VZ89" s="70">
        <f t="shared" si="43"/>
        <v>0</v>
      </c>
      <c r="WA89" s="70">
        <f t="shared" si="43"/>
        <v>0</v>
      </c>
      <c r="WB89" s="70">
        <f t="shared" si="43"/>
        <v>0</v>
      </c>
      <c r="WC89" s="70">
        <f t="shared" si="43"/>
        <v>0</v>
      </c>
      <c r="WD89" s="23">
        <f>SUM(VY89:WC89)</f>
        <v>0</v>
      </c>
      <c r="WE89" s="17">
        <f>IF(WD89=0,0,SUMPRODUCT($VY$75:$WC$75,VY89:WC89)/WD89)</f>
        <v>0</v>
      </c>
      <c r="WF89" s="17">
        <v>0</v>
      </c>
      <c r="WG89" s="70">
        <v>0</v>
      </c>
      <c r="WH89" s="70">
        <v>0</v>
      </c>
      <c r="WI89" s="70">
        <v>0</v>
      </c>
      <c r="WJ89" s="70">
        <v>0</v>
      </c>
      <c r="WK89" s="70">
        <v>0</v>
      </c>
      <c r="WL89" s="23">
        <v>0</v>
      </c>
    </row>
    <row r="90" spans="411:610" x14ac:dyDescent="0.25">
      <c r="VQ90" s="352">
        <f>VQ82+VQ83</f>
        <v>0</v>
      </c>
      <c r="VR90" s="362">
        <f>VR82+VR83</f>
        <v>0</v>
      </c>
      <c r="VS90" s="372">
        <v>0</v>
      </c>
      <c r="VT90" s="372">
        <f t="shared" si="37"/>
        <v>0</v>
      </c>
      <c r="VU90" s="352">
        <f>VV90+VW90</f>
        <v>0</v>
      </c>
      <c r="VV90" s="352">
        <f>VV82+VV83</f>
        <v>0</v>
      </c>
      <c r="VW90" s="352">
        <f>VW82+VW83</f>
        <v>0</v>
      </c>
      <c r="VX90" s="31" t="s">
        <v>4957</v>
      </c>
      <c r="VY90" s="76">
        <f>VY82+VY83</f>
        <v>0</v>
      </c>
      <c r="VZ90" s="76">
        <f t="shared" ref="VZ90:WC90" si="47">VZ82+VZ83</f>
        <v>0</v>
      </c>
      <c r="WA90" s="76">
        <f t="shared" si="47"/>
        <v>0</v>
      </c>
      <c r="WB90" s="76">
        <f t="shared" si="47"/>
        <v>0</v>
      </c>
      <c r="WC90" s="76">
        <f t="shared" si="47"/>
        <v>0</v>
      </c>
      <c r="WD90" s="44">
        <f>SUM(VY90:WC90)</f>
        <v>0</v>
      </c>
      <c r="WE90" s="45">
        <f>IF(WD90=0,0,SUMPRODUCT($VY$75:$WC$75,VY90:WC90)/WD90)</f>
        <v>0</v>
      </c>
      <c r="WF90" s="45">
        <v>0</v>
      </c>
      <c r="WG90" s="76">
        <v>0</v>
      </c>
      <c r="WH90" s="76">
        <v>0</v>
      </c>
      <c r="WI90" s="76">
        <v>0</v>
      </c>
      <c r="WJ90" s="76">
        <v>0</v>
      </c>
      <c r="WK90" s="76">
        <v>0</v>
      </c>
      <c r="WL90" s="44">
        <v>0</v>
      </c>
    </row>
    <row r="91" spans="411:610" x14ac:dyDescent="0.25">
      <c r="VQ91" s="364"/>
      <c r="VR91" s="363"/>
      <c r="VS91" s="372"/>
      <c r="VT91" s="372"/>
      <c r="VU91" s="352"/>
      <c r="VV91" s="352"/>
      <c r="VW91" s="352"/>
      <c r="VX91" s="31"/>
      <c r="VY91" s="23"/>
      <c r="VZ91" s="23"/>
      <c r="WA91" s="23"/>
      <c r="WB91" s="23"/>
      <c r="WC91" s="23"/>
      <c r="WD91" s="23"/>
      <c r="WE91" s="17"/>
      <c r="WF91" s="17"/>
      <c r="WG91" s="23"/>
      <c r="WH91" s="23"/>
      <c r="WI91" s="23"/>
      <c r="WJ91" s="23"/>
      <c r="WK91" s="23"/>
      <c r="WL91" s="23"/>
    </row>
    <row r="92" spans="411:610" x14ac:dyDescent="0.25">
      <c r="VQ92" s="352">
        <f t="shared" ref="VQ92:VR92" si="48">VQ76+VQ78+VQ80</f>
        <v>0</v>
      </c>
      <c r="VR92" s="352">
        <f t="shared" si="48"/>
        <v>6</v>
      </c>
      <c r="VS92" s="372">
        <v>0.91304347826086951</v>
      </c>
      <c r="VT92" s="372">
        <f t="shared" ref="VT92:VT93" si="49">IF(VU92=0,0,VV92/VU92)</f>
        <v>0.78260869565217395</v>
      </c>
      <c r="VU92" s="352">
        <f t="shared" ref="VU92:VU93" si="50">VV92+VW92</f>
        <v>23</v>
      </c>
      <c r="VV92" s="352">
        <f>VV76+VV78+VV80</f>
        <v>18</v>
      </c>
      <c r="VW92" s="352">
        <f>VW76+VW78+VW80</f>
        <v>5</v>
      </c>
      <c r="VX92" s="31" t="s">
        <v>4958</v>
      </c>
      <c r="VY92" s="23">
        <f>VY76+VY78+VY80+VY81</f>
        <v>3</v>
      </c>
      <c r="VZ92" s="23">
        <f>VZ76+VZ78+VZ80+VZ81</f>
        <v>3</v>
      </c>
      <c r="WA92" s="23">
        <f>WA76+WA78+WA80+WA81</f>
        <v>5</v>
      </c>
      <c r="WB92" s="23">
        <f>WB76+WB78+WB80+WB81</f>
        <v>6</v>
      </c>
      <c r="WC92" s="23">
        <f>WC76+WC78+WC80+WC81</f>
        <v>6</v>
      </c>
      <c r="WD92" s="23">
        <f t="shared" ref="WD92:WD93" si="51">SUM(VY92:WC92)</f>
        <v>23</v>
      </c>
      <c r="WE92" s="17">
        <f t="shared" ref="WE92:WE94" si="52">IF(WD92=0,0,SUMPRODUCT($VY$75:$WC$75,VY92:WC92)/WD92)</f>
        <v>3.3913043478260869</v>
      </c>
      <c r="WF92" s="17">
        <v>3.2608695652173911</v>
      </c>
      <c r="WG92" s="23">
        <v>3</v>
      </c>
      <c r="WH92" s="23">
        <v>3</v>
      </c>
      <c r="WI92" s="23">
        <v>7</v>
      </c>
      <c r="WJ92" s="23">
        <v>5</v>
      </c>
      <c r="WK92" s="23">
        <v>5</v>
      </c>
      <c r="WL92" s="23">
        <v>23</v>
      </c>
    </row>
    <row r="93" spans="411:610" x14ac:dyDescent="0.25">
      <c r="VQ93" s="352">
        <f t="shared" ref="VQ93:VR93" si="53">VQ77+VQ79</f>
        <v>0</v>
      </c>
      <c r="VR93" s="352">
        <f t="shared" si="53"/>
        <v>0</v>
      </c>
      <c r="VS93" s="372">
        <v>0.6</v>
      </c>
      <c r="VT93" s="372">
        <f t="shared" si="49"/>
        <v>0.9</v>
      </c>
      <c r="VU93" s="352">
        <f t="shared" si="50"/>
        <v>10</v>
      </c>
      <c r="VV93" s="352">
        <f>VV77+VV79</f>
        <v>9</v>
      </c>
      <c r="VW93" s="352">
        <f>VW77+VW79</f>
        <v>1</v>
      </c>
      <c r="VX93" s="31" t="s">
        <v>4959</v>
      </c>
      <c r="VY93" s="23">
        <f t="shared" ref="VY93:WC93" si="54">VY77+VY79</f>
        <v>1</v>
      </c>
      <c r="VZ93" s="23">
        <f t="shared" si="54"/>
        <v>3</v>
      </c>
      <c r="WA93" s="23">
        <f t="shared" si="54"/>
        <v>2</v>
      </c>
      <c r="WB93" s="23">
        <f t="shared" si="54"/>
        <v>1</v>
      </c>
      <c r="WC93" s="23">
        <f t="shared" si="54"/>
        <v>3</v>
      </c>
      <c r="WD93" s="23">
        <f t="shared" si="51"/>
        <v>10</v>
      </c>
      <c r="WE93" s="17">
        <f t="shared" si="52"/>
        <v>3.2</v>
      </c>
      <c r="WF93" s="17">
        <v>3.5</v>
      </c>
      <c r="WG93" s="23">
        <v>1</v>
      </c>
      <c r="WH93" s="23">
        <v>3</v>
      </c>
      <c r="WI93" s="23">
        <v>0</v>
      </c>
      <c r="WJ93" s="23">
        <v>2</v>
      </c>
      <c r="WK93" s="23">
        <v>4</v>
      </c>
      <c r="WL93" s="23">
        <v>10</v>
      </c>
    </row>
    <row r="94" spans="411:610" x14ac:dyDescent="0.25">
      <c r="VQ94" s="351">
        <f>VQ82+VQ83</f>
        <v>0</v>
      </c>
      <c r="VR94" s="351">
        <f>VR82+VR83</f>
        <v>0</v>
      </c>
      <c r="VS94" s="372">
        <v>0</v>
      </c>
      <c r="VT94" s="379">
        <f t="shared" ref="VT94" si="55">IFERROR(VV94/VU94,0)</f>
        <v>0</v>
      </c>
      <c r="VU94" s="351">
        <f>VU82+VU83</f>
        <v>0</v>
      </c>
      <c r="VV94" s="351">
        <f>VV82+VV83</f>
        <v>0</v>
      </c>
      <c r="VW94" s="351">
        <f>VW82+VW83</f>
        <v>0</v>
      </c>
      <c r="VX94" s="31" t="s">
        <v>5384</v>
      </c>
      <c r="VY94" s="12">
        <f>VY82+VY83</f>
        <v>0</v>
      </c>
      <c r="VZ94" s="12">
        <f>VZ82+VZ83</f>
        <v>0</v>
      </c>
      <c r="WA94" s="12">
        <f>WA82+WA83</f>
        <v>0</v>
      </c>
      <c r="WB94" s="12">
        <f>WB82+WB83</f>
        <v>0</v>
      </c>
      <c r="WC94" s="12">
        <f>WC82+WC83</f>
        <v>0</v>
      </c>
      <c r="WD94" s="23">
        <f t="shared" ref="WD94" si="56">SUM(VY94:WC94)</f>
        <v>0</v>
      </c>
      <c r="WE94" s="17">
        <f t="shared" si="52"/>
        <v>0</v>
      </c>
      <c r="WF94" s="17">
        <v>0</v>
      </c>
      <c r="WG94" s="12">
        <v>0</v>
      </c>
      <c r="WH94" s="12">
        <v>0</v>
      </c>
      <c r="WI94" s="12">
        <v>0</v>
      </c>
      <c r="WJ94" s="12">
        <v>0</v>
      </c>
      <c r="WK94" s="12">
        <v>0</v>
      </c>
      <c r="WL94" s="23">
        <v>0</v>
      </c>
    </row>
    <row r="95" spans="411:610" x14ac:dyDescent="0.25">
      <c r="VQ95" s="23"/>
      <c r="VS95" s="372"/>
      <c r="VT95" s="372"/>
      <c r="VU95" s="352"/>
      <c r="VV95" s="352"/>
      <c r="VW95" s="352"/>
      <c r="VX95" s="31"/>
      <c r="VY95" s="23"/>
      <c r="VZ95" s="23"/>
      <c r="WA95" s="23"/>
      <c r="WB95" s="23"/>
      <c r="WC95" s="23"/>
      <c r="WD95" s="23"/>
      <c r="WE95" s="17"/>
      <c r="WF95" s="17"/>
      <c r="WG95" s="2"/>
      <c r="WH95" s="2"/>
      <c r="WL95" s="23"/>
    </row>
    <row r="96" spans="411:610" x14ac:dyDescent="0.25">
      <c r="VQ96" s="23"/>
      <c r="VS96" s="372">
        <v>0.83333333333333337</v>
      </c>
      <c r="VT96" s="372">
        <f t="shared" ref="VT96:VT97" si="57">IF(VU96=0,0,VV96/VU96)</f>
        <v>1</v>
      </c>
      <c r="VU96" s="352">
        <f t="shared" ref="VU96:VU106" si="58">VV96+VW96</f>
        <v>6</v>
      </c>
      <c r="VV96" s="352">
        <f>COUNTIFS($VW$2:$VW$72,VV$75,$VS$2:$VS$72,"&lt;1")</f>
        <v>6</v>
      </c>
      <c r="VW96" s="352">
        <f>COUNTIFS($VW$2:$VW$72,VW$75,$VS$2:$VS$72,"&lt;1")</f>
        <v>0</v>
      </c>
      <c r="VX96" s="31" t="s">
        <v>2631</v>
      </c>
      <c r="VY96" s="23">
        <f>COUNTIFS($VY$2:$VY$72,VY$75,$VS$2:$VS$72,"&lt;1")</f>
        <v>0</v>
      </c>
      <c r="VZ96" s="23">
        <f>COUNTIFS($VY$2:$VY$72,VZ$75,$VS$2:$VS$72,"&lt;1")</f>
        <v>2</v>
      </c>
      <c r="WA96" s="23">
        <f>COUNTIFS($VY$2:$VY$72,WA$75,$VS$2:$VS$72,"&lt;1")</f>
        <v>2</v>
      </c>
      <c r="WB96" s="23">
        <f>COUNTIFS($VY$2:$VY$72,WB$75,$VS$2:$VS$72,"&lt;1")</f>
        <v>1</v>
      </c>
      <c r="WC96" s="23">
        <f>COUNTIFS($VY$2:$VY$72,WC$75,$VS$2:$VS$72,"&lt;1")</f>
        <v>1</v>
      </c>
      <c r="WD96" s="23">
        <f t="shared" ref="WD96:WD100" si="59">SUM(VY96:WC96)</f>
        <v>6</v>
      </c>
      <c r="WE96" s="17">
        <f>IF(WD96=0,0,SUMPRODUCT($VY$75:$WC$75,VY96:WC96)/WD96)</f>
        <v>3.1666666666666665</v>
      </c>
      <c r="WF96" s="17">
        <v>3.1666666666666665</v>
      </c>
      <c r="WG96" s="23">
        <v>0</v>
      </c>
      <c r="WH96" s="23">
        <v>2</v>
      </c>
      <c r="WI96" s="23">
        <v>2</v>
      </c>
      <c r="WJ96" s="23">
        <v>1</v>
      </c>
      <c r="WK96" s="23">
        <v>1</v>
      </c>
      <c r="WL96" s="23">
        <v>6</v>
      </c>
    </row>
    <row r="97" spans="591:610" x14ac:dyDescent="0.25">
      <c r="VS97" s="372">
        <v>0.81481481481481477</v>
      </c>
      <c r="VT97" s="372">
        <f t="shared" si="57"/>
        <v>0.77777777777777779</v>
      </c>
      <c r="VU97" s="352">
        <f t="shared" si="58"/>
        <v>27</v>
      </c>
      <c r="VV97" s="352">
        <f>COUNTIFS($VW$2:$VW$72,VV$75,$VS$2:$VS$72,"=1")</f>
        <v>21</v>
      </c>
      <c r="VW97" s="352">
        <f>COUNTIFS($VW$2:$VW$72,VW$75,$VS$2:$VS$72,"=1")</f>
        <v>6</v>
      </c>
      <c r="VX97" s="31" t="s">
        <v>2632</v>
      </c>
      <c r="VY97" s="23">
        <f>COUNTIFS($VY$2:$VY$72,VY$75,$VS$2:$VS$72,"=1")</f>
        <v>4</v>
      </c>
      <c r="VZ97" s="23">
        <f>COUNTIFS($VY$2:$VY$72,VZ$75,$VS$2:$VS$72,"=1")</f>
        <v>4</v>
      </c>
      <c r="WA97" s="23">
        <f>COUNTIFS($VY$2:$VY$72,WA$75,$VS$2:$VS$72,"=1")</f>
        <v>5</v>
      </c>
      <c r="WB97" s="23">
        <f>COUNTIFS($VY$2:$VY$72,WB$75,$VS$2:$VS$72,"=1")</f>
        <v>6</v>
      </c>
      <c r="WC97" s="23">
        <f>COUNTIFS($VY$2:$VY$72,WC$75,$VS$2:$VS$72,"=1")</f>
        <v>8</v>
      </c>
      <c r="WD97" s="23">
        <f t="shared" si="59"/>
        <v>27</v>
      </c>
      <c r="WE97" s="17">
        <f>IF(WD97=0,0,SUMPRODUCT($VY$75:$WC$75,VY97:WC97)/WD97)</f>
        <v>3.3703703703703702</v>
      </c>
      <c r="WF97" s="17">
        <v>3.3703703703703702</v>
      </c>
      <c r="WG97" s="23">
        <v>4</v>
      </c>
      <c r="WH97" s="23">
        <v>4</v>
      </c>
      <c r="WI97" s="23">
        <v>5</v>
      </c>
      <c r="WJ97" s="23">
        <v>6</v>
      </c>
      <c r="WK97" s="23">
        <v>8</v>
      </c>
      <c r="WL97" s="23">
        <v>27</v>
      </c>
    </row>
    <row r="98" spans="591:610" x14ac:dyDescent="0.25">
      <c r="VS98" s="364"/>
      <c r="VT98" s="364"/>
      <c r="VU98" s="364"/>
      <c r="VV98" s="364"/>
      <c r="VW98" s="364"/>
      <c r="VX98" s="31"/>
      <c r="VY98" s="2"/>
      <c r="VZ98" s="2"/>
      <c r="WA98" s="2"/>
      <c r="WB98" s="2"/>
      <c r="WC98" s="2"/>
      <c r="WD98" s="2"/>
      <c r="WE98" s="8"/>
      <c r="WF98" s="8"/>
      <c r="WG98" s="2"/>
      <c r="WH98" s="2"/>
      <c r="WI98" s="2"/>
      <c r="WJ98" s="2"/>
      <c r="WK98" s="2"/>
      <c r="WL98" s="2"/>
    </row>
    <row r="99" spans="591:610" x14ac:dyDescent="0.25">
      <c r="VS99" s="372">
        <v>0</v>
      </c>
      <c r="VT99" s="372">
        <f>IF(VU99=0,0,VV99/VU99)</f>
        <v>0</v>
      </c>
      <c r="VU99" s="352">
        <f t="shared" si="58"/>
        <v>0</v>
      </c>
      <c r="VV99" s="352">
        <f>COUNTIFS($VW$2:$VW$72,VV$75,$VR$2:$VR$72,"&lt;1")</f>
        <v>0</v>
      </c>
      <c r="VW99" s="352">
        <f>COUNTIFS($VW$2:$VW$72,VW$75,$VR$2:$VR$72,"&lt;1")</f>
        <v>0</v>
      </c>
      <c r="VX99" s="31" t="s">
        <v>2617</v>
      </c>
      <c r="VY99" s="23">
        <f>COUNTIFS($VY$2:$VY$72,VY$75,$VR$2:$VR$72,"&lt;1")</f>
        <v>0</v>
      </c>
      <c r="VZ99" s="23">
        <f>COUNTIFS($VY$2:$VY$72,VZ$75,$VR$2:$VR$72,"&lt;1")</f>
        <v>0</v>
      </c>
      <c r="WA99" s="23">
        <f>COUNTIFS($VY$2:$VY$72,WA$75,$VR$2:$VR$72,"&lt;1")</f>
        <v>0</v>
      </c>
      <c r="WB99" s="23">
        <f>COUNTIFS($VY$2:$VY$72,WB$75,$VR$2:$VR$72,"&lt;1")</f>
        <v>0</v>
      </c>
      <c r="WC99" s="23">
        <f>COUNTIFS($VY$2:$VY$72,WC$75,$VR$2:$VR$72,"&lt;1")</f>
        <v>0</v>
      </c>
      <c r="WD99" s="23">
        <f t="shared" si="59"/>
        <v>0</v>
      </c>
      <c r="WE99" s="17">
        <f>IF(WD99=0,0,SUMPRODUCT($VY$75:$WC$75,VY99:WC99)/WD99)</f>
        <v>0</v>
      </c>
      <c r="WF99" s="17">
        <v>0</v>
      </c>
      <c r="WG99" s="23">
        <v>0</v>
      </c>
      <c r="WH99" s="23">
        <v>0</v>
      </c>
      <c r="WI99" s="23">
        <v>0</v>
      </c>
      <c r="WJ99" s="23">
        <v>0</v>
      </c>
      <c r="WK99" s="23">
        <v>0</v>
      </c>
      <c r="WL99" s="23">
        <v>0</v>
      </c>
    </row>
    <row r="100" spans="591:610" x14ac:dyDescent="0.25">
      <c r="VS100" s="372">
        <v>0.81818181818181823</v>
      </c>
      <c r="VT100" s="372">
        <f t="shared" ref="VT100" si="60">VV100/VU100</f>
        <v>0.81818181818181823</v>
      </c>
      <c r="VU100" s="352">
        <f t="shared" si="58"/>
        <v>33</v>
      </c>
      <c r="VV100" s="352">
        <f>COUNTIFS($VW$2:$VW$72,VV$75,$VR$2:$VR$72,"=1")</f>
        <v>27</v>
      </c>
      <c r="VW100" s="352">
        <f>COUNTIFS($VW$2:$VW$72,VW$75,$VR$2:$VR$72,"=1")</f>
        <v>6</v>
      </c>
      <c r="VX100" s="31" t="s">
        <v>3291</v>
      </c>
      <c r="VY100" s="23">
        <f>COUNTIFS($VY$2:$VY$72,VY$75,$VR$2:$VR$72,"=1")</f>
        <v>4</v>
      </c>
      <c r="VZ100" s="23">
        <f>COUNTIFS($VY$2:$VY$72,VZ$75,$VR$2:$VR$72,"=1")</f>
        <v>6</v>
      </c>
      <c r="WA100" s="23">
        <f>COUNTIFS($VY$2:$VY$72,WA$75,$VR$2:$VR$72,"=1")</f>
        <v>7</v>
      </c>
      <c r="WB100" s="23">
        <f>COUNTIFS($VY$2:$VY$72,WB$75,$VR$2:$VR$72,"=1")</f>
        <v>7</v>
      </c>
      <c r="WC100" s="23">
        <f>COUNTIFS($VY$2:$VY$72,WC$75,$VR$2:$VR$72,"=1")</f>
        <v>9</v>
      </c>
      <c r="WD100" s="23">
        <f t="shared" si="59"/>
        <v>33</v>
      </c>
      <c r="WE100" s="17">
        <f>IF(WD100=0,0,SUMPRODUCT($VY$75:$WC$75,VY100:WC100)/WD100)</f>
        <v>3.3333333333333335</v>
      </c>
      <c r="WF100" s="17">
        <v>3.3333333333333335</v>
      </c>
      <c r="WG100" s="23">
        <v>4</v>
      </c>
      <c r="WH100" s="23">
        <v>6</v>
      </c>
      <c r="WI100" s="23">
        <v>7</v>
      </c>
      <c r="WJ100" s="23">
        <v>7</v>
      </c>
      <c r="WK100" s="23">
        <v>9</v>
      </c>
      <c r="WL100" s="23">
        <v>33</v>
      </c>
    </row>
    <row r="101" spans="591:610" x14ac:dyDescent="0.25">
      <c r="VS101" s="372"/>
      <c r="VT101" s="372"/>
      <c r="VU101" s="352"/>
      <c r="VV101" s="352"/>
      <c r="VW101" s="352"/>
      <c r="VX101" s="31"/>
      <c r="VY101" s="23"/>
      <c r="VZ101" s="23"/>
      <c r="WA101" s="23"/>
      <c r="WB101" s="23"/>
      <c r="WC101" s="23"/>
      <c r="WD101" s="23"/>
      <c r="WE101" s="17"/>
      <c r="WF101" s="17"/>
      <c r="WG101" s="23"/>
      <c r="WH101" s="23"/>
      <c r="WI101" s="23"/>
      <c r="WJ101" s="23"/>
      <c r="WK101" s="23"/>
      <c r="WL101" s="23"/>
    </row>
    <row r="102" spans="591:610" x14ac:dyDescent="0.25">
      <c r="VS102" s="372">
        <v>0.82758620689655171</v>
      </c>
      <c r="VT102" s="372">
        <f t="shared" ref="VT102:VT103" si="61">IF(VU102=0,0,VV102/VU102)</f>
        <v>0.7931034482758621</v>
      </c>
      <c r="VU102" s="352">
        <f t="shared" si="58"/>
        <v>29</v>
      </c>
      <c r="VV102" s="352">
        <f>COUNTIFS($VW$2:$VW$72,VV$75,$VQ$2:$VQ$72,"&gt;1")</f>
        <v>23</v>
      </c>
      <c r="VW102" s="352">
        <f>COUNTIFS($VW$2:$VW$72,VW$75,$VQ$2:$VQ$72,"&gt;1")</f>
        <v>6</v>
      </c>
      <c r="VX102" s="31" t="s">
        <v>4960</v>
      </c>
      <c r="VY102" s="23">
        <f>COUNTIFS($VY$2:$VY$72,VY$75,$VQ$2:$VQ$72,"&gt;1")</f>
        <v>3</v>
      </c>
      <c r="VZ102" s="23">
        <f>COUNTIFS($VY$2:$VY$72,VZ$75,$VQ$2:$VQ$72,"&gt;1")</f>
        <v>6</v>
      </c>
      <c r="WA102" s="23">
        <f>COUNTIFS($VY$2:$VY$72,WA$75,$VQ$2:$VQ$72,"&gt;1")</f>
        <v>6</v>
      </c>
      <c r="WB102" s="23">
        <f>COUNTIFS($VY$2:$VY$72,WB$75,$VQ$2:$VQ$72,"&gt;1")</f>
        <v>6</v>
      </c>
      <c r="WC102" s="23">
        <f>COUNTIFS($VY$2:$VY$72,WC$75,$VQ$2:$VQ$72,"&gt;1")</f>
        <v>8</v>
      </c>
      <c r="WD102" s="23">
        <f t="shared" ref="WD102:WD103" si="62">SUM(VY102:WC102)</f>
        <v>29</v>
      </c>
      <c r="WE102" s="17">
        <f>IF(WD102=0,0,SUMPRODUCT($VY$75:$WC$75,VY102:WC102)/WD102)</f>
        <v>3.3448275862068964</v>
      </c>
      <c r="WF102" s="17">
        <v>3.3793103448275863</v>
      </c>
      <c r="WG102" s="23">
        <v>3</v>
      </c>
      <c r="WH102" s="23">
        <v>5</v>
      </c>
      <c r="WI102" s="23">
        <v>7</v>
      </c>
      <c r="WJ102" s="23">
        <v>6</v>
      </c>
      <c r="WK102" s="23">
        <v>8</v>
      </c>
      <c r="WL102" s="23">
        <v>29</v>
      </c>
    </row>
    <row r="103" spans="591:610" x14ac:dyDescent="0.25">
      <c r="VS103" s="372">
        <v>0.75</v>
      </c>
      <c r="VT103" s="372">
        <f t="shared" si="61"/>
        <v>1</v>
      </c>
      <c r="VU103" s="352">
        <f t="shared" si="58"/>
        <v>4</v>
      </c>
      <c r="VV103" s="352">
        <f>COUNTIFS($VW$2:$VW$72,VV$75,$VQ$2:$VQ$72,"=1")</f>
        <v>4</v>
      </c>
      <c r="VW103" s="352">
        <f>COUNTIFS($VW$2:$VW$72,VW$75,$VQ$2:$VQ$72,"=1")</f>
        <v>0</v>
      </c>
      <c r="VX103" s="31" t="s">
        <v>4961</v>
      </c>
      <c r="VY103" s="23">
        <f>COUNTIFS($VY$2:$VY$72,VY$75,$VQ$2:$VQ$72,"=1")</f>
        <v>1</v>
      </c>
      <c r="VZ103" s="23">
        <f>COUNTIFS($VY$2:$VY$72,VZ$75,$VQ$2:$VQ$72,"=1")</f>
        <v>0</v>
      </c>
      <c r="WA103" s="23">
        <f>COUNTIFS($VY$2:$VY$72,WA$75,$VQ$2:$VQ$72,"=1")</f>
        <v>1</v>
      </c>
      <c r="WB103" s="23">
        <f>COUNTIFS($VY$2:$VY$72,WB$75,$VQ$2:$VQ$72,"=1")</f>
        <v>1</v>
      </c>
      <c r="WC103" s="23">
        <f>COUNTIFS($VY$2:$VY$72,WC$75,$VQ$2:$VQ$72,"=1")</f>
        <v>1</v>
      </c>
      <c r="WD103" s="23">
        <f t="shared" si="62"/>
        <v>4</v>
      </c>
      <c r="WE103" s="17">
        <f>IF(WD103=0,0,SUMPRODUCT($VY$75:$WC$75,VY103:WC103)/WD103)</f>
        <v>3.25</v>
      </c>
      <c r="WF103" s="17">
        <v>3</v>
      </c>
      <c r="WG103" s="23">
        <v>1</v>
      </c>
      <c r="WH103" s="23">
        <v>1</v>
      </c>
      <c r="WI103" s="23">
        <v>0</v>
      </c>
      <c r="WJ103" s="23">
        <v>1</v>
      </c>
      <c r="WK103" s="23">
        <v>1</v>
      </c>
      <c r="WL103" s="23">
        <v>4</v>
      </c>
    </row>
    <row r="104" spans="591:610" x14ac:dyDescent="0.25">
      <c r="VS104" s="372"/>
      <c r="VT104" s="372"/>
      <c r="VU104" s="352"/>
      <c r="VV104" s="364"/>
      <c r="VW104" s="364"/>
      <c r="VX104" s="31"/>
      <c r="VY104" s="2"/>
      <c r="VZ104" s="2"/>
      <c r="WA104" s="2"/>
      <c r="WB104" s="2"/>
      <c r="WC104" s="2"/>
      <c r="WD104" s="2"/>
      <c r="WE104" s="8"/>
      <c r="WF104" s="8"/>
      <c r="WG104" s="2"/>
      <c r="WH104" s="2"/>
      <c r="WI104" s="2"/>
      <c r="WJ104" s="2"/>
      <c r="WK104" s="2"/>
      <c r="WL104" s="2"/>
    </row>
    <row r="105" spans="591:610" x14ac:dyDescent="0.25">
      <c r="VS105" s="372">
        <v>0.73913043478260865</v>
      </c>
      <c r="VT105" s="372">
        <f t="shared" ref="VT105:VT106" si="63">IF(VU105=0,0,VV105/VU105)</f>
        <v>0.78260869565217395</v>
      </c>
      <c r="VU105" s="352">
        <f t="shared" si="58"/>
        <v>23</v>
      </c>
      <c r="VV105" s="352">
        <f>COUNTIFS($VW$2:$VW$72,VV$75,$BW$2:$BW$72,$VX105)</f>
        <v>18</v>
      </c>
      <c r="VW105" s="352">
        <f>COUNTIFS($VW$2:$VW$72,VW$75,$BW$2:$BW$72,$VX105)</f>
        <v>5</v>
      </c>
      <c r="VX105" s="31" t="s">
        <v>18</v>
      </c>
      <c r="VY105" s="23">
        <f t="shared" ref="VY105:WC106" si="64">COUNTIFS($VY$2:$VY$72,VY$75,$BW$2:$BW$72,$VX105)</f>
        <v>2</v>
      </c>
      <c r="VZ105" s="23">
        <f t="shared" si="64"/>
        <v>3</v>
      </c>
      <c r="WA105" s="23">
        <f t="shared" si="64"/>
        <v>6</v>
      </c>
      <c r="WB105" s="23">
        <f t="shared" si="64"/>
        <v>4</v>
      </c>
      <c r="WC105" s="23">
        <f t="shared" si="64"/>
        <v>8</v>
      </c>
      <c r="WD105" s="23">
        <f>SUM(VY105:WC105)</f>
        <v>23</v>
      </c>
      <c r="WE105" s="17">
        <f>IF(WD105=0,0,SUMPRODUCT($VY$75:$WC$75,VY105:WC105)/WD105)</f>
        <v>3.5652173913043477</v>
      </c>
      <c r="WF105" s="17">
        <v>3.6086956521739131</v>
      </c>
      <c r="WG105" s="23">
        <v>2</v>
      </c>
      <c r="WH105" s="23">
        <v>3</v>
      </c>
      <c r="WI105" s="23">
        <v>5</v>
      </c>
      <c r="WJ105" s="23">
        <v>5</v>
      </c>
      <c r="WK105" s="23">
        <v>8</v>
      </c>
      <c r="WL105" s="23">
        <v>23</v>
      </c>
    </row>
    <row r="106" spans="591:610" x14ac:dyDescent="0.25">
      <c r="VS106" s="372">
        <v>1</v>
      </c>
      <c r="VT106" s="372">
        <f t="shared" si="63"/>
        <v>0.9</v>
      </c>
      <c r="VU106" s="352">
        <f t="shared" si="58"/>
        <v>10</v>
      </c>
      <c r="VV106" s="352">
        <f>COUNTIFS($VW$2:$VW$72,VV$75,$BW$2:$BW$72,$VX106)</f>
        <v>9</v>
      </c>
      <c r="VW106" s="352">
        <f>COUNTIFS($VW$2:$VW$72,VW$75,$BW$2:$BW$72,$VX106)</f>
        <v>1</v>
      </c>
      <c r="VX106" s="31" t="s">
        <v>126</v>
      </c>
      <c r="VY106" s="23">
        <f t="shared" si="64"/>
        <v>2</v>
      </c>
      <c r="VZ106" s="23">
        <f t="shared" si="64"/>
        <v>3</v>
      </c>
      <c r="WA106" s="23">
        <f t="shared" si="64"/>
        <v>1</v>
      </c>
      <c r="WB106" s="23">
        <f t="shared" si="64"/>
        <v>3</v>
      </c>
      <c r="WC106" s="23">
        <f t="shared" si="64"/>
        <v>1</v>
      </c>
      <c r="WD106" s="23">
        <f t="shared" ref="WD106" si="65">SUM(VY106:WC106)</f>
        <v>10</v>
      </c>
      <c r="WE106" s="17">
        <f>IF(WD106=0,0,SUMPRODUCT($VY$75:$WC$75,VY106:WC106)/WD106)</f>
        <v>2.8</v>
      </c>
      <c r="WF106" s="17">
        <v>2.7</v>
      </c>
      <c r="WG106" s="23">
        <v>2</v>
      </c>
      <c r="WH106" s="23">
        <v>3</v>
      </c>
      <c r="WI106" s="23">
        <v>2</v>
      </c>
      <c r="WJ106" s="23">
        <v>2</v>
      </c>
      <c r="WK106" s="23">
        <v>1</v>
      </c>
      <c r="WL106" s="23">
        <v>10</v>
      </c>
    </row>
    <row r="107" spans="591:610" x14ac:dyDescent="0.25">
      <c r="VS107" s="372"/>
      <c r="VT107" s="372"/>
      <c r="VU107" s="352"/>
      <c r="VV107" s="352"/>
      <c r="VW107" s="352"/>
      <c r="VX107" s="31"/>
      <c r="VY107" s="23"/>
      <c r="VZ107" s="23"/>
      <c r="WA107" s="23"/>
      <c r="WB107" s="23"/>
      <c r="WC107" s="23"/>
      <c r="WD107" s="23"/>
      <c r="WE107" s="17"/>
      <c r="WF107" s="17"/>
      <c r="WG107" s="2"/>
      <c r="WH107" s="2"/>
      <c r="WL107" s="23"/>
    </row>
    <row r="108" spans="591:610" x14ac:dyDescent="0.25">
      <c r="VS108" s="379">
        <v>1</v>
      </c>
      <c r="VT108" s="379">
        <f t="shared" ref="VT108:VT114" si="66">IFERROR(VV108/VU108,0)</f>
        <v>1</v>
      </c>
      <c r="VU108" s="351">
        <f>COUNTIF($VN$2:$VN$72,$VX108)</f>
        <v>2</v>
      </c>
      <c r="VV108" s="351">
        <f>COUNTIFS($VN$2:$VN$72,$VX108,$VW$2:$VW$72,VV$75)</f>
        <v>2</v>
      </c>
      <c r="VW108" s="351">
        <f t="shared" ref="VW108:VW114" si="67">COUNTIFS($VN$2:$VN$72,$VX108,$VW$2:$VW$72,VW$75)</f>
        <v>0</v>
      </c>
      <c r="VX108" s="31" t="s">
        <v>5411</v>
      </c>
      <c r="VY108" s="23">
        <f>COUNTIFS($VN$2:$VN$72,$VX108,$VY$2:$VY$72,VY$75)</f>
        <v>0</v>
      </c>
      <c r="VZ108" s="23">
        <f>COUNTIFS($VN$2:$VN$72,$VX108,$VY$2:$VY$72,VZ$75)</f>
        <v>0</v>
      </c>
      <c r="WA108" s="23">
        <f>COUNTIFS($VN$2:$VN$72,$VX108,$VY$2:$VY$72,WA$75)</f>
        <v>1</v>
      </c>
      <c r="WB108" s="23">
        <f>COUNTIFS($VN$2:$VN$72,$VX108,$VY$2:$VY$72,WB$75)</f>
        <v>1</v>
      </c>
      <c r="WC108" s="23">
        <f>COUNTIFS($VN$2:$VN$72,$VX108,$VY$2:$VY$72,WC$75)</f>
        <v>0</v>
      </c>
      <c r="WD108" s="23">
        <f t="shared" ref="WD108:WD114" si="68">SUM(VY108:WC108)</f>
        <v>2</v>
      </c>
      <c r="WE108" s="17">
        <f t="shared" ref="WE108:WE114" si="69">IF(WD108=0,0,SUMPRODUCT($VY$75:$WC$75,VY108:WC108)/WD108)</f>
        <v>3.5</v>
      </c>
      <c r="WF108" s="17">
        <v>3.5</v>
      </c>
      <c r="WG108" s="23">
        <v>0</v>
      </c>
      <c r="WH108" s="23">
        <v>0</v>
      </c>
      <c r="WI108" s="23">
        <v>1</v>
      </c>
      <c r="WJ108" s="23">
        <v>1</v>
      </c>
      <c r="WK108" s="23">
        <v>0</v>
      </c>
      <c r="WL108" s="23">
        <v>2</v>
      </c>
    </row>
    <row r="109" spans="591:610" x14ac:dyDescent="0.25">
      <c r="VS109" s="379">
        <v>0.625</v>
      </c>
      <c r="VT109" s="379">
        <f t="shared" si="66"/>
        <v>0.875</v>
      </c>
      <c r="VU109" s="351">
        <f t="shared" ref="VU109:VU113" si="70">COUNTIF($VN$2:$VN$72,$VX109)</f>
        <v>16</v>
      </c>
      <c r="VV109" s="351">
        <f t="shared" ref="VV109:VV114" si="71">COUNTIFS($VN$2:$VN$72,$VX109,$VW$2:$VW$72,VV$75)</f>
        <v>14</v>
      </c>
      <c r="VW109" s="351">
        <f t="shared" si="67"/>
        <v>2</v>
      </c>
      <c r="VX109" s="31" t="s">
        <v>5409</v>
      </c>
      <c r="VY109" s="23">
        <f t="shared" ref="VY109:VY114" si="72">COUNTIFS($VN$2:$VN$72,$VX109,$VY$2:$VY$72,VY$75)</f>
        <v>0</v>
      </c>
      <c r="VZ109" s="23">
        <f t="shared" ref="VZ109:WC114" si="73">COUNTIFS($VN$2:$VN$72,$VX109,$VY$2:$VY$72,VZ$75)</f>
        <v>3</v>
      </c>
      <c r="WA109" s="23">
        <f t="shared" si="73"/>
        <v>5</v>
      </c>
      <c r="WB109" s="23">
        <f t="shared" si="73"/>
        <v>3</v>
      </c>
      <c r="WC109" s="23">
        <f t="shared" si="73"/>
        <v>5</v>
      </c>
      <c r="WD109" s="23">
        <f t="shared" si="68"/>
        <v>16</v>
      </c>
      <c r="WE109" s="17">
        <f t="shared" si="69"/>
        <v>3.625</v>
      </c>
      <c r="WF109" s="17">
        <v>3.875</v>
      </c>
      <c r="WG109" s="23">
        <v>0</v>
      </c>
      <c r="WH109" s="23">
        <v>2</v>
      </c>
      <c r="WI109" s="23">
        <v>4</v>
      </c>
      <c r="WJ109" s="23">
        <v>4</v>
      </c>
      <c r="WK109" s="23">
        <v>6</v>
      </c>
      <c r="WL109" s="23">
        <v>16</v>
      </c>
    </row>
    <row r="110" spans="591:610" x14ac:dyDescent="0.25">
      <c r="VS110" s="379">
        <v>1</v>
      </c>
      <c r="VT110" s="379">
        <f t="shared" si="66"/>
        <v>0.875</v>
      </c>
      <c r="VU110" s="351">
        <f t="shared" si="70"/>
        <v>8</v>
      </c>
      <c r="VV110" s="351">
        <f t="shared" si="71"/>
        <v>7</v>
      </c>
      <c r="VW110" s="351">
        <f t="shared" si="67"/>
        <v>1</v>
      </c>
      <c r="VX110" s="31" t="s">
        <v>5408</v>
      </c>
      <c r="VY110" s="23">
        <f t="shared" si="72"/>
        <v>2</v>
      </c>
      <c r="VZ110" s="23">
        <f t="shared" si="73"/>
        <v>3</v>
      </c>
      <c r="WA110" s="23">
        <f t="shared" si="73"/>
        <v>0</v>
      </c>
      <c r="WB110" s="23">
        <f t="shared" si="73"/>
        <v>2</v>
      </c>
      <c r="WC110" s="23">
        <f t="shared" si="73"/>
        <v>1</v>
      </c>
      <c r="WD110" s="23">
        <f t="shared" si="68"/>
        <v>8</v>
      </c>
      <c r="WE110" s="17">
        <f t="shared" si="69"/>
        <v>2.625</v>
      </c>
      <c r="WF110" s="17">
        <v>2.5</v>
      </c>
      <c r="WG110" s="23">
        <v>2</v>
      </c>
      <c r="WH110" s="23">
        <v>3</v>
      </c>
      <c r="WI110" s="23">
        <v>1</v>
      </c>
      <c r="WJ110" s="23">
        <v>1</v>
      </c>
      <c r="WK110" s="23">
        <v>1</v>
      </c>
      <c r="WL110" s="23">
        <v>8</v>
      </c>
    </row>
    <row r="111" spans="591:610" x14ac:dyDescent="0.25">
      <c r="VS111" s="379">
        <v>1</v>
      </c>
      <c r="VT111" s="379">
        <f t="shared" si="66"/>
        <v>0.5</v>
      </c>
      <c r="VU111" s="351">
        <f t="shared" si="70"/>
        <v>6</v>
      </c>
      <c r="VV111" s="351">
        <f t="shared" si="71"/>
        <v>3</v>
      </c>
      <c r="VW111" s="351">
        <f t="shared" si="67"/>
        <v>3</v>
      </c>
      <c r="VX111" s="31" t="s">
        <v>5410</v>
      </c>
      <c r="VY111" s="23">
        <f t="shared" si="72"/>
        <v>2</v>
      </c>
      <c r="VZ111" s="23">
        <f t="shared" si="73"/>
        <v>0</v>
      </c>
      <c r="WA111" s="23">
        <f t="shared" si="73"/>
        <v>0</v>
      </c>
      <c r="WB111" s="23">
        <f t="shared" si="73"/>
        <v>1</v>
      </c>
      <c r="WC111" s="23">
        <f t="shared" si="73"/>
        <v>3</v>
      </c>
      <c r="WD111" s="23">
        <f t="shared" si="68"/>
        <v>6</v>
      </c>
      <c r="WE111" s="17">
        <f t="shared" si="69"/>
        <v>3.5</v>
      </c>
      <c r="WF111" s="17">
        <v>3.1666666666666665</v>
      </c>
      <c r="WG111" s="23">
        <v>2</v>
      </c>
      <c r="WH111" s="23">
        <v>0</v>
      </c>
      <c r="WI111" s="23">
        <v>1</v>
      </c>
      <c r="WJ111" s="23">
        <v>1</v>
      </c>
      <c r="WK111" s="23">
        <v>2</v>
      </c>
      <c r="WL111" s="23">
        <v>6</v>
      </c>
    </row>
    <row r="112" spans="591:610" x14ac:dyDescent="0.25">
      <c r="VS112" s="379">
        <v>0</v>
      </c>
      <c r="VT112" s="379">
        <f t="shared" ref="VT112:VT113" si="74">IFERROR(VV112/VU112,0)</f>
        <v>0</v>
      </c>
      <c r="VU112" s="351">
        <f t="shared" si="70"/>
        <v>0</v>
      </c>
      <c r="VV112" s="351">
        <f t="shared" si="71"/>
        <v>0</v>
      </c>
      <c r="VW112" s="351">
        <f t="shared" si="67"/>
        <v>0</v>
      </c>
      <c r="VX112" s="31" t="s">
        <v>5413</v>
      </c>
      <c r="VY112" s="23">
        <f t="shared" si="72"/>
        <v>0</v>
      </c>
      <c r="VZ112" s="23">
        <f t="shared" si="73"/>
        <v>0</v>
      </c>
      <c r="WA112" s="23">
        <f t="shared" si="73"/>
        <v>0</v>
      </c>
      <c r="WB112" s="23">
        <f t="shared" si="73"/>
        <v>0</v>
      </c>
      <c r="WC112" s="23">
        <f t="shared" si="73"/>
        <v>0</v>
      </c>
      <c r="WD112" s="23">
        <f t="shared" ref="WD112:WD113" si="75">SUM(VY112:WC112)</f>
        <v>0</v>
      </c>
      <c r="WE112" s="17">
        <f t="shared" ref="WE112:WE113" si="76">IF(WD112=0,0,SUMPRODUCT($VY$75:$WC$75,VY112:WC112)/WD112)</f>
        <v>0</v>
      </c>
      <c r="WF112" s="17">
        <v>0</v>
      </c>
      <c r="WG112" s="23">
        <v>0</v>
      </c>
      <c r="WH112" s="23">
        <v>0</v>
      </c>
      <c r="WI112" s="23">
        <v>0</v>
      </c>
      <c r="WJ112" s="23">
        <v>0</v>
      </c>
      <c r="WK112" s="23">
        <v>0</v>
      </c>
      <c r="WL112" s="23">
        <v>0</v>
      </c>
    </row>
    <row r="113" spans="591:610" x14ac:dyDescent="0.25">
      <c r="VS113" s="379">
        <v>1</v>
      </c>
      <c r="VT113" s="379">
        <f t="shared" si="74"/>
        <v>1</v>
      </c>
      <c r="VU113" s="351">
        <f t="shared" si="70"/>
        <v>1</v>
      </c>
      <c r="VV113" s="351">
        <f t="shared" si="71"/>
        <v>1</v>
      </c>
      <c r="VW113" s="351">
        <f t="shared" si="67"/>
        <v>0</v>
      </c>
      <c r="VX113" s="31" t="s">
        <v>5414</v>
      </c>
      <c r="VY113" s="23">
        <f t="shared" si="72"/>
        <v>0</v>
      </c>
      <c r="VZ113" s="23">
        <f t="shared" si="73"/>
        <v>0</v>
      </c>
      <c r="WA113" s="23">
        <f t="shared" si="73"/>
        <v>1</v>
      </c>
      <c r="WB113" s="23">
        <f t="shared" si="73"/>
        <v>0</v>
      </c>
      <c r="WC113" s="23">
        <f t="shared" si="73"/>
        <v>0</v>
      </c>
      <c r="WD113" s="23">
        <f t="shared" si="75"/>
        <v>1</v>
      </c>
      <c r="WE113" s="17">
        <f t="shared" si="76"/>
        <v>3</v>
      </c>
      <c r="WF113" s="17">
        <v>2</v>
      </c>
      <c r="WG113" s="23">
        <v>0</v>
      </c>
      <c r="WH113" s="23">
        <v>1</v>
      </c>
      <c r="WI113" s="23">
        <v>0</v>
      </c>
      <c r="WJ113" s="23">
        <v>0</v>
      </c>
      <c r="WK113" s="23">
        <v>0</v>
      </c>
      <c r="WL113" s="23">
        <v>1</v>
      </c>
    </row>
    <row r="114" spans="591:610" x14ac:dyDescent="0.25">
      <c r="VS114" s="379">
        <v>0</v>
      </c>
      <c r="VT114" s="379">
        <f t="shared" si="66"/>
        <v>0</v>
      </c>
      <c r="VU114" s="351">
        <f>COUNTIF($VN$2:$VN$72,$VX114)</f>
        <v>0</v>
      </c>
      <c r="VV114" s="351">
        <f t="shared" si="71"/>
        <v>0</v>
      </c>
      <c r="VW114" s="351">
        <f t="shared" si="67"/>
        <v>0</v>
      </c>
      <c r="VX114" s="31" t="s">
        <v>5412</v>
      </c>
      <c r="VY114" s="23">
        <f t="shared" si="72"/>
        <v>0</v>
      </c>
      <c r="VZ114" s="23">
        <f t="shared" si="73"/>
        <v>0</v>
      </c>
      <c r="WA114" s="23">
        <f t="shared" si="73"/>
        <v>0</v>
      </c>
      <c r="WB114" s="23">
        <f t="shared" si="73"/>
        <v>0</v>
      </c>
      <c r="WC114" s="23">
        <f t="shared" si="73"/>
        <v>0</v>
      </c>
      <c r="WD114" s="23">
        <f t="shared" si="68"/>
        <v>0</v>
      </c>
      <c r="WE114" s="17">
        <f t="shared" si="69"/>
        <v>0</v>
      </c>
      <c r="WF114" s="17">
        <v>0</v>
      </c>
      <c r="WG114" s="23">
        <v>0</v>
      </c>
      <c r="WH114" s="23">
        <v>0</v>
      </c>
      <c r="WI114" s="23">
        <v>0</v>
      </c>
      <c r="WJ114" s="23">
        <v>0</v>
      </c>
      <c r="WK114" s="23">
        <v>0</v>
      </c>
      <c r="WL114" s="23">
        <v>0</v>
      </c>
    </row>
    <row r="115" spans="591:610" x14ac:dyDescent="0.25">
      <c r="VS115" s="372"/>
      <c r="VT115" s="372"/>
      <c r="VU115" s="352"/>
      <c r="VV115" s="352"/>
      <c r="VW115" s="352"/>
      <c r="VX115" s="31"/>
      <c r="VY115" s="23"/>
      <c r="VZ115" s="23"/>
      <c r="WA115" s="23"/>
      <c r="WB115" s="23"/>
      <c r="WC115" s="23"/>
      <c r="WD115" s="23"/>
      <c r="WE115" s="17"/>
      <c r="WF115" s="17"/>
      <c r="WG115" s="2"/>
      <c r="WH115" s="2"/>
    </row>
    <row r="116" spans="591:610" x14ac:dyDescent="0.25">
      <c r="VS116" s="372">
        <v>1</v>
      </c>
      <c r="VT116" s="379">
        <f t="shared" ref="VT116:VT126" si="77">IFERROR(VV116/VU116,0)</f>
        <v>1</v>
      </c>
      <c r="VU116" s="351">
        <f t="shared" ref="VU116:VU126" si="78">COUNTIF($VO$2:$VO$72,$VX116)</f>
        <v>2</v>
      </c>
      <c r="VV116" s="351">
        <f t="shared" ref="VV116:VW126" si="79">COUNTIFS($VO$2:$VO$72,$VX116,$VW$2:$VW$72,VV$75)</f>
        <v>2</v>
      </c>
      <c r="VW116" s="351">
        <f t="shared" si="79"/>
        <v>0</v>
      </c>
      <c r="VX116" s="31" t="s">
        <v>5432</v>
      </c>
      <c r="VY116" s="23">
        <f>COUNTIFS($VO$2:$VO$72,$VX116,$VY$2:$VY$72,VY$75)</f>
        <v>0</v>
      </c>
      <c r="VZ116" s="23">
        <f>COUNTIFS($VO$2:$VO$72,$VX116,$VY$2:$VY$72,VZ$75)</f>
        <v>0</v>
      </c>
      <c r="WA116" s="23">
        <f>COUNTIFS($VO$2:$VO$72,$VX116,$VY$2:$VY$72,WA$75)</f>
        <v>1</v>
      </c>
      <c r="WB116" s="23">
        <f>COUNTIFS($VO$2:$VO$72,$VX116,$VY$2:$VY$72,WB$75)</f>
        <v>1</v>
      </c>
      <c r="WC116" s="23">
        <f>COUNTIFS($VO$2:$VO$72,$VX116,$VY$2:$VY$72,WC$75)</f>
        <v>0</v>
      </c>
      <c r="WD116" s="23">
        <f t="shared" ref="WD116:WD126" si="80">SUM(VY116:WC116)</f>
        <v>2</v>
      </c>
      <c r="WE116" s="17">
        <f t="shared" ref="WE116:WE126" si="81">IF(WD116=0,0,SUMPRODUCT($VY$75:$WC$75,VY116:WC116)/WD116)</f>
        <v>3.5</v>
      </c>
      <c r="WF116" s="17">
        <v>3.5</v>
      </c>
      <c r="WG116" s="23">
        <v>0</v>
      </c>
      <c r="WH116" s="23">
        <v>0</v>
      </c>
      <c r="WI116" s="23">
        <v>1</v>
      </c>
      <c r="WJ116" s="23">
        <v>1</v>
      </c>
      <c r="WK116" s="23">
        <v>0</v>
      </c>
      <c r="WL116" s="23">
        <v>2</v>
      </c>
    </row>
    <row r="117" spans="591:610" x14ac:dyDescent="0.25">
      <c r="VS117" s="372">
        <v>0</v>
      </c>
      <c r="VT117" s="379">
        <f t="shared" si="77"/>
        <v>0</v>
      </c>
      <c r="VU117" s="351">
        <f t="shared" si="78"/>
        <v>0</v>
      </c>
      <c r="VV117" s="351">
        <f t="shared" si="79"/>
        <v>0</v>
      </c>
      <c r="VW117" s="351">
        <f t="shared" si="79"/>
        <v>0</v>
      </c>
      <c r="VX117" s="31" t="s">
        <v>5433</v>
      </c>
      <c r="VY117" s="23">
        <f t="shared" ref="VY117:WC126" si="82">COUNTIFS($VO$2:$VO$72,$VX117,$VY$2:$VY$72,VY$75)</f>
        <v>0</v>
      </c>
      <c r="VZ117" s="23">
        <f t="shared" si="82"/>
        <v>0</v>
      </c>
      <c r="WA117" s="23">
        <f t="shared" si="82"/>
        <v>0</v>
      </c>
      <c r="WB117" s="23">
        <f t="shared" si="82"/>
        <v>0</v>
      </c>
      <c r="WC117" s="23">
        <f t="shared" si="82"/>
        <v>0</v>
      </c>
      <c r="WD117" s="23">
        <f t="shared" si="80"/>
        <v>0</v>
      </c>
      <c r="WE117" s="17">
        <f t="shared" si="81"/>
        <v>0</v>
      </c>
      <c r="WF117" s="17">
        <v>0</v>
      </c>
      <c r="WG117" s="23">
        <v>0</v>
      </c>
      <c r="WH117" s="23">
        <v>0</v>
      </c>
      <c r="WI117" s="23">
        <v>0</v>
      </c>
      <c r="WJ117" s="23">
        <v>0</v>
      </c>
      <c r="WK117" s="23">
        <v>0</v>
      </c>
      <c r="WL117" s="23">
        <v>0</v>
      </c>
    </row>
    <row r="118" spans="591:610" x14ac:dyDescent="0.25">
      <c r="VS118" s="372">
        <v>0.8</v>
      </c>
      <c r="VT118" s="379">
        <f t="shared" si="77"/>
        <v>0.9</v>
      </c>
      <c r="VU118" s="351">
        <f t="shared" si="78"/>
        <v>10</v>
      </c>
      <c r="VV118" s="351">
        <f t="shared" si="79"/>
        <v>9</v>
      </c>
      <c r="VW118" s="351">
        <f t="shared" si="79"/>
        <v>1</v>
      </c>
      <c r="VX118" s="31" t="s">
        <v>5434</v>
      </c>
      <c r="VY118" s="23">
        <f t="shared" si="82"/>
        <v>0</v>
      </c>
      <c r="VZ118" s="23">
        <f t="shared" si="82"/>
        <v>3</v>
      </c>
      <c r="WA118" s="23">
        <f t="shared" si="82"/>
        <v>3</v>
      </c>
      <c r="WB118" s="23">
        <f t="shared" si="82"/>
        <v>2</v>
      </c>
      <c r="WC118" s="23">
        <f t="shared" si="82"/>
        <v>2</v>
      </c>
      <c r="WD118" s="23">
        <f t="shared" si="80"/>
        <v>10</v>
      </c>
      <c r="WE118" s="17">
        <f t="shared" si="81"/>
        <v>3.3</v>
      </c>
      <c r="WF118" s="17">
        <v>3.4</v>
      </c>
      <c r="WG118" s="23">
        <v>0</v>
      </c>
      <c r="WH118" s="23">
        <v>2</v>
      </c>
      <c r="WI118" s="23">
        <v>4</v>
      </c>
      <c r="WJ118" s="23">
        <v>2</v>
      </c>
      <c r="WK118" s="23">
        <v>2</v>
      </c>
      <c r="WL118" s="23">
        <v>10</v>
      </c>
    </row>
    <row r="119" spans="591:610" x14ac:dyDescent="0.25">
      <c r="VS119" s="372">
        <v>0.33333333333333331</v>
      </c>
      <c r="VT119" s="379">
        <f t="shared" si="77"/>
        <v>0.83333333333333337</v>
      </c>
      <c r="VU119" s="351">
        <f t="shared" si="78"/>
        <v>6</v>
      </c>
      <c r="VV119" s="351">
        <f t="shared" si="79"/>
        <v>5</v>
      </c>
      <c r="VW119" s="351">
        <f t="shared" si="79"/>
        <v>1</v>
      </c>
      <c r="VX119" s="31" t="s">
        <v>5435</v>
      </c>
      <c r="VY119" s="23">
        <f t="shared" si="82"/>
        <v>0</v>
      </c>
      <c r="VZ119" s="23">
        <f t="shared" si="82"/>
        <v>0</v>
      </c>
      <c r="WA119" s="23">
        <f t="shared" si="82"/>
        <v>2</v>
      </c>
      <c r="WB119" s="23">
        <f t="shared" si="82"/>
        <v>1</v>
      </c>
      <c r="WC119" s="23">
        <f t="shared" si="82"/>
        <v>3</v>
      </c>
      <c r="WD119" s="23">
        <f t="shared" si="80"/>
        <v>6</v>
      </c>
      <c r="WE119" s="17">
        <f t="shared" si="81"/>
        <v>4.166666666666667</v>
      </c>
      <c r="WF119" s="17">
        <v>4.666666666666667</v>
      </c>
      <c r="WG119" s="23">
        <v>0</v>
      </c>
      <c r="WH119" s="23">
        <v>0</v>
      </c>
      <c r="WI119" s="23">
        <v>0</v>
      </c>
      <c r="WJ119" s="23">
        <v>2</v>
      </c>
      <c r="WK119" s="23">
        <v>4</v>
      </c>
      <c r="WL119" s="23">
        <v>6</v>
      </c>
    </row>
    <row r="120" spans="591:610" x14ac:dyDescent="0.25">
      <c r="VS120" s="372">
        <v>1</v>
      </c>
      <c r="VT120" s="379">
        <f t="shared" si="77"/>
        <v>0.8</v>
      </c>
      <c r="VU120" s="351">
        <f t="shared" si="78"/>
        <v>5</v>
      </c>
      <c r="VV120" s="351">
        <f t="shared" si="79"/>
        <v>4</v>
      </c>
      <c r="VW120" s="351">
        <f t="shared" si="79"/>
        <v>1</v>
      </c>
      <c r="VX120" s="31" t="s">
        <v>5437</v>
      </c>
      <c r="VY120" s="23">
        <f t="shared" si="82"/>
        <v>2</v>
      </c>
      <c r="VZ120" s="23">
        <f t="shared" si="82"/>
        <v>0</v>
      </c>
      <c r="WA120" s="23">
        <f t="shared" si="82"/>
        <v>0</v>
      </c>
      <c r="WB120" s="23">
        <f t="shared" si="82"/>
        <v>2</v>
      </c>
      <c r="WC120" s="23">
        <f t="shared" si="82"/>
        <v>1</v>
      </c>
      <c r="WD120" s="23">
        <f t="shared" si="80"/>
        <v>5</v>
      </c>
      <c r="WE120" s="17">
        <f t="shared" si="81"/>
        <v>3</v>
      </c>
      <c r="WF120" s="17">
        <v>2.8</v>
      </c>
      <c r="WG120" s="23">
        <v>2</v>
      </c>
      <c r="WH120" s="23">
        <v>0</v>
      </c>
      <c r="WI120" s="23">
        <v>1</v>
      </c>
      <c r="WJ120" s="23">
        <v>1</v>
      </c>
      <c r="WK120" s="23">
        <v>1</v>
      </c>
      <c r="WL120" s="23">
        <v>5</v>
      </c>
    </row>
    <row r="121" spans="591:610" x14ac:dyDescent="0.25">
      <c r="VS121" s="372">
        <v>1</v>
      </c>
      <c r="VT121" s="379">
        <f t="shared" si="77"/>
        <v>1</v>
      </c>
      <c r="VU121" s="351">
        <f t="shared" si="78"/>
        <v>3</v>
      </c>
      <c r="VV121" s="351">
        <f t="shared" si="79"/>
        <v>3</v>
      </c>
      <c r="VW121" s="351">
        <f t="shared" si="79"/>
        <v>0</v>
      </c>
      <c r="VX121" s="31" t="s">
        <v>5436</v>
      </c>
      <c r="VY121" s="23">
        <f t="shared" si="82"/>
        <v>0</v>
      </c>
      <c r="VZ121" s="23">
        <f t="shared" si="82"/>
        <v>3</v>
      </c>
      <c r="WA121" s="23">
        <f t="shared" si="82"/>
        <v>0</v>
      </c>
      <c r="WB121" s="23">
        <f t="shared" si="82"/>
        <v>0</v>
      </c>
      <c r="WC121" s="23">
        <f t="shared" si="82"/>
        <v>0</v>
      </c>
      <c r="WD121" s="23">
        <f t="shared" si="80"/>
        <v>3</v>
      </c>
      <c r="WE121" s="17">
        <f t="shared" si="81"/>
        <v>2</v>
      </c>
      <c r="WF121" s="17">
        <v>2</v>
      </c>
      <c r="WG121" s="23">
        <v>0</v>
      </c>
      <c r="WH121" s="23">
        <v>3</v>
      </c>
      <c r="WI121" s="23">
        <v>0</v>
      </c>
      <c r="WJ121" s="23">
        <v>0</v>
      </c>
      <c r="WK121" s="23">
        <v>0</v>
      </c>
      <c r="WL121" s="23">
        <v>3</v>
      </c>
    </row>
    <row r="122" spans="591:610" x14ac:dyDescent="0.25">
      <c r="VS122" s="372">
        <v>1</v>
      </c>
      <c r="VT122" s="379">
        <f t="shared" si="77"/>
        <v>0.4</v>
      </c>
      <c r="VU122" s="351">
        <f t="shared" si="78"/>
        <v>5</v>
      </c>
      <c r="VV122" s="351">
        <f t="shared" si="79"/>
        <v>2</v>
      </c>
      <c r="VW122" s="351">
        <f t="shared" si="79"/>
        <v>3</v>
      </c>
      <c r="VX122" s="31" t="s">
        <v>5438</v>
      </c>
      <c r="VY122" s="23">
        <f t="shared" si="82"/>
        <v>1</v>
      </c>
      <c r="VZ122" s="23">
        <f t="shared" si="82"/>
        <v>0</v>
      </c>
      <c r="WA122" s="23">
        <f t="shared" si="82"/>
        <v>0</v>
      </c>
      <c r="WB122" s="23">
        <f t="shared" si="82"/>
        <v>1</v>
      </c>
      <c r="WC122" s="23">
        <f t="shared" si="82"/>
        <v>3</v>
      </c>
      <c r="WD122" s="23">
        <f t="shared" si="80"/>
        <v>5</v>
      </c>
      <c r="WE122" s="17">
        <f t="shared" si="81"/>
        <v>4</v>
      </c>
      <c r="WF122" s="17">
        <v>3.6</v>
      </c>
      <c r="WG122" s="23">
        <v>1</v>
      </c>
      <c r="WH122" s="23">
        <v>0</v>
      </c>
      <c r="WI122" s="23">
        <v>1</v>
      </c>
      <c r="WJ122" s="23">
        <v>1</v>
      </c>
      <c r="WK122" s="23">
        <v>2</v>
      </c>
      <c r="WL122" s="23">
        <v>5</v>
      </c>
    </row>
    <row r="123" spans="591:610" x14ac:dyDescent="0.25">
      <c r="VS123" s="372">
        <v>1</v>
      </c>
      <c r="VT123" s="379">
        <f t="shared" si="77"/>
        <v>1</v>
      </c>
      <c r="VU123" s="351">
        <f t="shared" si="78"/>
        <v>1</v>
      </c>
      <c r="VV123" s="351">
        <f t="shared" si="79"/>
        <v>1</v>
      </c>
      <c r="VW123" s="351">
        <f t="shared" si="79"/>
        <v>0</v>
      </c>
      <c r="VX123" s="31" t="s">
        <v>5439</v>
      </c>
      <c r="VY123" s="23">
        <f t="shared" si="82"/>
        <v>1</v>
      </c>
      <c r="VZ123" s="23">
        <f t="shared" si="82"/>
        <v>0</v>
      </c>
      <c r="WA123" s="23">
        <f t="shared" si="82"/>
        <v>0</v>
      </c>
      <c r="WB123" s="23">
        <f t="shared" si="82"/>
        <v>0</v>
      </c>
      <c r="WC123" s="23">
        <f t="shared" si="82"/>
        <v>0</v>
      </c>
      <c r="WD123" s="23">
        <f t="shared" si="80"/>
        <v>1</v>
      </c>
      <c r="WE123" s="17">
        <f t="shared" si="81"/>
        <v>1</v>
      </c>
      <c r="WF123" s="17">
        <v>1</v>
      </c>
      <c r="WG123" s="23">
        <v>1</v>
      </c>
      <c r="WH123" s="23">
        <v>0</v>
      </c>
      <c r="WI123" s="23">
        <v>0</v>
      </c>
      <c r="WJ123" s="23">
        <v>0</v>
      </c>
      <c r="WK123" s="23">
        <v>0</v>
      </c>
      <c r="WL123" s="23">
        <v>1</v>
      </c>
    </row>
    <row r="124" spans="591:610" x14ac:dyDescent="0.25">
      <c r="VS124" s="372">
        <v>0</v>
      </c>
      <c r="VT124" s="379">
        <f t="shared" si="77"/>
        <v>0</v>
      </c>
      <c r="VU124" s="351">
        <f t="shared" si="78"/>
        <v>0</v>
      </c>
      <c r="VV124" s="351">
        <f t="shared" si="79"/>
        <v>0</v>
      </c>
      <c r="VW124" s="351">
        <f t="shared" si="79"/>
        <v>0</v>
      </c>
      <c r="VX124" s="31" t="s">
        <v>5440</v>
      </c>
      <c r="VY124" s="23">
        <f t="shared" si="82"/>
        <v>0</v>
      </c>
      <c r="VZ124" s="23">
        <f t="shared" si="82"/>
        <v>0</v>
      </c>
      <c r="WA124" s="23">
        <f t="shared" si="82"/>
        <v>0</v>
      </c>
      <c r="WB124" s="23">
        <f t="shared" si="82"/>
        <v>0</v>
      </c>
      <c r="WC124" s="23">
        <f t="shared" si="82"/>
        <v>0</v>
      </c>
      <c r="WD124" s="23">
        <f t="shared" si="80"/>
        <v>0</v>
      </c>
      <c r="WE124" s="17">
        <f t="shared" si="81"/>
        <v>0</v>
      </c>
      <c r="WF124" s="17">
        <v>0</v>
      </c>
      <c r="WG124" s="23">
        <v>0</v>
      </c>
      <c r="WH124" s="23">
        <v>0</v>
      </c>
      <c r="WI124" s="23">
        <v>0</v>
      </c>
      <c r="WJ124" s="23">
        <v>0</v>
      </c>
      <c r="WK124" s="23">
        <v>0</v>
      </c>
      <c r="WL124" s="23">
        <v>0</v>
      </c>
    </row>
    <row r="125" spans="591:610" x14ac:dyDescent="0.25">
      <c r="VS125" s="372">
        <v>1</v>
      </c>
      <c r="VT125" s="379">
        <f t="shared" si="77"/>
        <v>1</v>
      </c>
      <c r="VU125" s="351">
        <f t="shared" si="78"/>
        <v>1</v>
      </c>
      <c r="VV125" s="351">
        <f t="shared" si="79"/>
        <v>1</v>
      </c>
      <c r="VW125" s="351">
        <f t="shared" si="79"/>
        <v>0</v>
      </c>
      <c r="VX125" s="31" t="s">
        <v>5441</v>
      </c>
      <c r="VY125" s="23">
        <f t="shared" si="82"/>
        <v>0</v>
      </c>
      <c r="VZ125" s="23">
        <f t="shared" si="82"/>
        <v>0</v>
      </c>
      <c r="WA125" s="23">
        <f t="shared" si="82"/>
        <v>1</v>
      </c>
      <c r="WB125" s="23">
        <f t="shared" si="82"/>
        <v>0</v>
      </c>
      <c r="WC125" s="23">
        <f t="shared" si="82"/>
        <v>0</v>
      </c>
      <c r="WD125" s="23">
        <f t="shared" si="80"/>
        <v>1</v>
      </c>
      <c r="WE125" s="17">
        <f t="shared" si="81"/>
        <v>3</v>
      </c>
      <c r="WF125" s="17">
        <v>2</v>
      </c>
      <c r="WG125" s="23">
        <v>0</v>
      </c>
      <c r="WH125" s="23">
        <v>1</v>
      </c>
      <c r="WI125" s="23">
        <v>0</v>
      </c>
      <c r="WJ125" s="23">
        <v>0</v>
      </c>
      <c r="WK125" s="23">
        <v>0</v>
      </c>
      <c r="WL125" s="23">
        <v>1</v>
      </c>
    </row>
    <row r="126" spans="591:610" x14ac:dyDescent="0.25">
      <c r="VS126" s="372">
        <v>0</v>
      </c>
      <c r="VT126" s="379">
        <f t="shared" si="77"/>
        <v>0</v>
      </c>
      <c r="VU126" s="351">
        <f t="shared" si="78"/>
        <v>0</v>
      </c>
      <c r="VV126" s="351">
        <f t="shared" si="79"/>
        <v>0</v>
      </c>
      <c r="VW126" s="351">
        <f t="shared" si="79"/>
        <v>0</v>
      </c>
      <c r="VX126" s="31" t="s">
        <v>5442</v>
      </c>
      <c r="VY126" s="23">
        <f t="shared" si="82"/>
        <v>0</v>
      </c>
      <c r="VZ126" s="23">
        <f t="shared" si="82"/>
        <v>0</v>
      </c>
      <c r="WA126" s="23">
        <f t="shared" si="82"/>
        <v>0</v>
      </c>
      <c r="WB126" s="23">
        <f t="shared" si="82"/>
        <v>0</v>
      </c>
      <c r="WC126" s="23">
        <f t="shared" si="82"/>
        <v>0</v>
      </c>
      <c r="WD126" s="23">
        <f t="shared" si="80"/>
        <v>0</v>
      </c>
      <c r="WE126" s="17">
        <f t="shared" si="81"/>
        <v>0</v>
      </c>
      <c r="WF126" s="17">
        <v>0</v>
      </c>
      <c r="WG126" s="23">
        <v>0</v>
      </c>
      <c r="WH126" s="23">
        <v>0</v>
      </c>
      <c r="WI126" s="23">
        <v>0</v>
      </c>
      <c r="WJ126" s="23">
        <v>0</v>
      </c>
      <c r="WK126" s="23">
        <v>0</v>
      </c>
      <c r="WL126" s="23">
        <v>0</v>
      </c>
    </row>
    <row r="127" spans="591:610" x14ac:dyDescent="0.25">
      <c r="VS127" s="372"/>
      <c r="VT127" s="372"/>
      <c r="VU127" s="352"/>
      <c r="VV127" s="352"/>
      <c r="VW127" s="352"/>
      <c r="VX127" s="31"/>
      <c r="VY127" s="23"/>
      <c r="VZ127" s="23"/>
      <c r="WA127" s="23"/>
      <c r="WB127" s="23"/>
      <c r="WC127" s="23"/>
      <c r="WD127" s="23"/>
      <c r="WE127" s="17"/>
      <c r="WF127" s="17"/>
      <c r="WG127" s="2"/>
      <c r="WH127" s="2"/>
    </row>
    <row r="128" spans="591:610" x14ac:dyDescent="0.25">
      <c r="VS128" s="372"/>
      <c r="VT128" s="372"/>
      <c r="VU128" s="352"/>
      <c r="VV128" s="352"/>
      <c r="VW128" s="352"/>
      <c r="VX128" s="31"/>
      <c r="VY128" s="23"/>
      <c r="VZ128" s="23"/>
      <c r="WA128" s="23"/>
      <c r="WB128" s="23"/>
      <c r="WC128" s="23"/>
      <c r="WD128" s="23"/>
      <c r="WE128" s="17"/>
      <c r="WF128" s="17"/>
      <c r="WG128" s="2"/>
      <c r="WH128" s="2"/>
    </row>
    <row r="129" spans="591:610" x14ac:dyDescent="0.25">
      <c r="VS129" s="364"/>
      <c r="VT129" s="364"/>
      <c r="VU129" s="364"/>
      <c r="VV129" s="364"/>
      <c r="VW129" s="364"/>
      <c r="VX129" s="31" t="s">
        <v>2636</v>
      </c>
      <c r="VY129" s="2"/>
      <c r="VZ129" s="2"/>
      <c r="WA129" s="2"/>
      <c r="WB129" s="2"/>
      <c r="WC129" s="2"/>
      <c r="WD129" s="2"/>
      <c r="WE129" s="8"/>
      <c r="WF129" s="8"/>
      <c r="WG129" s="2"/>
      <c r="WH129" s="2"/>
    </row>
    <row r="130" spans="591:610" x14ac:dyDescent="0.25">
      <c r="VS130" s="372">
        <v>1</v>
      </c>
      <c r="VT130" s="372">
        <f t="shared" ref="VT130:VT136" si="83">IF(VU130=0,0,VV130/VU130)</f>
        <v>1</v>
      </c>
      <c r="VU130" s="352">
        <f t="shared" ref="VU130:VU136" si="84">VV130+VW130</f>
        <v>2</v>
      </c>
      <c r="VV130" s="352">
        <f>COUNTIFS($VW$2:$VW$72,VV$75,$VM$2:$VM$72,"&lt;="&amp;$VX130)</f>
        <v>2</v>
      </c>
      <c r="VW130" s="352">
        <f>COUNTIFS($VW$2:$VW$72,VW$75,$VM$2:$VM$72,"&lt;="&amp;$VX130)</f>
        <v>0</v>
      </c>
      <c r="VX130" s="47">
        <v>1</v>
      </c>
      <c r="VY130" s="23">
        <f>COUNTIFS($VY$2:$VY$72,VY$75,$VM$2:$VM$72,"&lt;="&amp;$VX130)</f>
        <v>0</v>
      </c>
      <c r="VZ130" s="23">
        <f>COUNTIFS($VY$2:$VY$72,VZ$75,$VM$2:$VM$72,"&lt;="&amp;$VX130)</f>
        <v>0</v>
      </c>
      <c r="WA130" s="23">
        <f>COUNTIFS($VY$2:$VY$72,WA$75,$VM$2:$VM$72,"&lt;="&amp;$VX130)</f>
        <v>0</v>
      </c>
      <c r="WB130" s="23">
        <f>COUNTIFS($VY$2:$VY$72,WB$75,$VM$2:$VM$72,"&lt;="&amp;$VX130)</f>
        <v>2</v>
      </c>
      <c r="WC130" s="23">
        <f>COUNTIFS($VY$2:$VY$72,WC$75,$VM$2:$VM$72,"&lt;="&amp;$VX130)</f>
        <v>0</v>
      </c>
      <c r="WD130" s="23">
        <f t="shared" ref="WD130:WD136" si="85">SUM(VY130:WC130)</f>
        <v>2</v>
      </c>
      <c r="WE130" s="17">
        <f t="shared" ref="WE130:WE136" si="86">IF(WD130=0,0,SUMPRODUCT($VY$75:$WC$75,VY130:WC130)/WD130)</f>
        <v>4</v>
      </c>
      <c r="WF130" s="17">
        <v>3.5</v>
      </c>
      <c r="WG130" s="23">
        <v>0</v>
      </c>
      <c r="WH130" s="23">
        <v>0</v>
      </c>
      <c r="WI130" s="23">
        <v>1</v>
      </c>
      <c r="WJ130" s="23">
        <v>1</v>
      </c>
      <c r="WK130" s="23">
        <v>0</v>
      </c>
      <c r="WL130" s="23">
        <v>2</v>
      </c>
    </row>
    <row r="131" spans="591:610" x14ac:dyDescent="0.25">
      <c r="VS131" s="372">
        <v>1</v>
      </c>
      <c r="VT131" s="372">
        <f t="shared" si="83"/>
        <v>0.83333333333333337</v>
      </c>
      <c r="VU131" s="352">
        <f t="shared" si="84"/>
        <v>6</v>
      </c>
      <c r="VV131" s="352">
        <f>MAX(0,COUNTIFS($VW$2:$VW$72,VV$75,$VM$2:$VM$72,"&lt;="&amp;$VX131)-SUM(VV$130:VV130))</f>
        <v>5</v>
      </c>
      <c r="VW131" s="352">
        <f>MAX(0,COUNTIFS($VW$2:$VW$72,VW$75,$VM$2:$VM$72,"&lt;="&amp;$VX131)-SUM(VW$130:VW130))</f>
        <v>1</v>
      </c>
      <c r="VX131" s="47">
        <f>VX130+0.25</f>
        <v>1.25</v>
      </c>
      <c r="VY131" s="23">
        <f>MAX(0,COUNTIFS($VY$2:$VY$72,VY$75,$VM$2:$VM$72,"&lt;="&amp;$VX131)-SUM(VY130:VY$130))</f>
        <v>2</v>
      </c>
      <c r="VZ131" s="23">
        <f>MAX(0,COUNTIFS($VY$2:$VY$72,VZ$75,$VM$2:$VM$72,"&lt;="&amp;$VX131)-SUM(VZ130:VZ$130))</f>
        <v>2</v>
      </c>
      <c r="WA131" s="23">
        <f>MAX(0,COUNTIFS($VY$2:$VY$72,WA$75,$VM$2:$VM$72,"&lt;="&amp;$VX131)-SUM(WA130:WA$130))</f>
        <v>0</v>
      </c>
      <c r="WB131" s="23">
        <f>MAX(0,COUNTIFS($VY$2:$VY$72,WB$75,$VM$2:$VM$72,"&lt;="&amp;$VX131)-SUM(WB130:WB$130))</f>
        <v>1</v>
      </c>
      <c r="WC131" s="23">
        <f>MAX(0,COUNTIFS($VY$2:$VY$72,WC$75,$VM$2:$VM$72,"&lt;="&amp;$VX131)-SUM(WC130:WC$130))</f>
        <v>1</v>
      </c>
      <c r="WD131" s="23">
        <f t="shared" si="85"/>
        <v>6</v>
      </c>
      <c r="WE131" s="17">
        <f t="shared" si="86"/>
        <v>2.5</v>
      </c>
      <c r="WF131" s="17">
        <v>2.5</v>
      </c>
      <c r="WG131" s="23">
        <v>2</v>
      </c>
      <c r="WH131" s="23">
        <v>2</v>
      </c>
      <c r="WI131" s="23">
        <v>0</v>
      </c>
      <c r="WJ131" s="23">
        <v>1</v>
      </c>
      <c r="WK131" s="23">
        <v>1</v>
      </c>
      <c r="WL131" s="23">
        <v>6</v>
      </c>
    </row>
    <row r="132" spans="591:610" x14ac:dyDescent="0.25">
      <c r="VS132" s="372">
        <v>0.8571428571428571</v>
      </c>
      <c r="VT132" s="372">
        <f t="shared" si="83"/>
        <v>0.8571428571428571</v>
      </c>
      <c r="VU132" s="352">
        <f t="shared" si="84"/>
        <v>7</v>
      </c>
      <c r="VV132" s="352">
        <f>MAX(0,COUNTIFS($VW$2:$VW$72,VV$75,$VM$2:$VM$72,"&lt;="&amp;$VX132)-SUM(VV$130:VV131))</f>
        <v>6</v>
      </c>
      <c r="VW132" s="352">
        <f>MAX(0,COUNTIFS($VW$2:$VW$72,VW$75,$VM$2:$VM$72,"&lt;="&amp;$VX132)-SUM(VW$130:VW131))</f>
        <v>1</v>
      </c>
      <c r="VX132" s="47">
        <f>VX131+0.25</f>
        <v>1.5</v>
      </c>
      <c r="VY132" s="23">
        <f>MAX(0,COUNTIFS($VY$2:$VY$72,VY$75,$VM$2:$VM$72,"&lt;="&amp;$VX132)-SUM(VY$130:VY131))</f>
        <v>0</v>
      </c>
      <c r="VZ132" s="23">
        <f>MAX(0,COUNTIFS($VY$2:$VY$72,VZ$75,$VM$2:$VM$72,"&lt;="&amp;$VX132)-SUM(VZ$130:VZ131))</f>
        <v>2</v>
      </c>
      <c r="WA132" s="23">
        <f>MAX(0,COUNTIFS($VY$2:$VY$72,WA$75,$VM$2:$VM$72,"&lt;="&amp;$VX132)-SUM(WA$130:WA131))</f>
        <v>2</v>
      </c>
      <c r="WB132" s="23">
        <f>MAX(0,COUNTIFS($VY$2:$VY$72,WB$75,$VM$2:$VM$72,"&lt;="&amp;$VX132)-SUM(WB$130:WB131))</f>
        <v>1</v>
      </c>
      <c r="WC132" s="23">
        <f>MAX(0,COUNTIFS($VY$2:$VY$72,WC$75,$VM$2:$VM$72,"&lt;="&amp;$VX132)-SUM(WC$130:WC131))</f>
        <v>2</v>
      </c>
      <c r="WD132" s="23">
        <f t="shared" si="85"/>
        <v>7</v>
      </c>
      <c r="WE132" s="17">
        <f t="shared" si="86"/>
        <v>3.4285714285714284</v>
      </c>
      <c r="WF132" s="17">
        <v>3.2857142857142856</v>
      </c>
      <c r="WG132" s="23">
        <v>0</v>
      </c>
      <c r="WH132" s="23">
        <v>3</v>
      </c>
      <c r="WI132" s="23">
        <v>1</v>
      </c>
      <c r="WJ132" s="23">
        <v>1</v>
      </c>
      <c r="WK132" s="23">
        <v>2</v>
      </c>
      <c r="WL132" s="23">
        <v>7</v>
      </c>
    </row>
    <row r="133" spans="591:610" x14ac:dyDescent="0.25">
      <c r="VS133" s="372">
        <v>0.75</v>
      </c>
      <c r="VT133" s="372">
        <f t="shared" si="83"/>
        <v>0.5</v>
      </c>
      <c r="VU133" s="352">
        <f t="shared" si="84"/>
        <v>4</v>
      </c>
      <c r="VV133" s="352">
        <f>MAX(0,COUNTIFS($VW$2:$VW$72,VV$75,$VM$2:$VM$72,"&lt;="&amp;$VX133)-SUM(VV$130:VV132))</f>
        <v>2</v>
      </c>
      <c r="VW133" s="352">
        <f>MAX(0,COUNTIFS($VW$2:$VW$72,VW$75,$VM$2:$VM$72,"&lt;="&amp;$VX133)-SUM(VW$130:VW132))</f>
        <v>2</v>
      </c>
      <c r="VX133" s="47">
        <f>VX132+0.25</f>
        <v>1.75</v>
      </c>
      <c r="VY133" s="23">
        <f>MAX(0,COUNTIFS($VY$2:$VY$72,VY$75,$VM$2:$VM$72,"&lt;="&amp;$VX133)-SUM(VY$130:VY132))</f>
        <v>0</v>
      </c>
      <c r="VZ133" s="23">
        <f>MAX(0,COUNTIFS($VY$2:$VY$72,VZ$75,$VM$2:$VM$72,"&lt;="&amp;$VX133)-SUM(VZ$130:VZ132))</f>
        <v>0</v>
      </c>
      <c r="WA133" s="23">
        <f>MAX(0,COUNTIFS($VY$2:$VY$72,WA$75,$VM$2:$VM$72,"&lt;="&amp;$VX133)-SUM(WA$130:WA132))</f>
        <v>1</v>
      </c>
      <c r="WB133" s="23">
        <f>MAX(0,COUNTIFS($VY$2:$VY$72,WB$75,$VM$2:$VM$72,"&lt;="&amp;$VX133)-SUM(WB$130:WB132))</f>
        <v>1</v>
      </c>
      <c r="WC133" s="23">
        <f>MAX(0,COUNTIFS($VY$2:$VY$72,WC$75,$VM$2:$VM$72,"&lt;="&amp;$VX133)-SUM(WC$130:WC132))</f>
        <v>2</v>
      </c>
      <c r="WD133" s="23">
        <f t="shared" si="85"/>
        <v>4</v>
      </c>
      <c r="WE133" s="17">
        <f t="shared" si="86"/>
        <v>4.25</v>
      </c>
      <c r="WF133" s="17">
        <v>4</v>
      </c>
      <c r="WG133" s="23">
        <v>0</v>
      </c>
      <c r="WH133" s="23">
        <v>0</v>
      </c>
      <c r="WI133" s="23">
        <v>1</v>
      </c>
      <c r="WJ133" s="23">
        <v>2</v>
      </c>
      <c r="WK133" s="23">
        <v>1</v>
      </c>
      <c r="WL133" s="23">
        <v>4</v>
      </c>
    </row>
    <row r="134" spans="591:610" x14ac:dyDescent="0.25">
      <c r="VS134" s="372">
        <v>1</v>
      </c>
      <c r="VT134" s="372">
        <f t="shared" si="83"/>
        <v>0.66666666666666663</v>
      </c>
      <c r="VU134" s="352">
        <f t="shared" si="84"/>
        <v>3</v>
      </c>
      <c r="VV134" s="352">
        <f>MAX(0,COUNTIFS($VW$2:$VW$72,VV$75,$VM$2:$VM$72,"&lt;="&amp;$VX134)-SUM(VV$130:VV133))</f>
        <v>2</v>
      </c>
      <c r="VW134" s="352">
        <f>MAX(0,COUNTIFS($VW$2:$VW$72,VW$75,$VM$2:$VM$72,"&lt;="&amp;$VX134)-SUM(VW$130:VW133))</f>
        <v>1</v>
      </c>
      <c r="VX134" s="47">
        <f>VX133+0.25</f>
        <v>2</v>
      </c>
      <c r="VY134" s="23">
        <f>MAX(0,COUNTIFS($VY$2:$VY$72,VY$75,$VM$2:$VM$72,"&lt;="&amp;$VX134)-SUM(VY$130:VY133))</f>
        <v>0</v>
      </c>
      <c r="VZ134" s="23">
        <f>MAX(0,COUNTIFS($VY$2:$VY$72,VZ$75,$VM$2:$VM$72,"&lt;="&amp;$VX134)-SUM(VZ$130:VZ133))</f>
        <v>1</v>
      </c>
      <c r="WA134" s="23">
        <f>MAX(0,COUNTIFS($VY$2:$VY$72,WA$75,$VM$2:$VM$72,"&lt;="&amp;$VX134)-SUM(WA$130:WA133))</f>
        <v>1</v>
      </c>
      <c r="WB134" s="23">
        <f>MAX(0,COUNTIFS($VY$2:$VY$72,WB$75,$VM$2:$VM$72,"&lt;="&amp;$VX134)-SUM(WB$130:WB133))</f>
        <v>0</v>
      </c>
      <c r="WC134" s="23">
        <f>MAX(0,COUNTIFS($VY$2:$VY$72,WC$75,$VM$2:$VM$72,"&lt;="&amp;$VX134)-SUM(WC$130:WC133))</f>
        <v>1</v>
      </c>
      <c r="WD134" s="23">
        <f t="shared" si="85"/>
        <v>3</v>
      </c>
      <c r="WE134" s="17">
        <f t="shared" si="86"/>
        <v>3.3333333333333335</v>
      </c>
      <c r="WF134" s="17">
        <v>3.3333333333333335</v>
      </c>
      <c r="WG134" s="23">
        <v>0</v>
      </c>
      <c r="WH134" s="23">
        <v>1</v>
      </c>
      <c r="WI134" s="23">
        <v>1</v>
      </c>
      <c r="WJ134" s="23">
        <v>0</v>
      </c>
      <c r="WK134" s="23">
        <v>1</v>
      </c>
      <c r="WL134" s="23">
        <v>3</v>
      </c>
    </row>
    <row r="135" spans="591:610" x14ac:dyDescent="0.25">
      <c r="VS135" s="372">
        <v>0.6</v>
      </c>
      <c r="VT135" s="372">
        <f t="shared" si="83"/>
        <v>1</v>
      </c>
      <c r="VU135" s="352">
        <f t="shared" si="84"/>
        <v>5</v>
      </c>
      <c r="VV135" s="352">
        <f>MAX(0,COUNTIFS($VW$2:$VW$72,VV$75,$VM$2:$VM$72,"&lt;="&amp;$VX135)-SUM(VV$130:VV134))</f>
        <v>5</v>
      </c>
      <c r="VW135" s="352">
        <f>MAX(0,COUNTIFS($VW$2:$VW$72,VW$75,$VM$2:$VM$72,"&lt;="&amp;$VX135)-SUM(VW$130:VW134))</f>
        <v>0</v>
      </c>
      <c r="VX135" s="47">
        <f>VX134+0.25</f>
        <v>2.25</v>
      </c>
      <c r="VY135" s="23">
        <f>MAX(0,COUNTIFS($VY$2:$VY$72,VY$75,$VM$2:$VM$72,"&lt;="&amp;$VX135)-SUM(VY$130:VY134))</f>
        <v>2</v>
      </c>
      <c r="VZ135" s="23">
        <f>MAX(0,COUNTIFS($VY$2:$VY$72,VZ$75,$VM$2:$VM$72,"&lt;="&amp;$VX135)-SUM(VZ$130:VZ134))</f>
        <v>0</v>
      </c>
      <c r="WA135" s="23">
        <f>MAX(0,COUNTIFS($VY$2:$VY$72,WA$75,$VM$2:$VM$72,"&lt;="&amp;$VX135)-SUM(WA$130:WA134))</f>
        <v>0</v>
      </c>
      <c r="WB135" s="23">
        <f>MAX(0,COUNTIFS($VY$2:$VY$72,WB$75,$VM$2:$VM$72,"&lt;="&amp;$VX135)-SUM(WB$130:WB134))</f>
        <v>1</v>
      </c>
      <c r="WC135" s="23">
        <f>MAX(0,COUNTIFS($VY$2:$VY$72,WC$75,$VM$2:$VM$72,"&lt;="&amp;$VX135)-SUM(WC$130:WC134))</f>
        <v>2</v>
      </c>
      <c r="WD135" s="23">
        <f t="shared" si="85"/>
        <v>5</v>
      </c>
      <c r="WE135" s="17">
        <f t="shared" si="86"/>
        <v>3.2</v>
      </c>
      <c r="WF135" s="17">
        <v>3</v>
      </c>
      <c r="WG135" s="23">
        <v>2</v>
      </c>
      <c r="WH135" s="23">
        <v>0</v>
      </c>
      <c r="WI135" s="23">
        <v>1</v>
      </c>
      <c r="WJ135" s="23">
        <v>0</v>
      </c>
      <c r="WK135" s="23">
        <v>2</v>
      </c>
      <c r="WL135" s="23">
        <v>5</v>
      </c>
    </row>
    <row r="136" spans="591:610" x14ac:dyDescent="0.25">
      <c r="VS136" s="372">
        <v>0.66666666666666663</v>
      </c>
      <c r="VT136" s="372">
        <f t="shared" si="83"/>
        <v>0.83333333333333337</v>
      </c>
      <c r="VU136" s="352">
        <f t="shared" si="84"/>
        <v>6</v>
      </c>
      <c r="VV136" s="352">
        <f>MAX(0,COUNTIFS($VW$2:$VW$72,VV$75,$VM$2:$VM$72,"&lt;="&amp;$VX136)-SUM(VV$130:VV135))</f>
        <v>5</v>
      </c>
      <c r="VW136" s="352">
        <f>MAX(0,COUNTIFS($VW$2:$VW$72,VW$75,$VM$2:$VM$72,"&lt;="&amp;$VX136)-SUM(VW$130:VW135))</f>
        <v>1</v>
      </c>
      <c r="VX136" s="47">
        <f>IF(MAX(VM2:VM72)&gt;VX135,MAX(VM2:VM72),"NA")</f>
        <v>2.5</v>
      </c>
      <c r="VY136" s="23">
        <f>MAX(0,COUNTIFS($VY$2:$VY$72,VY$75,$VM$2:$VM$72,"&lt;="&amp;$VX136)-SUM(VY$130:VY135))</f>
        <v>0</v>
      </c>
      <c r="VZ136" s="23">
        <f>MAX(0,COUNTIFS($VY$2:$VY$72,VZ$75,$VM$2:$VM$72,"&lt;="&amp;$VX136)-SUM(VZ$130:VZ135))</f>
        <v>1</v>
      </c>
      <c r="WA136" s="23">
        <f>MAX(0,COUNTIFS($VY$2:$VY$72,WA$75,$VM$2:$VM$72,"&lt;="&amp;$VX136)-SUM(WA$130:WA135))</f>
        <v>3</v>
      </c>
      <c r="WB136" s="23">
        <f>MAX(0,COUNTIFS($VY$2:$VY$72,WB$75,$VM$2:$VM$72,"&lt;="&amp;$VX136)-SUM(WB$130:WB135))</f>
        <v>1</v>
      </c>
      <c r="WC136" s="23">
        <f>MAX(0,COUNTIFS($VY$2:$VY$72,WC$75,$VM$2:$VM$72,"&lt;="&amp;$VX136)-SUM(WC$130:WC135))</f>
        <v>1</v>
      </c>
      <c r="WD136" s="23">
        <f t="shared" si="85"/>
        <v>6</v>
      </c>
      <c r="WE136" s="17">
        <f t="shared" si="86"/>
        <v>3.3333333333333335</v>
      </c>
      <c r="WF136" s="17">
        <v>4</v>
      </c>
      <c r="WG136" s="23">
        <v>0</v>
      </c>
      <c r="WH136" s="23">
        <v>0</v>
      </c>
      <c r="WI136" s="23">
        <v>2</v>
      </c>
      <c r="WJ136" s="23">
        <v>2</v>
      </c>
      <c r="WK136" s="23">
        <v>2</v>
      </c>
      <c r="WL136" s="23">
        <v>6</v>
      </c>
    </row>
    <row r="137" spans="591:610" x14ac:dyDescent="0.25">
      <c r="VS137" s="2"/>
      <c r="VT137" s="21"/>
      <c r="VU137" s="2"/>
      <c r="VV137" s="2"/>
      <c r="VW137" s="2"/>
      <c r="VX137" s="46"/>
      <c r="VY137" s="2"/>
      <c r="VZ137" s="2"/>
      <c r="WA137" s="2"/>
      <c r="WB137" s="2"/>
      <c r="WC137" s="2"/>
      <c r="WD137" s="2"/>
      <c r="WE137" s="2"/>
      <c r="WF137" s="2"/>
      <c r="WG137" s="2"/>
      <c r="WH137" s="2"/>
    </row>
    <row r="138" spans="591:610" x14ac:dyDescent="0.25">
      <c r="VS138" s="440" t="s">
        <v>2638</v>
      </c>
      <c r="VT138" s="442"/>
      <c r="VV138" s="440" t="s">
        <v>2639</v>
      </c>
      <c r="VW138" s="442"/>
      <c r="VX138" s="46"/>
      <c r="VY138" s="440" t="s">
        <v>2639</v>
      </c>
      <c r="VZ138" s="441"/>
      <c r="WA138" s="441"/>
      <c r="WB138" s="441"/>
      <c r="WC138" s="442"/>
      <c r="WD138" s="441" t="s">
        <v>2638</v>
      </c>
      <c r="WE138" s="441"/>
      <c r="WF138" s="441"/>
      <c r="WG138" s="441"/>
      <c r="WH138" s="442"/>
    </row>
    <row r="139" spans="591:610" x14ac:dyDescent="0.25">
      <c r="VS139" s="17">
        <v>1.9111223971559168</v>
      </c>
      <c r="VT139" s="17">
        <v>2.0737704918032787</v>
      </c>
      <c r="VU139" s="2"/>
      <c r="VV139" s="17">
        <f>IFERROR(SUMIFS($VL$2:$VL$72,$VW$2:$VW$72,VV$75,$BW$2:$BW$72,$VX139)/SUMIFS($IZ$2:$IZ$72,$VW$2:$VW$72,VV$75,$BW$2:$BW$72,$VX139),0)</f>
        <v>1.9395225464190982</v>
      </c>
      <c r="VW139" s="17">
        <f>IFERROR(SUMIFS($VL$2:$VL$72,$VW$2:$VW$72,VW$75,$BW$2:$BW$72,$VX139)/SUMIFS($IZ$2:$IZ$72,$VW$2:$VW$72,VW$75,$BW$2:$BW$72,$VX139),0)</f>
        <v>1.7532133676092545</v>
      </c>
      <c r="VX139" s="31" t="s">
        <v>18</v>
      </c>
      <c r="VY139" s="17">
        <f t="shared" ref="VY139:WC140" si="87">IFERROR(SUMIFS($VL$2:$VL$72,$VY$2:$VY$72,VY$75,$BW$2:$BW$72,$VX139)/SUMIFS($IZ$2:$IZ$72,$VY$2:$VY$72,VY$75,$BW$2:$BW$72,$VX139),0)</f>
        <v>2.087912087912088</v>
      </c>
      <c r="VZ139" s="17">
        <f t="shared" si="87"/>
        <v>1.9164179104477612</v>
      </c>
      <c r="WA139" s="17">
        <f t="shared" si="87"/>
        <v>1.944547134935305</v>
      </c>
      <c r="WB139" s="17">
        <f t="shared" si="87"/>
        <v>1.8422391857506362</v>
      </c>
      <c r="WC139" s="48">
        <f t="shared" si="87"/>
        <v>1.8096723868954758</v>
      </c>
      <c r="WD139" s="17">
        <v>2.12</v>
      </c>
      <c r="WE139" s="17">
        <v>1.6293103448275863</v>
      </c>
      <c r="WF139" s="17">
        <v>2.0126315789473685</v>
      </c>
      <c r="WG139" s="17">
        <v>1.935361216730038</v>
      </c>
      <c r="WH139" s="17">
        <v>1.9452887537993921</v>
      </c>
    </row>
    <row r="140" spans="591:610" x14ac:dyDescent="0.25">
      <c r="VS140" s="28">
        <v>1.2294665537679932</v>
      </c>
      <c r="VT140" s="28">
        <v>0</v>
      </c>
      <c r="VU140" s="49"/>
      <c r="VV140" s="28">
        <f>IFERROR(SUMIFS($VL$2:$VL$72,$VW$2:$VW$72,VV$75,$BW$2:$BW$72,$VX140)/SUMIFS($IZ$2:$IZ$72,$VW$2:$VW$72,VV$75,$BW$2:$BW$72,$VX140),0)</f>
        <v>1.2497512437810945</v>
      </c>
      <c r="VW140" s="28">
        <f>IFERROR(SUMIFS($VL$2:$VL$72,$VW$2:$VW$72,VW$75,$BW$2:$BW$72,$VX140)/SUMIFS($IZ$2:$IZ$72,$VW$2:$VW$72,VW$75,$BW$2:$BW$72,$VX140),0)</f>
        <v>1.25</v>
      </c>
      <c r="VX140" s="43" t="s">
        <v>126</v>
      </c>
      <c r="VY140" s="28">
        <f t="shared" si="87"/>
        <v>1.1727272727272726</v>
      </c>
      <c r="VZ140" s="28">
        <f t="shared" si="87"/>
        <v>1.2470308788598574</v>
      </c>
      <c r="WA140" s="28">
        <f t="shared" si="87"/>
        <v>1.6083333333333334</v>
      </c>
      <c r="WB140" s="28">
        <f t="shared" si="87"/>
        <v>1.1475409836065573</v>
      </c>
      <c r="WC140" s="50">
        <f t="shared" si="87"/>
        <v>1.25</v>
      </c>
      <c r="WD140" s="28">
        <v>1.1727272727272726</v>
      </c>
      <c r="WE140" s="28">
        <v>1.2470308788598574</v>
      </c>
      <c r="WF140" s="28">
        <v>1.2683823529411764</v>
      </c>
      <c r="WG140" s="28">
        <v>1.1914893617021276</v>
      </c>
      <c r="WH140" s="28">
        <v>1.25</v>
      </c>
    </row>
    <row r="141" spans="591:610" x14ac:dyDescent="0.25">
      <c r="VS141" s="17">
        <v>1.6555555555555554</v>
      </c>
      <c r="VT141" s="17">
        <v>2.0737704918032787</v>
      </c>
      <c r="VU141" s="8"/>
      <c r="VV141" s="17">
        <f>IFERROR(SUMIF($VW$2:$VW$72,VV$75,$VL$2:$VL$72)/SUMIF($VW$2:$VW$72,VV$75,$IZ$2:$IZ$72),0)</f>
        <v>1.6996539792387544</v>
      </c>
      <c r="VW141" s="17">
        <f>IFERROR(SUMIF($VW$2:$VW$72,VW$75,$VL$2:$VL$72)/SUMIF($VW$2:$VW$72,VW$75,$IZ$2:$IZ$72),0)</f>
        <v>1.6673773987206824</v>
      </c>
      <c r="VX141" s="31" t="s">
        <v>2637</v>
      </c>
      <c r="VY141" s="17">
        <f>IFERROR(SUMIF($VY$2:$VY$72,VY$75,$VL$2:$VL$72)/SUMIF($VY$2:$VY$72,VY$75,$IZ$2:$IZ$72),0)</f>
        <v>1.7431506849315068</v>
      </c>
      <c r="VZ141" s="17">
        <f>IFERROR(SUMIF($VY$2:$VY$72,VZ$75,$VL$2:$VL$72)/SUMIF($VY$2:$VY$72,VZ$75,$IZ$2:$IZ$72),0)</f>
        <v>1.5436507936507937</v>
      </c>
      <c r="WA141" s="17">
        <f>IFERROR(SUMIF($VY$2:$VY$72,WA$75,$VL$2:$VL$72)/SUMIF($VY$2:$VY$72,WA$75,$IZ$2:$IZ$72),0)</f>
        <v>1.8835098335854765</v>
      </c>
      <c r="WB141" s="17">
        <f>IFERROR(SUMIF($VY$2:$VY$72,WB$75,$VL$2:$VL$72)/SUMIF($VY$2:$VY$72,WB$75,$IZ$2:$IZ$72),0)</f>
        <v>1.5761381475667191</v>
      </c>
      <c r="WC141" s="48">
        <f>IFERROR(SUMIF($VY$2:$VY$72,WC$75,$VL$2:$VL$72)/SUMIF($VY$2:$VY$72,WC$75,$IZ$2:$IZ$72),0)</f>
        <v>1.7475728155339805</v>
      </c>
      <c r="WD141" s="17">
        <v>1.808955223880597</v>
      </c>
      <c r="WE141" s="17">
        <v>1.4200260078023408</v>
      </c>
      <c r="WF141" s="17">
        <v>1.7416331994645247</v>
      </c>
      <c r="WG141" s="17">
        <v>1.7394957983193278</v>
      </c>
      <c r="WH141" s="17">
        <v>1.8699186991869918</v>
      </c>
    </row>
    <row r="142" spans="591:610" x14ac:dyDescent="0.25">
      <c r="VS142" s="17"/>
      <c r="VT142" s="17"/>
      <c r="VU142" s="8"/>
      <c r="VV142" s="17"/>
      <c r="VW142" s="17"/>
      <c r="VX142" s="31"/>
      <c r="VY142" s="17"/>
      <c r="VZ142" s="17"/>
      <c r="WA142" s="17"/>
      <c r="WB142" s="17"/>
      <c r="WD142" s="17"/>
      <c r="WE142" s="17"/>
      <c r="WF142" s="17"/>
      <c r="WG142" s="17"/>
      <c r="WH142" s="17"/>
    </row>
    <row r="186" spans="1:607" x14ac:dyDescent="0.25">
      <c r="A186" s="2">
        <v>9047</v>
      </c>
      <c r="B186" s="2" t="s">
        <v>5322</v>
      </c>
      <c r="C186" s="2" t="s">
        <v>5063</v>
      </c>
      <c r="D186" s="2">
        <v>10</v>
      </c>
      <c r="E186" s="2">
        <v>30.2</v>
      </c>
      <c r="F186" s="2">
        <v>0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 t="s">
        <v>9</v>
      </c>
      <c r="BV186" s="6">
        <v>83002.5</v>
      </c>
      <c r="BW186" s="2" t="s">
        <v>18</v>
      </c>
      <c r="BX186" s="3">
        <v>45036</v>
      </c>
      <c r="BY186" s="2" t="s">
        <v>9</v>
      </c>
      <c r="BZ186" s="2">
        <v>1</v>
      </c>
      <c r="CA186" s="2" t="s">
        <v>9</v>
      </c>
      <c r="CB186" s="2">
        <v>1</v>
      </c>
      <c r="CC186" s="2" t="s">
        <v>9</v>
      </c>
      <c r="CD186" s="2">
        <v>0</v>
      </c>
      <c r="CE186" s="2" t="s">
        <v>1054</v>
      </c>
      <c r="CF186" s="2">
        <v>1</v>
      </c>
      <c r="CG186" s="2" t="s">
        <v>10</v>
      </c>
      <c r="CH186" s="2">
        <v>0</v>
      </c>
      <c r="CI186" s="2" t="s">
        <v>10</v>
      </c>
      <c r="CJ186" s="2">
        <v>0</v>
      </c>
      <c r="CK186" s="2" t="s">
        <v>11</v>
      </c>
      <c r="CL186" s="2">
        <v>0</v>
      </c>
      <c r="CM186" s="2" t="s">
        <v>9</v>
      </c>
      <c r="CN186" s="2">
        <v>2</v>
      </c>
      <c r="CO186" s="2" t="s">
        <v>9</v>
      </c>
      <c r="CP186" s="2">
        <v>2</v>
      </c>
      <c r="CQ186" s="2" t="s">
        <v>9</v>
      </c>
      <c r="CR186" s="2">
        <v>2</v>
      </c>
      <c r="CS186" s="2" t="s">
        <v>12</v>
      </c>
      <c r="CT186" s="2" t="s">
        <v>15</v>
      </c>
      <c r="CU186" s="2" t="s">
        <v>15</v>
      </c>
      <c r="CV186" s="2" t="s">
        <v>15</v>
      </c>
      <c r="CW186" s="2" t="s">
        <v>1053</v>
      </c>
      <c r="CX186" s="2" t="s">
        <v>15</v>
      </c>
      <c r="CY186" s="2" t="s">
        <v>15</v>
      </c>
      <c r="CZ186" s="2">
        <v>0</v>
      </c>
      <c r="DA186" s="2" t="s">
        <v>234</v>
      </c>
      <c r="DB186" s="2" t="s">
        <v>17</v>
      </c>
      <c r="DC186" s="4">
        <v>0.1</v>
      </c>
      <c r="DD186" s="2" t="s">
        <v>17</v>
      </c>
      <c r="DE186" s="2" t="s">
        <v>9</v>
      </c>
      <c r="DF186" s="2" t="s">
        <v>17</v>
      </c>
      <c r="DG186" s="2" t="s">
        <v>17</v>
      </c>
      <c r="DH186" s="2" t="s">
        <v>17</v>
      </c>
      <c r="DI186" s="2" t="s">
        <v>17</v>
      </c>
      <c r="DJ186" s="2" t="s">
        <v>17</v>
      </c>
      <c r="DK186" s="2" t="s">
        <v>17</v>
      </c>
      <c r="DL186" s="2" t="s">
        <v>17</v>
      </c>
      <c r="DM186" s="2" t="s">
        <v>9</v>
      </c>
      <c r="DN186" s="18" t="s">
        <v>3276</v>
      </c>
      <c r="DO186" s="2">
        <v>5</v>
      </c>
      <c r="DP186" s="5">
        <v>50000</v>
      </c>
      <c r="DQ186" s="5">
        <v>460000</v>
      </c>
      <c r="DR186" s="2">
        <v>0</v>
      </c>
      <c r="DS186" s="2">
        <v>4</v>
      </c>
      <c r="DT186" s="2">
        <v>0</v>
      </c>
      <c r="DU186" s="2">
        <v>6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2">
        <v>13</v>
      </c>
      <c r="EE186" s="2">
        <v>1</v>
      </c>
      <c r="EF186" s="2">
        <v>0</v>
      </c>
      <c r="EG186" s="2">
        <v>3</v>
      </c>
      <c r="EH186" s="2">
        <v>0</v>
      </c>
      <c r="EI186" s="2">
        <v>14</v>
      </c>
      <c r="EJ186" s="2">
        <v>11</v>
      </c>
      <c r="EK186" s="2">
        <v>0</v>
      </c>
      <c r="EL186" s="2" t="s">
        <v>17</v>
      </c>
      <c r="EM186" s="2" t="s">
        <v>17</v>
      </c>
      <c r="EN186" s="2" t="s">
        <v>17</v>
      </c>
      <c r="EO186" s="2" t="s">
        <v>17</v>
      </c>
      <c r="EP186" s="2" t="s">
        <v>17</v>
      </c>
      <c r="EQ186" s="2" t="s">
        <v>17</v>
      </c>
      <c r="ER186" s="2" t="s">
        <v>17</v>
      </c>
      <c r="ES186" s="2" t="s">
        <v>9</v>
      </c>
      <c r="ET186" s="2" t="s">
        <v>1055</v>
      </c>
      <c r="EU186" s="2" t="s">
        <v>1056</v>
      </c>
      <c r="EV186" s="2"/>
      <c r="EW186" s="2" t="s">
        <v>9</v>
      </c>
      <c r="EX186" s="2" t="s">
        <v>286</v>
      </c>
      <c r="EY186" s="2" t="s">
        <v>1055</v>
      </c>
      <c r="EZ186" s="2" t="s">
        <v>287</v>
      </c>
      <c r="FA186" s="2" t="s">
        <v>147</v>
      </c>
      <c r="FB186" s="2">
        <v>100</v>
      </c>
      <c r="FC186" s="2" t="s">
        <v>1058</v>
      </c>
      <c r="FD186" s="2">
        <v>2021</v>
      </c>
      <c r="FE186" s="2" t="s">
        <v>26</v>
      </c>
      <c r="FF186" s="2" t="s">
        <v>4210</v>
      </c>
      <c r="FG186" s="2" t="s">
        <v>294</v>
      </c>
      <c r="FH186" s="2" t="s">
        <v>295</v>
      </c>
      <c r="FI186" s="2" t="s">
        <v>296</v>
      </c>
      <c r="FJ186" s="2" t="s">
        <v>297</v>
      </c>
      <c r="FK186" s="2">
        <v>1</v>
      </c>
      <c r="FL186" s="2" t="s">
        <v>1060</v>
      </c>
      <c r="FM186" s="2" t="s">
        <v>299</v>
      </c>
      <c r="FN186" s="2" t="s">
        <v>1064</v>
      </c>
      <c r="FO186" s="2" t="s">
        <v>63</v>
      </c>
      <c r="FP186" s="2" t="s">
        <v>9</v>
      </c>
      <c r="FQ186" s="2" t="s">
        <v>17</v>
      </c>
      <c r="FR186" s="2" t="s">
        <v>17</v>
      </c>
      <c r="FS186" s="2" t="s">
        <v>9</v>
      </c>
      <c r="FT186" s="2">
        <v>0</v>
      </c>
      <c r="FU186" s="2">
        <v>0</v>
      </c>
      <c r="FV186" s="4">
        <v>0</v>
      </c>
      <c r="FW186" s="4">
        <v>0</v>
      </c>
      <c r="FX186" s="2" t="s">
        <v>65</v>
      </c>
      <c r="FY186" s="2" t="s">
        <v>66</v>
      </c>
      <c r="FZ186" s="2" t="s">
        <v>17</v>
      </c>
      <c r="GA186" s="2"/>
      <c r="GB186" s="2"/>
      <c r="GC186" s="2"/>
      <c r="GD186" s="2" t="s">
        <v>67</v>
      </c>
      <c r="GE186" s="2" t="s">
        <v>108</v>
      </c>
      <c r="GF186" s="2"/>
      <c r="GG186" s="2"/>
      <c r="GH186" s="2"/>
      <c r="GI186" s="2"/>
      <c r="GJ186" s="2">
        <v>86</v>
      </c>
      <c r="GK186" s="2"/>
      <c r="GL186" s="2"/>
      <c r="GM186" s="2"/>
      <c r="GN186" s="2"/>
      <c r="GO186" s="2"/>
      <c r="GP186" s="2"/>
      <c r="GQ186" s="2">
        <v>86</v>
      </c>
      <c r="GR186" s="2" t="s">
        <v>1065</v>
      </c>
      <c r="GS186" s="2" t="s">
        <v>70</v>
      </c>
      <c r="GT186" s="2">
        <v>2</v>
      </c>
      <c r="GU186" s="2" t="s">
        <v>5323</v>
      </c>
      <c r="GV186" s="2" t="s">
        <v>1067</v>
      </c>
      <c r="GW186" s="2" t="s">
        <v>9</v>
      </c>
      <c r="GX186" s="2">
        <v>28.037610999999998</v>
      </c>
      <c r="GY186" s="2">
        <v>-81.970018999999994</v>
      </c>
      <c r="GZ186" s="2" t="s">
        <v>1068</v>
      </c>
      <c r="HA186" s="2" t="s">
        <v>9</v>
      </c>
      <c r="HB186" s="2">
        <v>3</v>
      </c>
      <c r="HC186" s="2" t="s">
        <v>17</v>
      </c>
      <c r="HD186" s="2"/>
      <c r="HE186" s="2">
        <v>0</v>
      </c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>
        <v>28.045175</v>
      </c>
      <c r="HQ186" s="2">
        <v>-81.957802999999998</v>
      </c>
      <c r="HR186" s="2">
        <v>0.92</v>
      </c>
      <c r="HS186" s="2">
        <v>4.5</v>
      </c>
      <c r="HT186" s="2"/>
      <c r="HU186" s="2"/>
      <c r="HV186" s="2"/>
      <c r="HW186" s="2"/>
      <c r="HX186" s="2" t="s">
        <v>73</v>
      </c>
      <c r="HY186" s="2" t="s">
        <v>1069</v>
      </c>
      <c r="HZ186" s="2" t="s">
        <v>1070</v>
      </c>
      <c r="IA186" s="2">
        <v>0.82</v>
      </c>
      <c r="IB186" s="2">
        <v>2.5</v>
      </c>
      <c r="IC186" s="2"/>
      <c r="ID186" s="2"/>
      <c r="IE186" s="2"/>
      <c r="IF186" s="2"/>
      <c r="IG186" s="2" t="s">
        <v>1071</v>
      </c>
      <c r="IH186" s="2" t="s">
        <v>1072</v>
      </c>
      <c r="II186" s="2">
        <v>0.94</v>
      </c>
      <c r="IJ186" s="2">
        <v>2.5</v>
      </c>
      <c r="IK186" s="2" t="s">
        <v>5324</v>
      </c>
      <c r="IL186" s="2" t="s">
        <v>1074</v>
      </c>
      <c r="IM186" s="2">
        <v>0.23</v>
      </c>
      <c r="IN186" s="2">
        <v>4</v>
      </c>
      <c r="IO186" s="2">
        <v>4.5</v>
      </c>
      <c r="IP186" s="2">
        <v>9</v>
      </c>
      <c r="IQ186" s="2">
        <v>3</v>
      </c>
      <c r="IR186" s="2">
        <v>16.5</v>
      </c>
      <c r="IS186" s="2" t="s">
        <v>17</v>
      </c>
      <c r="IT186" s="2" t="s">
        <v>17</v>
      </c>
      <c r="IU186" s="2" t="s">
        <v>17</v>
      </c>
      <c r="IV186" s="2" t="s">
        <v>80</v>
      </c>
      <c r="IW186" s="2" t="s">
        <v>9</v>
      </c>
      <c r="IX186" s="2" t="s">
        <v>9</v>
      </c>
      <c r="IY186" s="2">
        <v>13.5</v>
      </c>
      <c r="IZ186" s="2">
        <v>86</v>
      </c>
      <c r="JA186" s="2"/>
      <c r="JB186" s="2"/>
      <c r="JC186" s="2"/>
      <c r="JD186" s="2"/>
      <c r="JE186" s="7">
        <v>0.1</v>
      </c>
      <c r="JF186" s="2"/>
      <c r="JG186" s="7">
        <v>0.9</v>
      </c>
      <c r="JH186" s="7">
        <v>0</v>
      </c>
      <c r="JI186" s="2">
        <v>86</v>
      </c>
      <c r="JJ186" s="7">
        <v>1</v>
      </c>
      <c r="JK186" s="2">
        <v>86</v>
      </c>
      <c r="JL186" s="7">
        <v>1</v>
      </c>
      <c r="JM186" s="2"/>
      <c r="JN186" s="2"/>
      <c r="JO186" s="2"/>
      <c r="JP186" s="2"/>
      <c r="JQ186" s="2"/>
      <c r="JR186" s="2">
        <v>0</v>
      </c>
      <c r="JS186" s="2">
        <v>0</v>
      </c>
      <c r="JT186" s="2"/>
      <c r="JU186" s="2"/>
      <c r="JV186" s="2">
        <v>0</v>
      </c>
      <c r="JW186" s="4">
        <v>0</v>
      </c>
      <c r="JX186" s="2">
        <v>0</v>
      </c>
      <c r="JY186" s="4">
        <v>0</v>
      </c>
      <c r="JZ186" s="2">
        <v>86</v>
      </c>
      <c r="KA186" s="2"/>
      <c r="KB186" s="2"/>
      <c r="KC186" s="2"/>
      <c r="KD186" s="2"/>
      <c r="KE186" s="2"/>
      <c r="KF186" s="2"/>
      <c r="KG186" s="2"/>
      <c r="KH186" s="2">
        <v>14</v>
      </c>
      <c r="KI186" s="2"/>
      <c r="KJ186" s="2"/>
      <c r="KK186" s="2">
        <v>36</v>
      </c>
      <c r="KL186" s="2">
        <v>36</v>
      </c>
      <c r="KM186" s="2"/>
      <c r="KN186" s="2"/>
      <c r="KO186" s="2"/>
      <c r="KP186" s="2"/>
      <c r="KQ186" s="2" t="s">
        <v>83</v>
      </c>
      <c r="KR186" s="2" t="s">
        <v>73</v>
      </c>
      <c r="KS186" s="2"/>
      <c r="KT186" s="2">
        <v>4</v>
      </c>
      <c r="KU186" s="2" t="s">
        <v>84</v>
      </c>
      <c r="KV186" s="2" t="s">
        <v>85</v>
      </c>
      <c r="KW186" s="2" t="s">
        <v>86</v>
      </c>
      <c r="KX186" s="2" t="s">
        <v>17</v>
      </c>
      <c r="KY186" s="2" t="s">
        <v>17</v>
      </c>
      <c r="KZ186" s="2" t="s">
        <v>17</v>
      </c>
      <c r="LA186" s="2" t="s">
        <v>17</v>
      </c>
      <c r="LB186" s="2" t="s">
        <v>17</v>
      </c>
      <c r="LC186" s="2" t="s">
        <v>17</v>
      </c>
      <c r="LD186" s="2" t="s">
        <v>17</v>
      </c>
      <c r="LE186" s="2" t="s">
        <v>17</v>
      </c>
      <c r="LF186" s="2" t="s">
        <v>17</v>
      </c>
      <c r="LG186" s="2" t="s">
        <v>17</v>
      </c>
      <c r="LH186" s="2" t="s">
        <v>17</v>
      </c>
      <c r="LI186" s="2" t="s">
        <v>17</v>
      </c>
      <c r="LJ186" s="2" t="s">
        <v>87</v>
      </c>
      <c r="LK186" s="2" t="s">
        <v>17</v>
      </c>
      <c r="LL186" s="2" t="s">
        <v>17</v>
      </c>
      <c r="LM186" s="2">
        <v>0</v>
      </c>
      <c r="LN186" s="2" t="s">
        <v>17</v>
      </c>
      <c r="LO186" s="2" t="s">
        <v>9</v>
      </c>
      <c r="LP186" s="2" t="s">
        <v>9</v>
      </c>
      <c r="LQ186" s="2" t="s">
        <v>17</v>
      </c>
      <c r="LR186" s="2" t="s">
        <v>9</v>
      </c>
      <c r="LS186" s="2" t="s">
        <v>17</v>
      </c>
      <c r="LT186" s="2" t="s">
        <v>17</v>
      </c>
      <c r="LU186" s="2" t="s">
        <v>17</v>
      </c>
      <c r="LV186" s="2" t="s">
        <v>17</v>
      </c>
      <c r="LW186" s="2" t="s">
        <v>17</v>
      </c>
      <c r="LX186" s="2" t="s">
        <v>17</v>
      </c>
      <c r="LY186" s="5">
        <v>9030000</v>
      </c>
      <c r="LZ186" s="5">
        <v>0</v>
      </c>
      <c r="MA186" s="5">
        <v>9030000</v>
      </c>
      <c r="MB186" s="5">
        <v>9030000</v>
      </c>
      <c r="MC186" s="5">
        <v>9030000</v>
      </c>
      <c r="MD186" s="5">
        <v>523200</v>
      </c>
      <c r="ME186" s="5">
        <v>523200</v>
      </c>
      <c r="MF186" s="5">
        <v>523200</v>
      </c>
      <c r="MG186" s="5">
        <v>9553200</v>
      </c>
      <c r="MH186" s="2">
        <v>0</v>
      </c>
      <c r="MI186" s="5">
        <v>0</v>
      </c>
      <c r="MJ186" s="5">
        <v>0</v>
      </c>
      <c r="MK186" s="2">
        <v>0</v>
      </c>
      <c r="ML186" s="2">
        <v>0</v>
      </c>
      <c r="MM186" s="2">
        <v>0</v>
      </c>
      <c r="MN186" s="5">
        <v>2950000</v>
      </c>
      <c r="MO186" s="5">
        <v>0</v>
      </c>
      <c r="MP186" s="5">
        <v>4600000</v>
      </c>
      <c r="MQ186" s="5">
        <v>0</v>
      </c>
      <c r="MR186" s="5">
        <v>0</v>
      </c>
      <c r="MS186" s="5">
        <v>0</v>
      </c>
      <c r="MT186" s="5">
        <v>0</v>
      </c>
      <c r="MU186" s="5">
        <v>2500000</v>
      </c>
      <c r="MV186" s="5">
        <v>0</v>
      </c>
      <c r="MW186" s="5">
        <v>0</v>
      </c>
      <c r="MX186" s="5">
        <v>0</v>
      </c>
      <c r="MY186" s="5">
        <v>2040000</v>
      </c>
      <c r="MZ186" s="5">
        <v>0</v>
      </c>
      <c r="NA186" s="5">
        <v>957138</v>
      </c>
      <c r="NB186" s="2" t="s">
        <v>17</v>
      </c>
      <c r="NC186" s="2"/>
      <c r="ND186" s="2"/>
      <c r="NE186" s="2"/>
      <c r="NF186" s="2"/>
      <c r="NG186" s="2"/>
      <c r="NH186" s="2"/>
      <c r="NI186" s="61">
        <v>0</v>
      </c>
      <c r="NJ186" s="61"/>
      <c r="NK186" s="61"/>
      <c r="NL186" s="61"/>
      <c r="NM186" s="2" t="s">
        <v>17</v>
      </c>
      <c r="NN186" s="2"/>
      <c r="NO186" s="2" t="s">
        <v>17</v>
      </c>
      <c r="NP186" s="2"/>
      <c r="NQ186" s="2"/>
      <c r="NR186" s="2" t="s">
        <v>17</v>
      </c>
      <c r="NS186" s="2"/>
      <c r="NT186" s="2" t="s">
        <v>17</v>
      </c>
      <c r="NU186" s="2"/>
      <c r="NV186" s="2"/>
      <c r="NW186" s="2"/>
      <c r="NX186" s="2" t="s">
        <v>118</v>
      </c>
      <c r="NY186" s="2" t="s">
        <v>118</v>
      </c>
      <c r="NZ186" s="2" t="s">
        <v>118</v>
      </c>
      <c r="OA186" s="2" t="s">
        <v>17</v>
      </c>
      <c r="OB186" s="2" t="s">
        <v>5089</v>
      </c>
      <c r="OC186" s="5">
        <v>12000000</v>
      </c>
      <c r="OD186" s="2" t="s">
        <v>17</v>
      </c>
      <c r="OE186" s="2" t="s">
        <v>17</v>
      </c>
      <c r="OF186" s="2" t="s">
        <v>85</v>
      </c>
      <c r="OG186" s="6">
        <v>6865000</v>
      </c>
      <c r="OH186" s="6">
        <v>0</v>
      </c>
      <c r="OI186" s="2" t="s">
        <v>93</v>
      </c>
      <c r="OJ186" s="2" t="s">
        <v>93</v>
      </c>
      <c r="OK186" s="6">
        <v>0</v>
      </c>
      <c r="OL186" s="6">
        <v>0</v>
      </c>
      <c r="OM186" s="6">
        <v>0</v>
      </c>
      <c r="ON186" s="6">
        <v>0</v>
      </c>
      <c r="OO186" s="6">
        <v>0</v>
      </c>
      <c r="OP186" s="6">
        <v>0</v>
      </c>
      <c r="OQ186" s="4">
        <v>0</v>
      </c>
      <c r="OR186" s="6">
        <v>0</v>
      </c>
      <c r="OS186" s="4">
        <v>0</v>
      </c>
      <c r="OT186" s="2" t="s">
        <v>9</v>
      </c>
      <c r="OU186" s="2" t="s">
        <v>9</v>
      </c>
      <c r="OV186" s="2" t="s">
        <v>1077</v>
      </c>
      <c r="OW186" s="2" t="s">
        <v>9</v>
      </c>
      <c r="OX186" s="5">
        <v>7138215</v>
      </c>
      <c r="OY186" s="6">
        <v>83002.5</v>
      </c>
      <c r="OZ186" s="2"/>
      <c r="PA186" s="2"/>
      <c r="PB186" s="8">
        <v>100000</v>
      </c>
      <c r="PC186" s="8">
        <v>100000</v>
      </c>
      <c r="PD186" s="2"/>
      <c r="PE186" s="2"/>
      <c r="PF186" s="8">
        <v>14400000</v>
      </c>
      <c r="PG186" s="8">
        <v>149240</v>
      </c>
      <c r="PH186" s="8">
        <v>14549240</v>
      </c>
      <c r="PI186" s="2"/>
      <c r="PJ186" s="2"/>
      <c r="PK186" s="2"/>
      <c r="PL186" s="2"/>
      <c r="PM186" s="8">
        <v>900000</v>
      </c>
      <c r="PN186" s="2"/>
      <c r="PO186" s="8">
        <v>900000</v>
      </c>
      <c r="PP186" s="2"/>
      <c r="PQ186" s="2"/>
      <c r="PR186" s="8">
        <v>15300000</v>
      </c>
      <c r="PS186" s="8">
        <v>249240</v>
      </c>
      <c r="PT186" s="8">
        <v>15549240</v>
      </c>
      <c r="PU186" s="8">
        <v>2111814</v>
      </c>
      <c r="PV186" s="8">
        <v>2111814</v>
      </c>
      <c r="PW186" s="6">
        <v>2176893</v>
      </c>
      <c r="PX186" s="8">
        <v>17411814</v>
      </c>
      <c r="PY186" s="8">
        <v>249240</v>
      </c>
      <c r="PZ186" s="8">
        <v>17661054</v>
      </c>
      <c r="QA186" s="8">
        <v>868926</v>
      </c>
      <c r="QB186" s="8">
        <v>868926</v>
      </c>
      <c r="QC186" s="6">
        <v>883052.7</v>
      </c>
      <c r="QD186" s="8">
        <v>26250</v>
      </c>
      <c r="QE186" s="8">
        <v>8750</v>
      </c>
      <c r="QF186" s="8">
        <v>35000</v>
      </c>
      <c r="QG186" s="8">
        <v>5000</v>
      </c>
      <c r="QH186" s="8">
        <v>5000</v>
      </c>
      <c r="QI186" s="8">
        <v>281694</v>
      </c>
      <c r="QJ186" s="8">
        <v>281694</v>
      </c>
      <c r="QK186" s="8">
        <v>60000</v>
      </c>
      <c r="QL186" s="8">
        <v>60000</v>
      </c>
      <c r="QM186" s="8">
        <v>150844</v>
      </c>
      <c r="QN186" s="2"/>
      <c r="QO186" s="8">
        <v>150844</v>
      </c>
      <c r="QP186" s="8">
        <v>36980</v>
      </c>
      <c r="QQ186" s="8">
        <v>36980</v>
      </c>
      <c r="QR186" s="2"/>
      <c r="QS186" s="2"/>
      <c r="QT186" s="8">
        <v>50000</v>
      </c>
      <c r="QU186" s="2"/>
      <c r="QV186" s="8">
        <v>50000</v>
      </c>
      <c r="QW186" s="8">
        <v>10000</v>
      </c>
      <c r="QX186" s="8">
        <v>10000</v>
      </c>
      <c r="QY186" s="8">
        <v>52643</v>
      </c>
      <c r="QZ186" s="8">
        <v>52643</v>
      </c>
      <c r="RA186" s="8">
        <v>4000</v>
      </c>
      <c r="RB186" s="8">
        <v>4000</v>
      </c>
      <c r="RC186" s="8">
        <v>25000</v>
      </c>
      <c r="RD186" s="8">
        <v>25000</v>
      </c>
      <c r="RE186" s="8">
        <v>17845</v>
      </c>
      <c r="RF186" s="8">
        <v>17845</v>
      </c>
      <c r="RG186" s="8">
        <v>25000</v>
      </c>
      <c r="RH186" s="8">
        <v>25000</v>
      </c>
      <c r="RI186" s="8">
        <v>140512</v>
      </c>
      <c r="RJ186" s="8">
        <v>140512</v>
      </c>
      <c r="RK186" s="8">
        <v>60000</v>
      </c>
      <c r="RL186" s="2"/>
      <c r="RM186" s="8">
        <v>60000</v>
      </c>
      <c r="RN186" s="8">
        <v>137600</v>
      </c>
      <c r="RO186" s="2"/>
      <c r="RP186" s="8">
        <v>137600</v>
      </c>
      <c r="RQ186" s="8">
        <v>75000</v>
      </c>
      <c r="RR186" s="8">
        <v>75000</v>
      </c>
      <c r="RS186" s="8">
        <v>150000</v>
      </c>
      <c r="RT186" s="8">
        <v>2500</v>
      </c>
      <c r="RU186" s="8">
        <v>2500</v>
      </c>
      <c r="RV186" s="8">
        <v>5000</v>
      </c>
      <c r="RW186" s="8">
        <v>25000</v>
      </c>
      <c r="RX186" s="8">
        <v>25000</v>
      </c>
      <c r="RY186" s="2"/>
      <c r="RZ186" s="2"/>
      <c r="SA186" s="2"/>
      <c r="SB186" s="8">
        <v>15000</v>
      </c>
      <c r="SC186" s="8">
        <v>15000</v>
      </c>
      <c r="SD186" s="8">
        <v>15000</v>
      </c>
      <c r="SE186" s="2"/>
      <c r="SF186" s="8">
        <v>15000</v>
      </c>
      <c r="SG186" s="8">
        <v>265000</v>
      </c>
      <c r="SH186" s="8">
        <v>100069</v>
      </c>
      <c r="SI186" s="8">
        <v>17659</v>
      </c>
      <c r="SJ186" s="8">
        <v>117728</v>
      </c>
      <c r="SK186" s="8">
        <v>81872</v>
      </c>
      <c r="SL186" s="8">
        <v>81872</v>
      </c>
      <c r="SM186" s="2"/>
      <c r="SN186" s="2"/>
      <c r="SO186" s="2"/>
      <c r="SP186" s="8">
        <v>1273321</v>
      </c>
      <c r="SQ186" s="8">
        <v>493397</v>
      </c>
      <c r="SR186" s="8">
        <v>1766718</v>
      </c>
      <c r="SS186" s="8">
        <v>70000</v>
      </c>
      <c r="ST186" s="8">
        <v>18000</v>
      </c>
      <c r="SU186" s="8">
        <v>88000</v>
      </c>
      <c r="SV186" s="6">
        <v>88335.9</v>
      </c>
      <c r="SW186" s="8">
        <v>130000</v>
      </c>
      <c r="SX186" s="8">
        <v>130000</v>
      </c>
      <c r="SY186" s="2"/>
      <c r="SZ186" s="8">
        <v>314428</v>
      </c>
      <c r="TA186" s="8">
        <v>427797</v>
      </c>
      <c r="TB186" s="8">
        <v>742225</v>
      </c>
      <c r="TC186" s="8">
        <v>26000</v>
      </c>
      <c r="TD186" s="2"/>
      <c r="TE186" s="8">
        <v>26000</v>
      </c>
      <c r="TF186" s="8">
        <v>68500</v>
      </c>
      <c r="TG186" s="8">
        <v>68500</v>
      </c>
      <c r="TH186" s="2"/>
      <c r="TI186" s="8">
        <v>25000</v>
      </c>
      <c r="TJ186" s="8">
        <v>25000</v>
      </c>
      <c r="TK186" s="2"/>
      <c r="TL186" s="8">
        <v>234000</v>
      </c>
      <c r="TM186" s="2"/>
      <c r="TN186" s="8">
        <v>234000</v>
      </c>
      <c r="TO186" s="8">
        <v>704428</v>
      </c>
      <c r="TP186" s="8">
        <v>521297</v>
      </c>
      <c r="TQ186" s="8">
        <v>1225725</v>
      </c>
      <c r="TR186" s="8">
        <v>20328489</v>
      </c>
      <c r="TS186" s="8">
        <v>1281934</v>
      </c>
      <c r="TT186" s="8">
        <v>21610423</v>
      </c>
      <c r="TU186" s="8">
        <v>3500000</v>
      </c>
      <c r="TV186" s="8">
        <v>3500000</v>
      </c>
      <c r="TW186" s="6">
        <v>3889876</v>
      </c>
      <c r="TX186" s="8">
        <v>3500000</v>
      </c>
      <c r="TY186" s="8">
        <v>3500000</v>
      </c>
      <c r="TZ186" s="6">
        <v>3889876</v>
      </c>
      <c r="UA186" s="2"/>
      <c r="UB186" s="2"/>
      <c r="UC186" s="8">
        <v>23828489</v>
      </c>
      <c r="UD186" s="8">
        <v>1281934</v>
      </c>
      <c r="UE186" s="8">
        <v>25110423</v>
      </c>
      <c r="UF186" s="8">
        <v>12000000</v>
      </c>
      <c r="UG186" s="2" t="s">
        <v>4295</v>
      </c>
      <c r="UH186" s="2"/>
      <c r="UI186" s="2"/>
      <c r="UJ186" s="8">
        <v>9553200</v>
      </c>
      <c r="UK186" s="2"/>
      <c r="UL186" s="2" t="s">
        <v>96</v>
      </c>
      <c r="UM186" s="8">
        <v>4354542</v>
      </c>
      <c r="UN186" s="8">
        <v>2000000</v>
      </c>
      <c r="UO186" s="8">
        <v>27907742</v>
      </c>
      <c r="UP186" s="8">
        <v>2797319</v>
      </c>
      <c r="UQ186" s="8">
        <v>6865000</v>
      </c>
      <c r="UR186" s="2" t="s">
        <v>4295</v>
      </c>
      <c r="US186" s="2"/>
      <c r="UT186" s="2"/>
      <c r="UU186" s="2"/>
      <c r="UV186" s="2"/>
      <c r="UW186" s="8">
        <v>9553200</v>
      </c>
      <c r="UX186" s="2"/>
      <c r="UY186" s="2" t="s">
        <v>96</v>
      </c>
      <c r="UZ186" s="8">
        <v>8709084</v>
      </c>
      <c r="VA186" s="8">
        <v>2000000</v>
      </c>
      <c r="VB186" s="8">
        <v>27127284</v>
      </c>
      <c r="VC186" s="6">
        <v>16418200</v>
      </c>
      <c r="VD186" s="8">
        <v>2016861</v>
      </c>
      <c r="VE186" s="5">
        <v>370000</v>
      </c>
      <c r="VF186" s="5">
        <v>385000</v>
      </c>
      <c r="VG186" s="6">
        <v>287737.48</v>
      </c>
      <c r="VH186" s="2" t="s">
        <v>9</v>
      </c>
      <c r="VI186" s="2" t="s">
        <v>286</v>
      </c>
      <c r="VJ186" s="2" t="s">
        <v>98</v>
      </c>
      <c r="VK186" s="2" t="s">
        <v>5325</v>
      </c>
      <c r="VL186" s="23">
        <f t="shared" ref="VL186:VL188" si="88">KG186+KH186+2*(KI186+KK186)+3*(KL186+KM186)+4*KO186</f>
        <v>194</v>
      </c>
      <c r="VM186" s="17">
        <f t="shared" ref="VM186:VM188" si="89">VL186/IZ186</f>
        <v>2.2558139534883721</v>
      </c>
      <c r="VN186" s="17"/>
      <c r="VO186" s="17"/>
      <c r="VP186" s="57">
        <v>1</v>
      </c>
      <c r="VQ186" s="17">
        <f t="shared" ref="VQ186:VQ188" si="90">IF(OR(NM186="Yes",NO186="Yes",NR186="Yes",NT186="Yes"),$OY$75,1)</f>
        <v>1</v>
      </c>
      <c r="VR186" s="57">
        <f t="shared" ref="VR186:VR188" si="91">IF(GR186="Broward",Broward_Q,1)</f>
        <v>1</v>
      </c>
      <c r="VS186" s="14">
        <f t="shared" ref="VS186:VS188" si="92">IF(OR(OT186="Yes",OU186="Yes"),PHA_Q,1)</f>
        <v>0.87</v>
      </c>
      <c r="VT186" s="12">
        <f t="shared" ref="VT186:VT188" si="93">(GG186*NC_GA_Q*ESSC_Q+GH186*NC_GA_Q+GI186*NC_MR_Q*ESSC_Q+GJ186*NC_MR_Q+GK186*NC_HR_Q*ESSC_Q+GL186*NC_OT_Q*ESSC_Q+GM186*NC_OT_Q+GN186*1+GO186*1)/(GG186+GH186+GI186+GJ186+GK186+GL186+GM186+GN186+GO186)</f>
        <v>0.88000000000000012</v>
      </c>
      <c r="VU186" s="29">
        <f t="shared" ref="VU186:VU188" si="94">MC186*VQ186*VR186*VS186*VT186*IF(BW186="Elderly Non-ALF",Elderly_Q,1)</f>
        <v>6913368.0000000009</v>
      </c>
      <c r="VV186" s="30">
        <f t="shared" ref="VV186:VV188" si="95">ROUND(VU186/MAX(JI186,JV186),2)</f>
        <v>80388</v>
      </c>
      <c r="VW186" s="54" t="str">
        <f>IF(RANK(VV186,VV186:VV188,1)&lt;=ROUNDUP(80%*3,0),"A","B")</f>
        <v>A</v>
      </c>
      <c r="VY186" s="58">
        <f>IF(RANK(VV186,VV186:VV188,1)&lt;=ROUNDUP(10%*3,0),1,IF(RANK(VV186,VV186:VV188,1)&lt;=ROUNDUP(30%*3,0),2,IF(RANK(VV186,VV186:VV188,1)&lt;=ROUNDUP(50%*3,0),3,IF(RANK(VV186,VV186:VV188,1)&lt;=ROUNDUP(70%*3,0),4,5))))</f>
        <v>1</v>
      </c>
      <c r="WA186" s="12">
        <f t="shared" ref="WA186:WA188" si="96">IF(BW186="Elderly Non-ALF",1,0)</f>
        <v>0</v>
      </c>
      <c r="WB186" s="12">
        <f t="shared" ref="WB186:WB188" si="97">IF(OR(VQ186=1,N(VQ186)=0),0,1)</f>
        <v>0</v>
      </c>
      <c r="WC186" s="12">
        <f t="shared" ref="WC186:WC188" si="98">IF(OR(VR186=1,N(VR186)=0),0,1)</f>
        <v>0</v>
      </c>
      <c r="WD186" s="12">
        <f t="shared" ref="WD186:WD188" si="99">IF(OR(VS186=1,N(VS186)=0),0,1)</f>
        <v>1</v>
      </c>
      <c r="WE186" s="12">
        <f t="shared" ref="WE186:WE188" si="100">IF(GG186+GI186+GK186+GL186&gt;0,1,0)</f>
        <v>0</v>
      </c>
      <c r="WF186" s="12">
        <f t="shared" ref="WF186:WF188" si="101">IF(GG186+GH186&gt;0,1,0)</f>
        <v>0</v>
      </c>
      <c r="WG186" s="12">
        <f t="shared" ref="WG186:WG188" si="102">IF(GI186+GJ186&gt;0,1,0)</f>
        <v>1</v>
      </c>
      <c r="WH186" s="12">
        <f t="shared" ref="WH186:WH188" si="103">IF(GK186&gt;1,1,0)</f>
        <v>0</v>
      </c>
      <c r="WI186" s="31">
        <f t="shared" ref="WI186:WI188" si="104">SUM(WA186:WH186)</f>
        <v>2</v>
      </c>
    </row>
    <row r="187" spans="1:607" x14ac:dyDescent="0.25">
      <c r="A187" s="2">
        <v>9068</v>
      </c>
      <c r="B187" s="2" t="s">
        <v>5326</v>
      </c>
      <c r="C187" s="2" t="s">
        <v>5063</v>
      </c>
      <c r="D187" s="2">
        <v>10</v>
      </c>
      <c r="E187" s="2">
        <v>30.44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 t="s">
        <v>9</v>
      </c>
      <c r="BV187" s="6">
        <v>83375</v>
      </c>
      <c r="BW187" s="2" t="s">
        <v>126</v>
      </c>
      <c r="BX187" s="3">
        <v>45036</v>
      </c>
      <c r="BY187" s="2" t="s">
        <v>9</v>
      </c>
      <c r="BZ187" s="2">
        <v>1</v>
      </c>
      <c r="CA187" s="2" t="s">
        <v>9</v>
      </c>
      <c r="CB187" s="2">
        <v>1</v>
      </c>
      <c r="CC187" s="2" t="s">
        <v>9</v>
      </c>
      <c r="CD187" s="2">
        <v>0</v>
      </c>
      <c r="CE187" s="2" t="s">
        <v>5328</v>
      </c>
      <c r="CF187" s="2">
        <v>1</v>
      </c>
      <c r="CG187" s="2" t="s">
        <v>10</v>
      </c>
      <c r="CH187" s="2">
        <v>0</v>
      </c>
      <c r="CI187" s="2" t="s">
        <v>10</v>
      </c>
      <c r="CJ187" s="2">
        <v>0</v>
      </c>
      <c r="CK187" s="2" t="s">
        <v>11</v>
      </c>
      <c r="CL187" s="2">
        <v>0</v>
      </c>
      <c r="CM187" s="2" t="s">
        <v>9</v>
      </c>
      <c r="CN187" s="2">
        <v>2</v>
      </c>
      <c r="CO187" s="2" t="s">
        <v>9</v>
      </c>
      <c r="CP187" s="2">
        <v>2</v>
      </c>
      <c r="CQ187" s="2" t="s">
        <v>9</v>
      </c>
      <c r="CR187" s="2">
        <v>2</v>
      </c>
      <c r="CS187" s="2" t="s">
        <v>12</v>
      </c>
      <c r="CT187" s="2" t="s">
        <v>1667</v>
      </c>
      <c r="CU187" s="2" t="s">
        <v>978</v>
      </c>
      <c r="CV187" s="2" t="s">
        <v>15</v>
      </c>
      <c r="CW187" s="2" t="s">
        <v>15</v>
      </c>
      <c r="CX187" s="2" t="s">
        <v>15</v>
      </c>
      <c r="CY187" s="2" t="s">
        <v>15</v>
      </c>
      <c r="CZ187" s="2">
        <v>2</v>
      </c>
      <c r="DA187" s="2" t="s">
        <v>5327</v>
      </c>
      <c r="DB187" s="2" t="s">
        <v>17</v>
      </c>
      <c r="DC187" s="4">
        <v>0.1</v>
      </c>
      <c r="DD187" s="2" t="s">
        <v>17</v>
      </c>
      <c r="DE187" s="2" t="s">
        <v>9</v>
      </c>
      <c r="DF187" s="2" t="s">
        <v>17</v>
      </c>
      <c r="DG187" s="2" t="s">
        <v>17</v>
      </c>
      <c r="DH187" s="2" t="s">
        <v>17</v>
      </c>
      <c r="DI187" s="2" t="s">
        <v>17</v>
      </c>
      <c r="DJ187" s="2" t="s">
        <v>17</v>
      </c>
      <c r="DK187" s="2" t="s">
        <v>17</v>
      </c>
      <c r="DL187" s="2" t="s">
        <v>17</v>
      </c>
      <c r="DM187" s="2" t="s">
        <v>17</v>
      </c>
      <c r="DN187" s="18" t="s">
        <v>3276</v>
      </c>
      <c r="DO187" s="2">
        <v>5</v>
      </c>
      <c r="DP187" s="5">
        <v>50000</v>
      </c>
      <c r="DQ187" s="5">
        <v>460000</v>
      </c>
      <c r="DR187" s="2">
        <v>0</v>
      </c>
      <c r="DS187" s="2">
        <v>7</v>
      </c>
      <c r="DT187" s="2">
        <v>0</v>
      </c>
      <c r="DU187" s="2">
        <v>6</v>
      </c>
      <c r="DV187" s="2">
        <v>0</v>
      </c>
      <c r="DW187" s="2">
        <v>0</v>
      </c>
      <c r="DX187" s="2">
        <v>1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2">
        <v>13</v>
      </c>
      <c r="EE187" s="2">
        <v>1</v>
      </c>
      <c r="EF187" s="2">
        <v>0</v>
      </c>
      <c r="EG187" s="2">
        <v>2</v>
      </c>
      <c r="EH187" s="2">
        <v>0</v>
      </c>
      <c r="EI187" s="2">
        <v>15</v>
      </c>
      <c r="EJ187" s="2">
        <v>11</v>
      </c>
      <c r="EK187" s="2">
        <v>0</v>
      </c>
      <c r="EL187" s="2" t="s">
        <v>17</v>
      </c>
      <c r="EM187" s="2" t="s">
        <v>17</v>
      </c>
      <c r="EN187" s="2" t="s">
        <v>17</v>
      </c>
      <c r="EO187" s="2" t="s">
        <v>17</v>
      </c>
      <c r="EP187" s="2" t="s">
        <v>17</v>
      </c>
      <c r="EQ187" s="2" t="s">
        <v>17</v>
      </c>
      <c r="ER187" s="2" t="s">
        <v>17</v>
      </c>
      <c r="ES187" s="2" t="s">
        <v>17</v>
      </c>
      <c r="ET187" s="2" t="s">
        <v>5329</v>
      </c>
      <c r="EU187" s="2"/>
      <c r="EV187" s="2"/>
      <c r="EW187" s="2" t="s">
        <v>9</v>
      </c>
      <c r="EX187" s="2" t="s">
        <v>1125</v>
      </c>
      <c r="EY187" s="2" t="s">
        <v>5329</v>
      </c>
      <c r="EZ187" s="2" t="s">
        <v>5178</v>
      </c>
      <c r="FA187" s="2" t="s">
        <v>1968</v>
      </c>
      <c r="FB187" s="2">
        <v>110</v>
      </c>
      <c r="FC187" s="2" t="s">
        <v>795</v>
      </c>
      <c r="FD187" s="2">
        <v>2023</v>
      </c>
      <c r="FE187" s="2" t="s">
        <v>26</v>
      </c>
      <c r="FF187" s="2" t="s">
        <v>4210</v>
      </c>
      <c r="FG187" s="2" t="s">
        <v>656</v>
      </c>
      <c r="FH187" s="2"/>
      <c r="FI187" s="2" t="s">
        <v>3360</v>
      </c>
      <c r="FJ187" s="2" t="s">
        <v>3361</v>
      </c>
      <c r="FK187" s="2">
        <v>1</v>
      </c>
      <c r="FL187" s="2" t="s">
        <v>4340</v>
      </c>
      <c r="FM187" s="2" t="s">
        <v>4341</v>
      </c>
      <c r="FN187" s="2" t="s">
        <v>5330</v>
      </c>
      <c r="FO187" s="2" t="s">
        <v>63</v>
      </c>
      <c r="FP187" s="2" t="s">
        <v>9</v>
      </c>
      <c r="FQ187" s="2" t="s">
        <v>17</v>
      </c>
      <c r="FR187" s="2" t="s">
        <v>17</v>
      </c>
      <c r="FS187" s="2" t="s">
        <v>9</v>
      </c>
      <c r="FT187" s="2">
        <v>0</v>
      </c>
      <c r="FU187" s="2">
        <v>0</v>
      </c>
      <c r="FV187" s="4">
        <v>0</v>
      </c>
      <c r="FW187" s="4">
        <v>0</v>
      </c>
      <c r="FX187" s="2" t="s">
        <v>65</v>
      </c>
      <c r="FY187" s="2" t="s">
        <v>66</v>
      </c>
      <c r="FZ187" s="2" t="s">
        <v>17</v>
      </c>
      <c r="GA187" s="2"/>
      <c r="GB187" s="2"/>
      <c r="GC187" s="2"/>
      <c r="GD187" s="2" t="s">
        <v>67</v>
      </c>
      <c r="GE187" s="2" t="s">
        <v>68</v>
      </c>
      <c r="GF187" s="2">
        <v>96</v>
      </c>
      <c r="GG187" s="2">
        <v>96</v>
      </c>
      <c r="GH187" s="2"/>
      <c r="GI187" s="2"/>
      <c r="GJ187" s="2"/>
      <c r="GK187" s="2"/>
      <c r="GL187" s="2"/>
      <c r="GM187" s="2"/>
      <c r="GN187" s="2"/>
      <c r="GO187" s="2"/>
      <c r="GP187" s="2"/>
      <c r="GQ187" s="2">
        <v>96</v>
      </c>
      <c r="GR187" s="2" t="s">
        <v>968</v>
      </c>
      <c r="GS187" s="2" t="s">
        <v>70</v>
      </c>
      <c r="GT187" s="2">
        <v>1</v>
      </c>
      <c r="GU187" s="2" t="s">
        <v>5331</v>
      </c>
      <c r="GV187" s="2" t="s">
        <v>1362</v>
      </c>
      <c r="GW187" s="2" t="s">
        <v>17</v>
      </c>
      <c r="GX187" s="2">
        <v>29.231228000000002</v>
      </c>
      <c r="GY187" s="2">
        <v>-81.059016999999997</v>
      </c>
      <c r="GZ187" s="2"/>
      <c r="HA187" s="2" t="s">
        <v>17</v>
      </c>
      <c r="HB187" s="2">
        <v>0</v>
      </c>
      <c r="HC187" s="2" t="s">
        <v>17</v>
      </c>
      <c r="HD187" s="2" t="s">
        <v>17</v>
      </c>
      <c r="HE187" s="2">
        <v>0</v>
      </c>
      <c r="HF187" s="2">
        <v>29.231044000000001</v>
      </c>
      <c r="HG187" s="2">
        <v>-81.057708000000005</v>
      </c>
      <c r="HH187" s="2">
        <v>0.08</v>
      </c>
      <c r="HI187" s="2">
        <v>4</v>
      </c>
      <c r="HJ187" s="2">
        <v>29.231300000000001</v>
      </c>
      <c r="HK187" s="2">
        <v>-81.056942000000006</v>
      </c>
      <c r="HL187" s="2">
        <v>0.13</v>
      </c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 t="s">
        <v>73</v>
      </c>
      <c r="HY187" s="2" t="s">
        <v>167</v>
      </c>
      <c r="HZ187" s="2" t="s">
        <v>5332</v>
      </c>
      <c r="IA187" s="2">
        <v>0.48</v>
      </c>
      <c r="IB187" s="2">
        <v>3.5</v>
      </c>
      <c r="IC187" s="2"/>
      <c r="ID187" s="2"/>
      <c r="IE187" s="2"/>
      <c r="IF187" s="2"/>
      <c r="IG187" s="2" t="s">
        <v>1118</v>
      </c>
      <c r="IH187" s="2" t="s">
        <v>5333</v>
      </c>
      <c r="II187" s="2">
        <v>0.55000000000000004</v>
      </c>
      <c r="IJ187" s="2">
        <v>3</v>
      </c>
      <c r="IK187" s="2" t="s">
        <v>5334</v>
      </c>
      <c r="IL187" s="2" t="s">
        <v>5335</v>
      </c>
      <c r="IM187" s="2">
        <v>0.89</v>
      </c>
      <c r="IN187" s="2">
        <v>3</v>
      </c>
      <c r="IO187" s="2">
        <v>4</v>
      </c>
      <c r="IP187" s="2">
        <v>9.5</v>
      </c>
      <c r="IQ187" s="2">
        <v>0</v>
      </c>
      <c r="IR187" s="2">
        <v>13.5</v>
      </c>
      <c r="IS187" s="2" t="s">
        <v>17</v>
      </c>
      <c r="IT187" s="2" t="s">
        <v>17</v>
      </c>
      <c r="IU187" s="2" t="s">
        <v>17</v>
      </c>
      <c r="IV187" s="2" t="s">
        <v>80</v>
      </c>
      <c r="IW187" s="2" t="s">
        <v>9</v>
      </c>
      <c r="IX187" s="2" t="s">
        <v>9</v>
      </c>
      <c r="IY187" s="2">
        <v>13.5</v>
      </c>
      <c r="IZ187" s="2">
        <v>96</v>
      </c>
      <c r="JA187" s="2"/>
      <c r="JB187" s="2"/>
      <c r="JC187" s="2"/>
      <c r="JD187" s="2"/>
      <c r="JE187" s="7">
        <v>0.1</v>
      </c>
      <c r="JF187" s="2"/>
      <c r="JG187" s="7">
        <v>0.9</v>
      </c>
      <c r="JH187" s="7">
        <v>0</v>
      </c>
      <c r="JI187" s="2">
        <v>96</v>
      </c>
      <c r="JJ187" s="7">
        <v>1</v>
      </c>
      <c r="JK187" s="2">
        <v>96</v>
      </c>
      <c r="JL187" s="7">
        <v>1</v>
      </c>
      <c r="JM187" s="2"/>
      <c r="JN187" s="2"/>
      <c r="JO187" s="2"/>
      <c r="JP187" s="2"/>
      <c r="JQ187" s="2"/>
      <c r="JR187" s="2">
        <v>0</v>
      </c>
      <c r="JS187" s="2">
        <v>0</v>
      </c>
      <c r="JT187" s="2"/>
      <c r="JU187" s="2"/>
      <c r="JV187" s="2">
        <v>0</v>
      </c>
      <c r="JW187" s="4">
        <v>0</v>
      </c>
      <c r="JX187" s="2">
        <v>0</v>
      </c>
      <c r="JY187" s="4">
        <v>0</v>
      </c>
      <c r="JZ187" s="2">
        <v>96</v>
      </c>
      <c r="KA187" s="2"/>
      <c r="KB187" s="2"/>
      <c r="KC187" s="2"/>
      <c r="KD187" s="2"/>
      <c r="KE187" s="2"/>
      <c r="KF187" s="2"/>
      <c r="KG187" s="2"/>
      <c r="KH187" s="2">
        <v>96</v>
      </c>
      <c r="KI187" s="2"/>
      <c r="KJ187" s="2"/>
      <c r="KK187" s="2"/>
      <c r="KL187" s="2"/>
      <c r="KM187" s="2"/>
      <c r="KN187" s="2"/>
      <c r="KO187" s="2"/>
      <c r="KP187" s="2"/>
      <c r="KQ187" s="2" t="s">
        <v>83</v>
      </c>
      <c r="KR187" s="2"/>
      <c r="KS187" s="2" t="s">
        <v>73</v>
      </c>
      <c r="KT187" s="2">
        <v>1</v>
      </c>
      <c r="KU187" s="2" t="s">
        <v>84</v>
      </c>
      <c r="KV187" s="2" t="s">
        <v>85</v>
      </c>
      <c r="KW187" s="2" t="s">
        <v>86</v>
      </c>
      <c r="KX187" s="2" t="s">
        <v>17</v>
      </c>
      <c r="KY187" s="2" t="s">
        <v>17</v>
      </c>
      <c r="KZ187" s="2" t="s">
        <v>17</v>
      </c>
      <c r="LA187" s="2" t="s">
        <v>17</v>
      </c>
      <c r="LB187" s="2" t="s">
        <v>17</v>
      </c>
      <c r="LC187" s="2" t="s">
        <v>17</v>
      </c>
      <c r="LD187" s="2" t="s">
        <v>17</v>
      </c>
      <c r="LE187" s="2" t="s">
        <v>17</v>
      </c>
      <c r="LF187" s="2" t="s">
        <v>17</v>
      </c>
      <c r="LG187" s="2" t="s">
        <v>17</v>
      </c>
      <c r="LH187" s="2" t="s">
        <v>17</v>
      </c>
      <c r="LI187" s="2" t="s">
        <v>17</v>
      </c>
      <c r="LJ187" s="2" t="s">
        <v>87</v>
      </c>
      <c r="LK187" s="2" t="s">
        <v>17</v>
      </c>
      <c r="LL187" s="2" t="s">
        <v>17</v>
      </c>
      <c r="LM187" s="2">
        <v>0</v>
      </c>
      <c r="LN187" s="2" t="s">
        <v>17</v>
      </c>
      <c r="LO187" s="2" t="s">
        <v>17</v>
      </c>
      <c r="LP187" s="2" t="s">
        <v>17</v>
      </c>
      <c r="LQ187" s="2" t="s">
        <v>17</v>
      </c>
      <c r="LR187" s="2" t="s">
        <v>17</v>
      </c>
      <c r="LS187" s="2" t="s">
        <v>17</v>
      </c>
      <c r="LT187" s="2" t="s">
        <v>9</v>
      </c>
      <c r="LU187" s="2" t="s">
        <v>17</v>
      </c>
      <c r="LV187" s="2" t="s">
        <v>9</v>
      </c>
      <c r="LW187" s="2" t="s">
        <v>9</v>
      </c>
      <c r="LX187" s="2" t="s">
        <v>17</v>
      </c>
      <c r="LY187" s="5">
        <v>10000000</v>
      </c>
      <c r="LZ187" s="5">
        <v>0</v>
      </c>
      <c r="MA187" s="5">
        <v>10000000</v>
      </c>
      <c r="MB187" s="5">
        <v>10000000</v>
      </c>
      <c r="MC187" s="5">
        <v>10000000</v>
      </c>
      <c r="MD187" s="5">
        <v>524000</v>
      </c>
      <c r="ME187" s="5">
        <v>524000</v>
      </c>
      <c r="MF187" s="5">
        <v>524000</v>
      </c>
      <c r="MG187" s="5">
        <v>10524000</v>
      </c>
      <c r="MH187" s="2">
        <v>0</v>
      </c>
      <c r="MI187" s="5">
        <v>0</v>
      </c>
      <c r="MJ187" s="5">
        <v>0</v>
      </c>
      <c r="MK187" s="2">
        <v>0</v>
      </c>
      <c r="ML187" s="2">
        <v>0</v>
      </c>
      <c r="MM187" s="2">
        <v>0</v>
      </c>
      <c r="MN187" s="5">
        <v>2950000</v>
      </c>
      <c r="MO187" s="5">
        <v>0</v>
      </c>
      <c r="MP187" s="5">
        <v>4600000</v>
      </c>
      <c r="MQ187" s="5">
        <v>0</v>
      </c>
      <c r="MR187" s="5">
        <v>0</v>
      </c>
      <c r="MS187" s="5">
        <v>0</v>
      </c>
      <c r="MT187" s="5">
        <v>0</v>
      </c>
      <c r="MU187" s="5">
        <v>2500000</v>
      </c>
      <c r="MV187" s="5">
        <v>0</v>
      </c>
      <c r="MW187" s="5">
        <v>0</v>
      </c>
      <c r="MX187" s="5">
        <v>0</v>
      </c>
      <c r="MY187" s="5">
        <v>2040000</v>
      </c>
      <c r="MZ187" s="5">
        <v>0</v>
      </c>
      <c r="NA187" s="5">
        <v>901282</v>
      </c>
      <c r="NB187" s="2" t="s">
        <v>9</v>
      </c>
      <c r="NC187" s="2"/>
      <c r="ND187" s="2"/>
      <c r="NE187" s="2"/>
      <c r="NF187" s="2"/>
      <c r="NG187" s="2"/>
      <c r="NH187" s="2"/>
      <c r="NI187" s="61">
        <v>0</v>
      </c>
      <c r="NJ187" s="61"/>
      <c r="NK187" s="61"/>
      <c r="NL187" s="61"/>
      <c r="NM187" s="2" t="s">
        <v>17</v>
      </c>
      <c r="NN187" s="2"/>
      <c r="NO187" s="2" t="s">
        <v>17</v>
      </c>
      <c r="NP187" s="2"/>
      <c r="NQ187" s="2"/>
      <c r="NR187" s="2" t="s">
        <v>17</v>
      </c>
      <c r="NS187" s="2"/>
      <c r="NT187" s="2" t="s">
        <v>17</v>
      </c>
      <c r="NU187" s="2"/>
      <c r="NV187" s="2"/>
      <c r="NW187" s="2"/>
      <c r="NX187" s="2" t="s">
        <v>118</v>
      </c>
      <c r="NY187" s="2" t="s">
        <v>118</v>
      </c>
      <c r="NZ187" s="2" t="s">
        <v>118</v>
      </c>
      <c r="OA187" s="2" t="s">
        <v>17</v>
      </c>
      <c r="OB187" s="2" t="s">
        <v>5089</v>
      </c>
      <c r="OC187" s="5">
        <v>15000000</v>
      </c>
      <c r="OD187" s="2" t="s">
        <v>17</v>
      </c>
      <c r="OE187" s="2" t="s">
        <v>17</v>
      </c>
      <c r="OF187" s="2" t="s">
        <v>85</v>
      </c>
      <c r="OG187" s="6">
        <v>6500000</v>
      </c>
      <c r="OH187" s="6">
        <v>0</v>
      </c>
      <c r="OI187" s="2" t="s">
        <v>93</v>
      </c>
      <c r="OJ187" s="2" t="s">
        <v>93</v>
      </c>
      <c r="OK187" s="6">
        <v>0</v>
      </c>
      <c r="OL187" s="6">
        <v>0</v>
      </c>
      <c r="OM187" s="6">
        <v>0</v>
      </c>
      <c r="ON187" s="6">
        <v>0</v>
      </c>
      <c r="OO187" s="6">
        <v>0</v>
      </c>
      <c r="OP187" s="6">
        <v>0</v>
      </c>
      <c r="OQ187" s="4">
        <v>0</v>
      </c>
      <c r="OR187" s="6">
        <v>0</v>
      </c>
      <c r="OS187" s="4">
        <v>0</v>
      </c>
      <c r="OT187" s="2" t="s">
        <v>17</v>
      </c>
      <c r="OU187" s="2" t="s">
        <v>17</v>
      </c>
      <c r="OV187" s="2"/>
      <c r="OW187" s="2" t="s">
        <v>17</v>
      </c>
      <c r="OX187" s="5">
        <v>8004000</v>
      </c>
      <c r="OY187" s="6">
        <v>83375</v>
      </c>
      <c r="OZ187" s="2"/>
      <c r="PA187" s="2"/>
      <c r="PB187" s="2"/>
      <c r="PC187" s="2"/>
      <c r="PD187" s="2"/>
      <c r="PE187" s="2"/>
      <c r="PF187" s="8">
        <v>12881053</v>
      </c>
      <c r="PG187" s="2"/>
      <c r="PH187" s="8">
        <v>12881053</v>
      </c>
      <c r="PI187" s="2"/>
      <c r="PJ187" s="2"/>
      <c r="PK187" s="8">
        <v>205000</v>
      </c>
      <c r="PL187" s="8">
        <v>205000</v>
      </c>
      <c r="PM187" s="2"/>
      <c r="PN187" s="2"/>
      <c r="PO187" s="2"/>
      <c r="PP187" s="2"/>
      <c r="PQ187" s="2"/>
      <c r="PR187" s="8">
        <v>13086053</v>
      </c>
      <c r="PS187" s="2"/>
      <c r="PT187" s="8">
        <v>13086053</v>
      </c>
      <c r="PU187" s="8">
        <v>1803347</v>
      </c>
      <c r="PV187" s="8">
        <v>1803347</v>
      </c>
      <c r="PW187" s="6">
        <v>1832047</v>
      </c>
      <c r="PX187" s="8">
        <v>14889400</v>
      </c>
      <c r="PY187" s="2"/>
      <c r="PZ187" s="8">
        <v>14889400</v>
      </c>
      <c r="QA187" s="8">
        <v>734220</v>
      </c>
      <c r="QB187" s="8">
        <v>734220</v>
      </c>
      <c r="QC187" s="6">
        <v>744470</v>
      </c>
      <c r="QD187" s="8">
        <v>30000</v>
      </c>
      <c r="QE187" s="8">
        <v>10000</v>
      </c>
      <c r="QF187" s="8">
        <v>40000</v>
      </c>
      <c r="QG187" s="8">
        <v>9500</v>
      </c>
      <c r="QH187" s="8">
        <v>9500</v>
      </c>
      <c r="QI187" s="8">
        <v>220000</v>
      </c>
      <c r="QJ187" s="8">
        <v>220000</v>
      </c>
      <c r="QK187" s="8">
        <v>50000</v>
      </c>
      <c r="QL187" s="8">
        <v>50000</v>
      </c>
      <c r="QM187" s="8">
        <v>123521</v>
      </c>
      <c r="QN187" s="2"/>
      <c r="QO187" s="8">
        <v>123521</v>
      </c>
      <c r="QP187" s="8">
        <v>200000</v>
      </c>
      <c r="QQ187" s="8">
        <v>200000</v>
      </c>
      <c r="QR187" s="2"/>
      <c r="QS187" s="2"/>
      <c r="QT187" s="8">
        <v>140000</v>
      </c>
      <c r="QU187" s="2"/>
      <c r="QV187" s="8">
        <v>140000</v>
      </c>
      <c r="QW187" s="8">
        <v>15000</v>
      </c>
      <c r="QX187" s="8">
        <v>15000</v>
      </c>
      <c r="QY187" s="8">
        <v>186355</v>
      </c>
      <c r="QZ187" s="8">
        <v>186355</v>
      </c>
      <c r="RA187" s="8">
        <v>3000</v>
      </c>
      <c r="RB187" s="8">
        <v>3000</v>
      </c>
      <c r="RC187" s="8">
        <v>3000</v>
      </c>
      <c r="RD187" s="8">
        <v>3000</v>
      </c>
      <c r="RE187" s="8">
        <v>29735</v>
      </c>
      <c r="RF187" s="8">
        <v>29735</v>
      </c>
      <c r="RG187" s="8">
        <v>27100</v>
      </c>
      <c r="RH187" s="8">
        <v>27100</v>
      </c>
      <c r="RI187" s="8">
        <v>600000</v>
      </c>
      <c r="RJ187" s="8">
        <v>600000</v>
      </c>
      <c r="RK187" s="8">
        <v>52467</v>
      </c>
      <c r="RL187" s="2"/>
      <c r="RM187" s="8">
        <v>52467</v>
      </c>
      <c r="RN187" s="2"/>
      <c r="RO187" s="8">
        <v>57600</v>
      </c>
      <c r="RP187" s="8">
        <v>57600</v>
      </c>
      <c r="RQ187" s="8">
        <v>214800</v>
      </c>
      <c r="RR187" s="8">
        <v>53700</v>
      </c>
      <c r="RS187" s="8">
        <v>268500</v>
      </c>
      <c r="RT187" s="2"/>
      <c r="RU187" s="8">
        <v>4700</v>
      </c>
      <c r="RV187" s="8">
        <v>4700</v>
      </c>
      <c r="RW187" s="8">
        <v>48000</v>
      </c>
      <c r="RX187" s="8">
        <v>48000</v>
      </c>
      <c r="RY187" s="2"/>
      <c r="RZ187" s="2"/>
      <c r="SA187" s="2"/>
      <c r="SB187" s="8">
        <v>10165</v>
      </c>
      <c r="SC187" s="8">
        <v>10165</v>
      </c>
      <c r="SD187" s="8">
        <v>13500</v>
      </c>
      <c r="SE187" s="8">
        <v>6500</v>
      </c>
      <c r="SF187" s="8">
        <v>20000</v>
      </c>
      <c r="SG187" s="2"/>
      <c r="SH187" s="8">
        <v>80000</v>
      </c>
      <c r="SI187" s="8">
        <v>20000</v>
      </c>
      <c r="SJ187" s="8">
        <v>100000</v>
      </c>
      <c r="SK187" s="8">
        <v>250000</v>
      </c>
      <c r="SL187" s="8">
        <v>250000</v>
      </c>
      <c r="SM187" s="8">
        <v>293211</v>
      </c>
      <c r="SN187" s="2"/>
      <c r="SO187" s="8">
        <v>293211</v>
      </c>
      <c r="SP187" s="8">
        <v>2329264</v>
      </c>
      <c r="SQ187" s="8">
        <v>422590</v>
      </c>
      <c r="SR187" s="8">
        <v>2751854</v>
      </c>
      <c r="SS187" s="8">
        <v>137000</v>
      </c>
      <c r="ST187" s="2"/>
      <c r="SU187" s="8">
        <v>137000</v>
      </c>
      <c r="SV187" s="6">
        <v>137592.70000000001</v>
      </c>
      <c r="SW187" s="8">
        <v>150000</v>
      </c>
      <c r="SX187" s="8">
        <v>150000</v>
      </c>
      <c r="SY187" s="2"/>
      <c r="SZ187" s="8">
        <v>759184</v>
      </c>
      <c r="TA187" s="8">
        <v>458170</v>
      </c>
      <c r="TB187" s="8">
        <v>1217354</v>
      </c>
      <c r="TC187" s="8">
        <v>40000</v>
      </c>
      <c r="TD187" s="2"/>
      <c r="TE187" s="8">
        <v>40000</v>
      </c>
      <c r="TF187" s="8">
        <v>55000</v>
      </c>
      <c r="TG187" s="8">
        <v>55000</v>
      </c>
      <c r="TH187" s="2"/>
      <c r="TI187" s="8">
        <v>75000</v>
      </c>
      <c r="TJ187" s="8">
        <v>75000</v>
      </c>
      <c r="TK187" s="2"/>
      <c r="TL187" s="8">
        <v>78439</v>
      </c>
      <c r="TM187" s="8">
        <v>435341</v>
      </c>
      <c r="TN187" s="8">
        <v>513780</v>
      </c>
      <c r="TO187" s="8">
        <v>1027623</v>
      </c>
      <c r="TP187" s="8">
        <v>1023511</v>
      </c>
      <c r="TQ187" s="8">
        <v>2051134</v>
      </c>
      <c r="TR187" s="8">
        <v>19117507</v>
      </c>
      <c r="TS187" s="8">
        <v>1446101</v>
      </c>
      <c r="TT187" s="8">
        <v>20563608</v>
      </c>
      <c r="TU187" s="8">
        <v>3653277</v>
      </c>
      <c r="TV187" s="8">
        <v>3653277</v>
      </c>
      <c r="TW187" s="6">
        <v>3701449</v>
      </c>
      <c r="TX187" s="8">
        <v>3653277</v>
      </c>
      <c r="TY187" s="8">
        <v>3653277</v>
      </c>
      <c r="TZ187" s="6">
        <v>3701449</v>
      </c>
      <c r="UA187" s="8">
        <v>2850000</v>
      </c>
      <c r="UB187" s="8">
        <v>2850000</v>
      </c>
      <c r="UC187" s="8">
        <v>22770784</v>
      </c>
      <c r="UD187" s="8">
        <v>4296101</v>
      </c>
      <c r="UE187" s="8">
        <v>27066885</v>
      </c>
      <c r="UF187" s="8">
        <v>15000000</v>
      </c>
      <c r="UG187" s="2" t="s">
        <v>4295</v>
      </c>
      <c r="UH187" s="2"/>
      <c r="UI187" s="2"/>
      <c r="UJ187" s="8">
        <v>10524000</v>
      </c>
      <c r="UK187" s="2"/>
      <c r="UL187" s="2" t="s">
        <v>96</v>
      </c>
      <c r="UM187" s="8">
        <v>2072741</v>
      </c>
      <c r="UN187" s="8">
        <v>3653277</v>
      </c>
      <c r="UO187" s="8">
        <v>31250018</v>
      </c>
      <c r="UP187" s="8">
        <v>4183133</v>
      </c>
      <c r="UQ187" s="8">
        <v>6500000</v>
      </c>
      <c r="UR187" s="2" t="s">
        <v>4295</v>
      </c>
      <c r="US187" s="2"/>
      <c r="UT187" s="2"/>
      <c r="UU187" s="2"/>
      <c r="UV187" s="2"/>
      <c r="UW187" s="8">
        <v>10524000</v>
      </c>
      <c r="UX187" s="2"/>
      <c r="UY187" s="2" t="s">
        <v>96</v>
      </c>
      <c r="UZ187" s="8">
        <v>8290965</v>
      </c>
      <c r="VA187" s="8">
        <v>3653277</v>
      </c>
      <c r="VB187" s="8">
        <v>28968242</v>
      </c>
      <c r="VC187" s="6">
        <v>17024000</v>
      </c>
      <c r="VD187" s="8">
        <v>1901357</v>
      </c>
      <c r="VE187" s="5">
        <v>370000</v>
      </c>
      <c r="VF187" s="5">
        <v>377500</v>
      </c>
      <c r="VG187" s="6">
        <v>252259.22</v>
      </c>
      <c r="VH187" s="2" t="s">
        <v>9</v>
      </c>
      <c r="VI187" s="2" t="s">
        <v>1125</v>
      </c>
      <c r="VJ187" s="2" t="s">
        <v>98</v>
      </c>
      <c r="VK187" s="2" t="s">
        <v>5336</v>
      </c>
      <c r="VL187" s="23">
        <f t="shared" si="88"/>
        <v>96</v>
      </c>
      <c r="VM187" s="17">
        <f t="shared" si="89"/>
        <v>1</v>
      </c>
      <c r="VN187" s="17"/>
      <c r="VO187" s="17"/>
      <c r="VP187" s="57">
        <v>1</v>
      </c>
      <c r="VQ187" s="17">
        <f t="shared" si="90"/>
        <v>1</v>
      </c>
      <c r="VR187" s="57">
        <f t="shared" si="91"/>
        <v>1</v>
      </c>
      <c r="VS187" s="14">
        <f t="shared" si="92"/>
        <v>1</v>
      </c>
      <c r="VT187" s="12">
        <f t="shared" si="93"/>
        <v>0.85439999999999994</v>
      </c>
      <c r="VU187" s="29">
        <f t="shared" si="94"/>
        <v>8544000</v>
      </c>
      <c r="VV187" s="30">
        <f t="shared" si="95"/>
        <v>89000</v>
      </c>
      <c r="VW187" s="54" t="str">
        <f>IF(RANK(VV187,VV186:VV188,1)&lt;=ROUNDUP(80%*3,0),"A","B")</f>
        <v>A</v>
      </c>
      <c r="VY187" s="58">
        <f>IF(RANK(VV187,VV186:VV188,1)&lt;=ROUNDUP(10%*3,0),1,IF(RANK(VV187,VV186:VV188,1)&lt;=ROUNDUP(30%*3,0),2,IF(RANK(VV187,VV186:VV188,1)&lt;=ROUNDUP(50%*3,0),3,IF(RANK(VV187,VV186:VV188,1)&lt;=ROUNDUP(70%*3,0),4,5))))</f>
        <v>3</v>
      </c>
      <c r="WA187" s="12">
        <f t="shared" si="96"/>
        <v>1</v>
      </c>
      <c r="WB187" s="12">
        <f t="shared" si="97"/>
        <v>0</v>
      </c>
      <c r="WC187" s="12">
        <f t="shared" si="98"/>
        <v>0</v>
      </c>
      <c r="WD187" s="12">
        <f t="shared" si="99"/>
        <v>0</v>
      </c>
      <c r="WE187" s="12">
        <f t="shared" si="100"/>
        <v>1</v>
      </c>
      <c r="WF187" s="12">
        <f t="shared" si="101"/>
        <v>1</v>
      </c>
      <c r="WG187" s="12">
        <f t="shared" si="102"/>
        <v>0</v>
      </c>
      <c r="WH187" s="12">
        <f t="shared" si="103"/>
        <v>0</v>
      </c>
      <c r="WI187" s="31">
        <f t="shared" si="104"/>
        <v>3</v>
      </c>
    </row>
    <row r="188" spans="1:607" x14ac:dyDescent="0.25">
      <c r="A188" s="2">
        <v>9053</v>
      </c>
      <c r="B188" s="2" t="s">
        <v>5337</v>
      </c>
      <c r="C188" s="2" t="s">
        <v>5063</v>
      </c>
      <c r="D188" s="2">
        <v>10</v>
      </c>
      <c r="E188" s="2">
        <v>30.76</v>
      </c>
      <c r="F188" s="2">
        <v>0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 t="s">
        <v>9</v>
      </c>
      <c r="BV188" s="6">
        <v>87628.87</v>
      </c>
      <c r="BW188" s="2" t="s">
        <v>18</v>
      </c>
      <c r="BX188" s="3">
        <v>45036</v>
      </c>
      <c r="BY188" s="2" t="s">
        <v>9</v>
      </c>
      <c r="BZ188" s="2">
        <v>1</v>
      </c>
      <c r="CA188" s="2" t="s">
        <v>9</v>
      </c>
      <c r="CB188" s="2">
        <v>1</v>
      </c>
      <c r="CC188" s="2" t="s">
        <v>9</v>
      </c>
      <c r="CD188" s="2">
        <v>0</v>
      </c>
      <c r="CE188" s="2" t="s">
        <v>5338</v>
      </c>
      <c r="CF188" s="2">
        <v>1</v>
      </c>
      <c r="CG188" s="2" t="s">
        <v>10</v>
      </c>
      <c r="CH188" s="2">
        <v>0</v>
      </c>
      <c r="CI188" s="2" t="s">
        <v>10</v>
      </c>
      <c r="CJ188" s="2">
        <v>0</v>
      </c>
      <c r="CK188" s="2" t="s">
        <v>11</v>
      </c>
      <c r="CL188" s="2">
        <v>0</v>
      </c>
      <c r="CM188" s="2" t="s">
        <v>9</v>
      </c>
      <c r="CN188" s="2">
        <v>2</v>
      </c>
      <c r="CO188" s="2" t="s">
        <v>9</v>
      </c>
      <c r="CP188" s="2">
        <v>2</v>
      </c>
      <c r="CQ188" s="2" t="s">
        <v>9</v>
      </c>
      <c r="CR188" s="2">
        <v>2</v>
      </c>
      <c r="CS188" s="2" t="s">
        <v>12</v>
      </c>
      <c r="CT188" s="2" t="s">
        <v>3890</v>
      </c>
      <c r="CU188" s="2" t="s">
        <v>2843</v>
      </c>
      <c r="CV188" s="2" t="s">
        <v>124</v>
      </c>
      <c r="CW188" s="2" t="s">
        <v>15</v>
      </c>
      <c r="CX188" s="2" t="s">
        <v>15</v>
      </c>
      <c r="CY188" s="2" t="s">
        <v>15</v>
      </c>
      <c r="CZ188" s="2">
        <v>3</v>
      </c>
      <c r="DA188" s="2" t="s">
        <v>1129</v>
      </c>
      <c r="DB188" s="2" t="s">
        <v>17</v>
      </c>
      <c r="DC188" s="4">
        <v>0.15464</v>
      </c>
      <c r="DD188" s="2" t="s">
        <v>17</v>
      </c>
      <c r="DE188" s="2" t="s">
        <v>9</v>
      </c>
      <c r="DF188" s="2" t="s">
        <v>17</v>
      </c>
      <c r="DG188" s="2" t="s">
        <v>17</v>
      </c>
      <c r="DH188" s="2" t="s">
        <v>17</v>
      </c>
      <c r="DI188" s="2" t="s">
        <v>17</v>
      </c>
      <c r="DJ188" s="2" t="s">
        <v>17</v>
      </c>
      <c r="DK188" s="2" t="s">
        <v>17</v>
      </c>
      <c r="DL188" s="2" t="s">
        <v>17</v>
      </c>
      <c r="DM188" s="2" t="s">
        <v>17</v>
      </c>
      <c r="DN188" s="18" t="s">
        <v>3276</v>
      </c>
      <c r="DO188" s="2">
        <v>5</v>
      </c>
      <c r="DP188" s="5">
        <v>75000</v>
      </c>
      <c r="DQ188" s="5">
        <v>610000</v>
      </c>
      <c r="DR188" s="2">
        <v>0</v>
      </c>
      <c r="DS188" s="2">
        <v>6</v>
      </c>
      <c r="DT188" s="2">
        <v>0</v>
      </c>
      <c r="DU188" s="2">
        <v>6</v>
      </c>
      <c r="DV188" s="2">
        <v>0</v>
      </c>
      <c r="DW188" s="2">
        <v>0</v>
      </c>
      <c r="DX188" s="2">
        <v>1</v>
      </c>
      <c r="DY188" s="2">
        <v>3</v>
      </c>
      <c r="DZ188" s="2">
        <v>1</v>
      </c>
      <c r="EA188" s="2">
        <v>0</v>
      </c>
      <c r="EB188" s="2">
        <v>0</v>
      </c>
      <c r="EC188" s="2">
        <v>0</v>
      </c>
      <c r="ED188" s="2">
        <v>13</v>
      </c>
      <c r="EE188" s="2">
        <v>1</v>
      </c>
      <c r="EF188" s="2">
        <v>0</v>
      </c>
      <c r="EG188" s="2">
        <v>3</v>
      </c>
      <c r="EH188" s="2">
        <v>0</v>
      </c>
      <c r="EI188" s="2">
        <v>15</v>
      </c>
      <c r="EJ188" s="2">
        <v>11</v>
      </c>
      <c r="EK188" s="2">
        <v>0</v>
      </c>
      <c r="EL188" s="2" t="s">
        <v>17</v>
      </c>
      <c r="EM188" s="2" t="s">
        <v>17</v>
      </c>
      <c r="EN188" s="2" t="s">
        <v>17</v>
      </c>
      <c r="EO188" s="2" t="s">
        <v>17</v>
      </c>
      <c r="EP188" s="2" t="s">
        <v>17</v>
      </c>
      <c r="EQ188" s="2" t="s">
        <v>17</v>
      </c>
      <c r="ER188" s="2" t="s">
        <v>17</v>
      </c>
      <c r="ES188" s="2" t="s">
        <v>17</v>
      </c>
      <c r="ET188" s="2" t="s">
        <v>1678</v>
      </c>
      <c r="EU188" s="2"/>
      <c r="EV188" s="2"/>
      <c r="EW188" s="2" t="s">
        <v>9</v>
      </c>
      <c r="EX188" s="2" t="s">
        <v>1680</v>
      </c>
      <c r="EY188" s="2" t="s">
        <v>1678</v>
      </c>
      <c r="EZ188" s="2" t="s">
        <v>1681</v>
      </c>
      <c r="FA188" s="2" t="s">
        <v>1682</v>
      </c>
      <c r="FB188" s="2">
        <v>114</v>
      </c>
      <c r="FC188" s="2" t="s">
        <v>4067</v>
      </c>
      <c r="FD188" s="2">
        <v>2018</v>
      </c>
      <c r="FE188" s="2" t="s">
        <v>26</v>
      </c>
      <c r="FF188" s="2" t="s">
        <v>4210</v>
      </c>
      <c r="FG188" s="2" t="s">
        <v>5066</v>
      </c>
      <c r="FH188" s="2" t="s">
        <v>665</v>
      </c>
      <c r="FI188" s="2" t="s">
        <v>1688</v>
      </c>
      <c r="FJ188" s="2" t="s">
        <v>1689</v>
      </c>
      <c r="FK188" s="2">
        <v>1</v>
      </c>
      <c r="FL188" s="2" t="s">
        <v>1690</v>
      </c>
      <c r="FM188" s="2" t="s">
        <v>1691</v>
      </c>
      <c r="FN188" s="2" t="s">
        <v>5339</v>
      </c>
      <c r="FO188" s="2" t="s">
        <v>63</v>
      </c>
      <c r="FP188" s="2" t="s">
        <v>9</v>
      </c>
      <c r="FQ188" s="2" t="s">
        <v>17</v>
      </c>
      <c r="FR188" s="2" t="s">
        <v>17</v>
      </c>
      <c r="FS188" s="2" t="s">
        <v>9</v>
      </c>
      <c r="FT188" s="2">
        <v>0</v>
      </c>
      <c r="FU188" s="2">
        <v>0</v>
      </c>
      <c r="FV188" s="4">
        <v>0</v>
      </c>
      <c r="FW188" s="4">
        <v>0</v>
      </c>
      <c r="FX188" s="2" t="s">
        <v>65</v>
      </c>
      <c r="FY188" s="2" t="s">
        <v>66</v>
      </c>
      <c r="FZ188" s="2" t="s">
        <v>17</v>
      </c>
      <c r="GA188" s="2"/>
      <c r="GB188" s="2"/>
      <c r="GC188" s="2"/>
      <c r="GD188" s="2" t="s">
        <v>67</v>
      </c>
      <c r="GE188" s="2" t="s">
        <v>108</v>
      </c>
      <c r="GF188" s="2"/>
      <c r="GG188" s="2"/>
      <c r="GH188" s="2"/>
      <c r="GI188" s="2"/>
      <c r="GJ188" s="2">
        <v>97</v>
      </c>
      <c r="GK188" s="2"/>
      <c r="GL188" s="2"/>
      <c r="GM188" s="2"/>
      <c r="GN188" s="2"/>
      <c r="GO188" s="2"/>
      <c r="GP188" s="2"/>
      <c r="GQ188" s="2">
        <v>97</v>
      </c>
      <c r="GR188" s="2" t="s">
        <v>2960</v>
      </c>
      <c r="GS188" s="2" t="s">
        <v>2686</v>
      </c>
      <c r="GT188" s="2">
        <v>2</v>
      </c>
      <c r="GU188" s="2" t="s">
        <v>5340</v>
      </c>
      <c r="GV188" s="2" t="s">
        <v>3036</v>
      </c>
      <c r="GW188" s="2" t="s">
        <v>17</v>
      </c>
      <c r="GX188" s="2">
        <v>27.985368999999999</v>
      </c>
      <c r="GY188" s="2">
        <v>-82.330382999999998</v>
      </c>
      <c r="GZ188" s="2"/>
      <c r="HA188" s="2" t="s">
        <v>17</v>
      </c>
      <c r="HB188" s="2">
        <v>0</v>
      </c>
      <c r="HC188" s="2" t="s">
        <v>17</v>
      </c>
      <c r="HD188" s="2"/>
      <c r="HE188" s="2">
        <v>0</v>
      </c>
      <c r="HF188" s="2">
        <v>27.981472</v>
      </c>
      <c r="HG188" s="2">
        <v>-82.332291999999995</v>
      </c>
      <c r="HH188" s="2">
        <v>0.28999999999999998</v>
      </c>
      <c r="HI188" s="2">
        <v>5.5</v>
      </c>
      <c r="HJ188" s="2">
        <v>27.981093999999999</v>
      </c>
      <c r="HK188" s="2">
        <v>-82.334056000000004</v>
      </c>
      <c r="HL188" s="2">
        <v>0.37</v>
      </c>
      <c r="HM188" s="2">
        <v>27.981152999999999</v>
      </c>
      <c r="HN188" s="2">
        <v>-82.336522000000002</v>
      </c>
      <c r="HO188" s="2">
        <v>0.48</v>
      </c>
      <c r="HP188" s="2"/>
      <c r="HQ188" s="2"/>
      <c r="HR188" s="2"/>
      <c r="HS188" s="2"/>
      <c r="HT188" s="2"/>
      <c r="HU188" s="2"/>
      <c r="HV188" s="2"/>
      <c r="HW188" s="2"/>
      <c r="HX188" s="2" t="s">
        <v>73</v>
      </c>
      <c r="HY188" s="2" t="s">
        <v>5341</v>
      </c>
      <c r="HZ188" s="2" t="s">
        <v>5342</v>
      </c>
      <c r="IA188" s="2">
        <v>0.71</v>
      </c>
      <c r="IB188" s="2">
        <v>3</v>
      </c>
      <c r="IC188" s="2"/>
      <c r="ID188" s="2"/>
      <c r="IE188" s="2"/>
      <c r="IF188" s="2"/>
      <c r="IG188" s="2" t="s">
        <v>5343</v>
      </c>
      <c r="IH188" s="2" t="s">
        <v>5344</v>
      </c>
      <c r="II188" s="2">
        <v>0.78</v>
      </c>
      <c r="IJ188" s="2">
        <v>2.5</v>
      </c>
      <c r="IK188" s="2" t="s">
        <v>5345</v>
      </c>
      <c r="IL188" s="2" t="s">
        <v>5346</v>
      </c>
      <c r="IM188" s="2">
        <v>1.68</v>
      </c>
      <c r="IN188" s="2">
        <v>1.5</v>
      </c>
      <c r="IO188" s="2">
        <v>5.5</v>
      </c>
      <c r="IP188" s="2">
        <v>7</v>
      </c>
      <c r="IQ188" s="2">
        <v>0</v>
      </c>
      <c r="IR188" s="2">
        <v>12.5</v>
      </c>
      <c r="IS188" s="2" t="s">
        <v>17</v>
      </c>
      <c r="IT188" s="2" t="s">
        <v>17</v>
      </c>
      <c r="IU188" s="2" t="s">
        <v>17</v>
      </c>
      <c r="IV188" s="2" t="s">
        <v>9</v>
      </c>
      <c r="IW188" s="2" t="s">
        <v>9</v>
      </c>
      <c r="IX188" s="2" t="s">
        <v>9</v>
      </c>
      <c r="IY188" s="2">
        <v>12.5</v>
      </c>
      <c r="IZ188" s="2">
        <v>97</v>
      </c>
      <c r="JA188" s="2"/>
      <c r="JB188" s="2"/>
      <c r="JC188" s="2"/>
      <c r="JD188" s="2"/>
      <c r="JE188" s="2"/>
      <c r="JF188" s="2"/>
      <c r="JG188" s="2"/>
      <c r="JH188" s="7">
        <v>0</v>
      </c>
      <c r="JI188" s="2">
        <v>0</v>
      </c>
      <c r="JJ188" s="7">
        <v>0</v>
      </c>
      <c r="JK188" s="2">
        <v>0</v>
      </c>
      <c r="JL188" s="7">
        <v>0</v>
      </c>
      <c r="JM188" s="2">
        <v>15</v>
      </c>
      <c r="JN188" s="2">
        <v>20</v>
      </c>
      <c r="JO188" s="2">
        <v>20</v>
      </c>
      <c r="JP188" s="2">
        <v>20</v>
      </c>
      <c r="JQ188" s="2">
        <v>22</v>
      </c>
      <c r="JR188" s="2">
        <v>0</v>
      </c>
      <c r="JS188" s="2">
        <v>0</v>
      </c>
      <c r="JT188" s="2"/>
      <c r="JU188" s="2"/>
      <c r="JV188" s="2">
        <v>97</v>
      </c>
      <c r="JW188" s="4">
        <v>1</v>
      </c>
      <c r="JX188" s="2">
        <v>97</v>
      </c>
      <c r="JY188" s="4">
        <v>0.59897</v>
      </c>
      <c r="JZ188" s="2">
        <v>0</v>
      </c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>
        <v>48</v>
      </c>
      <c r="KL188" s="2">
        <v>49</v>
      </c>
      <c r="KM188" s="2"/>
      <c r="KN188" s="2"/>
      <c r="KO188" s="2"/>
      <c r="KP188" s="2"/>
      <c r="KQ188" s="2" t="s">
        <v>83</v>
      </c>
      <c r="KR188" s="2" t="s">
        <v>73</v>
      </c>
      <c r="KS188" s="2"/>
      <c r="KT188" s="2">
        <v>1</v>
      </c>
      <c r="KU188" s="2" t="s">
        <v>84</v>
      </c>
      <c r="KV188" s="2" t="s">
        <v>85</v>
      </c>
      <c r="KW188" s="2" t="s">
        <v>530</v>
      </c>
      <c r="KX188" s="2" t="s">
        <v>17</v>
      </c>
      <c r="KY188" s="2" t="s">
        <v>17</v>
      </c>
      <c r="KZ188" s="2" t="s">
        <v>17</v>
      </c>
      <c r="LA188" s="2" t="s">
        <v>17</v>
      </c>
      <c r="LB188" s="2" t="s">
        <v>17</v>
      </c>
      <c r="LC188" s="2" t="s">
        <v>17</v>
      </c>
      <c r="LD188" s="2" t="s">
        <v>17</v>
      </c>
      <c r="LE188" s="2" t="s">
        <v>17</v>
      </c>
      <c r="LF188" s="2" t="s">
        <v>17</v>
      </c>
      <c r="LG188" s="2" t="s">
        <v>17</v>
      </c>
      <c r="LH188" s="2" t="s">
        <v>17</v>
      </c>
      <c r="LI188" s="2" t="s">
        <v>17</v>
      </c>
      <c r="LJ188" s="2" t="s">
        <v>87</v>
      </c>
      <c r="LK188" s="2" t="s">
        <v>17</v>
      </c>
      <c r="LL188" s="2" t="s">
        <v>17</v>
      </c>
      <c r="LM188" s="2">
        <v>0</v>
      </c>
      <c r="LN188" s="2" t="s">
        <v>17</v>
      </c>
      <c r="LO188" s="2" t="s">
        <v>17</v>
      </c>
      <c r="LP188" s="2" t="s">
        <v>9</v>
      </c>
      <c r="LQ188" s="2" t="s">
        <v>9</v>
      </c>
      <c r="LR188" s="2" t="s">
        <v>17</v>
      </c>
      <c r="LS188" s="2" t="s">
        <v>9</v>
      </c>
      <c r="LT188" s="2" t="s">
        <v>17</v>
      </c>
      <c r="LU188" s="2" t="s">
        <v>17</v>
      </c>
      <c r="LV188" s="2" t="s">
        <v>17</v>
      </c>
      <c r="LW188" s="2" t="s">
        <v>17</v>
      </c>
      <c r="LX188" s="2" t="s">
        <v>17</v>
      </c>
      <c r="LY188" s="5">
        <v>10000000</v>
      </c>
      <c r="LZ188" s="5">
        <v>0</v>
      </c>
      <c r="MA188" s="5">
        <v>10000000</v>
      </c>
      <c r="MB188" s="5">
        <v>10000000</v>
      </c>
      <c r="MC188" s="5">
        <v>10000000</v>
      </c>
      <c r="MD188" s="5">
        <v>992000</v>
      </c>
      <c r="ME188" s="5">
        <v>992000</v>
      </c>
      <c r="MF188" s="5">
        <v>992000</v>
      </c>
      <c r="MG188" s="5">
        <v>10992000</v>
      </c>
      <c r="MH188" s="2">
        <v>0</v>
      </c>
      <c r="MI188" s="5">
        <v>0</v>
      </c>
      <c r="MJ188" s="5">
        <v>0</v>
      </c>
      <c r="MK188" s="2">
        <v>0</v>
      </c>
      <c r="ML188" s="2">
        <v>0</v>
      </c>
      <c r="MM188" s="2">
        <v>0</v>
      </c>
      <c r="MN188" s="5">
        <v>2950000</v>
      </c>
      <c r="MO188" s="5">
        <v>0</v>
      </c>
      <c r="MP188" s="5">
        <v>4600000</v>
      </c>
      <c r="MQ188" s="5">
        <v>0</v>
      </c>
      <c r="MR188" s="5">
        <v>0</v>
      </c>
      <c r="MS188" s="5">
        <v>0</v>
      </c>
      <c r="MT188" s="5">
        <v>0</v>
      </c>
      <c r="MU188" s="5">
        <v>2500000</v>
      </c>
      <c r="MV188" s="5">
        <v>0</v>
      </c>
      <c r="MW188" s="5">
        <v>0</v>
      </c>
      <c r="MX188" s="5">
        <v>0</v>
      </c>
      <c r="MY188" s="5">
        <v>0</v>
      </c>
      <c r="MZ188" s="5">
        <v>0</v>
      </c>
      <c r="NA188" s="5">
        <v>1090000</v>
      </c>
      <c r="NB188" s="2" t="s">
        <v>17</v>
      </c>
      <c r="NC188" s="2"/>
      <c r="ND188" s="2"/>
      <c r="NE188" s="2"/>
      <c r="NF188" s="2"/>
      <c r="NG188" s="2"/>
      <c r="NH188" s="2"/>
      <c r="NI188" s="61">
        <v>0</v>
      </c>
      <c r="NJ188" s="61"/>
      <c r="NK188" s="61"/>
      <c r="NL188" s="61"/>
      <c r="NM188" s="2" t="s">
        <v>17</v>
      </c>
      <c r="NN188" s="2"/>
      <c r="NO188" s="2" t="s">
        <v>17</v>
      </c>
      <c r="NP188" s="2"/>
      <c r="NQ188" s="2"/>
      <c r="NR188" s="2" t="s">
        <v>17</v>
      </c>
      <c r="NS188" s="2"/>
      <c r="NT188" s="2" t="s">
        <v>17</v>
      </c>
      <c r="NU188" s="2"/>
      <c r="NV188" s="2"/>
      <c r="NW188" s="2"/>
      <c r="NX188" s="2" t="s">
        <v>118</v>
      </c>
      <c r="NY188" s="2" t="s">
        <v>118</v>
      </c>
      <c r="NZ188" s="2" t="s">
        <v>118</v>
      </c>
      <c r="OA188" s="2" t="s">
        <v>17</v>
      </c>
      <c r="OB188" s="2" t="s">
        <v>5089</v>
      </c>
      <c r="OC188" s="5">
        <v>18000000</v>
      </c>
      <c r="OD188" s="2" t="s">
        <v>17</v>
      </c>
      <c r="OE188" s="2" t="s">
        <v>17</v>
      </c>
      <c r="OF188" s="2" t="s">
        <v>85</v>
      </c>
      <c r="OG188" s="6">
        <v>10000000</v>
      </c>
      <c r="OH188" s="6">
        <v>0</v>
      </c>
      <c r="OI188" s="2" t="s">
        <v>93</v>
      </c>
      <c r="OJ188" s="2" t="s">
        <v>93</v>
      </c>
      <c r="OK188" s="6">
        <v>0</v>
      </c>
      <c r="OL188" s="6">
        <v>0</v>
      </c>
      <c r="OM188" s="6">
        <v>0</v>
      </c>
      <c r="ON188" s="6">
        <v>0</v>
      </c>
      <c r="OO188" s="6">
        <v>0</v>
      </c>
      <c r="OP188" s="6">
        <v>0</v>
      </c>
      <c r="OQ188" s="4">
        <v>0</v>
      </c>
      <c r="OR188" s="6">
        <v>0</v>
      </c>
      <c r="OS188" s="4">
        <v>0</v>
      </c>
      <c r="OT188" s="2" t="s">
        <v>17</v>
      </c>
      <c r="OU188" s="2" t="s">
        <v>17</v>
      </c>
      <c r="OV188" s="2"/>
      <c r="OW188" s="2" t="s">
        <v>17</v>
      </c>
      <c r="OX188" s="5">
        <v>8500000</v>
      </c>
      <c r="OY188" s="6">
        <v>87628.87</v>
      </c>
      <c r="OZ188" s="2"/>
      <c r="PA188" s="2"/>
      <c r="PB188" s="2"/>
      <c r="PC188" s="2"/>
      <c r="PD188" s="2"/>
      <c r="PE188" s="2"/>
      <c r="PF188" s="8">
        <v>16490000</v>
      </c>
      <c r="PG188" s="2"/>
      <c r="PH188" s="8">
        <v>16490000</v>
      </c>
      <c r="PI188" s="2"/>
      <c r="PJ188" s="2"/>
      <c r="PK188" s="2"/>
      <c r="PL188" s="2"/>
      <c r="PM188" s="2"/>
      <c r="PN188" s="2"/>
      <c r="PO188" s="2"/>
      <c r="PP188" s="2"/>
      <c r="PQ188" s="2"/>
      <c r="PR188" s="8">
        <v>16490000</v>
      </c>
      <c r="PS188" s="2"/>
      <c r="PT188" s="8">
        <v>16490000</v>
      </c>
      <c r="PU188" s="8">
        <v>2300000</v>
      </c>
      <c r="PV188" s="8">
        <v>2300000</v>
      </c>
      <c r="PW188" s="6">
        <v>2308600</v>
      </c>
      <c r="PX188" s="8">
        <v>18790000</v>
      </c>
      <c r="PY188" s="2"/>
      <c r="PZ188" s="8">
        <v>18790000</v>
      </c>
      <c r="QA188" s="8">
        <v>925000</v>
      </c>
      <c r="QB188" s="8">
        <v>925000</v>
      </c>
      <c r="QC188" s="6">
        <v>939500</v>
      </c>
      <c r="QD188" s="8">
        <v>20000</v>
      </c>
      <c r="QE188" s="8">
        <v>20000</v>
      </c>
      <c r="QF188" s="8">
        <v>40000</v>
      </c>
      <c r="QG188" s="8">
        <v>10000</v>
      </c>
      <c r="QH188" s="8">
        <v>10000</v>
      </c>
      <c r="QI188" s="8">
        <v>250000</v>
      </c>
      <c r="QJ188" s="8">
        <v>250000</v>
      </c>
      <c r="QK188" s="8">
        <v>30000</v>
      </c>
      <c r="QL188" s="8">
        <v>30000</v>
      </c>
      <c r="QM188" s="8">
        <v>75000</v>
      </c>
      <c r="QN188" s="2"/>
      <c r="QO188" s="8">
        <v>75000</v>
      </c>
      <c r="QP188" s="8">
        <v>278018</v>
      </c>
      <c r="QQ188" s="8">
        <v>278018</v>
      </c>
      <c r="QR188" s="8">
        <v>10000</v>
      </c>
      <c r="QS188" s="8">
        <v>10000</v>
      </c>
      <c r="QT188" s="8">
        <v>200000</v>
      </c>
      <c r="QU188" s="2"/>
      <c r="QV188" s="8">
        <v>200000</v>
      </c>
      <c r="QW188" s="8">
        <v>20000</v>
      </c>
      <c r="QX188" s="8">
        <v>20000</v>
      </c>
      <c r="QY188" s="8">
        <v>98100</v>
      </c>
      <c r="QZ188" s="8">
        <v>98100</v>
      </c>
      <c r="RA188" s="8">
        <v>3000</v>
      </c>
      <c r="RB188" s="8">
        <v>3000</v>
      </c>
      <c r="RC188" s="8">
        <v>205115</v>
      </c>
      <c r="RD188" s="8">
        <v>205115</v>
      </c>
      <c r="RE188" s="8">
        <v>26781</v>
      </c>
      <c r="RF188" s="8">
        <v>26781</v>
      </c>
      <c r="RG188" s="8">
        <v>50000</v>
      </c>
      <c r="RH188" s="8">
        <v>50000</v>
      </c>
      <c r="RI188" s="8">
        <v>570360</v>
      </c>
      <c r="RJ188" s="8">
        <v>570360</v>
      </c>
      <c r="RK188" s="8">
        <v>70000</v>
      </c>
      <c r="RL188" s="2"/>
      <c r="RM188" s="8">
        <v>70000</v>
      </c>
      <c r="RN188" s="8">
        <v>140000</v>
      </c>
      <c r="RO188" s="2"/>
      <c r="RP188" s="8">
        <v>140000</v>
      </c>
      <c r="RQ188" s="8">
        <v>200000</v>
      </c>
      <c r="RR188" s="8">
        <v>35000</v>
      </c>
      <c r="RS188" s="8">
        <v>235000</v>
      </c>
      <c r="RT188" s="2"/>
      <c r="RU188" s="8">
        <v>10000</v>
      </c>
      <c r="RV188" s="8">
        <v>10000</v>
      </c>
      <c r="RW188" s="2"/>
      <c r="RX188" s="2"/>
      <c r="RY188" s="8">
        <v>105000</v>
      </c>
      <c r="RZ188" s="2"/>
      <c r="SA188" s="8">
        <v>105000</v>
      </c>
      <c r="SB188" s="8">
        <v>50000</v>
      </c>
      <c r="SC188" s="8">
        <v>50000</v>
      </c>
      <c r="SD188" s="8">
        <v>50000</v>
      </c>
      <c r="SE188" s="2"/>
      <c r="SF188" s="8">
        <v>50000</v>
      </c>
      <c r="SG188" s="2"/>
      <c r="SH188" s="8">
        <v>100000</v>
      </c>
      <c r="SI188" s="2"/>
      <c r="SJ188" s="8">
        <v>100000</v>
      </c>
      <c r="SK188" s="8">
        <v>200000</v>
      </c>
      <c r="SL188" s="8">
        <v>200000</v>
      </c>
      <c r="SM188" s="8">
        <v>448116</v>
      </c>
      <c r="SN188" s="2"/>
      <c r="SO188" s="8">
        <v>448116</v>
      </c>
      <c r="SP188" s="8">
        <v>2876494</v>
      </c>
      <c r="SQ188" s="8">
        <v>397996</v>
      </c>
      <c r="SR188" s="8">
        <v>3274490</v>
      </c>
      <c r="SS188" s="8">
        <v>150000</v>
      </c>
      <c r="ST188" s="2"/>
      <c r="SU188" s="8">
        <v>150000</v>
      </c>
      <c r="SV188" s="6">
        <v>163724.5</v>
      </c>
      <c r="SW188" s="8">
        <v>180000</v>
      </c>
      <c r="SX188" s="8">
        <v>180000</v>
      </c>
      <c r="SY188" s="2"/>
      <c r="SZ188" s="8">
        <v>850000</v>
      </c>
      <c r="TA188" s="2"/>
      <c r="TB188" s="8">
        <v>850000</v>
      </c>
      <c r="TC188" s="2"/>
      <c r="TD188" s="2"/>
      <c r="TE188" s="2"/>
      <c r="TF188" s="8">
        <v>100000</v>
      </c>
      <c r="TG188" s="8">
        <v>100000</v>
      </c>
      <c r="TH188" s="2"/>
      <c r="TI188" s="8">
        <v>10000</v>
      </c>
      <c r="TJ188" s="8">
        <v>10000</v>
      </c>
      <c r="TK188" s="2"/>
      <c r="TL188" s="2"/>
      <c r="TM188" s="8">
        <v>225000</v>
      </c>
      <c r="TN188" s="8">
        <v>225000</v>
      </c>
      <c r="TO188" s="8">
        <v>1030000</v>
      </c>
      <c r="TP188" s="8">
        <v>335000</v>
      </c>
      <c r="TQ188" s="8">
        <v>1365000</v>
      </c>
      <c r="TR188" s="8">
        <v>23771494</v>
      </c>
      <c r="TS188" s="8">
        <v>732996</v>
      </c>
      <c r="TT188" s="8">
        <v>24504490</v>
      </c>
      <c r="TU188" s="8">
        <v>4400000</v>
      </c>
      <c r="TV188" s="8">
        <v>4400000</v>
      </c>
      <c r="TW188" s="6">
        <v>4410808</v>
      </c>
      <c r="TX188" s="8">
        <v>4400000</v>
      </c>
      <c r="TY188" s="8">
        <v>4400000</v>
      </c>
      <c r="TZ188" s="6">
        <v>4410808</v>
      </c>
      <c r="UA188" s="8">
        <v>3000000</v>
      </c>
      <c r="UB188" s="8">
        <v>3000000</v>
      </c>
      <c r="UC188" s="8">
        <v>28171494</v>
      </c>
      <c r="UD188" s="8">
        <v>3732996</v>
      </c>
      <c r="UE188" s="8">
        <v>31904490</v>
      </c>
      <c r="UF188" s="8">
        <v>18000000</v>
      </c>
      <c r="UG188" s="2" t="s">
        <v>4295</v>
      </c>
      <c r="UH188" s="2"/>
      <c r="UI188" s="2"/>
      <c r="UJ188" s="8">
        <v>10992000</v>
      </c>
      <c r="UK188" s="2"/>
      <c r="UL188" s="2" t="s">
        <v>96</v>
      </c>
      <c r="UM188" s="8">
        <v>4315968</v>
      </c>
      <c r="UN188" s="8">
        <v>1000000</v>
      </c>
      <c r="UO188" s="8">
        <v>34307968</v>
      </c>
      <c r="UP188" s="8">
        <v>2403478</v>
      </c>
      <c r="UQ188" s="8">
        <v>10000000</v>
      </c>
      <c r="UR188" s="2" t="s">
        <v>4295</v>
      </c>
      <c r="US188" s="2"/>
      <c r="UT188" s="2"/>
      <c r="UU188" s="2"/>
      <c r="UV188" s="2"/>
      <c r="UW188" s="8">
        <v>10992000</v>
      </c>
      <c r="UX188" s="2"/>
      <c r="UY188" s="2" t="s">
        <v>96</v>
      </c>
      <c r="UZ188" s="8">
        <v>9591040</v>
      </c>
      <c r="VA188" s="8">
        <v>3000000</v>
      </c>
      <c r="VB188" s="8">
        <v>33583040</v>
      </c>
      <c r="VC188" s="6">
        <v>20992000</v>
      </c>
      <c r="VD188" s="8">
        <v>1678550</v>
      </c>
      <c r="VE188" s="5">
        <v>370000</v>
      </c>
      <c r="VF188" s="5">
        <v>377500</v>
      </c>
      <c r="VG188" s="6">
        <v>297984.43</v>
      </c>
      <c r="VH188" s="2" t="s">
        <v>9</v>
      </c>
      <c r="VI188" s="2" t="s">
        <v>1680</v>
      </c>
      <c r="VJ188" s="2" t="s">
        <v>98</v>
      </c>
      <c r="VK188" s="2" t="s">
        <v>536</v>
      </c>
      <c r="VL188" s="23">
        <f t="shared" si="88"/>
        <v>243</v>
      </c>
      <c r="VM188" s="17">
        <f t="shared" si="89"/>
        <v>2.5051546391752577</v>
      </c>
      <c r="VN188" s="17"/>
      <c r="VO188" s="17"/>
      <c r="VP188" s="57">
        <v>1</v>
      </c>
      <c r="VQ188" s="17">
        <f t="shared" si="90"/>
        <v>1</v>
      </c>
      <c r="VR188" s="57">
        <f t="shared" si="91"/>
        <v>1</v>
      </c>
      <c r="VS188" s="14">
        <f t="shared" si="92"/>
        <v>1</v>
      </c>
      <c r="VT188" s="12">
        <f t="shared" si="93"/>
        <v>0.88</v>
      </c>
      <c r="VU188" s="29">
        <f t="shared" si="94"/>
        <v>8800000</v>
      </c>
      <c r="VV188" s="30">
        <f t="shared" si="95"/>
        <v>90721.65</v>
      </c>
      <c r="VW188" s="54" t="str">
        <f>IF(RANK(VV188,VV186:VV188,1)&lt;=ROUNDUP(80%*3,0),"A","B")</f>
        <v>A</v>
      </c>
      <c r="VY188" s="58">
        <f>IF(RANK(VV188,VV186:VV188,1)&lt;=ROUNDUP(10%*3,0),1,IF(RANK(VV188,VV186:VV188,1)&lt;=ROUNDUP(30%*3,0),2,IF(RANK(VV188,VV186:VV188,1)&lt;=ROUNDUP(50%*3,0),3,IF(RANK(VV188,VV186:VV188,1)&lt;=ROUNDUP(70%*3,0),4,5))))</f>
        <v>4</v>
      </c>
      <c r="WA188" s="12">
        <f t="shared" si="96"/>
        <v>0</v>
      </c>
      <c r="WB188" s="12">
        <f t="shared" si="97"/>
        <v>0</v>
      </c>
      <c r="WC188" s="12">
        <f t="shared" si="98"/>
        <v>0</v>
      </c>
      <c r="WD188" s="12">
        <f t="shared" si="99"/>
        <v>0</v>
      </c>
      <c r="WE188" s="12">
        <f t="shared" si="100"/>
        <v>0</v>
      </c>
      <c r="WF188" s="12">
        <f t="shared" si="101"/>
        <v>0</v>
      </c>
      <c r="WG188" s="12">
        <f t="shared" si="102"/>
        <v>1</v>
      </c>
      <c r="WH188" s="12">
        <f t="shared" si="103"/>
        <v>0</v>
      </c>
      <c r="WI188" s="31">
        <f t="shared" si="104"/>
        <v>1</v>
      </c>
    </row>
  </sheetData>
  <sheetProtection algorithmName="SHA-512" hashValue="HfswLBGedXKrCapdCqaixWPL10NgvW6N5KjrmyokuG+nidclb5OYwhjslLF09/g0A4BwlzgmhZuhUu9fs2gCUQ==" saltValue="fEYeyaslQFjYt4sRCJixnQ==" spinCount="100000" sheet="1" objects="1" scenarios="1" formatColumns="0"/>
  <autoFilter ref="A1:VK37" xr:uid="{4C2E24B8-1574-41C3-A77C-0A55ADDDDD52}"/>
  <mergeCells count="40">
    <mergeCell ref="VV74:VW74"/>
    <mergeCell ref="VY74:WC74"/>
    <mergeCell ref="VS138:VT138"/>
    <mergeCell ref="VV138:VW138"/>
    <mergeCell ref="VY138:WC138"/>
    <mergeCell ref="WD138:WH138"/>
    <mergeCell ref="WG74:WK74"/>
    <mergeCell ref="WK2:WM2"/>
    <mergeCell ref="WK3:WM3"/>
    <mergeCell ref="WK4:WM4"/>
    <mergeCell ref="WK5:WM5"/>
    <mergeCell ref="WK6:WM6"/>
    <mergeCell ref="WK7:WM7"/>
    <mergeCell ref="WK8:WM8"/>
    <mergeCell ref="WK9:WM9"/>
    <mergeCell ref="WK10:WM10"/>
    <mergeCell ref="WK11:WM11"/>
    <mergeCell ref="WK12:WM12"/>
    <mergeCell ref="WK13:WM13"/>
    <mergeCell ref="WK14:WM14"/>
    <mergeCell ref="WK15:WM15"/>
    <mergeCell ref="WK16:WM16"/>
    <mergeCell ref="WK17:WM17"/>
    <mergeCell ref="WK18:WM18"/>
    <mergeCell ref="WK19:WM19"/>
    <mergeCell ref="WK20:WM20"/>
    <mergeCell ref="WK21:WM21"/>
    <mergeCell ref="WK22:WM22"/>
    <mergeCell ref="WK23:WM23"/>
    <mergeCell ref="WK24:WM24"/>
    <mergeCell ref="WK25:WM25"/>
    <mergeCell ref="WK26:WM26"/>
    <mergeCell ref="WK32:WM32"/>
    <mergeCell ref="WK33:WM33"/>
    <mergeCell ref="WK34:WM34"/>
    <mergeCell ref="WK27:WM27"/>
    <mergeCell ref="WK28:WM28"/>
    <mergeCell ref="WK29:WM29"/>
    <mergeCell ref="WK30:WM30"/>
    <mergeCell ref="WK31:WM31"/>
  </mergeCells>
  <conditionalFormatting sqref="VX2:VX37 VX127:VX128">
    <cfRule type="cellIs" dxfId="48" priority="55" operator="equal">
      <formula>"Yes"</formula>
    </cfRule>
  </conditionalFormatting>
  <conditionalFormatting sqref="VW2:VW37">
    <cfRule type="cellIs" dxfId="47" priority="54" operator="equal">
      <formula>"Yes"</formula>
    </cfRule>
  </conditionalFormatting>
  <conditionalFormatting sqref="VX2:VX37">
    <cfRule type="expression" dxfId="46" priority="53">
      <formula>VS2&lt;1</formula>
    </cfRule>
  </conditionalFormatting>
  <conditionalFormatting sqref="VI75:VI83">
    <cfRule type="cellIs" dxfId="45" priority="52" operator="notEqual">
      <formula>$OU75</formula>
    </cfRule>
  </conditionalFormatting>
  <conditionalFormatting sqref="VX106:VX107 VX115">
    <cfRule type="cellIs" dxfId="44" priority="51" operator="equal">
      <formula>"Yes"</formula>
    </cfRule>
  </conditionalFormatting>
  <conditionalFormatting sqref="VX139:VX140">
    <cfRule type="cellIs" dxfId="43" priority="50" operator="equal">
      <formula>"Yes"</formula>
    </cfRule>
  </conditionalFormatting>
  <conditionalFormatting sqref="VP2:VP37">
    <cfRule type="cellIs" dxfId="42" priority="45" operator="equal">
      <formula>"Yes"</formula>
    </cfRule>
  </conditionalFormatting>
  <conditionalFormatting sqref="OY75:OY83">
    <cfRule type="cellIs" dxfId="41" priority="44" operator="notEqual">
      <formula>$OU75</formula>
    </cfRule>
  </conditionalFormatting>
  <conditionalFormatting sqref="OY76:OY77">
    <cfRule type="cellIs" dxfId="40" priority="43" operator="equal">
      <formula>"Yes"</formula>
    </cfRule>
  </conditionalFormatting>
  <conditionalFormatting sqref="VY86:WC88">
    <cfRule type="cellIs" dxfId="39" priority="42" operator="equal">
      <formula>"Yes"</formula>
    </cfRule>
  </conditionalFormatting>
  <conditionalFormatting sqref="VY86:WC88">
    <cfRule type="cellIs" dxfId="38" priority="41" operator="equal">
      <formula>"B"</formula>
    </cfRule>
  </conditionalFormatting>
  <conditionalFormatting sqref="VY86:WC88">
    <cfRule type="cellIs" dxfId="37" priority="40" operator="equal">
      <formula>"Yes"</formula>
    </cfRule>
  </conditionalFormatting>
  <conditionalFormatting sqref="VY86:WC88">
    <cfRule type="cellIs" dxfId="36" priority="39" operator="equal">
      <formula>"B"</formula>
    </cfRule>
  </conditionalFormatting>
  <conditionalFormatting sqref="VY89:WC90">
    <cfRule type="cellIs" dxfId="35" priority="38" operator="equal">
      <formula>"Yes"</formula>
    </cfRule>
  </conditionalFormatting>
  <conditionalFormatting sqref="VY89:WC90">
    <cfRule type="cellIs" dxfId="34" priority="37" operator="equal">
      <formula>"B"</formula>
    </cfRule>
  </conditionalFormatting>
  <conditionalFormatting sqref="VY89:WC90">
    <cfRule type="cellIs" dxfId="33" priority="36" operator="equal">
      <formula>"Yes"</formula>
    </cfRule>
  </conditionalFormatting>
  <conditionalFormatting sqref="VY89:WC90">
    <cfRule type="cellIs" dxfId="32" priority="35" operator="equal">
      <formula>"B"</formula>
    </cfRule>
  </conditionalFormatting>
  <conditionalFormatting sqref="WG84:WK84">
    <cfRule type="cellIs" dxfId="31" priority="34" operator="equal">
      <formula>"Yes"</formula>
    </cfRule>
  </conditionalFormatting>
  <conditionalFormatting sqref="WG84:WK84">
    <cfRule type="cellIs" dxfId="30" priority="33" operator="equal">
      <formula>"B"</formula>
    </cfRule>
  </conditionalFormatting>
  <conditionalFormatting sqref="OU74">
    <cfRule type="cellIs" dxfId="29" priority="32" operator="notEqual">
      <formula>$OU74</formula>
    </cfRule>
  </conditionalFormatting>
  <conditionalFormatting sqref="WI2:WI72">
    <cfRule type="cellIs" dxfId="28" priority="27" operator="greaterThan">
      <formula>4</formula>
    </cfRule>
    <cfRule type="cellIs" dxfId="27" priority="28" operator="equal">
      <formula>4</formula>
    </cfRule>
    <cfRule type="cellIs" dxfId="26" priority="29" operator="equal">
      <formula>3</formula>
    </cfRule>
    <cfRule type="cellIs" dxfId="25" priority="30" operator="equal">
      <formula>2</formula>
    </cfRule>
    <cfRule type="cellIs" dxfId="24" priority="31" operator="equal">
      <formula>1</formula>
    </cfRule>
  </conditionalFormatting>
  <conditionalFormatting sqref="VW186:VW188">
    <cfRule type="cellIs" dxfId="23" priority="25" operator="equal">
      <formula>"Yes"</formula>
    </cfRule>
  </conditionalFormatting>
  <conditionalFormatting sqref="VP186:VP188">
    <cfRule type="cellIs" dxfId="22" priority="23" operator="equal">
      <formula>"Yes"</formula>
    </cfRule>
  </conditionalFormatting>
  <conditionalFormatting sqref="WI186:WI188">
    <cfRule type="cellIs" dxfId="21" priority="18" operator="greaterThan">
      <formula>4</formula>
    </cfRule>
    <cfRule type="cellIs" dxfId="20" priority="19" operator="equal">
      <formula>4</formula>
    </cfRule>
    <cfRule type="cellIs" dxfId="19" priority="20" operator="equal">
      <formula>3</formula>
    </cfRule>
    <cfRule type="cellIs" dxfId="18" priority="21" operator="equal">
      <formula>2</formula>
    </cfRule>
    <cfRule type="cellIs" dxfId="17" priority="22" operator="equal">
      <formula>1</formula>
    </cfRule>
  </conditionalFormatting>
  <conditionalFormatting sqref="VV108:VW114">
    <cfRule type="cellIs" dxfId="16" priority="17" operator="equal">
      <formula>"Yes"</formula>
    </cfRule>
  </conditionalFormatting>
  <conditionalFormatting sqref="VV108:VW114">
    <cfRule type="cellIs" dxfId="15" priority="16" operator="equal">
      <formula>"B"</formula>
    </cfRule>
  </conditionalFormatting>
  <conditionalFormatting sqref="VV108:VW114">
    <cfRule type="cellIs" dxfId="14" priority="15" operator="equal">
      <formula>"Yes"</formula>
    </cfRule>
  </conditionalFormatting>
  <conditionalFormatting sqref="VV108:VW114">
    <cfRule type="cellIs" dxfId="13" priority="14" operator="equal">
      <formula>"B"</formula>
    </cfRule>
  </conditionalFormatting>
  <conditionalFormatting sqref="WK2:WK34">
    <cfRule type="expression" dxfId="12" priority="13">
      <formula>AND($VR2&gt;0,$VR2&lt;1)</formula>
    </cfRule>
  </conditionalFormatting>
  <conditionalFormatting sqref="WG86:WK88">
    <cfRule type="cellIs" dxfId="11" priority="12" operator="equal">
      <formula>"Yes"</formula>
    </cfRule>
  </conditionalFormatting>
  <conditionalFormatting sqref="WG86:WK88">
    <cfRule type="cellIs" dxfId="10" priority="11" operator="equal">
      <formula>"B"</formula>
    </cfRule>
  </conditionalFormatting>
  <conditionalFormatting sqref="WG86:WK88">
    <cfRule type="cellIs" dxfId="9" priority="10" operator="equal">
      <formula>"Yes"</formula>
    </cfRule>
  </conditionalFormatting>
  <conditionalFormatting sqref="WG86:WK88">
    <cfRule type="cellIs" dxfId="8" priority="9" operator="equal">
      <formula>"B"</formula>
    </cfRule>
  </conditionalFormatting>
  <conditionalFormatting sqref="WG89:WK90">
    <cfRule type="cellIs" dxfId="7" priority="8" operator="equal">
      <formula>"Yes"</formula>
    </cfRule>
  </conditionalFormatting>
  <conditionalFormatting sqref="WG89:WK90">
    <cfRule type="cellIs" dxfId="6" priority="7" operator="equal">
      <formula>"B"</formula>
    </cfRule>
  </conditionalFormatting>
  <conditionalFormatting sqref="WG89:WK90">
    <cfRule type="cellIs" dxfId="5" priority="6" operator="equal">
      <formula>"Yes"</formula>
    </cfRule>
  </conditionalFormatting>
  <conditionalFormatting sqref="WG89:WK90">
    <cfRule type="cellIs" dxfId="4" priority="5" operator="equal">
      <formula>"B"</formula>
    </cfRule>
  </conditionalFormatting>
  <conditionalFormatting sqref="VV116:VW126">
    <cfRule type="cellIs" dxfId="3" priority="4" operator="equal">
      <formula>"Yes"</formula>
    </cfRule>
  </conditionalFormatting>
  <conditionalFormatting sqref="VV116:VW126">
    <cfRule type="cellIs" dxfId="2" priority="3" operator="equal">
      <formula>"B"</formula>
    </cfRule>
  </conditionalFormatting>
  <conditionalFormatting sqref="VV116:VW126">
    <cfRule type="cellIs" dxfId="1" priority="2" operator="equal">
      <formula>"Yes"</formula>
    </cfRule>
  </conditionalFormatting>
  <conditionalFormatting sqref="VV116:VW126">
    <cfRule type="cellIs" dxfId="0" priority="1" operator="equal">
      <formula>"B"</formula>
    </cfRule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978305DA402642BA43FB659DA1040E" ma:contentTypeVersion="17" ma:contentTypeDescription="Create a new document." ma:contentTypeScope="" ma:versionID="cc00a6f9d39f91eb33698e0021d8680b">
  <xsd:schema xmlns:xsd="http://www.w3.org/2001/XMLSchema" xmlns:xs="http://www.w3.org/2001/XMLSchema" xmlns:p="http://schemas.microsoft.com/office/2006/metadata/properties" xmlns:ns1="http://schemas.microsoft.com/sharepoint/v3" xmlns:ns3="a226f5f0-4194-4a70-829c-4bbef480395c" xmlns:ns4="5a5b18f4-a66d-498a-8c29-5461dd409234" targetNamespace="http://schemas.microsoft.com/office/2006/metadata/properties" ma:root="true" ma:fieldsID="4dbd41114cd7c0c133974936bcafc3e5" ns1:_="" ns3:_="" ns4:_="">
    <xsd:import namespace="http://schemas.microsoft.com/sharepoint/v3"/>
    <xsd:import namespace="a226f5f0-4194-4a70-829c-4bbef480395c"/>
    <xsd:import namespace="5a5b18f4-a66d-498a-8c29-5461dd4092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1:_ip_UnifiedCompliancePolicyProperties" minOccurs="0"/>
                <xsd:element ref="ns1:_ip_UnifiedCompliancePolicyUIAction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LengthInSeconds" minOccurs="0"/>
                <xsd:element ref="ns4:MediaServiceLocation" minOccurs="0"/>
                <xsd:element ref="ns4:_activity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26f5f0-4194-4a70-829c-4bbef480395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5b18f4-a66d-498a-8c29-5461dd4092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activity xmlns="5a5b18f4-a66d-498a-8c29-5461dd409234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DEB6614-7B11-444B-AE5C-D6FD551744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226f5f0-4194-4a70-829c-4bbef480395c"/>
    <ds:schemaRef ds:uri="5a5b18f4-a66d-498a-8c29-5461dd4092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26C287-3B33-4F9A-94A2-05235FC01C09}">
  <ds:schemaRefs>
    <ds:schemaRef ds:uri="http://schemas.microsoft.com/office/2006/metadata/properties"/>
    <ds:schemaRef ds:uri="a226f5f0-4194-4a70-829c-4bbef480395c"/>
    <ds:schemaRef ds:uri="http://www.w3.org/XML/1998/namespace"/>
    <ds:schemaRef ds:uri="http://schemas.microsoft.com/sharepoint/v3"/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5a5b18f4-a66d-498a-8c29-5461dd409234"/>
  </ds:schemaRefs>
</ds:datastoreItem>
</file>

<file path=customXml/itemProps3.xml><?xml version="1.0" encoding="utf-8"?>
<ds:datastoreItem xmlns:ds="http://schemas.openxmlformats.org/officeDocument/2006/customXml" ds:itemID="{3B4C4BC1-F686-4463-A82F-A20C5BC477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20</vt:i4>
      </vt:variant>
    </vt:vector>
  </HeadingPairs>
  <TitlesOfParts>
    <vt:vector size="26" baseType="lpstr">
      <vt:lpstr>Summary</vt:lpstr>
      <vt:lpstr>201</vt:lpstr>
      <vt:lpstr>202</vt:lpstr>
      <vt:lpstr>203</vt:lpstr>
      <vt:lpstr>205</vt:lpstr>
      <vt:lpstr>304</vt:lpstr>
      <vt:lpstr>Boost_A</vt:lpstr>
      <vt:lpstr>Boost_Q</vt:lpstr>
      <vt:lpstr>Broward_A</vt:lpstr>
      <vt:lpstr>Broward_Q</vt:lpstr>
      <vt:lpstr>Elderly_A</vt:lpstr>
      <vt:lpstr>Elderly_Q</vt:lpstr>
      <vt:lpstr>ESSC_A</vt:lpstr>
      <vt:lpstr>ESSC_Q</vt:lpstr>
      <vt:lpstr>NC_GA_A</vt:lpstr>
      <vt:lpstr>NC_GA_Q</vt:lpstr>
      <vt:lpstr>NC_HR_A</vt:lpstr>
      <vt:lpstr>NC_HR_Q</vt:lpstr>
      <vt:lpstr>NC_MR_A</vt:lpstr>
      <vt:lpstr>NC_MR_Q</vt:lpstr>
      <vt:lpstr>NC_OT_A</vt:lpstr>
      <vt:lpstr>NC_OT_Q</vt:lpstr>
      <vt:lpstr>PHA_A</vt:lpstr>
      <vt:lpstr>PHA_Q</vt:lpstr>
      <vt:lpstr>Same</vt:lpstr>
      <vt:lpstr>Switch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Blake Bishop</dc:creator>
  <cp:lastModifiedBy>Kevin Tatreau</cp:lastModifiedBy>
  <dcterms:created xsi:type="dcterms:W3CDTF">2023-09-13T14:27:55Z</dcterms:created>
  <dcterms:modified xsi:type="dcterms:W3CDTF">2024-04-23T20:49:31Z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0x0101001A978305DA402642BA43FB659DA1040E</vt:lpwstr>
  </property>
</Properties>
</file>